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EstaPasta_de_trabalho" defaultThemeVersion="124226"/>
  <bookViews>
    <workbookView xWindow="0" yWindow="0" windowWidth="19380" windowHeight="7320" tabRatio="849"/>
  </bookViews>
  <sheets>
    <sheet name="RESUMO" sheetId="9" r:id="rId1"/>
    <sheet name="insnãodes" sheetId="75" state="hidden" r:id="rId2"/>
    <sheet name="comp_nãodes" sheetId="74" state="hidden" r:id="rId3"/>
    <sheet name="PLANILHA ORÇAMENTARIA" sheetId="7" r:id="rId4"/>
    <sheet name="CRONOGRAMA" sheetId="8" r:id="rId5"/>
    <sheet name="CPU-ARQ" sheetId="68" r:id="rId6"/>
    <sheet name="COMP. HIDRO" sheetId="77" r:id="rId7"/>
    <sheet name="COMP. ELETRICO " sheetId="78" r:id="rId8"/>
    <sheet name="COMP. SPDA " sheetId="79" r:id="rId9"/>
    <sheet name="COMP. INC" sheetId="80" r:id="rId10"/>
    <sheet name="QUANTITATIVOS ARQ" sheetId="76" r:id="rId11"/>
    <sheet name="quant-incêndio" sheetId="66" state="hidden" r:id="rId12"/>
    <sheet name="quant-arq" sheetId="62" state="hidden" r:id="rId13"/>
    <sheet name="quant-hidrossanitario" sheetId="65" state="hidden" r:id="rId14"/>
    <sheet name="quant-elétrico" sheetId="63" state="hidden" r:id="rId15"/>
    <sheet name="quant-SPDA" sheetId="67" state="hidden" r:id="rId16"/>
    <sheet name="quant-GLP" sheetId="64" state="hidden" r:id="rId17"/>
    <sheet name="quant-est_bloco_escolar" sheetId="47" state="hidden" r:id="rId18"/>
    <sheet name="quant-est_quadra" sheetId="50" state="hidden" r:id="rId19"/>
    <sheet name="quant-est_refeitório" sheetId="51" state="hidden" r:id="rId20"/>
    <sheet name="quant-est_cobertura_escola" sheetId="48" state="hidden" r:id="rId21"/>
    <sheet name="quant-est_cobertura_rampa" sheetId="49"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____________cab1" localSheetId="7">#REF!</definedName>
    <definedName name="______________cab1" localSheetId="9">#REF!</definedName>
    <definedName name="______________cab1" localSheetId="8">#REF!</definedName>
    <definedName name="______________cab1">#REF!</definedName>
    <definedName name="_____________cab1" localSheetId="7">#REF!</definedName>
    <definedName name="_____________cab1" localSheetId="9">#REF!</definedName>
    <definedName name="_____________cab1" localSheetId="8">#REF!</definedName>
    <definedName name="_____________cab1">#REF!</definedName>
    <definedName name="____________cab1" localSheetId="7">#REF!</definedName>
    <definedName name="____________cab1" localSheetId="9">#REF!</definedName>
    <definedName name="____________cab1" localSheetId="8">#REF!</definedName>
    <definedName name="____________cab1">#REF!</definedName>
    <definedName name="___________cab1" localSheetId="7">#REF!</definedName>
    <definedName name="___________cab1" localSheetId="9">#REF!</definedName>
    <definedName name="___________cab1" localSheetId="8">#REF!</definedName>
    <definedName name="___________cab1">#REF!</definedName>
    <definedName name="___________RET1" localSheetId="7">#REF!</definedName>
    <definedName name="___________RET1" localSheetId="9">#REF!</definedName>
    <definedName name="___________RET1" localSheetId="8">#REF!</definedName>
    <definedName name="___________RET1">#REF!</definedName>
    <definedName name="__________R">'[1]Relatório-1ª med.'!#REF!</definedName>
    <definedName name="__________RET1" localSheetId="7">#REF!</definedName>
    <definedName name="__________RET1" localSheetId="9">#REF!</definedName>
    <definedName name="__________RET1" localSheetId="8">#REF!</definedName>
    <definedName name="__________RET1">#REF!</definedName>
    <definedName name="__________TT21" localSheetId="9">[2]RELATÓRIO!#REF!</definedName>
    <definedName name="__________TT21">[2]RELATÓRIO!#REF!</definedName>
    <definedName name="__________TT22">[2]RELATÓRIO!#REF!</definedName>
    <definedName name="_________cab1" localSheetId="7">#REF!</definedName>
    <definedName name="_________cab1" localSheetId="9">#REF!</definedName>
    <definedName name="_________cab1" localSheetId="8">#REF!</definedName>
    <definedName name="_________cab1">#REF!</definedName>
    <definedName name="_________JAZ1" localSheetId="7">#REF!</definedName>
    <definedName name="_________JAZ1" localSheetId="9">#REF!</definedName>
    <definedName name="_________JAZ1" localSheetId="8">#REF!</definedName>
    <definedName name="_________JAZ1">#REF!</definedName>
    <definedName name="_________JAZ11" localSheetId="7">#REF!</definedName>
    <definedName name="_________JAZ11" localSheetId="9">#REF!</definedName>
    <definedName name="_________JAZ11" localSheetId="8">#REF!</definedName>
    <definedName name="_________JAZ11">#REF!</definedName>
    <definedName name="_________JAZ2" localSheetId="7">#REF!</definedName>
    <definedName name="_________JAZ2" localSheetId="9">#REF!</definedName>
    <definedName name="_________JAZ2" localSheetId="8">#REF!</definedName>
    <definedName name="_________JAZ2">#REF!</definedName>
    <definedName name="_________JAZ22" localSheetId="7">#REF!</definedName>
    <definedName name="_________JAZ22" localSheetId="9">#REF!</definedName>
    <definedName name="_________JAZ22" localSheetId="8">#REF!</definedName>
    <definedName name="_________JAZ22">#REF!</definedName>
    <definedName name="_________JAZ3" localSheetId="7">#REF!</definedName>
    <definedName name="_________JAZ3" localSheetId="9">#REF!</definedName>
    <definedName name="_________JAZ3" localSheetId="8">#REF!</definedName>
    <definedName name="_________JAZ3">#REF!</definedName>
    <definedName name="_________JAZ33" localSheetId="7">#REF!</definedName>
    <definedName name="_________JAZ33" localSheetId="9">#REF!</definedName>
    <definedName name="_________JAZ33" localSheetId="8">#REF!</definedName>
    <definedName name="_________JAZ33">#REF!</definedName>
    <definedName name="_________RET1" localSheetId="7">#REF!</definedName>
    <definedName name="_________RET1" localSheetId="9">#REF!</definedName>
    <definedName name="_________RET1" localSheetId="8">#REF!</definedName>
    <definedName name="_________RET1">#REF!</definedName>
    <definedName name="_________TT21">[2]RELATÓRIO!#REF!</definedName>
    <definedName name="_________TT22">[2]RELATÓRIO!#REF!</definedName>
    <definedName name="________cab1" localSheetId="7">#REF!</definedName>
    <definedName name="________cab1" localSheetId="9">#REF!</definedName>
    <definedName name="________cab1" localSheetId="8">#REF!</definedName>
    <definedName name="________cab1">#REF!</definedName>
    <definedName name="________JAZ1" localSheetId="7">#REF!</definedName>
    <definedName name="________JAZ1" localSheetId="9">#REF!</definedName>
    <definedName name="________JAZ1" localSheetId="8">#REF!</definedName>
    <definedName name="________JAZ1">#REF!</definedName>
    <definedName name="________JAZ11" localSheetId="7">#REF!</definedName>
    <definedName name="________JAZ11" localSheetId="9">#REF!</definedName>
    <definedName name="________JAZ11" localSheetId="8">#REF!</definedName>
    <definedName name="________JAZ11">#REF!</definedName>
    <definedName name="________JAZ2" localSheetId="7">#REF!</definedName>
    <definedName name="________JAZ2" localSheetId="9">#REF!</definedName>
    <definedName name="________JAZ2" localSheetId="8">#REF!</definedName>
    <definedName name="________JAZ2">#REF!</definedName>
    <definedName name="________JAZ22" localSheetId="7">#REF!</definedName>
    <definedName name="________JAZ22" localSheetId="9">#REF!</definedName>
    <definedName name="________JAZ22" localSheetId="8">#REF!</definedName>
    <definedName name="________JAZ22">#REF!</definedName>
    <definedName name="________JAZ3" localSheetId="7">#REF!</definedName>
    <definedName name="________JAZ3" localSheetId="9">#REF!</definedName>
    <definedName name="________JAZ3" localSheetId="8">#REF!</definedName>
    <definedName name="________JAZ3">#REF!</definedName>
    <definedName name="________JAZ33" localSheetId="7">#REF!</definedName>
    <definedName name="________JAZ33" localSheetId="9">#REF!</definedName>
    <definedName name="________JAZ33" localSheetId="8">#REF!</definedName>
    <definedName name="________JAZ33">#REF!</definedName>
    <definedName name="________RET1" localSheetId="7">#REF!</definedName>
    <definedName name="________RET1" localSheetId="9">#REF!</definedName>
    <definedName name="________RET1" localSheetId="8">#REF!</definedName>
    <definedName name="________RET1">#REF!</definedName>
    <definedName name="________TT21">[2]RELATÓRIO!#REF!</definedName>
    <definedName name="________TT22">[2]RELATÓRIO!#REF!</definedName>
    <definedName name="_______emp2">'[3]DMT modelo'!$AA$13</definedName>
    <definedName name="_______ind100" localSheetId="7">#REF!</definedName>
    <definedName name="_______ind100" localSheetId="9">#REF!</definedName>
    <definedName name="_______ind100" localSheetId="8">#REF!</definedName>
    <definedName name="_______ind100">#REF!</definedName>
    <definedName name="_______JAZ1" localSheetId="7">#REF!</definedName>
    <definedName name="_______JAZ1" localSheetId="9">#REF!</definedName>
    <definedName name="_______JAZ1" localSheetId="8">#REF!</definedName>
    <definedName name="_______JAZ1">#REF!</definedName>
    <definedName name="_______JAZ11" localSheetId="7">#REF!</definedName>
    <definedName name="_______JAZ11" localSheetId="9">#REF!</definedName>
    <definedName name="_______JAZ11" localSheetId="8">#REF!</definedName>
    <definedName name="_______JAZ11">#REF!</definedName>
    <definedName name="_______JAZ2" localSheetId="7">#REF!</definedName>
    <definedName name="_______JAZ2" localSheetId="9">#REF!</definedName>
    <definedName name="_______JAZ2" localSheetId="8">#REF!</definedName>
    <definedName name="_______JAZ2">#REF!</definedName>
    <definedName name="_______JAZ22" localSheetId="7">#REF!</definedName>
    <definedName name="_______JAZ22" localSheetId="9">#REF!</definedName>
    <definedName name="_______JAZ22" localSheetId="8">#REF!</definedName>
    <definedName name="_______JAZ22">#REF!</definedName>
    <definedName name="_______JAZ3" localSheetId="7">#REF!</definedName>
    <definedName name="_______JAZ3" localSheetId="9">#REF!</definedName>
    <definedName name="_______JAZ3" localSheetId="8">#REF!</definedName>
    <definedName name="_______JAZ3">#REF!</definedName>
    <definedName name="_______JAZ33" localSheetId="7">#REF!</definedName>
    <definedName name="_______JAZ33" localSheetId="9">#REF!</definedName>
    <definedName name="_______JAZ33" localSheetId="8">#REF!</definedName>
    <definedName name="_______JAZ33">#REF!</definedName>
    <definedName name="_______mem2">'[4]Mat Asf'!$H$37</definedName>
    <definedName name="_______RET1" localSheetId="7">#REF!</definedName>
    <definedName name="_______RET1" localSheetId="9">#REF!</definedName>
    <definedName name="_______RET1" localSheetId="8">#REF!</definedName>
    <definedName name="_______RET1">#REF!</definedName>
    <definedName name="_______TT21" localSheetId="9">[2]RELATÓRIO!#REF!</definedName>
    <definedName name="_______TT21">[2]RELATÓRIO!#REF!</definedName>
    <definedName name="_______TT22">[2]RELATÓRIO!#REF!</definedName>
    <definedName name="______emp2">'[3]DMT modelo'!$AA$13</definedName>
    <definedName name="______EXT1" localSheetId="7">#REF!</definedName>
    <definedName name="______EXT1" localSheetId="9">#REF!</definedName>
    <definedName name="______EXT1" localSheetId="8">#REF!</definedName>
    <definedName name="______EXT1">#REF!</definedName>
    <definedName name="______ind100" localSheetId="7">#REF!</definedName>
    <definedName name="______ind100" localSheetId="9">#REF!</definedName>
    <definedName name="______ind100" localSheetId="8">#REF!</definedName>
    <definedName name="______ind100">#REF!</definedName>
    <definedName name="______JAZ1" localSheetId="7">#REF!</definedName>
    <definedName name="______JAZ1" localSheetId="9">#REF!</definedName>
    <definedName name="______JAZ1" localSheetId="8">#REF!</definedName>
    <definedName name="______JAZ1">#REF!</definedName>
    <definedName name="______JAZ11" localSheetId="7">#REF!</definedName>
    <definedName name="______JAZ11" localSheetId="9">#REF!</definedName>
    <definedName name="______JAZ11" localSheetId="8">#REF!</definedName>
    <definedName name="______JAZ11">#REF!</definedName>
    <definedName name="______JAZ2" localSheetId="7">#REF!</definedName>
    <definedName name="______JAZ2" localSheetId="9">#REF!</definedName>
    <definedName name="______JAZ2" localSheetId="8">#REF!</definedName>
    <definedName name="______JAZ2">#REF!</definedName>
    <definedName name="______JAZ22" localSheetId="7">#REF!</definedName>
    <definedName name="______JAZ22" localSheetId="9">#REF!</definedName>
    <definedName name="______JAZ22" localSheetId="8">#REF!</definedName>
    <definedName name="______JAZ22">#REF!</definedName>
    <definedName name="______JAZ3" localSheetId="7">#REF!</definedName>
    <definedName name="______JAZ3" localSheetId="9">#REF!</definedName>
    <definedName name="______JAZ3" localSheetId="8">#REF!</definedName>
    <definedName name="______JAZ3">#REF!</definedName>
    <definedName name="______JAZ33" localSheetId="7">#REF!</definedName>
    <definedName name="______JAZ33" localSheetId="9">#REF!</definedName>
    <definedName name="______JAZ33" localSheetId="8">#REF!</definedName>
    <definedName name="______JAZ33">#REF!</definedName>
    <definedName name="______mem2">'[4]Mat Asf'!$H$37</definedName>
    <definedName name="______oac2" localSheetId="7">#REF!</definedName>
    <definedName name="______oac2" localSheetId="9">#REF!</definedName>
    <definedName name="______oac2" localSheetId="8">#REF!</definedName>
    <definedName name="______oac2">#REF!</definedName>
    <definedName name="______RET1" localSheetId="7">#REF!</definedName>
    <definedName name="______RET1" localSheetId="9">#REF!</definedName>
    <definedName name="______RET1" localSheetId="8">#REF!</definedName>
    <definedName name="______RET1">#REF!</definedName>
    <definedName name="______TT21" localSheetId="9">[2]RELATÓRIO!#REF!</definedName>
    <definedName name="______TT21">[2]RELATÓRIO!#REF!</definedName>
    <definedName name="______TT22" localSheetId="9">[2]RELATÓRIO!#REF!</definedName>
    <definedName name="______TT22">[2]RELATÓRIO!#REF!</definedName>
    <definedName name="_____cab1" localSheetId="7">#REF!</definedName>
    <definedName name="_____cab1" localSheetId="9">#REF!</definedName>
    <definedName name="_____cab1" localSheetId="8">#REF!</definedName>
    <definedName name="_____cab1">#REF!</definedName>
    <definedName name="_____emp2">'[3]DMT modelo'!$AA$13</definedName>
    <definedName name="_____EXT1" localSheetId="7">#REF!</definedName>
    <definedName name="_____EXT1" localSheetId="9">#REF!</definedName>
    <definedName name="_____EXT1" localSheetId="8">#REF!</definedName>
    <definedName name="_____EXT1">#REF!</definedName>
    <definedName name="_____ind100" localSheetId="7">#REF!</definedName>
    <definedName name="_____ind100" localSheetId="9">#REF!</definedName>
    <definedName name="_____ind100" localSheetId="8">#REF!</definedName>
    <definedName name="_____ind100">#REF!</definedName>
    <definedName name="_____JAZ1" localSheetId="7">#REF!</definedName>
    <definedName name="_____JAZ1" localSheetId="9">#REF!</definedName>
    <definedName name="_____JAZ1" localSheetId="8">#REF!</definedName>
    <definedName name="_____JAZ1">#REF!</definedName>
    <definedName name="_____JAZ11" localSheetId="7">#REF!</definedName>
    <definedName name="_____JAZ11" localSheetId="9">#REF!</definedName>
    <definedName name="_____JAZ11" localSheetId="8">#REF!</definedName>
    <definedName name="_____JAZ11">#REF!</definedName>
    <definedName name="_____JAZ2" localSheetId="7">#REF!</definedName>
    <definedName name="_____JAZ2" localSheetId="9">#REF!</definedName>
    <definedName name="_____JAZ2" localSheetId="8">#REF!</definedName>
    <definedName name="_____JAZ2">#REF!</definedName>
    <definedName name="_____JAZ22" localSheetId="7">#REF!</definedName>
    <definedName name="_____JAZ22" localSheetId="9">#REF!</definedName>
    <definedName name="_____JAZ22" localSheetId="8">#REF!</definedName>
    <definedName name="_____JAZ22">#REF!</definedName>
    <definedName name="_____JAZ3" localSheetId="7">#REF!</definedName>
    <definedName name="_____JAZ3" localSheetId="9">#REF!</definedName>
    <definedName name="_____JAZ3" localSheetId="8">#REF!</definedName>
    <definedName name="_____JAZ3">#REF!</definedName>
    <definedName name="_____JAZ33" localSheetId="7">#REF!</definedName>
    <definedName name="_____JAZ33" localSheetId="9">#REF!</definedName>
    <definedName name="_____JAZ33" localSheetId="8">#REF!</definedName>
    <definedName name="_____JAZ33">#REF!</definedName>
    <definedName name="_____mem2">'[4]Mat Asf'!$H$37</definedName>
    <definedName name="_____oac2" localSheetId="7">#REF!</definedName>
    <definedName name="_____oac2" localSheetId="9">#REF!</definedName>
    <definedName name="_____oac2" localSheetId="8">#REF!</definedName>
    <definedName name="_____oac2">#REF!</definedName>
    <definedName name="_____RET1" localSheetId="7">#REF!</definedName>
    <definedName name="_____RET1" localSheetId="9">#REF!</definedName>
    <definedName name="_____RET1" localSheetId="8">#REF!</definedName>
    <definedName name="_____RET1">#REF!</definedName>
    <definedName name="_____tsd4" localSheetId="7">#REF!</definedName>
    <definedName name="_____tsd4" localSheetId="9">#REF!</definedName>
    <definedName name="_____tsd4" localSheetId="8">#REF!</definedName>
    <definedName name="_____tsd4">#REF!</definedName>
    <definedName name="_____TT102" localSheetId="9">'[1]Relatório-1ª med.'!#REF!</definedName>
    <definedName name="_____TT102">'[1]Relatório-1ª med.'!#REF!</definedName>
    <definedName name="_____TT107" localSheetId="9">'[1]Relatório-1ª med.'!#REF!</definedName>
    <definedName name="_____TT107">'[1]Relatório-1ª med.'!#REF!</definedName>
    <definedName name="_____TT121" localSheetId="9">'[1]Relatório-1ª med.'!#REF!</definedName>
    <definedName name="_____TT121">'[1]Relatório-1ª med.'!#REF!</definedName>
    <definedName name="_____TT123" localSheetId="9">'[1]Relatório-1ª med.'!#REF!</definedName>
    <definedName name="_____TT123">'[1]Relatório-1ª med.'!#REF!</definedName>
    <definedName name="_____TT19">'[1]Relatório-1ª med.'!#REF!</definedName>
    <definedName name="_____TT20">'[1]Relatório-1ª med.'!#REF!</definedName>
    <definedName name="_____TT21">'[1]Relatório-1ª med.'!#REF!</definedName>
    <definedName name="_____TT22">'[1]Relatório-1ª med.'!#REF!</definedName>
    <definedName name="_____TT26">'[1]Relatório-1ª med.'!#REF!</definedName>
    <definedName name="_____TT27">'[1]Relatório-1ª med.'!#REF!</definedName>
    <definedName name="_____TT28">'[1]Relatório-1ª med.'!#REF!</definedName>
    <definedName name="_____TT30">'[1]Relatório-1ª med.'!#REF!</definedName>
    <definedName name="_____TT31">'[1]Relatório-1ª med.'!#REF!</definedName>
    <definedName name="_____TT32">'[1]Relatório-1ª med.'!#REF!</definedName>
    <definedName name="_____TT33">'[1]Relatório-1ª med.'!#REF!</definedName>
    <definedName name="_____TT34">'[1]Relatório-1ª med.'!#REF!</definedName>
    <definedName name="_____TT36">'[1]Relatório-1ª med.'!#REF!</definedName>
    <definedName name="_____TT37">'[1]Relatório-1ª med.'!#REF!</definedName>
    <definedName name="_____TT38">'[1]Relatório-1ª med.'!#REF!</definedName>
    <definedName name="_____TT39">'[1]Relatório-1ª med.'!#REF!</definedName>
    <definedName name="_____TT40">'[1]Relatório-1ª med.'!#REF!</definedName>
    <definedName name="_____TT5">'[1]Relatório-1ª med.'!#REF!</definedName>
    <definedName name="_____TT52">'[1]Relatório-1ª med.'!#REF!</definedName>
    <definedName name="_____TT53">'[1]Relatório-1ª med.'!#REF!</definedName>
    <definedName name="_____TT54">'[1]Relatório-1ª med.'!#REF!</definedName>
    <definedName name="_____TT55">'[1]Relatório-1ª med.'!#REF!</definedName>
    <definedName name="_____TT6">'[1]Relatório-1ª med.'!#REF!</definedName>
    <definedName name="_____TT60">'[1]Relatório-1ª med.'!#REF!</definedName>
    <definedName name="_____TT61">'[1]Relatório-1ª med.'!#REF!</definedName>
    <definedName name="_____TT69">'[1]Relatório-1ª med.'!#REF!</definedName>
    <definedName name="_____TT7">'[1]Relatório-1ª med.'!#REF!</definedName>
    <definedName name="_____TT70">'[1]Relatório-1ª med.'!#REF!</definedName>
    <definedName name="_____TT71">'[1]Relatório-1ª med.'!#REF!</definedName>
    <definedName name="_____TT74">'[1]Relatório-1ª med.'!#REF!</definedName>
    <definedName name="_____TT75">'[1]Relatório-1ª med.'!#REF!</definedName>
    <definedName name="_____TT76">'[1]Relatório-1ª med.'!#REF!</definedName>
    <definedName name="_____TT77">'[1]Relatório-1ª med.'!#REF!</definedName>
    <definedName name="_____TT78">'[1]Relatório-1ª med.'!#REF!</definedName>
    <definedName name="_____TT79">'[1]Relatório-1ª med.'!#REF!</definedName>
    <definedName name="_____TT94">'[1]Relatório-1ª med.'!#REF!</definedName>
    <definedName name="_____TT95">'[1]Relatório-1ª med.'!#REF!</definedName>
    <definedName name="_____TT97">'[1]Relatório-1ª med.'!#REF!</definedName>
    <definedName name="____cab1" localSheetId="7">#REF!</definedName>
    <definedName name="____cab1" localSheetId="9">#REF!</definedName>
    <definedName name="____cab1" localSheetId="8">#REF!</definedName>
    <definedName name="____cab1">#REF!</definedName>
    <definedName name="____EXT1" localSheetId="7">#REF!</definedName>
    <definedName name="____EXT1" localSheetId="9">#REF!</definedName>
    <definedName name="____EXT1" localSheetId="8">#REF!</definedName>
    <definedName name="____EXT1">#REF!</definedName>
    <definedName name="____ind100" localSheetId="7">#REF!</definedName>
    <definedName name="____ind100" localSheetId="9">#REF!</definedName>
    <definedName name="____ind100" localSheetId="8">#REF!</definedName>
    <definedName name="____ind100">#REF!</definedName>
    <definedName name="____JAZ1" localSheetId="7">#REF!</definedName>
    <definedName name="____JAZ1" localSheetId="9">#REF!</definedName>
    <definedName name="____JAZ1" localSheetId="8">#REF!</definedName>
    <definedName name="____JAZ1">#REF!</definedName>
    <definedName name="____JAZ11" localSheetId="7">#REF!</definedName>
    <definedName name="____JAZ11" localSheetId="9">#REF!</definedName>
    <definedName name="____JAZ11" localSheetId="8">#REF!</definedName>
    <definedName name="____JAZ11">#REF!</definedName>
    <definedName name="____JAZ2" localSheetId="7">#REF!</definedName>
    <definedName name="____JAZ2" localSheetId="9">#REF!</definedName>
    <definedName name="____JAZ2" localSheetId="8">#REF!</definedName>
    <definedName name="____JAZ2">#REF!</definedName>
    <definedName name="____JAZ22" localSheetId="7">#REF!</definedName>
    <definedName name="____JAZ22" localSheetId="9">#REF!</definedName>
    <definedName name="____JAZ22" localSheetId="8">#REF!</definedName>
    <definedName name="____JAZ22">#REF!</definedName>
    <definedName name="____JAZ3" localSheetId="7">#REF!</definedName>
    <definedName name="____JAZ3" localSheetId="9">#REF!</definedName>
    <definedName name="____JAZ3" localSheetId="8">#REF!</definedName>
    <definedName name="____JAZ3">#REF!</definedName>
    <definedName name="____JAZ33" localSheetId="7">#REF!</definedName>
    <definedName name="____JAZ33" localSheetId="9">#REF!</definedName>
    <definedName name="____JAZ33" localSheetId="8">#REF!</definedName>
    <definedName name="____JAZ33">#REF!</definedName>
    <definedName name="____oac2" localSheetId="7">#REF!</definedName>
    <definedName name="____oac2" localSheetId="9">#REF!</definedName>
    <definedName name="____oac2" localSheetId="8">#REF!</definedName>
    <definedName name="____oac2">#REF!</definedName>
    <definedName name="____RET1" localSheetId="7">#REF!</definedName>
    <definedName name="____RET1" localSheetId="9">#REF!</definedName>
    <definedName name="____RET1" localSheetId="8">#REF!</definedName>
    <definedName name="____RET1">#REF!</definedName>
    <definedName name="____tsd4" localSheetId="7">#REF!</definedName>
    <definedName name="____tsd4" localSheetId="9">#REF!</definedName>
    <definedName name="____tsd4" localSheetId="8">#REF!</definedName>
    <definedName name="____tsd4">#REF!</definedName>
    <definedName name="____TT102">'[1]Relatório-1ª med.'!#REF!</definedName>
    <definedName name="____TT107">'[1]Relatório-1ª med.'!#REF!</definedName>
    <definedName name="____TT121">'[1]Relatório-1ª med.'!#REF!</definedName>
    <definedName name="____TT123">'[1]Relatório-1ª med.'!#REF!</definedName>
    <definedName name="____TT19">'[1]Relatório-1ª med.'!#REF!</definedName>
    <definedName name="____TT20">'[1]Relatório-1ª med.'!#REF!</definedName>
    <definedName name="____TT21">'[1]Relatório-1ª med.'!#REF!</definedName>
    <definedName name="____TT22">'[1]Relatório-1ª med.'!#REF!</definedName>
    <definedName name="____TT236">'[1]Relatório-1ª med.'!#REF!</definedName>
    <definedName name="____TT26">'[1]Relatório-1ª med.'!#REF!</definedName>
    <definedName name="____TT27">'[1]Relatório-1ª med.'!#REF!</definedName>
    <definedName name="____TT28">'[1]Relatório-1ª med.'!#REF!</definedName>
    <definedName name="____TT30">'[1]Relatório-1ª med.'!#REF!</definedName>
    <definedName name="____TT31">'[1]Relatório-1ª med.'!#REF!</definedName>
    <definedName name="____TT32">'[1]Relatório-1ª med.'!#REF!</definedName>
    <definedName name="____TT33">'[1]Relatório-1ª med.'!#REF!</definedName>
    <definedName name="____TT34">'[1]Relatório-1ª med.'!#REF!</definedName>
    <definedName name="____TT36">'[1]Relatório-1ª med.'!#REF!</definedName>
    <definedName name="____TT37">'[1]Relatório-1ª med.'!#REF!</definedName>
    <definedName name="____TT38">'[1]Relatório-1ª med.'!#REF!</definedName>
    <definedName name="____TT39">'[1]Relatório-1ª med.'!#REF!</definedName>
    <definedName name="____TT40">'[1]Relatório-1ª med.'!#REF!</definedName>
    <definedName name="____TT5">'[1]Relatório-1ª med.'!#REF!</definedName>
    <definedName name="____TT52">'[1]Relatório-1ª med.'!#REF!</definedName>
    <definedName name="____TT53">'[1]Relatório-1ª med.'!#REF!</definedName>
    <definedName name="____TT54">'[1]Relatório-1ª med.'!#REF!</definedName>
    <definedName name="____TT55">'[1]Relatório-1ª med.'!#REF!</definedName>
    <definedName name="____TT6">'[1]Relatório-1ª med.'!#REF!</definedName>
    <definedName name="____TT60">'[1]Relatório-1ª med.'!#REF!</definedName>
    <definedName name="____TT61">'[1]Relatório-1ª med.'!#REF!</definedName>
    <definedName name="____TT69">'[1]Relatório-1ª med.'!#REF!</definedName>
    <definedName name="____TT7">'[1]Relatório-1ª med.'!#REF!</definedName>
    <definedName name="____TT70">'[1]Relatório-1ª med.'!#REF!</definedName>
    <definedName name="____TT71">'[1]Relatório-1ª med.'!#REF!</definedName>
    <definedName name="____TT74">'[1]Relatório-1ª med.'!#REF!</definedName>
    <definedName name="____TT75">'[1]Relatório-1ª med.'!#REF!</definedName>
    <definedName name="____TT76">'[1]Relatório-1ª med.'!#REF!</definedName>
    <definedName name="____TT77">'[1]Relatório-1ª med.'!#REF!</definedName>
    <definedName name="____TT78">'[1]Relatório-1ª med.'!#REF!</definedName>
    <definedName name="____TT78954">'[1]Relatório-1ª med.'!#REF!</definedName>
    <definedName name="____TT79">'[1]Relatório-1ª med.'!#REF!</definedName>
    <definedName name="____TT94">'[1]Relatório-1ª med.'!#REF!</definedName>
    <definedName name="____TT95">'[1]Relatório-1ª med.'!#REF!</definedName>
    <definedName name="____TT97">'[1]Relatório-1ª med.'!#REF!</definedName>
    <definedName name="___cab1" localSheetId="7">#REF!</definedName>
    <definedName name="___cab1" localSheetId="9">#REF!</definedName>
    <definedName name="___cab1" localSheetId="8">#REF!</definedName>
    <definedName name="___cab1">#REF!</definedName>
    <definedName name="___emp2">'[3]DMT modelo'!$AA$13</definedName>
    <definedName name="___EXT1" localSheetId="7">#REF!</definedName>
    <definedName name="___EXT1" localSheetId="9">#REF!</definedName>
    <definedName name="___EXT1" localSheetId="8">#REF!</definedName>
    <definedName name="___EXT1">#REF!</definedName>
    <definedName name="___ind100" localSheetId="7">#REF!</definedName>
    <definedName name="___ind100" localSheetId="9">#REF!</definedName>
    <definedName name="___ind100" localSheetId="8">#REF!</definedName>
    <definedName name="___ind100">#REF!</definedName>
    <definedName name="___JAZ1" localSheetId="7">#REF!</definedName>
    <definedName name="___JAZ1" localSheetId="9">#REF!</definedName>
    <definedName name="___JAZ1" localSheetId="8">#REF!</definedName>
    <definedName name="___JAZ1">#REF!</definedName>
    <definedName name="___JAZ11" localSheetId="7">#REF!</definedName>
    <definedName name="___JAZ11" localSheetId="9">#REF!</definedName>
    <definedName name="___JAZ11" localSheetId="8">#REF!</definedName>
    <definedName name="___JAZ11">#REF!</definedName>
    <definedName name="___JAZ2" localSheetId="7">#REF!</definedName>
    <definedName name="___JAZ2" localSheetId="9">#REF!</definedName>
    <definedName name="___JAZ2" localSheetId="8">#REF!</definedName>
    <definedName name="___JAZ2">#REF!</definedName>
    <definedName name="___JAZ22" localSheetId="7">#REF!</definedName>
    <definedName name="___JAZ22" localSheetId="9">#REF!</definedName>
    <definedName name="___JAZ22" localSheetId="8">#REF!</definedName>
    <definedName name="___JAZ22">#REF!</definedName>
    <definedName name="___JAZ3" localSheetId="7">#REF!</definedName>
    <definedName name="___JAZ3" localSheetId="9">#REF!</definedName>
    <definedName name="___JAZ3" localSheetId="8">#REF!</definedName>
    <definedName name="___JAZ3">#REF!</definedName>
    <definedName name="___JAZ33" localSheetId="7">#REF!</definedName>
    <definedName name="___JAZ33" localSheetId="9">#REF!</definedName>
    <definedName name="___JAZ33" localSheetId="8">#REF!</definedName>
    <definedName name="___JAZ33">#REF!</definedName>
    <definedName name="___mem2">'[4]Mat Asf'!$H$37</definedName>
    <definedName name="___oac2" localSheetId="7">#REF!</definedName>
    <definedName name="___oac2" localSheetId="9">#REF!</definedName>
    <definedName name="___oac2" localSheetId="8">#REF!</definedName>
    <definedName name="___oac2">#REF!</definedName>
    <definedName name="___RET1" localSheetId="7">#REF!</definedName>
    <definedName name="___RET1" localSheetId="9">#REF!</definedName>
    <definedName name="___RET1" localSheetId="8">#REF!</definedName>
    <definedName name="___RET1">#REF!</definedName>
    <definedName name="___tsd4" localSheetId="7">#REF!</definedName>
    <definedName name="___tsd4" localSheetId="9">#REF!</definedName>
    <definedName name="___tsd4" localSheetId="8">#REF!</definedName>
    <definedName name="___tsd4">#REF!</definedName>
    <definedName name="___TT102" localSheetId="9">'[1]Relatório-1ª med.'!#REF!</definedName>
    <definedName name="___TT102">'[1]Relatório-1ª med.'!#REF!</definedName>
    <definedName name="___TT107" localSheetId="9">'[1]Relatório-1ª med.'!#REF!</definedName>
    <definedName name="___TT107">'[1]Relatório-1ª med.'!#REF!</definedName>
    <definedName name="___TT121" localSheetId="9">'[1]Relatório-1ª med.'!#REF!</definedName>
    <definedName name="___TT121">'[1]Relatório-1ª med.'!#REF!</definedName>
    <definedName name="___TT123" localSheetId="9">'[1]Relatório-1ª med.'!#REF!</definedName>
    <definedName name="___TT123">'[1]Relatório-1ª med.'!#REF!</definedName>
    <definedName name="___TT19">'[1]Relatório-1ª med.'!#REF!</definedName>
    <definedName name="___TT20">'[1]Relatório-1ª med.'!#REF!</definedName>
    <definedName name="___TT21">'[1]Relatório-1ª med.'!#REF!</definedName>
    <definedName name="___TT22">'[1]Relatório-1ª med.'!#REF!</definedName>
    <definedName name="___TT26">'[1]Relatório-1ª med.'!#REF!</definedName>
    <definedName name="___TT27">'[1]Relatório-1ª med.'!#REF!</definedName>
    <definedName name="___TT28">'[1]Relatório-1ª med.'!#REF!</definedName>
    <definedName name="___TT30">'[1]Relatório-1ª med.'!#REF!</definedName>
    <definedName name="___TT31">'[1]Relatório-1ª med.'!#REF!</definedName>
    <definedName name="___TT32">'[1]Relatório-1ª med.'!#REF!</definedName>
    <definedName name="___TT33">'[1]Relatório-1ª med.'!#REF!</definedName>
    <definedName name="___TT34">'[1]Relatório-1ª med.'!#REF!</definedName>
    <definedName name="___TT36">'[1]Relatório-1ª med.'!#REF!</definedName>
    <definedName name="___TT37">'[1]Relatório-1ª med.'!#REF!</definedName>
    <definedName name="___TT38">'[1]Relatório-1ª med.'!#REF!</definedName>
    <definedName name="___TT39">'[1]Relatório-1ª med.'!#REF!</definedName>
    <definedName name="___TT40">'[1]Relatório-1ª med.'!#REF!</definedName>
    <definedName name="___TT5">'[1]Relatório-1ª med.'!#REF!</definedName>
    <definedName name="___TT52">'[1]Relatório-1ª med.'!#REF!</definedName>
    <definedName name="___TT53">'[1]Relatório-1ª med.'!#REF!</definedName>
    <definedName name="___TT54">'[1]Relatório-1ª med.'!#REF!</definedName>
    <definedName name="___TT55">'[1]Relatório-1ª med.'!#REF!</definedName>
    <definedName name="___TT6">'[1]Relatório-1ª med.'!#REF!</definedName>
    <definedName name="___TT60">'[1]Relatório-1ª med.'!#REF!</definedName>
    <definedName name="___TT61">'[1]Relatório-1ª med.'!#REF!</definedName>
    <definedName name="___TT69">'[1]Relatório-1ª med.'!#REF!</definedName>
    <definedName name="___TT7">'[1]Relatório-1ª med.'!#REF!</definedName>
    <definedName name="___TT70">'[1]Relatório-1ª med.'!#REF!</definedName>
    <definedName name="___TT71">'[1]Relatório-1ª med.'!#REF!</definedName>
    <definedName name="___TT74">'[1]Relatório-1ª med.'!#REF!</definedName>
    <definedName name="___TT75">'[1]Relatório-1ª med.'!#REF!</definedName>
    <definedName name="___TT76">'[1]Relatório-1ª med.'!#REF!</definedName>
    <definedName name="___TT77">'[1]Relatório-1ª med.'!#REF!</definedName>
    <definedName name="___TT78">'[1]Relatório-1ª med.'!#REF!</definedName>
    <definedName name="___TT79">'[1]Relatório-1ª med.'!#REF!</definedName>
    <definedName name="___TT94">'[1]Relatório-1ª med.'!#REF!</definedName>
    <definedName name="___TT95">'[1]Relatório-1ª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7">#REF!</definedName>
    <definedName name="__cab1" localSheetId="9">#REF!</definedName>
    <definedName name="__cab1" localSheetId="8">#REF!</definedName>
    <definedName name="__cab1">#REF!</definedName>
    <definedName name="__emp2">'[3]DMT modelo'!$AA$13</definedName>
    <definedName name="__EXT1" localSheetId="7">#REF!</definedName>
    <definedName name="__EXT1" localSheetId="9">#REF!</definedName>
    <definedName name="__EXT1" localSheetId="8">#REF!</definedName>
    <definedName name="__EXT1">#REF!</definedName>
    <definedName name="__ind100" localSheetId="7">#REF!</definedName>
    <definedName name="__ind100" localSheetId="9">#REF!</definedName>
    <definedName name="__ind100" localSheetId="8">#REF!</definedName>
    <definedName name="__ind100">#REF!</definedName>
    <definedName name="__JAZ1" localSheetId="7">#REF!</definedName>
    <definedName name="__JAZ1" localSheetId="9">#REF!</definedName>
    <definedName name="__JAZ1" localSheetId="8">#REF!</definedName>
    <definedName name="__JAZ1">#REF!</definedName>
    <definedName name="__JAZ11" localSheetId="7">#REF!</definedName>
    <definedName name="__JAZ11" localSheetId="9">#REF!</definedName>
    <definedName name="__JAZ11" localSheetId="8">#REF!</definedName>
    <definedName name="__JAZ11">#REF!</definedName>
    <definedName name="__JAZ2" localSheetId="7">#REF!</definedName>
    <definedName name="__JAZ2" localSheetId="9">#REF!</definedName>
    <definedName name="__JAZ2" localSheetId="8">#REF!</definedName>
    <definedName name="__JAZ2">#REF!</definedName>
    <definedName name="__JAZ22" localSheetId="7">#REF!</definedName>
    <definedName name="__JAZ22" localSheetId="9">#REF!</definedName>
    <definedName name="__JAZ22" localSheetId="8">#REF!</definedName>
    <definedName name="__JAZ22">#REF!</definedName>
    <definedName name="__JAZ3" localSheetId="7">#REF!</definedName>
    <definedName name="__JAZ3" localSheetId="9">#REF!</definedName>
    <definedName name="__JAZ3" localSheetId="8">#REF!</definedName>
    <definedName name="__JAZ3">#REF!</definedName>
    <definedName name="__JAZ33" localSheetId="7">#REF!</definedName>
    <definedName name="__JAZ33" localSheetId="9">#REF!</definedName>
    <definedName name="__JAZ33" localSheetId="8">#REF!</definedName>
    <definedName name="__JAZ33">#REF!</definedName>
    <definedName name="__mem2">'[4]Mat Asf'!$H$37</definedName>
    <definedName name="__oac2" localSheetId="7">#REF!</definedName>
    <definedName name="__oac2" localSheetId="9">#REF!</definedName>
    <definedName name="__oac2" localSheetId="8">#REF!</definedName>
    <definedName name="__oac2">#REF!</definedName>
    <definedName name="__RET1" localSheetId="7">#REF!</definedName>
    <definedName name="__RET1" localSheetId="9">#REF!</definedName>
    <definedName name="__RET1" localSheetId="8">#REF!</definedName>
    <definedName name="__RET1">#REF!</definedName>
    <definedName name="__tsd4" localSheetId="7">#REF!</definedName>
    <definedName name="__tsd4" localSheetId="9">#REF!</definedName>
    <definedName name="__tsd4" localSheetId="8">#REF!</definedName>
    <definedName name="__tsd4">#REF!</definedName>
    <definedName name="__TT102" localSheetId="9">'[1]Relatório-1ª med.'!#REF!</definedName>
    <definedName name="__TT102">'[1]Relatório-1ª med.'!#REF!</definedName>
    <definedName name="__TT107" localSheetId="9">'[1]Relatório-1ª med.'!#REF!</definedName>
    <definedName name="__TT107">'[1]Relatório-1ª med.'!#REF!</definedName>
    <definedName name="__TT121" localSheetId="9">'[1]Relatório-1ª med.'!#REF!</definedName>
    <definedName name="__TT121">'[1]Relatório-1ª med.'!#REF!</definedName>
    <definedName name="__TT123" localSheetId="9">'[1]Relatório-1ª med.'!#REF!</definedName>
    <definedName name="__TT123">'[1]Relatório-1ª med.'!#REF!</definedName>
    <definedName name="__TT19">'[1]Relatório-1ª med.'!#REF!</definedName>
    <definedName name="__TT20">'[1]Relatório-1ª med.'!#REF!</definedName>
    <definedName name="__TT21">'[1]Relatório-1ª med.'!#REF!</definedName>
    <definedName name="__TT22">'[1]Relatório-1ª med.'!#REF!</definedName>
    <definedName name="__TT26">'[1]Relatório-1ª med.'!#REF!</definedName>
    <definedName name="__TT27">'[1]Relatório-1ª med.'!#REF!</definedName>
    <definedName name="__TT28">'[1]Relatório-1ª med.'!#REF!</definedName>
    <definedName name="__TT30">'[1]Relatório-1ª med.'!#REF!</definedName>
    <definedName name="__TT31">'[1]Relatório-1ª med.'!#REF!</definedName>
    <definedName name="__TT32">'[1]Relatório-1ª med.'!#REF!</definedName>
    <definedName name="__TT33">'[1]Relatório-1ª med.'!#REF!</definedName>
    <definedName name="__TT34">'[1]Relatório-1ª med.'!#REF!</definedName>
    <definedName name="__TT36">'[1]Relatório-1ª med.'!#REF!</definedName>
    <definedName name="__TT37">'[1]Relatório-1ª med.'!#REF!</definedName>
    <definedName name="__TT38">'[1]Relatório-1ª med.'!#REF!</definedName>
    <definedName name="__TT39">'[1]Relatório-1ª med.'!#REF!</definedName>
    <definedName name="__TT40">'[1]Relatório-1ª med.'!#REF!</definedName>
    <definedName name="__TT5">'[1]Relatório-1ª med.'!#REF!</definedName>
    <definedName name="__TT52">'[1]Relatório-1ª med.'!#REF!</definedName>
    <definedName name="__TT53">'[1]Relatório-1ª med.'!#REF!</definedName>
    <definedName name="__TT54">'[1]Relatório-1ª med.'!#REF!</definedName>
    <definedName name="__TT55">'[1]Relatório-1ª med.'!#REF!</definedName>
    <definedName name="__TT6">'[1]Relatório-1ª med.'!#REF!</definedName>
    <definedName name="__TT60">'[1]Relatório-1ª med.'!#REF!</definedName>
    <definedName name="__TT61">'[1]Relatório-1ª med.'!#REF!</definedName>
    <definedName name="__TT69">'[1]Relatório-1ª med.'!#REF!</definedName>
    <definedName name="__TT7">'[1]Relatório-1ª med.'!#REF!</definedName>
    <definedName name="__TT70">'[1]Relatório-1ª med.'!#REF!</definedName>
    <definedName name="__TT71">'[1]Relatório-1ª med.'!#REF!</definedName>
    <definedName name="__TT74">'[1]Relatório-1ª med.'!#REF!</definedName>
    <definedName name="__TT75">'[1]Relatório-1ª med.'!#REF!</definedName>
    <definedName name="__TT76">'[1]Relatório-1ª med.'!#REF!</definedName>
    <definedName name="__TT77">'[1]Relatório-1ª med.'!#REF!</definedName>
    <definedName name="__TT78">'[1]Relatório-1ª med.'!#REF!</definedName>
    <definedName name="__TT79">'[1]Relatório-1ª med.'!#REF!</definedName>
    <definedName name="__TT94">'[1]Relatório-1ª med.'!#REF!</definedName>
    <definedName name="__TT95">'[1]Relatório-1ª med.'!#REF!</definedName>
    <definedName name="__TT97">'[1]Relatório-1ª med.'!#REF!</definedName>
    <definedName name="__xlfn_SUMIFS">NA()</definedName>
    <definedName name="_cab1" localSheetId="7">#REF!</definedName>
    <definedName name="_cab1" localSheetId="9">#REF!</definedName>
    <definedName name="_cab1" localSheetId="8">#REF!</definedName>
    <definedName name="_cab1">#REF!</definedName>
    <definedName name="_dre2" localSheetId="7">#REF!</definedName>
    <definedName name="_dre2" localSheetId="9">#REF!</definedName>
    <definedName name="_dre2" localSheetId="8">#REF!</definedName>
    <definedName name="_dre2">#REF!</definedName>
    <definedName name="_ELE1" localSheetId="7">#REF!</definedName>
    <definedName name="_ELE1" localSheetId="9">#REF!</definedName>
    <definedName name="_ELE1" localSheetId="8">#REF!</definedName>
    <definedName name="_ELE1">#REF!</definedName>
    <definedName name="_ELE2" localSheetId="7">#REF!</definedName>
    <definedName name="_ELE2" localSheetId="9">#REF!</definedName>
    <definedName name="_ELE2" localSheetId="8">#REF!</definedName>
    <definedName name="_ELE2">#REF!</definedName>
    <definedName name="_ELE3" localSheetId="7">#REF!</definedName>
    <definedName name="_ELE3" localSheetId="9">#REF!</definedName>
    <definedName name="_ELE3" localSheetId="8">#REF!</definedName>
    <definedName name="_ELE3">#REF!</definedName>
    <definedName name="_emp2">'[3]DMT modelo'!$AA$13</definedName>
    <definedName name="_EXT1" localSheetId="7">#REF!</definedName>
    <definedName name="_EXT1" localSheetId="9">#REF!</definedName>
    <definedName name="_EXT1" localSheetId="8">#REF!</definedName>
    <definedName name="_EXT1">#REF!</definedName>
    <definedName name="_xlnm._FilterDatabase" localSheetId="8" hidden="1">'COMP. SPDA '!$A$208:$H$222</definedName>
    <definedName name="_xlnm._FilterDatabase" localSheetId="3" hidden="1">'PLANILHA ORÇAMENTARIA'!$A$9:$H$128</definedName>
    <definedName name="_xlnm._FilterDatabase" localSheetId="14" hidden="1">'quant-elétrico'!$C$1:$C$67</definedName>
    <definedName name="_xlnm._FilterDatabase" hidden="1">[6]Orçamento!$A$13:$H$24</definedName>
    <definedName name="_ind100" localSheetId="7">#REF!</definedName>
    <definedName name="_ind100" localSheetId="9">#REF!</definedName>
    <definedName name="_ind100" localSheetId="8">#REF!</definedName>
    <definedName name="_ind100">#REF!</definedName>
    <definedName name="_JAZ1" localSheetId="7">#REF!</definedName>
    <definedName name="_JAZ1" localSheetId="9">#REF!</definedName>
    <definedName name="_JAZ1" localSheetId="8">#REF!</definedName>
    <definedName name="_JAZ1">#REF!</definedName>
    <definedName name="_JAZ11" localSheetId="7">#REF!</definedName>
    <definedName name="_JAZ11" localSheetId="9">#REF!</definedName>
    <definedName name="_JAZ11" localSheetId="8">#REF!</definedName>
    <definedName name="_JAZ11">#REF!</definedName>
    <definedName name="_JAZ2" localSheetId="7">#REF!</definedName>
    <definedName name="_JAZ2" localSheetId="9">#REF!</definedName>
    <definedName name="_JAZ2" localSheetId="8">#REF!</definedName>
    <definedName name="_JAZ2">#REF!</definedName>
    <definedName name="_JAZ22" localSheetId="7">#REF!</definedName>
    <definedName name="_JAZ22" localSheetId="9">#REF!</definedName>
    <definedName name="_JAZ22" localSheetId="8">#REF!</definedName>
    <definedName name="_JAZ22">#REF!</definedName>
    <definedName name="_JAZ3" localSheetId="7">#REF!</definedName>
    <definedName name="_JAZ3" localSheetId="9">#REF!</definedName>
    <definedName name="_JAZ3" localSheetId="8">#REF!</definedName>
    <definedName name="_JAZ3">#REF!</definedName>
    <definedName name="_JAZ33" localSheetId="7">#REF!</definedName>
    <definedName name="_JAZ33" localSheetId="9">#REF!</definedName>
    <definedName name="_JAZ33" localSheetId="8">#REF!</definedName>
    <definedName name="_JAZ33">#REF!</definedName>
    <definedName name="_mem2">'[4]Mat Asf'!$H$37</definedName>
    <definedName name="_oac2" localSheetId="7">#REF!</definedName>
    <definedName name="_oac2" localSheetId="9">#REF!</definedName>
    <definedName name="_oac2" localSheetId="8">#REF!</definedName>
    <definedName name="_oac2">#REF!</definedName>
    <definedName name="_oae2" localSheetId="7">#REF!</definedName>
    <definedName name="_oae2" localSheetId="9">#REF!</definedName>
    <definedName name="_oae2" localSheetId="8">#REF!</definedName>
    <definedName name="_oae2">#REF!</definedName>
    <definedName name="_oco2" localSheetId="7">#REF!</definedName>
    <definedName name="_oco2" localSheetId="9">#REF!</definedName>
    <definedName name="_oco2" localSheetId="8">#REF!</definedName>
    <definedName name="_oco2">#REF!</definedName>
    <definedName name="_Order1" hidden="1">255</definedName>
    <definedName name="_Order2" hidden="1">255</definedName>
    <definedName name="_pav2" localSheetId="7">#REF!</definedName>
    <definedName name="_pav2" localSheetId="9">#REF!</definedName>
    <definedName name="_pav2" localSheetId="8">#REF!</definedName>
    <definedName name="_pav2">#REF!</definedName>
    <definedName name="_RET1" localSheetId="7">#REF!</definedName>
    <definedName name="_RET1" localSheetId="9">#REF!</definedName>
    <definedName name="_RET1" localSheetId="8">#REF!</definedName>
    <definedName name="_RET1">#REF!</definedName>
    <definedName name="_sub1" localSheetId="7">#REF!</definedName>
    <definedName name="_sub1" localSheetId="9">#REF!</definedName>
    <definedName name="_sub1" localSheetId="8">#REF!</definedName>
    <definedName name="_sub1">#REF!</definedName>
    <definedName name="_sub2" localSheetId="7">#REF!</definedName>
    <definedName name="_sub2" localSheetId="9">#REF!</definedName>
    <definedName name="_sub2" localSheetId="8">#REF!</definedName>
    <definedName name="_sub2">#REF!</definedName>
    <definedName name="_sub3" localSheetId="7">#REF!</definedName>
    <definedName name="_sub3" localSheetId="9">#REF!</definedName>
    <definedName name="_sub3" localSheetId="8">#REF!</definedName>
    <definedName name="_sub3">#REF!</definedName>
    <definedName name="_sub4" localSheetId="7">#REF!</definedName>
    <definedName name="_sub4" localSheetId="9">#REF!</definedName>
    <definedName name="_sub4" localSheetId="8">#REF!</definedName>
    <definedName name="_sub4">#REF!</definedName>
    <definedName name="_ter2" localSheetId="7">#REF!</definedName>
    <definedName name="_ter2" localSheetId="9">#REF!</definedName>
    <definedName name="_ter2" localSheetId="8">#REF!</definedName>
    <definedName name="_ter2">#REF!</definedName>
    <definedName name="_tot1" localSheetId="7">#REF!</definedName>
    <definedName name="_tot1" localSheetId="9">#REF!</definedName>
    <definedName name="_tot1" localSheetId="8">#REF!</definedName>
    <definedName name="_tot1">#REF!</definedName>
    <definedName name="_tot2" localSheetId="7">#REF!</definedName>
    <definedName name="_tot2" localSheetId="9">#REF!</definedName>
    <definedName name="_tot2" localSheetId="8">#REF!</definedName>
    <definedName name="_tot2">#REF!</definedName>
    <definedName name="_tot3" localSheetId="7">#REF!</definedName>
    <definedName name="_tot3" localSheetId="9">#REF!</definedName>
    <definedName name="_tot3" localSheetId="8">#REF!</definedName>
    <definedName name="_tot3">#REF!</definedName>
    <definedName name="_tot4" localSheetId="7">#REF!</definedName>
    <definedName name="_tot4" localSheetId="9">#REF!</definedName>
    <definedName name="_tot4" localSheetId="8">#REF!</definedName>
    <definedName name="_tot4">#REF!</definedName>
    <definedName name="_tot5" localSheetId="7">#REF!</definedName>
    <definedName name="_tot5" localSheetId="9">#REF!</definedName>
    <definedName name="_tot5" localSheetId="8">#REF!</definedName>
    <definedName name="_tot5">#REF!</definedName>
    <definedName name="_tot6" localSheetId="7">#REF!</definedName>
    <definedName name="_tot6" localSheetId="9">#REF!</definedName>
    <definedName name="_tot6" localSheetId="8">#REF!</definedName>
    <definedName name="_tot6">#REF!</definedName>
    <definedName name="_tot7" localSheetId="7">#REF!</definedName>
    <definedName name="_tot7" localSheetId="9">#REF!</definedName>
    <definedName name="_tot7" localSheetId="8">#REF!</definedName>
    <definedName name="_tot7">#REF!</definedName>
    <definedName name="_tot8" localSheetId="7">#REF!</definedName>
    <definedName name="_tot8" localSheetId="9">#REF!</definedName>
    <definedName name="_tot8" localSheetId="8">#REF!</definedName>
    <definedName name="_tot8">#REF!</definedName>
    <definedName name="_tsd4" localSheetId="7">#REF!</definedName>
    <definedName name="_tsd4" localSheetId="9">#REF!</definedName>
    <definedName name="_tsd4" localSheetId="8">#REF!</definedName>
    <definedName name="_tsd4">#REF!</definedName>
    <definedName name="_TT102">'[1]Relatório-1ª med.'!#REF!</definedName>
    <definedName name="_TT107">'[1]Relatório-1ª med.'!#REF!</definedName>
    <definedName name="_TT121">'[1]Relatório-1ª med.'!#REF!</definedName>
    <definedName name="_TT123">'[1]Relatório-1ª med.'!#REF!</definedName>
    <definedName name="_TT18">[7]RELATÓRIO!#REF!</definedName>
    <definedName name="_TT19">'[1]Relatório-1ª med.'!#REF!</definedName>
    <definedName name="_TT20">'[1]Relatório-1ª med.'!#REF!</definedName>
    <definedName name="_TT21">'[1]Relatório-1ª med.'!#REF!</definedName>
    <definedName name="_TT22">'[1]Relatório-1ª med.'!#REF!</definedName>
    <definedName name="_TT26">'[1]Relatório-1ª med.'!#REF!</definedName>
    <definedName name="_TT27">'[1]Relatório-1ª med.'!#REF!</definedName>
    <definedName name="_TT28">'[1]Relatório-1ª med.'!#REF!</definedName>
    <definedName name="_TT30">'[1]Relatório-1ª med.'!#REF!</definedName>
    <definedName name="_TT31">'[1]Relatório-1ª med.'!#REF!</definedName>
    <definedName name="_TT32">'[1]Relatório-1ª med.'!#REF!</definedName>
    <definedName name="_TT33">'[1]Relatório-1ª med.'!#REF!</definedName>
    <definedName name="_TT34">'[1]Relatório-1ª med.'!#REF!</definedName>
    <definedName name="_TT36">'[1]Relatório-1ª med.'!#REF!</definedName>
    <definedName name="_TT37">'[1]Relatório-1ª med.'!#REF!</definedName>
    <definedName name="_TT38">'[1]Relatório-1ª med.'!#REF!</definedName>
    <definedName name="_TT39">'[1]Relatório-1ª med.'!#REF!</definedName>
    <definedName name="_TT40">'[1]Relatório-1ª med.'!#REF!</definedName>
    <definedName name="_TT5">'[1]Relatório-1ª med.'!#REF!</definedName>
    <definedName name="_TT52">'[1]Relatório-1ª med.'!#REF!</definedName>
    <definedName name="_TT53">'[1]Relatório-1ª med.'!#REF!</definedName>
    <definedName name="_TT54">'[1]Relatório-1ª med.'!#REF!</definedName>
    <definedName name="_TT55">'[1]Relatório-1ª med.'!#REF!</definedName>
    <definedName name="_TT6">'[1]Relatório-1ª med.'!#REF!</definedName>
    <definedName name="_TT60">'[1]Relatório-1ª med.'!#REF!</definedName>
    <definedName name="_TT61">'[1]Relatório-1ª med.'!#REF!</definedName>
    <definedName name="_TT69">'[1]Relatório-1ª med.'!#REF!</definedName>
    <definedName name="_TT7">'[1]Relatório-1ª med.'!#REF!</definedName>
    <definedName name="_TT70">'[1]Relatório-1ª med.'!#REF!</definedName>
    <definedName name="_TT71">'[1]Relatório-1ª med.'!#REF!</definedName>
    <definedName name="_TT74">'[1]Relatório-1ª med.'!#REF!</definedName>
    <definedName name="_TT75">'[1]Relatório-1ª med.'!#REF!</definedName>
    <definedName name="_TT76">'[1]Relatório-1ª med.'!#REF!</definedName>
    <definedName name="_TT77">'[1]Relatório-1ª med.'!#REF!</definedName>
    <definedName name="_TT78">'[1]Relatório-1ª med.'!#REF!</definedName>
    <definedName name="_TT79">'[1]Relatório-1ª med.'!#REF!</definedName>
    <definedName name="_TT94">'[1]Relatório-1ª med.'!#REF!</definedName>
    <definedName name="_TT95">'[1]Relatório-1ª med.'!#REF!</definedName>
    <definedName name="_TT97">'[1]Relatório-1ª med.'!#REF!</definedName>
    <definedName name="a" localSheetId="7" hidden="1">{#N/A,#N/A,FALSE,"MO (2)"}</definedName>
    <definedName name="a" localSheetId="6" hidden="1">{#N/A,#N/A,FALSE,"MO (2)"}</definedName>
    <definedName name="a" localSheetId="9" hidden="1">{#N/A,#N/A,FALSE,"MO (2)"}</definedName>
    <definedName name="a" localSheetId="8" hidden="1">{#N/A,#N/A,FALSE,"MO (2)"}</definedName>
    <definedName name="A" localSheetId="12">[8]ELÉTRICA!#REF!</definedName>
    <definedName name="A">[8]ELÉTRICA!#REF!</definedName>
    <definedName name="AA" localSheetId="7">#REF!</definedName>
    <definedName name="AA" localSheetId="9">#REF!</definedName>
    <definedName name="AA" localSheetId="8">#REF!</definedName>
    <definedName name="AA">#REF!</definedName>
    <definedName name="AAAA" localSheetId="9">'[1]Relatório-1ª med.'!#REF!</definedName>
    <definedName name="AAAA">'[1]Relatório-1ª med.'!#REF!</definedName>
    <definedName name="AAAAA" localSheetId="7">#REF!</definedName>
    <definedName name="AAAAA" localSheetId="9">#REF!</definedName>
    <definedName name="AAAAA" localSheetId="8">#REF!</definedName>
    <definedName name="AAAAA">#REF!</definedName>
    <definedName name="ABCD23" localSheetId="9">'[1]Relatório-1ª med.'!#REF!</definedName>
    <definedName name="ABCD23">'[1]Relatório-1ª med.'!#REF!</definedName>
    <definedName name="ACADGDDJSDJSBDJSJFSF" localSheetId="9">'[1]Relatório-1ª med.'!#REF!</definedName>
    <definedName name="ACADGDDJSDJSBDJSJFSF">'[1]Relatório-1ª med.'!#REF!</definedName>
    <definedName name="AÇO_CA_50" localSheetId="7">#REF!</definedName>
    <definedName name="AÇO_CA_50" localSheetId="9">#REF!</definedName>
    <definedName name="AÇO_CA_50" localSheetId="8">#REF!</definedName>
    <definedName name="AÇO_CA_50">#REF!</definedName>
    <definedName name="aditivo" localSheetId="7">#REF!</definedName>
    <definedName name="aditivo" localSheetId="9">#REF!</definedName>
    <definedName name="aditivo" localSheetId="8">#REF!</definedName>
    <definedName name="aditivo">#REF!</definedName>
    <definedName name="AGREGADO" localSheetId="7">#REF!</definedName>
    <definedName name="AGREGADO" localSheetId="9">#REF!</definedName>
    <definedName name="AGREGADO" localSheetId="8">#REF!</definedName>
    <definedName name="AGREGADO">#REF!</definedName>
    <definedName name="AJ" localSheetId="7">#REF!</definedName>
    <definedName name="AJ" localSheetId="9">#REF!</definedName>
    <definedName name="AJ" localSheetId="8">#REF!</definedName>
    <definedName name="AJ">#REF!</definedName>
    <definedName name="AJA" localSheetId="7">#REF!</definedName>
    <definedName name="AJA" localSheetId="9">#REF!</definedName>
    <definedName name="AJA" localSheetId="8">#REF!</definedName>
    <definedName name="AJA">#REF!</definedName>
    <definedName name="Alvenaria_vedação" localSheetId="7">#REF!</definedName>
    <definedName name="Alvenaria_vedação" localSheetId="9">#REF!</definedName>
    <definedName name="Alvenaria_vedação" localSheetId="8">#REF!</definedName>
    <definedName name="Alvenaria_vedação">#REF!</definedName>
    <definedName name="AND" localSheetId="7">#REF!</definedName>
    <definedName name="AND" localSheetId="9">#REF!</definedName>
    <definedName name="AND" localSheetId="8">#REF!</definedName>
    <definedName name="AND">#REF!</definedName>
    <definedName name="ant" localSheetId="7" hidden="1">{#N/A,#N/A,FALSE,"MO (2)"}</definedName>
    <definedName name="ant" localSheetId="9" hidden="1">{#N/A,#N/A,FALSE,"MO (2)"}</definedName>
    <definedName name="ant" localSheetId="8" hidden="1">{#N/A,#N/A,FALSE,"MO (2)"}</definedName>
    <definedName name="ant" hidden="1">{#N/A,#N/A,FALSE,"MO (2)"}</definedName>
    <definedName name="ant_1" localSheetId="7" hidden="1">{#N/A,#N/A,FALSE,"MO (2)"}</definedName>
    <definedName name="ant_1" localSheetId="9" hidden="1">{#N/A,#N/A,FALSE,"MO (2)"}</definedName>
    <definedName name="ant_1" localSheetId="8" hidden="1">{#N/A,#N/A,FALSE,"MO (2)"}</definedName>
    <definedName name="ant_1" hidden="1">{#N/A,#N/A,FALSE,"MO (2)"}</definedName>
    <definedName name="area_base" localSheetId="7">#REF!</definedName>
    <definedName name="area_base" localSheetId="9">#REF!</definedName>
    <definedName name="area_base" localSheetId="8">#REF!</definedName>
    <definedName name="area_base">#REF!</definedName>
    <definedName name="_xlnm.Extract" localSheetId="7">#REF!</definedName>
    <definedName name="_xlnm.Extract" localSheetId="9">#REF!</definedName>
    <definedName name="_xlnm.Extract" localSheetId="8">#REF!</definedName>
    <definedName name="_xlnm.Extract">#REF!</definedName>
    <definedName name="_xlnm.Print_Area" localSheetId="7">'COMP. ELETRICO '!$B$1:$G$1580</definedName>
    <definedName name="_xlnm.Print_Area" localSheetId="6">'COMP. HIDRO'!$B$1:$G$1041</definedName>
    <definedName name="_xlnm.Print_Area" localSheetId="9">'COMP. INC'!$B$1:$G$453</definedName>
    <definedName name="_xlnm.Print_Area" localSheetId="8">'COMP. SPDA '!$B$1:$G$872</definedName>
    <definedName name="_xlnm.Print_Area" localSheetId="5">'CPU-ARQ'!$A$1:$H$158</definedName>
    <definedName name="_xlnm.Print_Area" localSheetId="4">CRONOGRAMA!$A$1:$P$69</definedName>
    <definedName name="_xlnm.Print_Area" localSheetId="3">'PLANILHA ORÇAMENTARIA'!$A$1:$H$559</definedName>
    <definedName name="_xlnm.Print_Area" localSheetId="12">'quant-arq'!$A$1:$C$150</definedName>
    <definedName name="_xlnm.Print_Area" localSheetId="17">'quant-est_bloco_escolar'!$A$1:$K$63</definedName>
    <definedName name="_xlnm.Print_Area" localSheetId="16">'quant-GLP'!$A$1:$E$18</definedName>
    <definedName name="_xlnm.Print_Area" localSheetId="10">'QUANTITATIVOS ARQ'!$A$1:$H$140</definedName>
    <definedName name="_xlnm.Print_Area" localSheetId="0">RESUMO!$A$1:$D$63</definedName>
    <definedName name="_xlnm.Print_Area">#REF!</definedName>
    <definedName name="AREA_IMPRI" localSheetId="7">#REF!</definedName>
    <definedName name="AREA_IMPRI" localSheetId="9">#REF!</definedName>
    <definedName name="AREA_IMPRI" localSheetId="8">#REF!</definedName>
    <definedName name="AREA_IMPRI">#REF!</definedName>
    <definedName name="area_sub_base" localSheetId="7">#REF!</definedName>
    <definedName name="area_sub_base" localSheetId="9">#REF!</definedName>
    <definedName name="area_sub_base" localSheetId="8">#REF!</definedName>
    <definedName name="area_sub_base">#REF!</definedName>
    <definedName name="ARGAMASSA10">'[9]QUADRO 08 - COMPOSIÇÕES'!$H$715</definedName>
    <definedName name="ARGAMASSA10S">'[9]QUADRO 08 - COMPOSIÇÕES'!$H$713</definedName>
    <definedName name="as" localSheetId="7" hidden="1">{#N/A,#N/A,FALSE,"MO (2)"}</definedName>
    <definedName name="as" localSheetId="9" hidden="1">{#N/A,#N/A,FALSE,"MO (2)"}</definedName>
    <definedName name="as" localSheetId="8" hidden="1">{#N/A,#N/A,FALSE,"MO (2)"}</definedName>
    <definedName name="as" hidden="1">{#N/A,#N/A,FALSE,"MO (2)"}</definedName>
    <definedName name="ASSEN_TUBO_EMISS" localSheetId="7">#REF!</definedName>
    <definedName name="ASSEN_TUBO_EMISS" localSheetId="9">#REF!</definedName>
    <definedName name="ASSEN_TUBO_EMISS" localSheetId="8">#REF!</definedName>
    <definedName name="ASSEN_TUBO_EMISS">#REF!</definedName>
    <definedName name="ASSEN_TUBO_EMISS2" localSheetId="7">#REF!</definedName>
    <definedName name="ASSEN_TUBO_EMISS2" localSheetId="9">#REF!</definedName>
    <definedName name="ASSEN_TUBO_EMISS2" localSheetId="8">#REF!</definedName>
    <definedName name="ASSEN_TUBO_EMISS2">#REF!</definedName>
    <definedName name="ASSENT_EMISS3_S" localSheetId="7">#REF!</definedName>
    <definedName name="ASSENT_EMISS3_S" localSheetId="9">#REF!</definedName>
    <definedName name="ASSENT_EMISS3_S" localSheetId="8">#REF!</definedName>
    <definedName name="ASSENT_EMISS3_S">#REF!</definedName>
    <definedName name="ASSENT_TUBO" localSheetId="7">#REF!</definedName>
    <definedName name="ASSENT_TUBO" localSheetId="9">#REF!</definedName>
    <definedName name="ASSENT_TUBO" localSheetId="8">#REF!</definedName>
    <definedName name="ASSENT_TUBO">#REF!</definedName>
    <definedName name="bacia16" localSheetId="7">#REF!</definedName>
    <definedName name="bacia16" localSheetId="9">#REF!</definedName>
    <definedName name="bacia16" localSheetId="8">#REF!</definedName>
    <definedName name="bacia16">#REF!</definedName>
    <definedName name="_xlnm.Database" localSheetId="7">#REF!</definedName>
    <definedName name="_xlnm.Database" localSheetId="9">#REF!</definedName>
    <definedName name="_xlnm.Database" localSheetId="8">#REF!</definedName>
    <definedName name="_xlnm.Database">#REF!</definedName>
    <definedName name="BDI" localSheetId="7">#REF!</definedName>
    <definedName name="BDI" localSheetId="6">#REF!</definedName>
    <definedName name="BDI" localSheetId="9">#REF!</definedName>
    <definedName name="BDI" localSheetId="8">#REF!</definedName>
    <definedName name="BDI">'[8]estimativa de custo IRMA DULCE'!$I$7</definedName>
    <definedName name="BL_ANC_EMISS3_S" localSheetId="7">#REF!</definedName>
    <definedName name="BL_ANC_EMISS3_S" localSheetId="9">#REF!</definedName>
    <definedName name="BL_ANC_EMISS3_S" localSheetId="8">#REF!</definedName>
    <definedName name="BL_ANC_EMISS3_S">#REF!</definedName>
    <definedName name="BL_ANCO_EMISS2" localSheetId="7">#REF!</definedName>
    <definedName name="BL_ANCO_EMISS2" localSheetId="9">#REF!</definedName>
    <definedName name="BL_ANCO_EMISS2" localSheetId="8">#REF!</definedName>
    <definedName name="BL_ANCO_EMISS2">#REF!</definedName>
    <definedName name="BLOCO_ANCOR_EMISS" localSheetId="7">#REF!</definedName>
    <definedName name="BLOCO_ANCOR_EMISS" localSheetId="9">#REF!</definedName>
    <definedName name="BLOCO_ANCOR_EMISS" localSheetId="8">#REF!</definedName>
    <definedName name="BLOCO_ANCOR_EMISS">#REF!</definedName>
    <definedName name="BONI" localSheetId="7">#REF!</definedName>
    <definedName name="BONI" localSheetId="9">#REF!</definedName>
    <definedName name="BONI" localSheetId="8">#REF!</definedName>
    <definedName name="BONI">#REF!</definedName>
    <definedName name="bueiro" localSheetId="7" hidden="1">{#N/A,#N/A,FALSE,"MO (2)"}</definedName>
    <definedName name="bueiro" localSheetId="9" hidden="1">{#N/A,#N/A,FALSE,"MO (2)"}</definedName>
    <definedName name="bueiro" localSheetId="8" hidden="1">{#N/A,#N/A,FALSE,"MO (2)"}</definedName>
    <definedName name="bueiro" hidden="1">{#N/A,#N/A,FALSE,"MO (2)"}</definedName>
    <definedName name="c.drena" localSheetId="7">#REF!</definedName>
    <definedName name="c.drena" localSheetId="9">#REF!</definedName>
    <definedName name="c.drena" localSheetId="8">#REF!</definedName>
    <definedName name="c.drena">#REF!</definedName>
    <definedName name="cab" localSheetId="7">#REF!</definedName>
    <definedName name="cab" localSheetId="9">#REF!</definedName>
    <definedName name="cab" localSheetId="8">#REF!</definedName>
    <definedName name="cab">#REF!</definedName>
    <definedName name="CAB_ATERRO" localSheetId="7">#REF!</definedName>
    <definedName name="CAB_ATERRO" localSheetId="9">#REF!</definedName>
    <definedName name="CAB_ATERRO" localSheetId="8">#REF!</definedName>
    <definedName name="CAB_ATERRO">#REF!</definedName>
    <definedName name="cab_cortes" localSheetId="7">#REF!</definedName>
    <definedName name="cab_cortes" localSheetId="9">#REF!</definedName>
    <definedName name="cab_cortes" localSheetId="8">#REF!</definedName>
    <definedName name="cab_cortes">#REF!</definedName>
    <definedName name="cab_dmt" localSheetId="7">#REF!</definedName>
    <definedName name="cab_dmt" localSheetId="9">#REF!</definedName>
    <definedName name="cab_dmt" localSheetId="8">#REF!</definedName>
    <definedName name="cab_dmt">#REF!</definedName>
    <definedName name="cab_limpeza" localSheetId="7">#REF!</definedName>
    <definedName name="cab_limpeza" localSheetId="9">#REF!</definedName>
    <definedName name="cab_limpeza" localSheetId="8">#REF!</definedName>
    <definedName name="cab_limpeza">#REF!</definedName>
    <definedName name="CAB_PLANO" localSheetId="7">#REF!</definedName>
    <definedName name="CAB_PLANO" localSheetId="9">#REF!</definedName>
    <definedName name="CAB_PLANO" localSheetId="8">#REF!</definedName>
    <definedName name="CAB_PLANO">#REF!</definedName>
    <definedName name="cab_pmf" localSheetId="7">#REF!</definedName>
    <definedName name="cab_pmf" localSheetId="9">#REF!</definedName>
    <definedName name="cab_pmf" localSheetId="8">#REF!</definedName>
    <definedName name="cab_pmf">#REF!</definedName>
    <definedName name="cabeca" localSheetId="7">#REF!</definedName>
    <definedName name="cabeca" localSheetId="9">#REF!</definedName>
    <definedName name="cabeca" localSheetId="8">#REF!</definedName>
    <definedName name="cabeca">#REF!</definedName>
    <definedName name="CABEÇA" localSheetId="7">#REF!</definedName>
    <definedName name="CABEÇA" localSheetId="9">#REF!</definedName>
    <definedName name="CABEÇA" localSheetId="8">#REF!</definedName>
    <definedName name="CABEÇA">#REF!</definedName>
    <definedName name="cabeca1" localSheetId="7">#REF!</definedName>
    <definedName name="cabeca1" localSheetId="9">#REF!</definedName>
    <definedName name="cabeca1" localSheetId="8">#REF!</definedName>
    <definedName name="cabeca1">#REF!</definedName>
    <definedName name="cabeçalho" localSheetId="7">#REF!</definedName>
    <definedName name="cabeçalho" localSheetId="9">#REF!</definedName>
    <definedName name="cabeçalho" localSheetId="8">#REF!</definedName>
    <definedName name="cabeçalho">#REF!</definedName>
    <definedName name="cabeçalho1" localSheetId="7">#REF!</definedName>
    <definedName name="cabeçalho1" localSheetId="9">#REF!</definedName>
    <definedName name="cabeçalho1" localSheetId="8">#REF!</definedName>
    <definedName name="cabeçalho1">#REF!</definedName>
    <definedName name="cabmeio" localSheetId="7">#REF!</definedName>
    <definedName name="cabmeio" localSheetId="9">#REF!</definedName>
    <definedName name="cabmeio" localSheetId="8">#REF!</definedName>
    <definedName name="cabmeio">#REF!</definedName>
    <definedName name="CAD_EMISS3_S" localSheetId="7">#REF!</definedName>
    <definedName name="CAD_EMISS3_S" localSheetId="9">#REF!</definedName>
    <definedName name="CAD_EMISS3_S" localSheetId="8">#REF!</definedName>
    <definedName name="CAD_EMISS3_S">#REF!</definedName>
    <definedName name="CADASTRO" localSheetId="7">#REF!</definedName>
    <definedName name="CADASTRO" localSheetId="9">#REF!</definedName>
    <definedName name="CADASTRO" localSheetId="8">#REF!</definedName>
    <definedName name="CADASTRO">#REF!</definedName>
    <definedName name="CADASTRO_EMISS" localSheetId="7">#REF!</definedName>
    <definedName name="CADASTRO_EMISS" localSheetId="9">#REF!</definedName>
    <definedName name="CADASTRO_EMISS" localSheetId="8">#REF!</definedName>
    <definedName name="CADASTRO_EMISS">#REF!</definedName>
    <definedName name="CADASTRO_EMISS2" localSheetId="7">#REF!</definedName>
    <definedName name="CADASTRO_EMISS2" localSheetId="9">#REF!</definedName>
    <definedName name="CADASTRO_EMISS2" localSheetId="8">#REF!</definedName>
    <definedName name="CADASTRO_EMISS2">#REF!</definedName>
    <definedName name="CADASTRO_REDE_COL" localSheetId="7">#REF!</definedName>
    <definedName name="CADASTRO_REDE_COL" localSheetId="9">#REF!</definedName>
    <definedName name="CADASTRO_REDE_COL" localSheetId="8">#REF!</definedName>
    <definedName name="CADASTRO_REDE_COL">#REF!</definedName>
    <definedName name="caixa">'[2]RESUMO-DVOP'!$C$36</definedName>
    <definedName name="CAIXAS" localSheetId="7">#REF!</definedName>
    <definedName name="CAIXAS" localSheetId="9">#REF!</definedName>
    <definedName name="CAIXAS" localSheetId="8">#REF!</definedName>
    <definedName name="CAIXAS">#REF!</definedName>
    <definedName name="CAIXAS_EMISS3_S" localSheetId="7">#REF!</definedName>
    <definedName name="CAIXAS_EMISS3_S" localSheetId="9">#REF!</definedName>
    <definedName name="CAIXAS_EMISS3_S" localSheetId="8">#REF!</definedName>
    <definedName name="CAIXAS_EMISS3_S">#REF!</definedName>
    <definedName name="Camada_brita" localSheetId="7">#REF!</definedName>
    <definedName name="Camada_brita" localSheetId="9">#REF!</definedName>
    <definedName name="Camada_brita" localSheetId="8">#REF!</definedName>
    <definedName name="Camada_brita">#REF!</definedName>
    <definedName name="Camada_impermeabilizadora" localSheetId="7">#REF!</definedName>
    <definedName name="Camada_impermeabilizadora" localSheetId="9">#REF!</definedName>
    <definedName name="Camada_impermeabilizadora" localSheetId="8">#REF!</definedName>
    <definedName name="Camada_impermeabilizadora">#REF!</definedName>
    <definedName name="CAMPANARIO">'[10]UTR 2'!#REF!</definedName>
    <definedName name="CANTEIRO_DE_OBRAS">[11]CANT_OBRAS!$H$8</definedName>
    <definedName name="CANTEIRO_OBRAS" localSheetId="7">#REF!</definedName>
    <definedName name="CANTEIRO_OBRAS" localSheetId="9">#REF!</definedName>
    <definedName name="CANTEIRO_OBRAS" localSheetId="8">#REF!</definedName>
    <definedName name="CANTEIRO_OBRAS">#REF!</definedName>
    <definedName name="cap">[2]RELATÓRIO!$U$31</definedName>
    <definedName name="cap_20" localSheetId="7">#REF!</definedName>
    <definedName name="cap_20" localSheetId="9">#REF!</definedName>
    <definedName name="cap_20" localSheetId="8">#REF!</definedName>
    <definedName name="cap_20">#REF!</definedName>
    <definedName name="cbuq" localSheetId="7">#REF!</definedName>
    <definedName name="cbuq" localSheetId="9">#REF!</definedName>
    <definedName name="cbuq" localSheetId="8">#REF!</definedName>
    <definedName name="cbuq">#REF!</definedName>
    <definedName name="cesar" localSheetId="7">#REF!</definedName>
    <definedName name="cesar" localSheetId="9">#REF!</definedName>
    <definedName name="cesar" localSheetId="8">#REF!</definedName>
    <definedName name="cesar">#REF!</definedName>
    <definedName name="Chapisco" localSheetId="7">#REF!</definedName>
    <definedName name="Chapisco" localSheetId="9">#REF!</definedName>
    <definedName name="Chapisco" localSheetId="8">#REF!</definedName>
    <definedName name="Chapisco">#REF!</definedName>
    <definedName name="CM_30" localSheetId="7">#REF!</definedName>
    <definedName name="CM_30" localSheetId="9">#REF!</definedName>
    <definedName name="CM_30" localSheetId="8">#REF!</definedName>
    <definedName name="CM_30">#REF!</definedName>
    <definedName name="Cobertura" localSheetId="7">#REF!</definedName>
    <definedName name="Cobertura" localSheetId="9">#REF!</definedName>
    <definedName name="Cobertura" localSheetId="8">#REF!</definedName>
    <definedName name="Cobertura">#REF!</definedName>
    <definedName name="Cobertura_canal" localSheetId="7">#REF!</definedName>
    <definedName name="Cobertura_canal" localSheetId="9">#REF!</definedName>
    <definedName name="Cobertura_canal" localSheetId="8">#REF!</definedName>
    <definedName name="Cobertura_canal">#REF!</definedName>
    <definedName name="Colchão" localSheetId="7">#REF!</definedName>
    <definedName name="Colchão" localSheetId="9">#REF!</definedName>
    <definedName name="Colchão" localSheetId="8">#REF!</definedName>
    <definedName name="Colchão">#REF!</definedName>
    <definedName name="comp_não">comp_nãodes!$C$16</definedName>
    <definedName name="comp_nãodes">comp_nãodes!$A$1:$D$7052</definedName>
    <definedName name="comp_nãodesonerada">[12]comp_nãodesonerada!$A$1:$D$6432</definedName>
    <definedName name="COMPOSICAO133" localSheetId="12">[8]ELÉTRICA!#REF!</definedName>
    <definedName name="COMPOSICAO133">[8]ELÉTRICA!#REF!</definedName>
    <definedName name="COMPOSICAOC138" localSheetId="12">[8]INFRA!#REF!</definedName>
    <definedName name="COMPOSICAOC138">[8]INFRA!#REF!</definedName>
    <definedName name="COMPOSICAOE131" localSheetId="12">[8]ELÉTRICA!#REF!</definedName>
    <definedName name="COMPOSICAOE131">[8]ELÉTRICA!#REF!</definedName>
    <definedName name="COMPOSICAOE132" localSheetId="12">[8]ELÉTRICA!#REF!</definedName>
    <definedName name="COMPOSICAOE132">[8]ELÉTRICA!#REF!</definedName>
    <definedName name="COMPOSICAOE133" localSheetId="12">[8]ELÉTRICA!#REF!</definedName>
    <definedName name="COMPOSICAOE133">[8]ELÉTRICA!#REF!</definedName>
    <definedName name="COMPOSICAOE134" localSheetId="12">[8]ELÉTRICA!#REF!</definedName>
    <definedName name="COMPOSICAOE134">[8]ELÉTRICA!#REF!</definedName>
    <definedName name="COMPOSICAOE136">[8]ELÉTRICA!$F$25</definedName>
    <definedName name="COMPOSICAOE137" localSheetId="12">[8]ELÉTRICA!#REF!</definedName>
    <definedName name="COMPOSICAOE137">[8]ELÉTRICA!#REF!</definedName>
    <definedName name="COMPOSICAOE139" localSheetId="12">[8]ELÉTRICA!#REF!</definedName>
    <definedName name="COMPOSICAOE139">[8]ELÉTRICA!#REF!</definedName>
    <definedName name="COMPOSICAOE140" localSheetId="12">[8]ELÉTRICA!#REF!</definedName>
    <definedName name="COMPOSICAOE140">[8]ELÉTRICA!#REF!</definedName>
    <definedName name="COMPOSICAOE141" localSheetId="12">[8]ELÉTRICA!#REF!</definedName>
    <definedName name="COMPOSICAOE141">[8]ELÉTRICA!#REF!</definedName>
    <definedName name="COMPOSICAOE142" localSheetId="12">[8]ELÉTRICA!#REF!</definedName>
    <definedName name="COMPOSICAOE142">[8]ELÉTRICA!#REF!</definedName>
    <definedName name="COMPOSICAOE143" localSheetId="12">[8]ELÉTRICA!#REF!</definedName>
    <definedName name="COMPOSICAOE143">[8]ELÉTRICA!#REF!</definedName>
    <definedName name="COMPOSICAOE144" localSheetId="12">[8]ELÉTRICA!#REF!</definedName>
    <definedName name="COMPOSICAOE144">[8]ELÉTRICA!#REF!</definedName>
    <definedName name="COMPOSICAOE145" localSheetId="12">[8]ELÉTRICA!#REF!</definedName>
    <definedName name="COMPOSICAOE145">[8]ELÉTRICA!#REF!</definedName>
    <definedName name="COMPOSICAOE146" localSheetId="12">[8]ELÉTRICA!#REF!</definedName>
    <definedName name="COMPOSICAOE146">[8]ELÉTRICA!#REF!</definedName>
    <definedName name="COMPOSICAOE147" localSheetId="12">[8]ELÉTRICA!#REF!</definedName>
    <definedName name="COMPOSICAOE147">[8]ELÉTRICA!#REF!</definedName>
    <definedName name="COMPOSICAOE148" localSheetId="12">[8]ELÉTRICA!#REF!</definedName>
    <definedName name="COMPOSICAOE148">[8]ELÉTRICA!#REF!</definedName>
    <definedName name="COMPOSICAOE149" localSheetId="12">[8]ELÉTRICA!#REF!</definedName>
    <definedName name="COMPOSICAOE149">[8]ELÉTRICA!#REF!</definedName>
    <definedName name="COMPOSICAOE150" localSheetId="12">[8]ELÉTRICA!#REF!</definedName>
    <definedName name="COMPOSICAOE150">[8]ELÉTRICA!#REF!</definedName>
    <definedName name="COMPOSICAOE151" localSheetId="12">[8]ELÉTRICA!#REF!</definedName>
    <definedName name="COMPOSICAOE151">[8]ELÉTRICA!#REF!</definedName>
    <definedName name="COMPOSICAOE152" localSheetId="12">[8]ELÉTRICA!#REF!</definedName>
    <definedName name="COMPOSICAOE152">[8]ELÉTRICA!#REF!</definedName>
    <definedName name="COMPOSICAOE154" localSheetId="12">[8]ELÉTRICA!#REF!</definedName>
    <definedName name="COMPOSICAOE154">[8]ELÉTRICA!#REF!</definedName>
    <definedName name="COMPOSICAOE19" localSheetId="12">#REF!</definedName>
    <definedName name="COMPOSICAOE19">#REF!</definedName>
    <definedName name="COMPOSICAOE20" localSheetId="12">#REF!</definedName>
    <definedName name="COMPOSICAOE20">#REF!</definedName>
    <definedName name="COMPOSICAOE21" localSheetId="12">#REF!</definedName>
    <definedName name="COMPOSICAOE21">#REF!</definedName>
    <definedName name="COMPOSICAOE22" localSheetId="12">#REF!</definedName>
    <definedName name="COMPOSICAOE22">#REF!</definedName>
    <definedName name="COMPOSICAOE23" localSheetId="12">#REF!</definedName>
    <definedName name="COMPOSICAOE23">#REF!</definedName>
    <definedName name="COMPOSICAOE24" localSheetId="12">#REF!</definedName>
    <definedName name="COMPOSICAOE24">#REF!</definedName>
    <definedName name="COMPOSICAOI1" localSheetId="12">#REF!</definedName>
    <definedName name="COMPOSICAOI1">#REF!</definedName>
    <definedName name="COMPOSICAOI10" localSheetId="12">#REF!</definedName>
    <definedName name="COMPOSICAOI10">#REF!</definedName>
    <definedName name="COMPOSICAOI100">[8]INFRA!$F$80</definedName>
    <definedName name="COMPOSICAOI101">[8]INFRA!$F$98</definedName>
    <definedName name="COMPOSICAOI102">[8]INFRA!$F$116</definedName>
    <definedName name="COMPOSICAOI103">[8]INFRA!$F$134</definedName>
    <definedName name="COMPOSICAOI104">[8]INFRA!$F$152</definedName>
    <definedName name="COMPOSICAOI105">[8]INFRA!$F$170</definedName>
    <definedName name="COMPOSICAOI106">[8]INFRA!$F$188</definedName>
    <definedName name="COMPOSICAOI107">[8]INFRA!$F$206</definedName>
    <definedName name="COMPOSICAOI108">[8]INFRA!$F$224</definedName>
    <definedName name="COMPOSICAOI109" localSheetId="12">[8]INFRA!#REF!</definedName>
    <definedName name="COMPOSICAOI109">[8]INFRA!#REF!</definedName>
    <definedName name="COMPOSICAOI11" localSheetId="12">#REF!</definedName>
    <definedName name="COMPOSICAOI11">#REF!</definedName>
    <definedName name="COMPOSICAOI110" localSheetId="12">[8]INFRA!#REF!</definedName>
    <definedName name="COMPOSICAOI110">[8]INFRA!#REF!</definedName>
    <definedName name="COMPOSICAOI111">[8]INFRA!$F$242</definedName>
    <definedName name="COMPOSICAOI112">[8]INFRA!$F$261</definedName>
    <definedName name="COMPOSICAOI113">[8]INFRA!$F$279</definedName>
    <definedName name="COMPOSICAOI114" localSheetId="12">[8]INFRA!#REF!</definedName>
    <definedName name="COMPOSICAOI114">[8]INFRA!#REF!</definedName>
    <definedName name="COMPOSICAOI115" localSheetId="12">[8]INFRA!#REF!</definedName>
    <definedName name="COMPOSICAOI115">[8]INFRA!#REF!</definedName>
    <definedName name="COMPOSICAOI116">[8]INFRA!$F$297</definedName>
    <definedName name="COMPOSICAOI117" localSheetId="12">[8]INFRA!#REF!</definedName>
    <definedName name="COMPOSICAOI117">[8]INFRA!#REF!</definedName>
    <definedName name="COMPOSICAOI118">[8]INFRA!$F$315</definedName>
    <definedName name="COMPOSICAOI119" localSheetId="12">[8]INFRA!#REF!</definedName>
    <definedName name="COMPOSICAOI119">[8]INFRA!#REF!</definedName>
    <definedName name="COMPOSICAOI12" localSheetId="12">#REF!</definedName>
    <definedName name="COMPOSICAOI12">#REF!</definedName>
    <definedName name="COMPOSICAOI120">[8]INFRA!$F$334</definedName>
    <definedName name="COMPOSICAOI121">[8]INFRA!$F$352</definedName>
    <definedName name="COMPOSICAOI122">[8]INFRA!$F$370</definedName>
    <definedName name="COMPOSICAOI123">[8]INFRA!$F$388</definedName>
    <definedName name="COMPOSICAOI124">[8]INFRA!$F$406</definedName>
    <definedName name="COMPOSICAOI125">[8]INFRA!$F$424</definedName>
    <definedName name="COMPOSICAOI126">[8]INFRA!$F$442</definedName>
    <definedName name="COMPOSICAOI127">[8]INFRA!$F$460</definedName>
    <definedName name="COMPOSICAOI128">[8]INFRA!$F$478</definedName>
    <definedName name="COMPOSICAOI129">[8]INFRA!$F$496</definedName>
    <definedName name="COMPOSICAOI13" localSheetId="12">#REF!</definedName>
    <definedName name="COMPOSICAOI13">#REF!</definedName>
    <definedName name="COMPOSICAOI130">[8]INFRA!$F$514</definedName>
    <definedName name="COMPOSICAOI135" localSheetId="12">[8]ELÉTRICA!#REF!</definedName>
    <definedName name="COMPOSICAOI135">[8]ELÉTRICA!#REF!</definedName>
    <definedName name="COMPOSICAOI14" localSheetId="12">#REF!</definedName>
    <definedName name="COMPOSICAOI14">#REF!</definedName>
    <definedName name="COMPOSICAOI15" localSheetId="12">#REF!</definedName>
    <definedName name="COMPOSICAOI15">#REF!</definedName>
    <definedName name="COMPOSICAOI153" localSheetId="12">[8]INFRA!#REF!</definedName>
    <definedName name="COMPOSICAOI153">[8]INFRA!#REF!</definedName>
    <definedName name="COMPOSICAOI155" localSheetId="12">[8]INFRA!#REF!</definedName>
    <definedName name="COMPOSICAOI155">[8]INFRA!#REF!</definedName>
    <definedName name="COMPOSICAOI156" localSheetId="12">[8]INFRA!#REF!</definedName>
    <definedName name="COMPOSICAOI156">[8]INFRA!#REF!</definedName>
    <definedName name="COMPOSICAOI157" localSheetId="12">[8]INFRA!#REF!</definedName>
    <definedName name="COMPOSICAOI157">[8]INFRA!#REF!</definedName>
    <definedName name="COMPOSICAOI16" localSheetId="12">#REF!</definedName>
    <definedName name="COMPOSICAOI16">#REF!</definedName>
    <definedName name="COMPOSICAOI17" localSheetId="12">#REF!</definedName>
    <definedName name="COMPOSICAOI17">#REF!</definedName>
    <definedName name="COMPOSICAOI18" localSheetId="12">#REF!</definedName>
    <definedName name="COMPOSICAOI18">#REF!</definedName>
    <definedName name="COMPOSICAOI2" localSheetId="12">#REF!</definedName>
    <definedName name="COMPOSICAOI2">#REF!</definedName>
    <definedName name="COMPOSICAOI200" localSheetId="12">[8]INFRA!#REF!</definedName>
    <definedName name="COMPOSICAOI200">[8]INFRA!#REF!</definedName>
    <definedName name="COMPOSICAOI202" localSheetId="12">[8]INFRA!#REF!</definedName>
    <definedName name="COMPOSICAOI202">[8]INFRA!#REF!</definedName>
    <definedName name="COMPOSICAOI203">[8]INFRA!$F$532</definedName>
    <definedName name="COMPOSICAOI204" localSheetId="12">[8]INFRA!#REF!</definedName>
    <definedName name="COMPOSICAOI204">[8]INFRA!#REF!</definedName>
    <definedName name="COMPOSICAOI3" localSheetId="12">#REF!</definedName>
    <definedName name="COMPOSICAOI3">#REF!</definedName>
    <definedName name="COMPOSICAOI4" localSheetId="12">#REF!</definedName>
    <definedName name="COMPOSICAOI4">#REF!</definedName>
    <definedName name="COMPOSICAOI5" localSheetId="12">#REF!</definedName>
    <definedName name="COMPOSICAOI5">#REF!</definedName>
    <definedName name="COMPOSICAOI6" localSheetId="12">#REF!</definedName>
    <definedName name="COMPOSICAOI6">#REF!</definedName>
    <definedName name="COMPOSICAOI7" localSheetId="12">#REF!</definedName>
    <definedName name="COMPOSICAOI7">#REF!</definedName>
    <definedName name="COMPOSICAOI8" localSheetId="12">#REF!</definedName>
    <definedName name="COMPOSICAOI8">#REF!</definedName>
    <definedName name="COMPOSICAOI87" localSheetId="12">[8]INFRA!#REF!</definedName>
    <definedName name="COMPOSICAOI87">[8]INFRA!#REF!</definedName>
    <definedName name="COMPOSICAOI88" localSheetId="12">[8]INFRA!#REF!</definedName>
    <definedName name="COMPOSICAOI88">[8]INFRA!#REF!</definedName>
    <definedName name="COMPOSICAOI89" localSheetId="12">[8]INFRA!#REF!</definedName>
    <definedName name="COMPOSICAOI89">[8]INFRA!#REF!</definedName>
    <definedName name="COMPOSICAOI9">[8]INFRA!$F$27</definedName>
    <definedName name="COMPOSICAOI90" localSheetId="12">[8]INFRA!#REF!</definedName>
    <definedName name="COMPOSICAOI90">[8]INFRA!#REF!</definedName>
    <definedName name="COMPOSICAOI91" localSheetId="12">[8]INFRA!#REF!</definedName>
    <definedName name="COMPOSICAOI91">[8]INFRA!#REF!</definedName>
    <definedName name="COMPOSICAOI92" localSheetId="12">[8]INFRA!#REF!</definedName>
    <definedName name="COMPOSICAOI92">[8]INFRA!#REF!</definedName>
    <definedName name="COMPOSICAOI93" localSheetId="12">[8]INFRA!#REF!</definedName>
    <definedName name="COMPOSICAOI93">[8]INFRA!#REF!</definedName>
    <definedName name="COMPOSICAOI94" localSheetId="12">[8]INFRA!#REF!</definedName>
    <definedName name="COMPOSICAOI94">[8]INFRA!#REF!</definedName>
    <definedName name="COMPOSICAOI95">[8]INFRA!$F$44</definedName>
    <definedName name="COMPOSICAOI96" localSheetId="12">[8]INFRA!#REF!</definedName>
    <definedName name="COMPOSICAOI96">[8]INFRA!#REF!</definedName>
    <definedName name="COMPOSICAOI97" localSheetId="12">[8]INFRA!#REF!</definedName>
    <definedName name="COMPOSICAOI97">[8]INFRA!#REF!</definedName>
    <definedName name="COMPOSICAOI98" localSheetId="12">[8]INFRA!#REF!</definedName>
    <definedName name="COMPOSICAOI98">[8]INFRA!#REF!</definedName>
    <definedName name="COMPOSICAOI99">[8]INFRA!$F$62</definedName>
    <definedName name="COMPOSICAOL64">'[8]LÓGICA 2'!$F$24</definedName>
    <definedName name="COMPOSICAOL65">'[8]LÓGICA 2'!$F$42</definedName>
    <definedName name="COMPOSICAOL67">'[8]LÓGICA 2'!$F$78</definedName>
    <definedName name="COMPOSICAOL68">'[8]LÓGICA 2'!$F$96</definedName>
    <definedName name="COMPOSICAOL69">'[8]LÓGICA 2'!$F$116</definedName>
    <definedName name="COMPOSICAOL70">'[8]LÓGICA 2'!$F$134</definedName>
    <definedName name="COMPOSICAOL71" localSheetId="12">'[8]LÓGICA 2'!#REF!</definedName>
    <definedName name="COMPOSICAOL71">'[8]LÓGICA 2'!#REF!</definedName>
    <definedName name="COMPOSICAOL72">'[8]LÓGICA 2'!$F$155</definedName>
    <definedName name="COMPOSICAOL73">'[8]LÓGICA 2'!$F$177</definedName>
    <definedName name="COMPOSICAOL74" localSheetId="12">'[8]LÓGICA 2'!#REF!</definedName>
    <definedName name="COMPOSICAOL74">'[8]LÓGICA 2'!#REF!</definedName>
    <definedName name="COMPOSICAOL75" localSheetId="12">'[8]LÓGICA 2'!#REF!</definedName>
    <definedName name="COMPOSICAOL75">'[8]LÓGICA 2'!#REF!</definedName>
    <definedName name="COMPOSICAOL76">'[8]LÓGICA 2'!$F$195</definedName>
    <definedName name="COMPOSICAOL77">'[8]LÓGICA 2'!$F$213</definedName>
    <definedName name="COMPOSICAOL78">'[8]LÓGICA 2'!$F$231</definedName>
    <definedName name="COMPOSICAOL79">'[8]LÓGICA 2'!$F$249</definedName>
    <definedName name="COMPOSICAOL80">'[8]LÓGICA 2'!$F$267</definedName>
    <definedName name="COMPOSICAOL81">'[8]LÓGICA 2'!$F$285</definedName>
    <definedName name="COMPOSICAOL82">'[8]LÓGICA 2'!$F$303</definedName>
    <definedName name="COMPOSICAOL83" localSheetId="12">'[8]LÓGICA 2'!#REF!</definedName>
    <definedName name="COMPOSICAOL83">'[8]LÓGICA 2'!#REF!</definedName>
    <definedName name="COMPOSICAOL84">'[8]LÓGICA 2'!$F$321</definedName>
    <definedName name="COMPOSICAOL85">'[8]LÓGICA 2'!$F$339</definedName>
    <definedName name="COMPOSICAOL86">'[8]LÓGICA 2'!$F$357</definedName>
    <definedName name="COMPOSICAOL87">'[8]LÓGICA 2'!$F$374</definedName>
    <definedName name="COMPOSIÇÕES_NÃO">comp_nãodes!#REF!</definedName>
    <definedName name="CONCRETO">'[9]QUADRO 08 - COMPOSIÇÕES'!$H$129</definedName>
    <definedName name="Conser" localSheetId="7">#REF!</definedName>
    <definedName name="Conser" localSheetId="9">#REF!</definedName>
    <definedName name="Conser" localSheetId="8">#REF!</definedName>
    <definedName name="Conser">#REF!</definedName>
    <definedName name="conserva" localSheetId="7">#REF!</definedName>
    <definedName name="conserva" localSheetId="9">#REF!</definedName>
    <definedName name="conserva" localSheetId="8">#REF!</definedName>
    <definedName name="conserva">#REF!</definedName>
    <definedName name="cont" localSheetId="7">#REF!</definedName>
    <definedName name="cont" localSheetId="9">#REF!</definedName>
    <definedName name="cont" localSheetId="8">#REF!</definedName>
    <definedName name="cont">#REF!</definedName>
    <definedName name="CONT_CANTEIRO" localSheetId="7">#REF!</definedName>
    <definedName name="CONT_CANTEIRO" localSheetId="9">#REF!</definedName>
    <definedName name="CONT_CANTEIRO" localSheetId="8">#REF!</definedName>
    <definedName name="CONT_CANTEIRO">#REF!</definedName>
    <definedName name="contrapartida" localSheetId="7">#REF!</definedName>
    <definedName name="contrapartida" localSheetId="9">#REF!</definedName>
    <definedName name="contrapartida" localSheetId="8">#REF!</definedName>
    <definedName name="contrapartida">#REF!</definedName>
    <definedName name="CONTRATO">[13]APONT!$B$5:$G$426</definedName>
    <definedName name="cp.100" localSheetId="7">#REF!</definedName>
    <definedName name="cp.100" localSheetId="9">#REF!</definedName>
    <definedName name="cp.100" localSheetId="8">#REF!</definedName>
    <definedName name="cp.100">#REF!</definedName>
    <definedName name="cp.95" localSheetId="7">#REF!</definedName>
    <definedName name="cp.95" localSheetId="9">#REF!</definedName>
    <definedName name="cp.95" localSheetId="8">#REF!</definedName>
    <definedName name="cp.95">#REF!</definedName>
    <definedName name="_xlnm.Criteria" localSheetId="7">#REF!</definedName>
    <definedName name="_xlnm.Criteria" localSheetId="9">#REF!</definedName>
    <definedName name="_xlnm.Criteria" localSheetId="8">#REF!</definedName>
    <definedName name="_xlnm.Criteria">#REF!</definedName>
    <definedName name="Cron" localSheetId="7" hidden="1">{#N/A,#N/A,FALSE,"MO (2)"}</definedName>
    <definedName name="Cron" localSheetId="9" hidden="1">{#N/A,#N/A,FALSE,"MO (2)"}</definedName>
    <definedName name="Cron" localSheetId="8" hidden="1">{#N/A,#N/A,FALSE,"MO (2)"}</definedName>
    <definedName name="Cron" hidden="1">{#N/A,#N/A,FALSE,"MO (2)"}</definedName>
    <definedName name="Cron_1" localSheetId="7" hidden="1">{#N/A,#N/A,FALSE,"MO (2)"}</definedName>
    <definedName name="Cron_1" localSheetId="9" hidden="1">{#N/A,#N/A,FALSE,"MO (2)"}</definedName>
    <definedName name="Cron_1" localSheetId="8" hidden="1">{#N/A,#N/A,FALSE,"MO (2)"}</definedName>
    <definedName name="Cron_1" hidden="1">{#N/A,#N/A,FALSE,"MO (2)"}</definedName>
    <definedName name="crona" localSheetId="7">#REF!</definedName>
    <definedName name="crona" localSheetId="9">#REF!</definedName>
    <definedName name="crona" localSheetId="8">#REF!</definedName>
    <definedName name="crona">#REF!</definedName>
    <definedName name="CUBAÇÃO" localSheetId="7">#REF!</definedName>
    <definedName name="CUBAÇÃO" localSheetId="9">#REF!</definedName>
    <definedName name="CUBAÇÃO" localSheetId="8">#REF!</definedName>
    <definedName name="CUBAÇÃO">#REF!</definedName>
    <definedName name="cx.01" localSheetId="9">[14]Aterro!#REF!</definedName>
    <definedName name="cx.01">[14]Aterro!#REF!</definedName>
    <definedName name="cx_coletora" localSheetId="7">#REF!</definedName>
    <definedName name="cx_coletora" localSheetId="9">#REF!</definedName>
    <definedName name="cx_coletora" localSheetId="8">#REF!</definedName>
    <definedName name="cx_coletora">#REF!</definedName>
    <definedName name="DAS" localSheetId="7" hidden="1">{#N/A,#N/A,FALSE,"MO (2)"}</definedName>
    <definedName name="DAS" localSheetId="9" hidden="1">{#N/A,#N/A,FALSE,"MO (2)"}</definedName>
    <definedName name="DAS" localSheetId="8" hidden="1">{#N/A,#N/A,FALSE,"MO (2)"}</definedName>
    <definedName name="DAS" hidden="1">{#N/A,#N/A,FALSE,"MO (2)"}</definedName>
    <definedName name="DAS_1" localSheetId="7" hidden="1">{#N/A,#N/A,FALSE,"MO (2)"}</definedName>
    <definedName name="DAS_1" localSheetId="9" hidden="1">{#N/A,#N/A,FALSE,"MO (2)"}</definedName>
    <definedName name="DAS_1" localSheetId="8" hidden="1">{#N/A,#N/A,FALSE,"MO (2)"}</definedName>
    <definedName name="DAS_1" hidden="1">{#N/A,#N/A,FALSE,"MO (2)"}</definedName>
    <definedName name="DATA" localSheetId="7">#REF!</definedName>
    <definedName name="DATA" localSheetId="9">#REF!</definedName>
    <definedName name="DATA" localSheetId="8">#REF!</definedName>
    <definedName name="DATA">#REF!</definedName>
    <definedName name="data1" localSheetId="7">#REF!</definedName>
    <definedName name="data1" localSheetId="9">#REF!</definedName>
    <definedName name="data1" localSheetId="8">#REF!</definedName>
    <definedName name="data1">#REF!</definedName>
    <definedName name="DATA2" localSheetId="7">#REF!</definedName>
    <definedName name="DATA2" localSheetId="9">#REF!</definedName>
    <definedName name="DATA2" localSheetId="8">#REF!</definedName>
    <definedName name="DATA2">#REF!</definedName>
    <definedName name="DATA3" localSheetId="7">#REF!</definedName>
    <definedName name="DATA3" localSheetId="9">#REF!</definedName>
    <definedName name="DATA3" localSheetId="8">#REF!</definedName>
    <definedName name="DATA3">#REF!</definedName>
    <definedName name="DDDDE" localSheetId="7" hidden="1">{#N/A,#N/A,FALSE,"MO (2)"}</definedName>
    <definedName name="DDDDE" localSheetId="9" hidden="1">{#N/A,#N/A,FALSE,"MO (2)"}</definedName>
    <definedName name="DDDDE" localSheetId="8" hidden="1">{#N/A,#N/A,FALSE,"MO (2)"}</definedName>
    <definedName name="DDDDE" hidden="1">{#N/A,#N/A,FALSE,"MO (2)"}</definedName>
    <definedName name="DDDDE_1" localSheetId="7" hidden="1">{#N/A,#N/A,FALSE,"MO (2)"}</definedName>
    <definedName name="DDDDE_1" localSheetId="9" hidden="1">{#N/A,#N/A,FALSE,"MO (2)"}</definedName>
    <definedName name="DDDDE_1" localSheetId="8" hidden="1">{#N/A,#N/A,FALSE,"MO (2)"}</definedName>
    <definedName name="DDDDE_1" hidden="1">{#N/A,#N/A,FALSE,"MO (2)"}</definedName>
    <definedName name="ddlc" localSheetId="7">#REF!</definedName>
    <definedName name="ddlc" localSheetId="9">#REF!</definedName>
    <definedName name="ddlc" localSheetId="8">#REF!</definedName>
    <definedName name="ddlc">#REF!</definedName>
    <definedName name="defensas" localSheetId="7">#REF!</definedName>
    <definedName name="defensas" localSheetId="9">#REF!</definedName>
    <definedName name="defensas" localSheetId="8">#REF!</definedName>
    <definedName name="defensas">#REF!</definedName>
    <definedName name="densidade_cap" localSheetId="7">#REF!</definedName>
    <definedName name="densidade_cap" localSheetId="9">#REF!</definedName>
    <definedName name="densidade_cap" localSheetId="8">#REF!</definedName>
    <definedName name="densidade_cap">#REF!</definedName>
    <definedName name="DESAP" localSheetId="7">#REF!</definedName>
    <definedName name="DESAP" localSheetId="9">#REF!</definedName>
    <definedName name="DESAP" localSheetId="8">#REF!</definedName>
    <definedName name="DESAP">#REF!</definedName>
    <definedName name="DESAPROPRIAÇÃO">'[11]AQU TERRENO-'!$H$9</definedName>
    <definedName name="descida1" localSheetId="7">#REF!</definedName>
    <definedName name="descida1" localSheetId="9">#REF!</definedName>
    <definedName name="descida1" localSheetId="8">#REF!</definedName>
    <definedName name="descida1">#REF!</definedName>
    <definedName name="descida2" localSheetId="7">#REF!</definedName>
    <definedName name="descida2" localSheetId="9">#REF!</definedName>
    <definedName name="descida2" localSheetId="8">#REF!</definedName>
    <definedName name="descida2">#REF!</definedName>
    <definedName name="DFDFDGFGSG">[15]Serviços!$A$3:$F$1403</definedName>
    <definedName name="DIE">'[16]INSUMOS BÁSICOS'!$E$67</definedName>
    <definedName name="DIESEL" localSheetId="7">#REF!</definedName>
    <definedName name="DIESEL" localSheetId="9">#REF!</definedName>
    <definedName name="DIESEL" localSheetId="8">#REF!</definedName>
    <definedName name="DIESEL">#REF!</definedName>
    <definedName name="DMT_0_50" localSheetId="7">#REF!</definedName>
    <definedName name="DMT_0_50" localSheetId="9">#REF!</definedName>
    <definedName name="DMT_0_50" localSheetId="8">#REF!</definedName>
    <definedName name="DMT_0_50">#REF!</definedName>
    <definedName name="dmt_1000" localSheetId="7">#REF!</definedName>
    <definedName name="dmt_1000" localSheetId="9">#REF!</definedName>
    <definedName name="dmt_1000" localSheetId="8">#REF!</definedName>
    <definedName name="dmt_1000">#REF!</definedName>
    <definedName name="dmt_1200" localSheetId="7">#REF!</definedName>
    <definedName name="dmt_1200" localSheetId="9">#REF!</definedName>
    <definedName name="dmt_1200" localSheetId="8">#REF!</definedName>
    <definedName name="dmt_1200">#REF!</definedName>
    <definedName name="dmt_1400" localSheetId="7">#REF!</definedName>
    <definedName name="dmt_1400" localSheetId="9">#REF!</definedName>
    <definedName name="dmt_1400" localSheetId="8">#REF!</definedName>
    <definedName name="dmt_1400">#REF!</definedName>
    <definedName name="dmt_200" localSheetId="7">#REF!</definedName>
    <definedName name="dmt_200" localSheetId="9">#REF!</definedName>
    <definedName name="dmt_200" localSheetId="8">#REF!</definedName>
    <definedName name="dmt_200">#REF!</definedName>
    <definedName name="DMT_200_400" localSheetId="7">#REF!</definedName>
    <definedName name="DMT_200_400" localSheetId="9">#REF!</definedName>
    <definedName name="DMT_200_400" localSheetId="8">#REF!</definedName>
    <definedName name="DMT_200_400">#REF!</definedName>
    <definedName name="dmt_400" localSheetId="7">#REF!</definedName>
    <definedName name="dmt_400" localSheetId="9">#REF!</definedName>
    <definedName name="dmt_400" localSheetId="8">#REF!</definedName>
    <definedName name="dmt_400">#REF!</definedName>
    <definedName name="DMT_400_600" localSheetId="7">#REF!</definedName>
    <definedName name="DMT_400_600" localSheetId="9">#REF!</definedName>
    <definedName name="DMT_400_600" localSheetId="8">#REF!</definedName>
    <definedName name="DMT_400_600">#REF!</definedName>
    <definedName name="dmt_50" localSheetId="7">#REF!</definedName>
    <definedName name="dmt_50" localSheetId="9">#REF!</definedName>
    <definedName name="dmt_50" localSheetId="8">#REF!</definedName>
    <definedName name="dmt_50">#REF!</definedName>
    <definedName name="DMT_50_200" localSheetId="7">#REF!</definedName>
    <definedName name="DMT_50_200" localSheetId="9">#REF!</definedName>
    <definedName name="DMT_50_200" localSheetId="8">#REF!</definedName>
    <definedName name="DMT_50_200">#REF!</definedName>
    <definedName name="dmt_600" localSheetId="7">#REF!</definedName>
    <definedName name="dmt_600" localSheetId="9">#REF!</definedName>
    <definedName name="dmt_600" localSheetId="8">#REF!</definedName>
    <definedName name="dmt_600">#REF!</definedName>
    <definedName name="dmt_800" localSheetId="7">#REF!</definedName>
    <definedName name="dmt_800" localSheetId="9">#REF!</definedName>
    <definedName name="dmt_800" localSheetId="8">#REF!</definedName>
    <definedName name="dmt_800">#REF!</definedName>
    <definedName name="dren" localSheetId="7">#REF!</definedName>
    <definedName name="dren" localSheetId="9">#REF!</definedName>
    <definedName name="dren" localSheetId="8">#REF!</definedName>
    <definedName name="dren">#REF!</definedName>
    <definedName name="drena" localSheetId="7">#REF!</definedName>
    <definedName name="drena" localSheetId="9">#REF!</definedName>
    <definedName name="drena" localSheetId="8">#REF!</definedName>
    <definedName name="drena">#REF!</definedName>
    <definedName name="Drena2" localSheetId="7">#REF!</definedName>
    <definedName name="Drena2" localSheetId="9">#REF!</definedName>
    <definedName name="Drena2" localSheetId="8">#REF!</definedName>
    <definedName name="Drena2">#REF!</definedName>
    <definedName name="DRF" localSheetId="7">#REF!</definedName>
    <definedName name="DRF" localSheetId="9">#REF!</definedName>
    <definedName name="DRF" localSheetId="8">#REF!</definedName>
    <definedName name="DRF">#REF!</definedName>
    <definedName name="edefegeh" localSheetId="7" hidden="1">{#N/A,#N/A,FALSE,"MO (2)"}</definedName>
    <definedName name="edefegeh" localSheetId="9" hidden="1">{#N/A,#N/A,FALSE,"MO (2)"}</definedName>
    <definedName name="edefegeh" localSheetId="8" hidden="1">{#N/A,#N/A,FALSE,"MO (2)"}</definedName>
    <definedName name="edefegeh" hidden="1">{#N/A,#N/A,FALSE,"MO (2)"}</definedName>
    <definedName name="edefegeh_1" localSheetId="7" hidden="1">{#N/A,#N/A,FALSE,"MO (2)"}</definedName>
    <definedName name="edefegeh_1" localSheetId="9" hidden="1">{#N/A,#N/A,FALSE,"MO (2)"}</definedName>
    <definedName name="edefegeh_1" localSheetId="8" hidden="1">{#N/A,#N/A,FALSE,"MO (2)"}</definedName>
    <definedName name="edefegeh_1" hidden="1">{#N/A,#N/A,FALSE,"MO (2)"}</definedName>
    <definedName name="edit" localSheetId="7">#REF!</definedName>
    <definedName name="edit" localSheetId="9">#REF!</definedName>
    <definedName name="edit" localSheetId="8">#REF!</definedName>
    <definedName name="edit">#REF!</definedName>
    <definedName name="edita" localSheetId="7">#REF!</definedName>
    <definedName name="edita" localSheetId="9">#REF!</definedName>
    <definedName name="edita" localSheetId="8">#REF!</definedName>
    <definedName name="edita">#REF!</definedName>
    <definedName name="EDITA1" localSheetId="7">#REF!</definedName>
    <definedName name="EDITA1" localSheetId="9">#REF!</definedName>
    <definedName name="EDITA1" localSheetId="8">#REF!</definedName>
    <definedName name="EDITA1">#REF!</definedName>
    <definedName name="EDITA2" localSheetId="7">#REF!</definedName>
    <definedName name="EDITA2" localSheetId="9">#REF!</definedName>
    <definedName name="EDITA2" localSheetId="8">#REF!</definedName>
    <definedName name="EDITA2">#REF!</definedName>
    <definedName name="EDITAL" localSheetId="7">#REF!</definedName>
    <definedName name="EDITAL" localSheetId="9">#REF!</definedName>
    <definedName name="EDITAL" localSheetId="8">#REF!</definedName>
    <definedName name="EDITAL">#REF!</definedName>
    <definedName name="EDITAL2" localSheetId="7">#REF!</definedName>
    <definedName name="EDITAL2" localSheetId="9">#REF!</definedName>
    <definedName name="EDITAL2" localSheetId="8">#REF!</definedName>
    <definedName name="EDITAL2">#REF!</definedName>
    <definedName name="EDITALA" localSheetId="7">#REF!</definedName>
    <definedName name="EDITALA" localSheetId="9">#REF!</definedName>
    <definedName name="EDITALA" localSheetId="8">#REF!</definedName>
    <definedName name="EDITALA">#REF!</definedName>
    <definedName name="EE1_MAT" localSheetId="7">#REF!</definedName>
    <definedName name="EE1_MAT" localSheetId="9">#REF!</definedName>
    <definedName name="EE1_MAT" localSheetId="8">#REF!</definedName>
    <definedName name="EE1_MAT">#REF!</definedName>
    <definedName name="EE1_MATERIAIS">'[11]ESTA ELEVATÓRIA_'!$H$106</definedName>
    <definedName name="EE1_SERV" localSheetId="7">#REF!</definedName>
    <definedName name="EE1_SERV" localSheetId="9">#REF!</definedName>
    <definedName name="EE1_SERV" localSheetId="8">#REF!</definedName>
    <definedName name="EE1_SERV">#REF!</definedName>
    <definedName name="EE1_SERVIÇOS">'[11]ESTA ELEVATÓRIA_'!$H$9</definedName>
    <definedName name="EE2_MAT" localSheetId="7">#REF!</definedName>
    <definedName name="EE2_MAT" localSheetId="9">#REF!</definedName>
    <definedName name="EE2_MAT" localSheetId="8">#REF!</definedName>
    <definedName name="EE2_MAT">#REF!</definedName>
    <definedName name="EE2_MATERIAIS">'[11]ESTA ELEVATÓRIA_'!$H$244</definedName>
    <definedName name="EE2_SERV" localSheetId="7">#REF!</definedName>
    <definedName name="EE2_SERV" localSheetId="9">#REF!</definedName>
    <definedName name="EE2_SERV" localSheetId="8">#REF!</definedName>
    <definedName name="EE2_SERV">#REF!</definedName>
    <definedName name="EE2_SERVIÇOS">'[11]ESTA ELEVATÓRIA_'!$H$143</definedName>
    <definedName name="EE3_MAT" localSheetId="7">#REF!</definedName>
    <definedName name="EE3_MAT" localSheetId="9">#REF!</definedName>
    <definedName name="EE3_MAT" localSheetId="8">#REF!</definedName>
    <definedName name="EE3_MAT">#REF!</definedName>
    <definedName name="EE3_SERV" localSheetId="7">#REF!</definedName>
    <definedName name="EE3_SERV" localSheetId="9">#REF!</definedName>
    <definedName name="EE3_SERV" localSheetId="8">#REF!</definedName>
    <definedName name="EE3_SERV">#REF!</definedName>
    <definedName name="Elemento_vazado" localSheetId="7">#REF!</definedName>
    <definedName name="Elemento_vazado" localSheetId="9">#REF!</definedName>
    <definedName name="Elemento_vazado" localSheetId="8">#REF!</definedName>
    <definedName name="Elemento_vazado">#REF!</definedName>
    <definedName name="ELIAS" localSheetId="7">#REF!</definedName>
    <definedName name="ELIAS" localSheetId="9">#REF!</definedName>
    <definedName name="ELIAS" localSheetId="8">#REF!</definedName>
    <definedName name="ELIAS">#REF!</definedName>
    <definedName name="EMISS_1_MAT" localSheetId="7">#REF!</definedName>
    <definedName name="EMISS_1_MAT" localSheetId="9">#REF!</definedName>
    <definedName name="EMISS_1_MAT" localSheetId="8">#REF!</definedName>
    <definedName name="EMISS_1_MAT">#REF!</definedName>
    <definedName name="EMISS_1_SERV" localSheetId="7">#REF!</definedName>
    <definedName name="EMISS_1_SERV" localSheetId="9">#REF!</definedName>
    <definedName name="EMISS_1_SERV" localSheetId="8">#REF!</definedName>
    <definedName name="EMISS_1_SERV">#REF!</definedName>
    <definedName name="EMISS_2_MAT" localSheetId="7">#REF!</definedName>
    <definedName name="EMISS_2_MAT" localSheetId="9">#REF!</definedName>
    <definedName name="EMISS_2_MAT" localSheetId="8">#REF!</definedName>
    <definedName name="EMISS_2_MAT">#REF!</definedName>
    <definedName name="EMISS_2_SERV" localSheetId="7">#REF!</definedName>
    <definedName name="EMISS_2_SERV" localSheetId="9">#REF!</definedName>
    <definedName name="EMISS_2_SERV" localSheetId="8">#REF!</definedName>
    <definedName name="EMISS_2_SERV">#REF!</definedName>
    <definedName name="EMISS_3_MAT" localSheetId="7">#REF!</definedName>
    <definedName name="EMISS_3_MAT" localSheetId="9">#REF!</definedName>
    <definedName name="EMISS_3_MAT" localSheetId="8">#REF!</definedName>
    <definedName name="EMISS_3_MAT">#REF!</definedName>
    <definedName name="EMISS_3_SERV" localSheetId="7">#REF!</definedName>
    <definedName name="EMISS_3_SERV" localSheetId="9">#REF!</definedName>
    <definedName name="EMISS_3_SERV" localSheetId="8">#REF!</definedName>
    <definedName name="EMISS_3_SERV">#REF!</definedName>
    <definedName name="EMISSÁRIO1_MATERIAIS">[11]EMISSÁRIO_!$H$39</definedName>
    <definedName name="EMISSÁRIO1_SERVIÇOS">[11]EMISSÁRIO_!$H$9</definedName>
    <definedName name="EMISSÁRIO2_MATERIAIS">[11]EMISSÁRIO_!$H$80</definedName>
    <definedName name="EMISSÁRIO2_SERVIÇOS">[11]EMISSÁRIO_!$H$50</definedName>
    <definedName name="Empo" localSheetId="7">#REF!</definedName>
    <definedName name="Empo" localSheetId="9">#REF!</definedName>
    <definedName name="Empo" localSheetId="8">#REF!</definedName>
    <definedName name="Empo">#REF!</definedName>
    <definedName name="empo2" localSheetId="7">#REF!</definedName>
    <definedName name="empo2" localSheetId="9">#REF!</definedName>
    <definedName name="empo2" localSheetId="8">#REF!</definedName>
    <definedName name="empo2">#REF!</definedName>
    <definedName name="Empola2" localSheetId="7">#REF!</definedName>
    <definedName name="Empola2" localSheetId="9">#REF!</definedName>
    <definedName name="Empola2" localSheetId="8">#REF!</definedName>
    <definedName name="Empola2">#REF!</definedName>
    <definedName name="Empolamento" localSheetId="7">#REF!</definedName>
    <definedName name="Empolamento" localSheetId="9">#REF!</definedName>
    <definedName name="Empolamento" localSheetId="8">#REF!</definedName>
    <definedName name="Empolamento">#REF!</definedName>
    <definedName name="Empolo2" localSheetId="7">#REF!</definedName>
    <definedName name="Empolo2" localSheetId="9">#REF!</definedName>
    <definedName name="Empolo2" localSheetId="8">#REF!</definedName>
    <definedName name="Empolo2">#REF!</definedName>
    <definedName name="empolo3" localSheetId="7">#REF!</definedName>
    <definedName name="empolo3" localSheetId="9">#REF!</definedName>
    <definedName name="empolo3" localSheetId="8">#REF!</definedName>
    <definedName name="empolo3">#REF!</definedName>
    <definedName name="ENCP" localSheetId="7">#REF!</definedName>
    <definedName name="ENCP" localSheetId="9">#REF!</definedName>
    <definedName name="ENCP" localSheetId="8">#REF!</definedName>
    <definedName name="ENCP">#REF!</definedName>
    <definedName name="ENCPA" localSheetId="7">#REF!</definedName>
    <definedName name="ENCPA" localSheetId="9">#REF!</definedName>
    <definedName name="ENCPA" localSheetId="8">#REF!</definedName>
    <definedName name="ENCPA">#REF!</definedName>
    <definedName name="ENCT" localSheetId="7">#REF!</definedName>
    <definedName name="ENCT" localSheetId="9">#REF!</definedName>
    <definedName name="ENCT" localSheetId="8">#REF!</definedName>
    <definedName name="ENCT">#REF!</definedName>
    <definedName name="ENCTA" localSheetId="7">#REF!</definedName>
    <definedName name="ENCTA" localSheetId="9">#REF!</definedName>
    <definedName name="ENCTA" localSheetId="8">#REF!</definedName>
    <definedName name="ENCTA">#REF!</definedName>
    <definedName name="eng">'[4]Mat Asf'!$C$36</definedName>
    <definedName name="eng." localSheetId="7" hidden="1">{#N/A,#N/A,FALSE,"MO (2)"}</definedName>
    <definedName name="eng." localSheetId="9" hidden="1">{#N/A,#N/A,FALSE,"MO (2)"}</definedName>
    <definedName name="eng." localSheetId="8" hidden="1">{#N/A,#N/A,FALSE,"MO (2)"}</definedName>
    <definedName name="eng." hidden="1">{#N/A,#N/A,FALSE,"MO (2)"}</definedName>
    <definedName name="eng._1" localSheetId="7" hidden="1">{#N/A,#N/A,FALSE,"MO (2)"}</definedName>
    <definedName name="eng._1" localSheetId="9" hidden="1">{#N/A,#N/A,FALSE,"MO (2)"}</definedName>
    <definedName name="eng._1" localSheetId="8" hidden="1">{#N/A,#N/A,FALSE,"MO (2)"}</definedName>
    <definedName name="eng._1" hidden="1">{#N/A,#N/A,FALSE,"MO (2)"}</definedName>
    <definedName name="ENGENHARIA" localSheetId="7" hidden="1">{#N/A,#N/A,FALSE,"MO (2)"}</definedName>
    <definedName name="ENGENHARIA" localSheetId="9" hidden="1">{#N/A,#N/A,FALSE,"MO (2)"}</definedName>
    <definedName name="ENGENHARIA" localSheetId="8" hidden="1">{#N/A,#N/A,FALSE,"MO (2)"}</definedName>
    <definedName name="ENGENHARIA" hidden="1">{#N/A,#N/A,FALSE,"MO (2)"}</definedName>
    <definedName name="ENGENHARIA_1" localSheetId="7" hidden="1">{#N/A,#N/A,FALSE,"MO (2)"}</definedName>
    <definedName name="ENGENHARIA_1" localSheetId="9" hidden="1">{#N/A,#N/A,FALSE,"MO (2)"}</definedName>
    <definedName name="ENGENHARIA_1" localSheetId="8" hidden="1">{#N/A,#N/A,FALSE,"MO (2)"}</definedName>
    <definedName name="ENGENHARIA_1" hidden="1">{#N/A,#N/A,FALSE,"MO (2)"}</definedName>
    <definedName name="entrada1" localSheetId="7">#REF!</definedName>
    <definedName name="entrada1" localSheetId="9">#REF!</definedName>
    <definedName name="entrada1" localSheetId="8">#REF!</definedName>
    <definedName name="entrada1">#REF!</definedName>
    <definedName name="entrada2" localSheetId="7">#REF!</definedName>
    <definedName name="entrada2" localSheetId="9">#REF!</definedName>
    <definedName name="entrada2" localSheetId="8">#REF!</definedName>
    <definedName name="entrada2">#REF!</definedName>
    <definedName name="eqrrewr" localSheetId="12">[8]INFRA!#REF!</definedName>
    <definedName name="eqrrewr">[8]INFRA!#REF!</definedName>
    <definedName name="EQT_TB_ESQUADRIA_N°_ESQUADRIA">[17]!TB_ESQUADRIA[N°_ESQUADRIA]</definedName>
    <definedName name="ESC" localSheetId="7">#REF!</definedName>
    <definedName name="ESC" localSheetId="9">#REF!</definedName>
    <definedName name="ESC" localSheetId="8">#REF!</definedName>
    <definedName name="ESC">#REF!</definedName>
    <definedName name="ESC_EMISS3_S" localSheetId="7">#REF!</definedName>
    <definedName name="ESC_EMISS3_S" localSheetId="9">#REF!</definedName>
    <definedName name="ESC_EMISS3_S" localSheetId="8">#REF!</definedName>
    <definedName name="ESC_EMISS3_S">#REF!</definedName>
    <definedName name="Escavação" localSheetId="7">#REF!</definedName>
    <definedName name="Escavação" localSheetId="9">#REF!</definedName>
    <definedName name="Escavação" localSheetId="8">#REF!</definedName>
    <definedName name="Escavação">#REF!</definedName>
    <definedName name="escavmec" localSheetId="7">#REF!</definedName>
    <definedName name="escavmec" localSheetId="9">#REF!</definedName>
    <definedName name="escavmec" localSheetId="8">#REF!</definedName>
    <definedName name="escavmec">#REF!</definedName>
    <definedName name="ESCORAMENTO" localSheetId="7">#REF!</definedName>
    <definedName name="ESCORAMENTO" localSheetId="9">#REF!</definedName>
    <definedName name="ESCORAMENTO" localSheetId="8">#REF!</definedName>
    <definedName name="ESCORAMENTO">#REF!</definedName>
    <definedName name="ESGOT_EMISS3_S" localSheetId="7">#REF!</definedName>
    <definedName name="ESGOT_EMISS3_S" localSheetId="9">#REF!</definedName>
    <definedName name="ESGOT_EMISS3_S" localSheetId="8">#REF!</definedName>
    <definedName name="ESGOT_EMISS3_S">#REF!</definedName>
    <definedName name="ESGOTAMENTO" localSheetId="7">#REF!</definedName>
    <definedName name="ESGOTAMENTO" localSheetId="9">#REF!</definedName>
    <definedName name="ESGOTAMENTO" localSheetId="8">#REF!</definedName>
    <definedName name="ESGOTAMENTO">#REF!</definedName>
    <definedName name="Esquadrias" localSheetId="7">#REF!</definedName>
    <definedName name="Esquadrias" localSheetId="9">#REF!</definedName>
    <definedName name="Esquadrias" localSheetId="8">#REF!</definedName>
    <definedName name="Esquadrias">#REF!</definedName>
    <definedName name="ETQ_Fonte">[17]!TB_Fonte[FONTE]</definedName>
    <definedName name="ETQ_ID_TB_GERAL">[17]!TB_Geral[ID]</definedName>
    <definedName name="ETQ_Resumo_Bitola_Aço">[17]!TB_Resultado_Aço_SETOP[Ø_BITOLA_'[MM']]</definedName>
    <definedName name="ETQ_TB_AGRUPADOR">[17]!TB_Agrupador[AGRUPADOR]</definedName>
    <definedName name="ETQ_TB_AGRUPADOR_ID">[17]!TB_AGRUPADOR_1[ID]</definedName>
    <definedName name="ETQ_TB_ESPECIFICAÇÃO_ID_ESPECIFICAÇÃO">[17]!TB_ESPECIFICAÇÃO[ID_ESPECIFICAÇÃO]</definedName>
    <definedName name="ETQ_TB_ID_Alvenaria">[17]!TB_LEVANTAMENTO_ACABAMENTO33[ID]</definedName>
    <definedName name="ETQ_TB_LEVANTAMENTO_ACABAMENTO_ID">[18]!TB_LEVANTAMENTO_ACABAMENTO[ID]</definedName>
    <definedName name="ETQ_TB_TIPO">[17]!TB_TIPO[TIPO]</definedName>
    <definedName name="ETQ_TB_TIPO_ESQUADRIA">[17]!TB_TIPO_ESQUADRIA[TIPO_ESQ]</definedName>
    <definedName name="ETQ_TB_TIPO_FORMA">[17]!TB_TIPO_FORMA[FORMA ATEX]</definedName>
    <definedName name="ETQ_TB_TIPO_ITEM">[17]!TB_TIPO_ITEM[TIPO_ITEM]</definedName>
    <definedName name="ETQ_TB_UNIDADES">[17]!TB_Unidades[UNIDADE]</definedName>
    <definedName name="ETQ_Tipo_Cobertura" localSheetId="12">#REF!</definedName>
    <definedName name="ETQ_Tipo_Cobertura">#REF!</definedName>
    <definedName name="ETQ_Tipo_Elemento_Drenagem" localSheetId="12">#REF!</definedName>
    <definedName name="ETQ_Tipo_Elemento_Drenagem">#REF!</definedName>
    <definedName name="ETQ_Tipo_Impermeabilização" localSheetId="12">#REF!</definedName>
    <definedName name="ETQ_Tipo_Impermeabilização">#REF!</definedName>
    <definedName name="ETQ_Tipo_Índice">[17]!TB_Tipo_Índice_Geral[TIPO_ÍNDICE]</definedName>
    <definedName name="ETQ_Tipo_Instalação_HidroSanitária">[17]!TB_Tipo_Item_Geral[TIPO_ITEM]</definedName>
    <definedName name="ETQ_Tipo_Metodologia">[17]!TB_Tipo_Metologia_Calculo[[#All],[METOLOGIA_CÁLCULO]]</definedName>
    <definedName name="ETQ_Tipo_Peça">[17]!TB_Tipo_Peça[TIPO_PEÇA]</definedName>
    <definedName name="ETQ_Tipo_Vedação">[17]!TB_Tipo_Vedação[TIPO_VEDAÇÃO]</definedName>
    <definedName name="EU" localSheetId="7" hidden="1">{#N/A,#N/A,FALSE,"MO (2)"}</definedName>
    <definedName name="EU" localSheetId="9" hidden="1">{#N/A,#N/A,FALSE,"MO (2)"}</definedName>
    <definedName name="EU" localSheetId="8" hidden="1">{#N/A,#N/A,FALSE,"MO (2)"}</definedName>
    <definedName name="EU" hidden="1">{#N/A,#N/A,FALSE,"MO (2)"}</definedName>
    <definedName name="EU_1" localSheetId="7" hidden="1">{#N/A,#N/A,FALSE,"MO (2)"}</definedName>
    <definedName name="EU_1" localSheetId="9" hidden="1">{#N/A,#N/A,FALSE,"MO (2)"}</definedName>
    <definedName name="EU_1" localSheetId="8" hidden="1">{#N/A,#N/A,FALSE,"MO (2)"}</definedName>
    <definedName name="EU_1" hidden="1">{#N/A,#N/A,FALSE,"MO (2)"}</definedName>
    <definedName name="EXER" localSheetId="7">#REF!</definedName>
    <definedName name="EXER" localSheetId="9">#REF!</definedName>
    <definedName name="EXER" localSheetId="8">#REF!</definedName>
    <definedName name="EXER">#REF!</definedName>
    <definedName name="EXPU" localSheetId="7">#REF!</definedName>
    <definedName name="EXPU" localSheetId="9">#REF!</definedName>
    <definedName name="EXPU" localSheetId="8">#REF!</definedName>
    <definedName name="EXPU">#REF!</definedName>
    <definedName name="EXT" localSheetId="7">#REF!</definedName>
    <definedName name="EXT" localSheetId="9">#REF!</definedName>
    <definedName name="EXT" localSheetId="8">#REF!</definedName>
    <definedName name="EXT">#REF!</definedName>
    <definedName name="EXTA" localSheetId="7">#REF!</definedName>
    <definedName name="EXTA" localSheetId="9">#REF!</definedName>
    <definedName name="EXTA" localSheetId="8">#REF!</definedName>
    <definedName name="EXTA">#REF!</definedName>
    <definedName name="EXTENSÃO1" localSheetId="7">#REF!</definedName>
    <definedName name="EXTENSÃO1" localSheetId="9">#REF!</definedName>
    <definedName name="EXTENSÃO1" localSheetId="8">#REF!</definedName>
    <definedName name="EXTENSÃO1">#REF!</definedName>
    <definedName name="F_01_120" localSheetId="7">#REF!</definedName>
    <definedName name="F_01_120" localSheetId="9">#REF!</definedName>
    <definedName name="F_01_120" localSheetId="8">#REF!</definedName>
    <definedName name="F_01_120">#REF!</definedName>
    <definedName name="F_01_150" localSheetId="7">#REF!</definedName>
    <definedName name="F_01_150" localSheetId="9">#REF!</definedName>
    <definedName name="F_01_150" localSheetId="8">#REF!</definedName>
    <definedName name="F_01_150">#REF!</definedName>
    <definedName name="F_01_180" localSheetId="7">#REF!</definedName>
    <definedName name="F_01_180" localSheetId="9">#REF!</definedName>
    <definedName name="F_01_180" localSheetId="8">#REF!</definedName>
    <definedName name="F_01_180">#REF!</definedName>
    <definedName name="F_01_210" localSheetId="7">#REF!</definedName>
    <definedName name="F_01_210" localSheetId="9">#REF!</definedName>
    <definedName name="F_01_210" localSheetId="8">#REF!</definedName>
    <definedName name="F_01_210">#REF!</definedName>
    <definedName name="F_01_240" localSheetId="7">#REF!</definedName>
    <definedName name="F_01_240" localSheetId="9">#REF!</definedName>
    <definedName name="F_01_240" localSheetId="8">#REF!</definedName>
    <definedName name="F_01_240">#REF!</definedName>
    <definedName name="F_01_270" localSheetId="7">#REF!</definedName>
    <definedName name="F_01_270" localSheetId="9">#REF!</definedName>
    <definedName name="F_01_270" localSheetId="8">#REF!</definedName>
    <definedName name="F_01_270">#REF!</definedName>
    <definedName name="F_01_30" localSheetId="7">#REF!</definedName>
    <definedName name="F_01_30" localSheetId="9">#REF!</definedName>
    <definedName name="F_01_30" localSheetId="8">#REF!</definedName>
    <definedName name="F_01_30">#REF!</definedName>
    <definedName name="F_01_300" localSheetId="7">#REF!</definedName>
    <definedName name="F_01_300" localSheetId="9">#REF!</definedName>
    <definedName name="F_01_300" localSheetId="8">#REF!</definedName>
    <definedName name="F_01_300">#REF!</definedName>
    <definedName name="F_01_330" localSheetId="7">#REF!</definedName>
    <definedName name="F_01_330" localSheetId="9">#REF!</definedName>
    <definedName name="F_01_330" localSheetId="8">#REF!</definedName>
    <definedName name="F_01_330">#REF!</definedName>
    <definedName name="F_01_360" localSheetId="7">#REF!</definedName>
    <definedName name="F_01_360" localSheetId="9">#REF!</definedName>
    <definedName name="F_01_360" localSheetId="8">#REF!</definedName>
    <definedName name="F_01_360">#REF!</definedName>
    <definedName name="F_01_390" localSheetId="7">#REF!</definedName>
    <definedName name="F_01_390" localSheetId="9">#REF!</definedName>
    <definedName name="F_01_390" localSheetId="8">#REF!</definedName>
    <definedName name="F_01_390">#REF!</definedName>
    <definedName name="F_01_420" localSheetId="7">#REF!</definedName>
    <definedName name="F_01_420" localSheetId="9">#REF!</definedName>
    <definedName name="F_01_420" localSheetId="8">#REF!</definedName>
    <definedName name="F_01_420">#REF!</definedName>
    <definedName name="F_01_450" localSheetId="7">#REF!</definedName>
    <definedName name="F_01_450" localSheetId="9">#REF!</definedName>
    <definedName name="F_01_450" localSheetId="8">#REF!</definedName>
    <definedName name="F_01_450">#REF!</definedName>
    <definedName name="F_01_480" localSheetId="7">#REF!</definedName>
    <definedName name="F_01_480" localSheetId="9">#REF!</definedName>
    <definedName name="F_01_480" localSheetId="8">#REF!</definedName>
    <definedName name="F_01_480">#REF!</definedName>
    <definedName name="F_01_510" localSheetId="7">#REF!</definedName>
    <definedName name="F_01_510" localSheetId="9">#REF!</definedName>
    <definedName name="F_01_510" localSheetId="8">#REF!</definedName>
    <definedName name="F_01_510">#REF!</definedName>
    <definedName name="F_01_540" localSheetId="7">#REF!</definedName>
    <definedName name="F_01_540" localSheetId="9">#REF!</definedName>
    <definedName name="F_01_540" localSheetId="8">#REF!</definedName>
    <definedName name="F_01_540">#REF!</definedName>
    <definedName name="F_01_570" localSheetId="7">#REF!</definedName>
    <definedName name="F_01_570" localSheetId="9">#REF!</definedName>
    <definedName name="F_01_570" localSheetId="8">#REF!</definedName>
    <definedName name="F_01_570">#REF!</definedName>
    <definedName name="F_01_60" localSheetId="7">#REF!</definedName>
    <definedName name="F_01_60" localSheetId="9">#REF!</definedName>
    <definedName name="F_01_60" localSheetId="8">#REF!</definedName>
    <definedName name="F_01_60">#REF!</definedName>
    <definedName name="F_01_600" localSheetId="7">#REF!</definedName>
    <definedName name="F_01_600" localSheetId="9">#REF!</definedName>
    <definedName name="F_01_600" localSheetId="8">#REF!</definedName>
    <definedName name="F_01_600">#REF!</definedName>
    <definedName name="F_01_630" localSheetId="7">#REF!</definedName>
    <definedName name="F_01_630" localSheetId="9">#REF!</definedName>
    <definedName name="F_01_630" localSheetId="8">#REF!</definedName>
    <definedName name="F_01_630">#REF!</definedName>
    <definedName name="F_01_660" localSheetId="7">#REF!</definedName>
    <definedName name="F_01_660" localSheetId="9">#REF!</definedName>
    <definedName name="F_01_660" localSheetId="8">#REF!</definedName>
    <definedName name="F_01_660">#REF!</definedName>
    <definedName name="F_01_690" localSheetId="7">#REF!</definedName>
    <definedName name="F_01_690" localSheetId="9">#REF!</definedName>
    <definedName name="F_01_690" localSheetId="8">#REF!</definedName>
    <definedName name="F_01_690">#REF!</definedName>
    <definedName name="F_01_720" localSheetId="7">#REF!</definedName>
    <definedName name="F_01_720" localSheetId="9">#REF!</definedName>
    <definedName name="F_01_720" localSheetId="8">#REF!</definedName>
    <definedName name="F_01_720">#REF!</definedName>
    <definedName name="F_01_90" localSheetId="7">#REF!</definedName>
    <definedName name="F_01_90" localSheetId="9">#REF!</definedName>
    <definedName name="F_01_90" localSheetId="8">#REF!</definedName>
    <definedName name="F_01_90">#REF!</definedName>
    <definedName name="F_02_120" localSheetId="7">#REF!</definedName>
    <definedName name="F_02_120" localSheetId="9">#REF!</definedName>
    <definedName name="F_02_120" localSheetId="8">#REF!</definedName>
    <definedName name="F_02_120">#REF!</definedName>
    <definedName name="F_02_150" localSheetId="7">#REF!</definedName>
    <definedName name="F_02_150" localSheetId="9">#REF!</definedName>
    <definedName name="F_02_150" localSheetId="8">#REF!</definedName>
    <definedName name="F_02_150">#REF!</definedName>
    <definedName name="F_02_180" localSheetId="7">#REF!</definedName>
    <definedName name="F_02_180" localSheetId="9">#REF!</definedName>
    <definedName name="F_02_180" localSheetId="8">#REF!</definedName>
    <definedName name="F_02_180">#REF!</definedName>
    <definedName name="F_02_210" localSheetId="7">#REF!</definedName>
    <definedName name="F_02_210" localSheetId="9">#REF!</definedName>
    <definedName name="F_02_210" localSheetId="8">#REF!</definedName>
    <definedName name="F_02_210">#REF!</definedName>
    <definedName name="F_02_240" localSheetId="7">#REF!</definedName>
    <definedName name="F_02_240" localSheetId="9">#REF!</definedName>
    <definedName name="F_02_240" localSheetId="8">#REF!</definedName>
    <definedName name="F_02_240">#REF!</definedName>
    <definedName name="F_02_270" localSheetId="7">#REF!</definedName>
    <definedName name="F_02_270" localSheetId="9">#REF!</definedName>
    <definedName name="F_02_270" localSheetId="8">#REF!</definedName>
    <definedName name="F_02_270">#REF!</definedName>
    <definedName name="F_02_30" localSheetId="7">#REF!</definedName>
    <definedName name="F_02_30" localSheetId="9">#REF!</definedName>
    <definedName name="F_02_30" localSheetId="8">#REF!</definedName>
    <definedName name="F_02_30">#REF!</definedName>
    <definedName name="F_02_300" localSheetId="7">#REF!</definedName>
    <definedName name="F_02_300" localSheetId="9">#REF!</definedName>
    <definedName name="F_02_300" localSheetId="8">#REF!</definedName>
    <definedName name="F_02_300">#REF!</definedName>
    <definedName name="F_02_330" localSheetId="7">#REF!</definedName>
    <definedName name="F_02_330" localSheetId="9">#REF!</definedName>
    <definedName name="F_02_330" localSheetId="8">#REF!</definedName>
    <definedName name="F_02_330">#REF!</definedName>
    <definedName name="F_02_360" localSheetId="7">#REF!</definedName>
    <definedName name="F_02_360" localSheetId="9">#REF!</definedName>
    <definedName name="F_02_360" localSheetId="8">#REF!</definedName>
    <definedName name="F_02_360">#REF!</definedName>
    <definedName name="F_02_390" localSheetId="7">#REF!</definedName>
    <definedName name="F_02_390" localSheetId="9">#REF!</definedName>
    <definedName name="F_02_390" localSheetId="8">#REF!</definedName>
    <definedName name="F_02_390">#REF!</definedName>
    <definedName name="F_02_420" localSheetId="7">#REF!</definedName>
    <definedName name="F_02_420" localSheetId="9">#REF!</definedName>
    <definedName name="F_02_420" localSheetId="8">#REF!</definedName>
    <definedName name="F_02_420">#REF!</definedName>
    <definedName name="F_02_450" localSheetId="7">#REF!</definedName>
    <definedName name="F_02_450" localSheetId="9">#REF!</definedName>
    <definedName name="F_02_450" localSheetId="8">#REF!</definedName>
    <definedName name="F_02_450">#REF!</definedName>
    <definedName name="F_02_480" localSheetId="7">#REF!</definedName>
    <definedName name="F_02_480" localSheetId="9">#REF!</definedName>
    <definedName name="F_02_480" localSheetId="8">#REF!</definedName>
    <definedName name="F_02_480">#REF!</definedName>
    <definedName name="F_02_510" localSheetId="7">#REF!</definedName>
    <definedName name="F_02_510" localSheetId="9">#REF!</definedName>
    <definedName name="F_02_510" localSheetId="8">#REF!</definedName>
    <definedName name="F_02_510">#REF!</definedName>
    <definedName name="F_02_540" localSheetId="7">#REF!</definedName>
    <definedName name="F_02_540" localSheetId="9">#REF!</definedName>
    <definedName name="F_02_540" localSheetId="8">#REF!</definedName>
    <definedName name="F_02_540">#REF!</definedName>
    <definedName name="F_02_570" localSheetId="7">#REF!</definedName>
    <definedName name="F_02_570" localSheetId="9">#REF!</definedName>
    <definedName name="F_02_570" localSheetId="8">#REF!</definedName>
    <definedName name="F_02_570">#REF!</definedName>
    <definedName name="F_02_60" localSheetId="7">#REF!</definedName>
    <definedName name="F_02_60" localSheetId="9">#REF!</definedName>
    <definedName name="F_02_60" localSheetId="8">#REF!</definedName>
    <definedName name="F_02_60">#REF!</definedName>
    <definedName name="F_02_600" localSheetId="7">#REF!</definedName>
    <definedName name="F_02_600" localSheetId="9">#REF!</definedName>
    <definedName name="F_02_600" localSheetId="8">#REF!</definedName>
    <definedName name="F_02_600">#REF!</definedName>
    <definedName name="F_02_630" localSheetId="7">#REF!</definedName>
    <definedName name="F_02_630" localSheetId="9">#REF!</definedName>
    <definedName name="F_02_630" localSheetId="8">#REF!</definedName>
    <definedName name="F_02_630">#REF!</definedName>
    <definedName name="F_02_660" localSheetId="7">#REF!</definedName>
    <definedName name="F_02_660" localSheetId="9">#REF!</definedName>
    <definedName name="F_02_660" localSheetId="8">#REF!</definedName>
    <definedName name="F_02_660">#REF!</definedName>
    <definedName name="F_02_690" localSheetId="7">#REF!</definedName>
    <definedName name="F_02_690" localSheetId="9">#REF!</definedName>
    <definedName name="F_02_690" localSheetId="8">#REF!</definedName>
    <definedName name="F_02_690">#REF!</definedName>
    <definedName name="F_02_720" localSheetId="7">#REF!</definedName>
    <definedName name="F_02_720" localSheetId="9">#REF!</definedName>
    <definedName name="F_02_720" localSheetId="8">#REF!</definedName>
    <definedName name="F_02_720">#REF!</definedName>
    <definedName name="F_02_90" localSheetId="7">#REF!</definedName>
    <definedName name="F_02_90" localSheetId="9">#REF!</definedName>
    <definedName name="F_02_90" localSheetId="8">#REF!</definedName>
    <definedName name="F_02_90">#REF!</definedName>
    <definedName name="F_03_120" localSheetId="7">#REF!</definedName>
    <definedName name="F_03_120" localSheetId="9">#REF!</definedName>
    <definedName name="F_03_120" localSheetId="8">#REF!</definedName>
    <definedName name="F_03_120">#REF!</definedName>
    <definedName name="F_03_150" localSheetId="7">#REF!</definedName>
    <definedName name="F_03_150" localSheetId="9">#REF!</definedName>
    <definedName name="F_03_150" localSheetId="8">#REF!</definedName>
    <definedName name="F_03_150">#REF!</definedName>
    <definedName name="F_03_180" localSheetId="7">#REF!</definedName>
    <definedName name="F_03_180" localSheetId="9">#REF!</definedName>
    <definedName name="F_03_180" localSheetId="8">#REF!</definedName>
    <definedName name="F_03_180">#REF!</definedName>
    <definedName name="F_03_210" localSheetId="7">#REF!</definedName>
    <definedName name="F_03_210" localSheetId="9">#REF!</definedName>
    <definedName name="F_03_210" localSheetId="8">#REF!</definedName>
    <definedName name="F_03_210">#REF!</definedName>
    <definedName name="F_03_240" localSheetId="7">#REF!</definedName>
    <definedName name="F_03_240" localSheetId="9">#REF!</definedName>
    <definedName name="F_03_240" localSheetId="8">#REF!</definedName>
    <definedName name="F_03_240">#REF!</definedName>
    <definedName name="F_03_270" localSheetId="7">#REF!</definedName>
    <definedName name="F_03_270" localSheetId="9">#REF!</definedName>
    <definedName name="F_03_270" localSheetId="8">#REF!</definedName>
    <definedName name="F_03_270">#REF!</definedName>
    <definedName name="F_03_30" localSheetId="7">#REF!</definedName>
    <definedName name="F_03_30" localSheetId="9">#REF!</definedName>
    <definedName name="F_03_30" localSheetId="8">#REF!</definedName>
    <definedName name="F_03_30">#REF!</definedName>
    <definedName name="F_03_300" localSheetId="7">#REF!</definedName>
    <definedName name="F_03_300" localSheetId="9">#REF!</definedName>
    <definedName name="F_03_300" localSheetId="8">#REF!</definedName>
    <definedName name="F_03_300">#REF!</definedName>
    <definedName name="F_03_330" localSheetId="7">#REF!</definedName>
    <definedName name="F_03_330" localSheetId="9">#REF!</definedName>
    <definedName name="F_03_330" localSheetId="8">#REF!</definedName>
    <definedName name="F_03_330">#REF!</definedName>
    <definedName name="F_03_360" localSheetId="7">#REF!</definedName>
    <definedName name="F_03_360" localSheetId="9">#REF!</definedName>
    <definedName name="F_03_360" localSheetId="8">#REF!</definedName>
    <definedName name="F_03_360">#REF!</definedName>
    <definedName name="F_03_390" localSheetId="7">#REF!</definedName>
    <definedName name="F_03_390" localSheetId="9">#REF!</definedName>
    <definedName name="F_03_390" localSheetId="8">#REF!</definedName>
    <definedName name="F_03_390">#REF!</definedName>
    <definedName name="F_03_420" localSheetId="7">#REF!</definedName>
    <definedName name="F_03_420" localSheetId="9">#REF!</definedName>
    <definedName name="F_03_420" localSheetId="8">#REF!</definedName>
    <definedName name="F_03_420">#REF!</definedName>
    <definedName name="F_03_450" localSheetId="7">#REF!</definedName>
    <definedName name="F_03_450" localSheetId="9">#REF!</definedName>
    <definedName name="F_03_450" localSheetId="8">#REF!</definedName>
    <definedName name="F_03_450">#REF!</definedName>
    <definedName name="F_03_480" localSheetId="7">#REF!</definedName>
    <definedName name="F_03_480" localSheetId="9">#REF!</definedName>
    <definedName name="F_03_480" localSheetId="8">#REF!</definedName>
    <definedName name="F_03_480">#REF!</definedName>
    <definedName name="F_03_510" localSheetId="7">#REF!</definedName>
    <definedName name="F_03_510" localSheetId="9">#REF!</definedName>
    <definedName name="F_03_510" localSheetId="8">#REF!</definedName>
    <definedName name="F_03_510">#REF!</definedName>
    <definedName name="F_03_540" localSheetId="7">#REF!</definedName>
    <definedName name="F_03_540" localSheetId="9">#REF!</definedName>
    <definedName name="F_03_540" localSheetId="8">#REF!</definedName>
    <definedName name="F_03_540">#REF!</definedName>
    <definedName name="F_03_570" localSheetId="7">#REF!</definedName>
    <definedName name="F_03_570" localSheetId="9">#REF!</definedName>
    <definedName name="F_03_570" localSheetId="8">#REF!</definedName>
    <definedName name="F_03_570">#REF!</definedName>
    <definedName name="F_03_60" localSheetId="7">#REF!</definedName>
    <definedName name="F_03_60" localSheetId="9">#REF!</definedName>
    <definedName name="F_03_60" localSheetId="8">#REF!</definedName>
    <definedName name="F_03_60">#REF!</definedName>
    <definedName name="F_03_600" localSheetId="7">#REF!</definedName>
    <definedName name="F_03_600" localSheetId="9">#REF!</definedName>
    <definedName name="F_03_600" localSheetId="8">#REF!</definedName>
    <definedName name="F_03_600">#REF!</definedName>
    <definedName name="F_03_630" localSheetId="7">#REF!</definedName>
    <definedName name="F_03_630" localSheetId="9">#REF!</definedName>
    <definedName name="F_03_630" localSheetId="8">#REF!</definedName>
    <definedName name="F_03_630">#REF!</definedName>
    <definedName name="F_03_660" localSheetId="7">#REF!</definedName>
    <definedName name="F_03_660" localSheetId="9">#REF!</definedName>
    <definedName name="F_03_660" localSheetId="8">#REF!</definedName>
    <definedName name="F_03_660">#REF!</definedName>
    <definedName name="F_03_690" localSheetId="7">#REF!</definedName>
    <definedName name="F_03_690" localSheetId="9">#REF!</definedName>
    <definedName name="F_03_690" localSheetId="8">#REF!</definedName>
    <definedName name="F_03_690">#REF!</definedName>
    <definedName name="F_03_720" localSheetId="7">#REF!</definedName>
    <definedName name="F_03_720" localSheetId="9">#REF!</definedName>
    <definedName name="F_03_720" localSheetId="8">#REF!</definedName>
    <definedName name="F_03_720">#REF!</definedName>
    <definedName name="F_03_90" localSheetId="7">#REF!</definedName>
    <definedName name="F_03_90" localSheetId="9">#REF!</definedName>
    <definedName name="F_03_90" localSheetId="8">#REF!</definedName>
    <definedName name="F_03_90">#REF!</definedName>
    <definedName name="F_04_120" localSheetId="7">#REF!</definedName>
    <definedName name="F_04_120" localSheetId="9">#REF!</definedName>
    <definedName name="F_04_120" localSheetId="8">#REF!</definedName>
    <definedName name="F_04_120">#REF!</definedName>
    <definedName name="F_04_150" localSheetId="7">#REF!</definedName>
    <definedName name="F_04_150" localSheetId="9">#REF!</definedName>
    <definedName name="F_04_150" localSheetId="8">#REF!</definedName>
    <definedName name="F_04_150">#REF!</definedName>
    <definedName name="F_04_180" localSheetId="7">#REF!</definedName>
    <definedName name="F_04_180" localSheetId="9">#REF!</definedName>
    <definedName name="F_04_180" localSheetId="8">#REF!</definedName>
    <definedName name="F_04_180">#REF!</definedName>
    <definedName name="F_04_210" localSheetId="7">#REF!</definedName>
    <definedName name="F_04_210" localSheetId="9">#REF!</definedName>
    <definedName name="F_04_210" localSheetId="8">#REF!</definedName>
    <definedName name="F_04_210">#REF!</definedName>
    <definedName name="F_04_240" localSheetId="7">#REF!</definedName>
    <definedName name="F_04_240" localSheetId="9">#REF!</definedName>
    <definedName name="F_04_240" localSheetId="8">#REF!</definedName>
    <definedName name="F_04_240">#REF!</definedName>
    <definedName name="F_04_270" localSheetId="7">#REF!</definedName>
    <definedName name="F_04_270" localSheetId="9">#REF!</definedName>
    <definedName name="F_04_270" localSheetId="8">#REF!</definedName>
    <definedName name="F_04_270">#REF!</definedName>
    <definedName name="F_04_30" localSheetId="7">#REF!</definedName>
    <definedName name="F_04_30" localSheetId="9">#REF!</definedName>
    <definedName name="F_04_30" localSheetId="8">#REF!</definedName>
    <definedName name="F_04_30">#REF!</definedName>
    <definedName name="F_04_300" localSheetId="7">#REF!</definedName>
    <definedName name="F_04_300" localSheetId="9">#REF!</definedName>
    <definedName name="F_04_300" localSheetId="8">#REF!</definedName>
    <definedName name="F_04_300">#REF!</definedName>
    <definedName name="F_04_330" localSheetId="7">#REF!</definedName>
    <definedName name="F_04_330" localSheetId="9">#REF!</definedName>
    <definedName name="F_04_330" localSheetId="8">#REF!</definedName>
    <definedName name="F_04_330">#REF!</definedName>
    <definedName name="F_04_360" localSheetId="7">#REF!</definedName>
    <definedName name="F_04_360" localSheetId="9">#REF!</definedName>
    <definedName name="F_04_360" localSheetId="8">#REF!</definedName>
    <definedName name="F_04_360">#REF!</definedName>
    <definedName name="F_04_390" localSheetId="7">#REF!</definedName>
    <definedName name="F_04_390" localSheetId="9">#REF!</definedName>
    <definedName name="F_04_390" localSheetId="8">#REF!</definedName>
    <definedName name="F_04_390">#REF!</definedName>
    <definedName name="F_04_420" localSheetId="7">#REF!</definedName>
    <definedName name="F_04_420" localSheetId="9">#REF!</definedName>
    <definedName name="F_04_420" localSheetId="8">#REF!</definedName>
    <definedName name="F_04_420">#REF!</definedName>
    <definedName name="F_04_450" localSheetId="7">#REF!</definedName>
    <definedName name="F_04_450" localSheetId="9">#REF!</definedName>
    <definedName name="F_04_450" localSheetId="8">#REF!</definedName>
    <definedName name="F_04_450">#REF!</definedName>
    <definedName name="F_04_480" localSheetId="7">#REF!</definedName>
    <definedName name="F_04_480" localSheetId="9">#REF!</definedName>
    <definedName name="F_04_480" localSheetId="8">#REF!</definedName>
    <definedName name="F_04_480">#REF!</definedName>
    <definedName name="F_04_510" localSheetId="7">#REF!</definedName>
    <definedName name="F_04_510" localSheetId="9">#REF!</definedName>
    <definedName name="F_04_510" localSheetId="8">#REF!</definedName>
    <definedName name="F_04_510">#REF!</definedName>
    <definedName name="F_04_540" localSheetId="7">#REF!</definedName>
    <definedName name="F_04_540" localSheetId="9">#REF!</definedName>
    <definedName name="F_04_540" localSheetId="8">#REF!</definedName>
    <definedName name="F_04_540">#REF!</definedName>
    <definedName name="F_04_570" localSheetId="7">#REF!</definedName>
    <definedName name="F_04_570" localSheetId="9">#REF!</definedName>
    <definedName name="F_04_570" localSheetId="8">#REF!</definedName>
    <definedName name="F_04_570">#REF!</definedName>
    <definedName name="F_04_60" localSheetId="7">#REF!</definedName>
    <definedName name="F_04_60" localSheetId="9">#REF!</definedName>
    <definedName name="F_04_60" localSheetId="8">#REF!</definedName>
    <definedName name="F_04_60">#REF!</definedName>
    <definedName name="F_04_600" localSheetId="7">#REF!</definedName>
    <definedName name="F_04_600" localSheetId="9">#REF!</definedName>
    <definedName name="F_04_600" localSheetId="8">#REF!</definedName>
    <definedName name="F_04_600">#REF!</definedName>
    <definedName name="F_04_630" localSheetId="7">#REF!</definedName>
    <definedName name="F_04_630" localSheetId="9">#REF!</definedName>
    <definedName name="F_04_630" localSheetId="8">#REF!</definedName>
    <definedName name="F_04_630">#REF!</definedName>
    <definedName name="F_04_660" localSheetId="7">#REF!</definedName>
    <definedName name="F_04_660" localSheetId="9">#REF!</definedName>
    <definedName name="F_04_660" localSheetId="8">#REF!</definedName>
    <definedName name="F_04_660">#REF!</definedName>
    <definedName name="F_04_690" localSheetId="7">#REF!</definedName>
    <definedName name="F_04_690" localSheetId="9">#REF!</definedName>
    <definedName name="F_04_690" localSheetId="8">#REF!</definedName>
    <definedName name="F_04_690">#REF!</definedName>
    <definedName name="F_04_720" localSheetId="7">#REF!</definedName>
    <definedName name="F_04_720" localSheetId="9">#REF!</definedName>
    <definedName name="F_04_720" localSheetId="8">#REF!</definedName>
    <definedName name="F_04_720">#REF!</definedName>
    <definedName name="F_04_90" localSheetId="7">#REF!</definedName>
    <definedName name="F_04_90" localSheetId="9">#REF!</definedName>
    <definedName name="F_04_90" localSheetId="8">#REF!</definedName>
    <definedName name="F_04_90">#REF!</definedName>
    <definedName name="F_05_120" localSheetId="7">#REF!</definedName>
    <definedName name="F_05_120" localSheetId="9">#REF!</definedName>
    <definedName name="F_05_120" localSheetId="8">#REF!</definedName>
    <definedName name="F_05_120">#REF!</definedName>
    <definedName name="F_05_150" localSheetId="7">#REF!</definedName>
    <definedName name="F_05_150" localSheetId="9">#REF!</definedName>
    <definedName name="F_05_150" localSheetId="8">#REF!</definedName>
    <definedName name="F_05_150">#REF!</definedName>
    <definedName name="F_05_180" localSheetId="7">#REF!</definedName>
    <definedName name="F_05_180" localSheetId="9">#REF!</definedName>
    <definedName name="F_05_180" localSheetId="8">#REF!</definedName>
    <definedName name="F_05_180">#REF!</definedName>
    <definedName name="F_05_210" localSheetId="7">#REF!</definedName>
    <definedName name="F_05_210" localSheetId="9">#REF!</definedName>
    <definedName name="F_05_210" localSheetId="8">#REF!</definedName>
    <definedName name="F_05_210">#REF!</definedName>
    <definedName name="F_05_240" localSheetId="7">#REF!</definedName>
    <definedName name="F_05_240" localSheetId="9">#REF!</definedName>
    <definedName name="F_05_240" localSheetId="8">#REF!</definedName>
    <definedName name="F_05_240">#REF!</definedName>
    <definedName name="F_05_270" localSheetId="7">#REF!</definedName>
    <definedName name="F_05_270" localSheetId="9">#REF!</definedName>
    <definedName name="F_05_270" localSheetId="8">#REF!</definedName>
    <definedName name="F_05_270">#REF!</definedName>
    <definedName name="F_05_30" localSheetId="7">#REF!</definedName>
    <definedName name="F_05_30" localSheetId="9">#REF!</definedName>
    <definedName name="F_05_30" localSheetId="8">#REF!</definedName>
    <definedName name="F_05_30">#REF!</definedName>
    <definedName name="F_05_300" localSheetId="7">#REF!</definedName>
    <definedName name="F_05_300" localSheetId="9">#REF!</definedName>
    <definedName name="F_05_300" localSheetId="8">#REF!</definedName>
    <definedName name="F_05_300">#REF!</definedName>
    <definedName name="F_05_330" localSheetId="7">#REF!</definedName>
    <definedName name="F_05_330" localSheetId="9">#REF!</definedName>
    <definedName name="F_05_330" localSheetId="8">#REF!</definedName>
    <definedName name="F_05_330">#REF!</definedName>
    <definedName name="F_05_360" localSheetId="7">#REF!</definedName>
    <definedName name="F_05_360" localSheetId="9">#REF!</definedName>
    <definedName name="F_05_360" localSheetId="8">#REF!</definedName>
    <definedName name="F_05_360">#REF!</definedName>
    <definedName name="F_05_390" localSheetId="7">#REF!</definedName>
    <definedName name="F_05_390" localSheetId="9">#REF!</definedName>
    <definedName name="F_05_390" localSheetId="8">#REF!</definedName>
    <definedName name="F_05_390">#REF!</definedName>
    <definedName name="F_05_420" localSheetId="7">#REF!</definedName>
    <definedName name="F_05_420" localSheetId="9">#REF!</definedName>
    <definedName name="F_05_420" localSheetId="8">#REF!</definedName>
    <definedName name="F_05_420">#REF!</definedName>
    <definedName name="F_05_450" localSheetId="7">#REF!</definedName>
    <definedName name="F_05_450" localSheetId="9">#REF!</definedName>
    <definedName name="F_05_450" localSheetId="8">#REF!</definedName>
    <definedName name="F_05_450">#REF!</definedName>
    <definedName name="F_05_480" localSheetId="7">#REF!</definedName>
    <definedName name="F_05_480" localSheetId="9">#REF!</definedName>
    <definedName name="F_05_480" localSheetId="8">#REF!</definedName>
    <definedName name="F_05_480">#REF!</definedName>
    <definedName name="F_05_510" localSheetId="7">#REF!</definedName>
    <definedName name="F_05_510" localSheetId="9">#REF!</definedName>
    <definedName name="F_05_510" localSheetId="8">#REF!</definedName>
    <definedName name="F_05_510">#REF!</definedName>
    <definedName name="F_05_540" localSheetId="7">#REF!</definedName>
    <definedName name="F_05_540" localSheetId="9">#REF!</definedName>
    <definedName name="F_05_540" localSheetId="8">#REF!</definedName>
    <definedName name="F_05_540">#REF!</definedName>
    <definedName name="F_05_570" localSheetId="7">#REF!</definedName>
    <definedName name="F_05_570" localSheetId="9">#REF!</definedName>
    <definedName name="F_05_570" localSheetId="8">#REF!</definedName>
    <definedName name="F_05_570">#REF!</definedName>
    <definedName name="F_05_60" localSheetId="7">#REF!</definedName>
    <definedName name="F_05_60" localSheetId="9">#REF!</definedName>
    <definedName name="F_05_60" localSheetId="8">#REF!</definedName>
    <definedName name="F_05_60">#REF!</definedName>
    <definedName name="F_05_600" localSheetId="7">#REF!</definedName>
    <definedName name="F_05_600" localSheetId="9">#REF!</definedName>
    <definedName name="F_05_600" localSheetId="8">#REF!</definedName>
    <definedName name="F_05_600">#REF!</definedName>
    <definedName name="F_05_630" localSheetId="7">#REF!</definedName>
    <definedName name="F_05_630" localSheetId="9">#REF!</definedName>
    <definedName name="F_05_630" localSheetId="8">#REF!</definedName>
    <definedName name="F_05_630">#REF!</definedName>
    <definedName name="F_05_660" localSheetId="7">#REF!</definedName>
    <definedName name="F_05_660" localSheetId="9">#REF!</definedName>
    <definedName name="F_05_660" localSheetId="8">#REF!</definedName>
    <definedName name="F_05_660">#REF!</definedName>
    <definedName name="F_05_690" localSheetId="7">#REF!</definedName>
    <definedName name="F_05_690" localSheetId="9">#REF!</definedName>
    <definedName name="F_05_690" localSheetId="8">#REF!</definedName>
    <definedName name="F_05_690">#REF!</definedName>
    <definedName name="F_05_720" localSheetId="7">#REF!</definedName>
    <definedName name="F_05_720" localSheetId="9">#REF!</definedName>
    <definedName name="F_05_720" localSheetId="8">#REF!</definedName>
    <definedName name="F_05_720">#REF!</definedName>
    <definedName name="F_05_90" localSheetId="7">#REF!</definedName>
    <definedName name="F_05_90" localSheetId="9">#REF!</definedName>
    <definedName name="F_05_90" localSheetId="8">#REF!</definedName>
    <definedName name="F_05_90">#REF!</definedName>
    <definedName name="F_06_120" localSheetId="7">#REF!</definedName>
    <definedName name="F_06_120" localSheetId="9">#REF!</definedName>
    <definedName name="F_06_120" localSheetId="8">#REF!</definedName>
    <definedName name="F_06_120">#REF!</definedName>
    <definedName name="F_06_150" localSheetId="7">#REF!</definedName>
    <definedName name="F_06_150" localSheetId="9">#REF!</definedName>
    <definedName name="F_06_150" localSheetId="8">#REF!</definedName>
    <definedName name="F_06_150">#REF!</definedName>
    <definedName name="F_06_180" localSheetId="7">#REF!</definedName>
    <definedName name="F_06_180" localSheetId="9">#REF!</definedName>
    <definedName name="F_06_180" localSheetId="8">#REF!</definedName>
    <definedName name="F_06_180">#REF!</definedName>
    <definedName name="F_06_210" localSheetId="7">#REF!</definedName>
    <definedName name="F_06_210" localSheetId="9">#REF!</definedName>
    <definedName name="F_06_210" localSheetId="8">#REF!</definedName>
    <definedName name="F_06_210">#REF!</definedName>
    <definedName name="F_06_240" localSheetId="7">#REF!</definedName>
    <definedName name="F_06_240" localSheetId="9">#REF!</definedName>
    <definedName name="F_06_240" localSheetId="8">#REF!</definedName>
    <definedName name="F_06_240">#REF!</definedName>
    <definedName name="F_06_270" localSheetId="7">#REF!</definedName>
    <definedName name="F_06_270" localSheetId="9">#REF!</definedName>
    <definedName name="F_06_270" localSheetId="8">#REF!</definedName>
    <definedName name="F_06_270">#REF!</definedName>
    <definedName name="F_06_30" localSheetId="7">#REF!</definedName>
    <definedName name="F_06_30" localSheetId="9">#REF!</definedName>
    <definedName name="F_06_30" localSheetId="8">#REF!</definedName>
    <definedName name="F_06_30">#REF!</definedName>
    <definedName name="F_06_300" localSheetId="7">#REF!</definedName>
    <definedName name="F_06_300" localSheetId="9">#REF!</definedName>
    <definedName name="F_06_300" localSheetId="8">#REF!</definedName>
    <definedName name="F_06_300">#REF!</definedName>
    <definedName name="F_06_330" localSheetId="7">#REF!</definedName>
    <definedName name="F_06_330" localSheetId="9">#REF!</definedName>
    <definedName name="F_06_330" localSheetId="8">#REF!</definedName>
    <definedName name="F_06_330">#REF!</definedName>
    <definedName name="F_06_360" localSheetId="7">#REF!</definedName>
    <definedName name="F_06_360" localSheetId="9">#REF!</definedName>
    <definedName name="F_06_360" localSheetId="8">#REF!</definedName>
    <definedName name="F_06_360">#REF!</definedName>
    <definedName name="F_06_390" localSheetId="7">#REF!</definedName>
    <definedName name="F_06_390" localSheetId="9">#REF!</definedName>
    <definedName name="F_06_390" localSheetId="8">#REF!</definedName>
    <definedName name="F_06_390">#REF!</definedName>
    <definedName name="F_06_420" localSheetId="7">#REF!</definedName>
    <definedName name="F_06_420" localSheetId="9">#REF!</definedName>
    <definedName name="F_06_420" localSheetId="8">#REF!</definedName>
    <definedName name="F_06_420">#REF!</definedName>
    <definedName name="F_06_450" localSheetId="7">#REF!</definedName>
    <definedName name="F_06_450" localSheetId="9">#REF!</definedName>
    <definedName name="F_06_450" localSheetId="8">#REF!</definedName>
    <definedName name="F_06_450">#REF!</definedName>
    <definedName name="F_06_480" localSheetId="7">#REF!</definedName>
    <definedName name="F_06_480" localSheetId="9">#REF!</definedName>
    <definedName name="F_06_480" localSheetId="8">#REF!</definedName>
    <definedName name="F_06_480">#REF!</definedName>
    <definedName name="F_06_510" localSheetId="7">#REF!</definedName>
    <definedName name="F_06_510" localSheetId="9">#REF!</definedName>
    <definedName name="F_06_510" localSheetId="8">#REF!</definedName>
    <definedName name="F_06_510">#REF!</definedName>
    <definedName name="F_06_540" localSheetId="7">#REF!</definedName>
    <definedName name="F_06_540" localSheetId="9">#REF!</definedName>
    <definedName name="F_06_540" localSheetId="8">#REF!</definedName>
    <definedName name="F_06_540">#REF!</definedName>
    <definedName name="F_06_570" localSheetId="7">#REF!</definedName>
    <definedName name="F_06_570" localSheetId="9">#REF!</definedName>
    <definedName name="F_06_570" localSheetId="8">#REF!</definedName>
    <definedName name="F_06_570">#REF!</definedName>
    <definedName name="F_06_60" localSheetId="7">#REF!</definedName>
    <definedName name="F_06_60" localSheetId="9">#REF!</definedName>
    <definedName name="F_06_60" localSheetId="8">#REF!</definedName>
    <definedName name="F_06_60">#REF!</definedName>
    <definedName name="F_06_600" localSheetId="7">#REF!</definedName>
    <definedName name="F_06_600" localSheetId="9">#REF!</definedName>
    <definedName name="F_06_600" localSheetId="8">#REF!</definedName>
    <definedName name="F_06_600">#REF!</definedName>
    <definedName name="F_06_630" localSheetId="7">#REF!</definedName>
    <definedName name="F_06_630" localSheetId="9">#REF!</definedName>
    <definedName name="F_06_630" localSheetId="8">#REF!</definedName>
    <definedName name="F_06_630">#REF!</definedName>
    <definedName name="F_06_660" localSheetId="7">#REF!</definedName>
    <definedName name="F_06_660" localSheetId="9">#REF!</definedName>
    <definedName name="F_06_660" localSheetId="8">#REF!</definedName>
    <definedName name="F_06_660">#REF!</definedName>
    <definedName name="F_06_690" localSheetId="7">#REF!</definedName>
    <definedName name="F_06_690" localSheetId="9">#REF!</definedName>
    <definedName name="F_06_690" localSheetId="8">#REF!</definedName>
    <definedName name="F_06_690">#REF!</definedName>
    <definedName name="F_06_720" localSheetId="7">#REF!</definedName>
    <definedName name="F_06_720" localSheetId="9">#REF!</definedName>
    <definedName name="F_06_720" localSheetId="8">#REF!</definedName>
    <definedName name="F_06_720">#REF!</definedName>
    <definedName name="F_06_90" localSheetId="7">#REF!</definedName>
    <definedName name="F_06_90" localSheetId="9">#REF!</definedName>
    <definedName name="F_06_90" localSheetId="8">#REF!</definedName>
    <definedName name="F_06_90">#REF!</definedName>
    <definedName name="F_07_120" localSheetId="7">#REF!</definedName>
    <definedName name="F_07_120" localSheetId="9">#REF!</definedName>
    <definedName name="F_07_120" localSheetId="8">#REF!</definedName>
    <definedName name="F_07_120">#REF!</definedName>
    <definedName name="F_07_150" localSheetId="7">#REF!</definedName>
    <definedName name="F_07_150" localSheetId="9">#REF!</definedName>
    <definedName name="F_07_150" localSheetId="8">#REF!</definedName>
    <definedName name="F_07_150">#REF!</definedName>
    <definedName name="F_07_180" localSheetId="7">#REF!</definedName>
    <definedName name="F_07_180" localSheetId="9">#REF!</definedName>
    <definedName name="F_07_180" localSheetId="8">#REF!</definedName>
    <definedName name="F_07_180">#REF!</definedName>
    <definedName name="F_07_210" localSheetId="7">#REF!</definedName>
    <definedName name="F_07_210" localSheetId="9">#REF!</definedName>
    <definedName name="F_07_210" localSheetId="8">#REF!</definedName>
    <definedName name="F_07_210">#REF!</definedName>
    <definedName name="F_07_240" localSheetId="7">#REF!</definedName>
    <definedName name="F_07_240" localSheetId="9">#REF!</definedName>
    <definedName name="F_07_240" localSheetId="8">#REF!</definedName>
    <definedName name="F_07_240">#REF!</definedName>
    <definedName name="F_07_270" localSheetId="7">#REF!</definedName>
    <definedName name="F_07_270" localSheetId="9">#REF!</definedName>
    <definedName name="F_07_270" localSheetId="8">#REF!</definedName>
    <definedName name="F_07_270">#REF!</definedName>
    <definedName name="F_07_30" localSheetId="7">#REF!</definedName>
    <definedName name="F_07_30" localSheetId="9">#REF!</definedName>
    <definedName name="F_07_30" localSheetId="8">#REF!</definedName>
    <definedName name="F_07_30">#REF!</definedName>
    <definedName name="F_07_300" localSheetId="7">#REF!</definedName>
    <definedName name="F_07_300" localSheetId="9">#REF!</definedName>
    <definedName name="F_07_300" localSheetId="8">#REF!</definedName>
    <definedName name="F_07_300">#REF!</definedName>
    <definedName name="F_07_330" localSheetId="7">#REF!</definedName>
    <definedName name="F_07_330" localSheetId="9">#REF!</definedName>
    <definedName name="F_07_330" localSheetId="8">#REF!</definedName>
    <definedName name="F_07_330">#REF!</definedName>
    <definedName name="F_07_360" localSheetId="7">#REF!</definedName>
    <definedName name="F_07_360" localSheetId="9">#REF!</definedName>
    <definedName name="F_07_360" localSheetId="8">#REF!</definedName>
    <definedName name="F_07_360">#REF!</definedName>
    <definedName name="F_07_390" localSheetId="7">#REF!</definedName>
    <definedName name="F_07_390" localSheetId="9">#REF!</definedName>
    <definedName name="F_07_390" localSheetId="8">#REF!</definedName>
    <definedName name="F_07_390">#REF!</definedName>
    <definedName name="F_07_420" localSheetId="7">#REF!</definedName>
    <definedName name="F_07_420" localSheetId="9">#REF!</definedName>
    <definedName name="F_07_420" localSheetId="8">#REF!</definedName>
    <definedName name="F_07_420">#REF!</definedName>
    <definedName name="F_07_450" localSheetId="7">#REF!</definedName>
    <definedName name="F_07_450" localSheetId="9">#REF!</definedName>
    <definedName name="F_07_450" localSheetId="8">#REF!</definedName>
    <definedName name="F_07_450">#REF!</definedName>
    <definedName name="F_07_480" localSheetId="7">#REF!</definedName>
    <definedName name="F_07_480" localSheetId="9">#REF!</definedName>
    <definedName name="F_07_480" localSheetId="8">#REF!</definedName>
    <definedName name="F_07_480">#REF!</definedName>
    <definedName name="F_07_510" localSheetId="7">#REF!</definedName>
    <definedName name="F_07_510" localSheetId="9">#REF!</definedName>
    <definedName name="F_07_510" localSheetId="8">#REF!</definedName>
    <definedName name="F_07_510">#REF!</definedName>
    <definedName name="F_07_540" localSheetId="7">#REF!</definedName>
    <definedName name="F_07_540" localSheetId="9">#REF!</definedName>
    <definedName name="F_07_540" localSheetId="8">#REF!</definedName>
    <definedName name="F_07_540">#REF!</definedName>
    <definedName name="F_07_570" localSheetId="7">#REF!</definedName>
    <definedName name="F_07_570" localSheetId="9">#REF!</definedName>
    <definedName name="F_07_570" localSheetId="8">#REF!</definedName>
    <definedName name="F_07_570">#REF!</definedName>
    <definedName name="F_07_60" localSheetId="7">#REF!</definedName>
    <definedName name="F_07_60" localSheetId="9">#REF!</definedName>
    <definedName name="F_07_60" localSheetId="8">#REF!</definedName>
    <definedName name="F_07_60">#REF!</definedName>
    <definedName name="F_07_600" localSheetId="7">#REF!</definedName>
    <definedName name="F_07_600" localSheetId="9">#REF!</definedName>
    <definedName name="F_07_600" localSheetId="8">#REF!</definedName>
    <definedName name="F_07_600">#REF!</definedName>
    <definedName name="F_07_630" localSheetId="7">#REF!</definedName>
    <definedName name="F_07_630" localSheetId="9">#REF!</definedName>
    <definedName name="F_07_630" localSheetId="8">#REF!</definedName>
    <definedName name="F_07_630">#REF!</definedName>
    <definedName name="F_07_660" localSheetId="7">#REF!</definedName>
    <definedName name="F_07_660" localSheetId="9">#REF!</definedName>
    <definedName name="F_07_660" localSheetId="8">#REF!</definedName>
    <definedName name="F_07_660">#REF!</definedName>
    <definedName name="F_07_690" localSheetId="7">#REF!</definedName>
    <definedName name="F_07_690" localSheetId="9">#REF!</definedName>
    <definedName name="F_07_690" localSheetId="8">#REF!</definedName>
    <definedName name="F_07_690">#REF!</definedName>
    <definedName name="F_07_720" localSheetId="7">#REF!</definedName>
    <definedName name="F_07_720" localSheetId="9">#REF!</definedName>
    <definedName name="F_07_720" localSheetId="8">#REF!</definedName>
    <definedName name="F_07_720">#REF!</definedName>
    <definedName name="F_07_90" localSheetId="7">#REF!</definedName>
    <definedName name="F_07_90" localSheetId="9">#REF!</definedName>
    <definedName name="F_07_90" localSheetId="8">#REF!</definedName>
    <definedName name="F_07_90">#REF!</definedName>
    <definedName name="F_08_120" localSheetId="7">#REF!</definedName>
    <definedName name="F_08_120" localSheetId="9">#REF!</definedName>
    <definedName name="F_08_120" localSheetId="8">#REF!</definedName>
    <definedName name="F_08_120">#REF!</definedName>
    <definedName name="F_08_150" localSheetId="7">#REF!</definedName>
    <definedName name="F_08_150" localSheetId="9">#REF!</definedName>
    <definedName name="F_08_150" localSheetId="8">#REF!</definedName>
    <definedName name="F_08_150">#REF!</definedName>
    <definedName name="F_08_180" localSheetId="7">#REF!</definedName>
    <definedName name="F_08_180" localSheetId="9">#REF!</definedName>
    <definedName name="F_08_180" localSheetId="8">#REF!</definedName>
    <definedName name="F_08_180">#REF!</definedName>
    <definedName name="F_08_210" localSheetId="7">#REF!</definedName>
    <definedName name="F_08_210" localSheetId="9">#REF!</definedName>
    <definedName name="F_08_210" localSheetId="8">#REF!</definedName>
    <definedName name="F_08_210">#REF!</definedName>
    <definedName name="F_08_240" localSheetId="7">#REF!</definedName>
    <definedName name="F_08_240" localSheetId="9">#REF!</definedName>
    <definedName name="F_08_240" localSheetId="8">#REF!</definedName>
    <definedName name="F_08_240">#REF!</definedName>
    <definedName name="F_08_270" localSheetId="7">#REF!</definedName>
    <definedName name="F_08_270" localSheetId="9">#REF!</definedName>
    <definedName name="F_08_270" localSheetId="8">#REF!</definedName>
    <definedName name="F_08_270">#REF!</definedName>
    <definedName name="F_08_30" localSheetId="7">#REF!</definedName>
    <definedName name="F_08_30" localSheetId="9">#REF!</definedName>
    <definedName name="F_08_30" localSheetId="8">#REF!</definedName>
    <definedName name="F_08_30">#REF!</definedName>
    <definedName name="F_08_300" localSheetId="7">#REF!</definedName>
    <definedName name="F_08_300" localSheetId="9">#REF!</definedName>
    <definedName name="F_08_300" localSheetId="8">#REF!</definedName>
    <definedName name="F_08_300">#REF!</definedName>
    <definedName name="F_08_330" localSheetId="7">#REF!</definedName>
    <definedName name="F_08_330" localSheetId="9">#REF!</definedName>
    <definedName name="F_08_330" localSheetId="8">#REF!</definedName>
    <definedName name="F_08_330">#REF!</definedName>
    <definedName name="F_08_360" localSheetId="7">#REF!</definedName>
    <definedName name="F_08_360" localSheetId="9">#REF!</definedName>
    <definedName name="F_08_360" localSheetId="8">#REF!</definedName>
    <definedName name="F_08_360">#REF!</definedName>
    <definedName name="F_08_390" localSheetId="7">#REF!</definedName>
    <definedName name="F_08_390" localSheetId="9">#REF!</definedName>
    <definedName name="F_08_390" localSheetId="8">#REF!</definedName>
    <definedName name="F_08_390">#REF!</definedName>
    <definedName name="F_08_420" localSheetId="7">#REF!</definedName>
    <definedName name="F_08_420" localSheetId="9">#REF!</definedName>
    <definedName name="F_08_420" localSheetId="8">#REF!</definedName>
    <definedName name="F_08_420">#REF!</definedName>
    <definedName name="F_08_450" localSheetId="7">#REF!</definedName>
    <definedName name="F_08_450" localSheetId="9">#REF!</definedName>
    <definedName name="F_08_450" localSheetId="8">#REF!</definedName>
    <definedName name="F_08_450">#REF!</definedName>
    <definedName name="F_08_480" localSheetId="7">#REF!</definedName>
    <definedName name="F_08_480" localSheetId="9">#REF!</definedName>
    <definedName name="F_08_480" localSheetId="8">#REF!</definedName>
    <definedName name="F_08_480">#REF!</definedName>
    <definedName name="F_08_510" localSheetId="7">#REF!</definedName>
    <definedName name="F_08_510" localSheetId="9">#REF!</definedName>
    <definedName name="F_08_510" localSheetId="8">#REF!</definedName>
    <definedName name="F_08_510">#REF!</definedName>
    <definedName name="F_08_540" localSheetId="7">#REF!</definedName>
    <definedName name="F_08_540" localSheetId="9">#REF!</definedName>
    <definedName name="F_08_540" localSheetId="8">#REF!</definedName>
    <definedName name="F_08_540">#REF!</definedName>
    <definedName name="F_08_570" localSheetId="7">#REF!</definedName>
    <definedName name="F_08_570" localSheetId="9">#REF!</definedName>
    <definedName name="F_08_570" localSheetId="8">#REF!</definedName>
    <definedName name="F_08_570">#REF!</definedName>
    <definedName name="F_08_60" localSheetId="7">#REF!</definedName>
    <definedName name="F_08_60" localSheetId="9">#REF!</definedName>
    <definedName name="F_08_60" localSheetId="8">#REF!</definedName>
    <definedName name="F_08_60">#REF!</definedName>
    <definedName name="F_08_600" localSheetId="7">#REF!</definedName>
    <definedName name="F_08_600" localSheetId="9">#REF!</definedName>
    <definedName name="F_08_600" localSheetId="8">#REF!</definedName>
    <definedName name="F_08_600">#REF!</definedName>
    <definedName name="F_08_630" localSheetId="7">#REF!</definedName>
    <definedName name="F_08_630" localSheetId="9">#REF!</definedName>
    <definedName name="F_08_630" localSheetId="8">#REF!</definedName>
    <definedName name="F_08_630">#REF!</definedName>
    <definedName name="F_08_660" localSheetId="7">#REF!</definedName>
    <definedName name="F_08_660" localSheetId="9">#REF!</definedName>
    <definedName name="F_08_660" localSheetId="8">#REF!</definedName>
    <definedName name="F_08_660">#REF!</definedName>
    <definedName name="F_08_690" localSheetId="7">#REF!</definedName>
    <definedName name="F_08_690" localSheetId="9">#REF!</definedName>
    <definedName name="F_08_690" localSheetId="8">#REF!</definedName>
    <definedName name="F_08_690">#REF!</definedName>
    <definedName name="F_08_720" localSheetId="7">#REF!</definedName>
    <definedName name="F_08_720" localSheetId="9">#REF!</definedName>
    <definedName name="F_08_720" localSheetId="8">#REF!</definedName>
    <definedName name="F_08_720">#REF!</definedName>
    <definedName name="F_08_90" localSheetId="7">#REF!</definedName>
    <definedName name="F_08_90" localSheetId="9">#REF!</definedName>
    <definedName name="F_08_90" localSheetId="8">#REF!</definedName>
    <definedName name="F_08_90">#REF!</definedName>
    <definedName name="F_09_120" localSheetId="7">#REF!</definedName>
    <definedName name="F_09_120" localSheetId="9">#REF!</definedName>
    <definedName name="F_09_120" localSheetId="8">#REF!</definedName>
    <definedName name="F_09_120">#REF!</definedName>
    <definedName name="F_09_150" localSheetId="7">#REF!</definedName>
    <definedName name="F_09_150" localSheetId="9">#REF!</definedName>
    <definedName name="F_09_150" localSheetId="8">#REF!</definedName>
    <definedName name="F_09_150">#REF!</definedName>
    <definedName name="F_09_180" localSheetId="7">#REF!</definedName>
    <definedName name="F_09_180" localSheetId="9">#REF!</definedName>
    <definedName name="F_09_180" localSheetId="8">#REF!</definedName>
    <definedName name="F_09_180">#REF!</definedName>
    <definedName name="F_09_210" localSheetId="7">#REF!</definedName>
    <definedName name="F_09_210" localSheetId="9">#REF!</definedName>
    <definedName name="F_09_210" localSheetId="8">#REF!</definedName>
    <definedName name="F_09_210">#REF!</definedName>
    <definedName name="F_09_240" localSheetId="7">#REF!</definedName>
    <definedName name="F_09_240" localSheetId="9">#REF!</definedName>
    <definedName name="F_09_240" localSheetId="8">#REF!</definedName>
    <definedName name="F_09_240">#REF!</definedName>
    <definedName name="F_09_270" localSheetId="7">#REF!</definedName>
    <definedName name="F_09_270" localSheetId="9">#REF!</definedName>
    <definedName name="F_09_270" localSheetId="8">#REF!</definedName>
    <definedName name="F_09_270">#REF!</definedName>
    <definedName name="F_09_30" localSheetId="7">#REF!</definedName>
    <definedName name="F_09_30" localSheetId="9">#REF!</definedName>
    <definedName name="F_09_30" localSheetId="8">#REF!</definedName>
    <definedName name="F_09_30">#REF!</definedName>
    <definedName name="F_09_300" localSheetId="7">#REF!</definedName>
    <definedName name="F_09_300" localSheetId="9">#REF!</definedName>
    <definedName name="F_09_300" localSheetId="8">#REF!</definedName>
    <definedName name="F_09_300">#REF!</definedName>
    <definedName name="F_09_330" localSheetId="7">#REF!</definedName>
    <definedName name="F_09_330" localSheetId="9">#REF!</definedName>
    <definedName name="F_09_330" localSheetId="8">#REF!</definedName>
    <definedName name="F_09_330">#REF!</definedName>
    <definedName name="F_09_360" localSheetId="7">#REF!</definedName>
    <definedName name="F_09_360" localSheetId="9">#REF!</definedName>
    <definedName name="F_09_360" localSheetId="8">#REF!</definedName>
    <definedName name="F_09_360">#REF!</definedName>
    <definedName name="F_09_390" localSheetId="7">#REF!</definedName>
    <definedName name="F_09_390" localSheetId="9">#REF!</definedName>
    <definedName name="F_09_390" localSheetId="8">#REF!</definedName>
    <definedName name="F_09_390">#REF!</definedName>
    <definedName name="F_09_420" localSheetId="7">#REF!</definedName>
    <definedName name="F_09_420" localSheetId="9">#REF!</definedName>
    <definedName name="F_09_420" localSheetId="8">#REF!</definedName>
    <definedName name="F_09_420">#REF!</definedName>
    <definedName name="F_09_450" localSheetId="7">#REF!</definedName>
    <definedName name="F_09_450" localSheetId="9">#REF!</definedName>
    <definedName name="F_09_450" localSheetId="8">#REF!</definedName>
    <definedName name="F_09_450">#REF!</definedName>
    <definedName name="F_09_480" localSheetId="7">#REF!</definedName>
    <definedName name="F_09_480" localSheetId="9">#REF!</definedName>
    <definedName name="F_09_480" localSheetId="8">#REF!</definedName>
    <definedName name="F_09_480">#REF!</definedName>
    <definedName name="F_09_510" localSheetId="7">#REF!</definedName>
    <definedName name="F_09_510" localSheetId="9">#REF!</definedName>
    <definedName name="F_09_510" localSheetId="8">#REF!</definedName>
    <definedName name="F_09_510">#REF!</definedName>
    <definedName name="F_09_540" localSheetId="7">#REF!</definedName>
    <definedName name="F_09_540" localSheetId="9">#REF!</definedName>
    <definedName name="F_09_540" localSheetId="8">#REF!</definedName>
    <definedName name="F_09_540">#REF!</definedName>
    <definedName name="F_09_570" localSheetId="7">#REF!</definedName>
    <definedName name="F_09_570" localSheetId="9">#REF!</definedName>
    <definedName name="F_09_570" localSheetId="8">#REF!</definedName>
    <definedName name="F_09_570">#REF!</definedName>
    <definedName name="F_09_60" localSheetId="7">#REF!</definedName>
    <definedName name="F_09_60" localSheetId="9">#REF!</definedName>
    <definedName name="F_09_60" localSheetId="8">#REF!</definedName>
    <definedName name="F_09_60">#REF!</definedName>
    <definedName name="F_09_600" localSheetId="7">#REF!</definedName>
    <definedName name="F_09_600" localSheetId="9">#REF!</definedName>
    <definedName name="F_09_600" localSheetId="8">#REF!</definedName>
    <definedName name="F_09_600">#REF!</definedName>
    <definedName name="F_09_630" localSheetId="7">#REF!</definedName>
    <definedName name="F_09_630" localSheetId="9">#REF!</definedName>
    <definedName name="F_09_630" localSheetId="8">#REF!</definedName>
    <definedName name="F_09_630">#REF!</definedName>
    <definedName name="F_09_660" localSheetId="7">#REF!</definedName>
    <definedName name="F_09_660" localSheetId="9">#REF!</definedName>
    <definedName name="F_09_660" localSheetId="8">#REF!</definedName>
    <definedName name="F_09_660">#REF!</definedName>
    <definedName name="F_09_690" localSheetId="7">#REF!</definedName>
    <definedName name="F_09_690" localSheetId="9">#REF!</definedName>
    <definedName name="F_09_690" localSheetId="8">#REF!</definedName>
    <definedName name="F_09_690">#REF!</definedName>
    <definedName name="F_09_720" localSheetId="7">#REF!</definedName>
    <definedName name="F_09_720" localSheetId="9">#REF!</definedName>
    <definedName name="F_09_720" localSheetId="8">#REF!</definedName>
    <definedName name="F_09_720">#REF!</definedName>
    <definedName name="F_09_90" localSheetId="7">#REF!</definedName>
    <definedName name="F_09_90" localSheetId="9">#REF!</definedName>
    <definedName name="F_09_90" localSheetId="8">#REF!</definedName>
    <definedName name="F_09_90">#REF!</definedName>
    <definedName name="F_10_120" localSheetId="7">#REF!</definedName>
    <definedName name="F_10_120" localSheetId="9">#REF!</definedName>
    <definedName name="F_10_120" localSheetId="8">#REF!</definedName>
    <definedName name="F_10_120">#REF!</definedName>
    <definedName name="F_10_150" localSheetId="7">#REF!</definedName>
    <definedName name="F_10_150" localSheetId="9">#REF!</definedName>
    <definedName name="F_10_150" localSheetId="8">#REF!</definedName>
    <definedName name="F_10_150">#REF!</definedName>
    <definedName name="F_10_180" localSheetId="7">#REF!</definedName>
    <definedName name="F_10_180" localSheetId="9">#REF!</definedName>
    <definedName name="F_10_180" localSheetId="8">#REF!</definedName>
    <definedName name="F_10_180">#REF!</definedName>
    <definedName name="F_10_210" localSheetId="7">#REF!</definedName>
    <definedName name="F_10_210" localSheetId="9">#REF!</definedName>
    <definedName name="F_10_210" localSheetId="8">#REF!</definedName>
    <definedName name="F_10_210">#REF!</definedName>
    <definedName name="F_10_240" localSheetId="7">#REF!</definedName>
    <definedName name="F_10_240" localSheetId="9">#REF!</definedName>
    <definedName name="F_10_240" localSheetId="8">#REF!</definedName>
    <definedName name="F_10_240">#REF!</definedName>
    <definedName name="F_10_270" localSheetId="7">#REF!</definedName>
    <definedName name="F_10_270" localSheetId="9">#REF!</definedName>
    <definedName name="F_10_270" localSheetId="8">#REF!</definedName>
    <definedName name="F_10_270">#REF!</definedName>
    <definedName name="F_10_30" localSheetId="7">#REF!</definedName>
    <definedName name="F_10_30" localSheetId="9">#REF!</definedName>
    <definedName name="F_10_30" localSheetId="8">#REF!</definedName>
    <definedName name="F_10_30">#REF!</definedName>
    <definedName name="F_10_300" localSheetId="7">#REF!</definedName>
    <definedName name="F_10_300" localSheetId="9">#REF!</definedName>
    <definedName name="F_10_300" localSheetId="8">#REF!</definedName>
    <definedName name="F_10_300">#REF!</definedName>
    <definedName name="F_10_330" localSheetId="7">#REF!</definedName>
    <definedName name="F_10_330" localSheetId="9">#REF!</definedName>
    <definedName name="F_10_330" localSheetId="8">#REF!</definedName>
    <definedName name="F_10_330">#REF!</definedName>
    <definedName name="F_10_360" localSheetId="7">#REF!</definedName>
    <definedName name="F_10_360" localSheetId="9">#REF!</definedName>
    <definedName name="F_10_360" localSheetId="8">#REF!</definedName>
    <definedName name="F_10_360">#REF!</definedName>
    <definedName name="F_10_390" localSheetId="7">#REF!</definedName>
    <definedName name="F_10_390" localSheetId="9">#REF!</definedName>
    <definedName name="F_10_390" localSheetId="8">#REF!</definedName>
    <definedName name="F_10_390">#REF!</definedName>
    <definedName name="F_10_420" localSheetId="7">#REF!</definedName>
    <definedName name="F_10_420" localSheetId="9">#REF!</definedName>
    <definedName name="F_10_420" localSheetId="8">#REF!</definedName>
    <definedName name="F_10_420">#REF!</definedName>
    <definedName name="F_10_450" localSheetId="7">#REF!</definedName>
    <definedName name="F_10_450" localSheetId="9">#REF!</definedName>
    <definedName name="F_10_450" localSheetId="8">#REF!</definedName>
    <definedName name="F_10_450">#REF!</definedName>
    <definedName name="F_10_480" localSheetId="7">#REF!</definedName>
    <definedName name="F_10_480" localSheetId="9">#REF!</definedName>
    <definedName name="F_10_480" localSheetId="8">#REF!</definedName>
    <definedName name="F_10_480">#REF!</definedName>
    <definedName name="F_10_510" localSheetId="7">#REF!</definedName>
    <definedName name="F_10_510" localSheetId="9">#REF!</definedName>
    <definedName name="F_10_510" localSheetId="8">#REF!</definedName>
    <definedName name="F_10_510">#REF!</definedName>
    <definedName name="F_10_540" localSheetId="7">#REF!</definedName>
    <definedName name="F_10_540" localSheetId="9">#REF!</definedName>
    <definedName name="F_10_540" localSheetId="8">#REF!</definedName>
    <definedName name="F_10_540">#REF!</definedName>
    <definedName name="F_10_570" localSheetId="7">#REF!</definedName>
    <definedName name="F_10_570" localSheetId="9">#REF!</definedName>
    <definedName name="F_10_570" localSheetId="8">#REF!</definedName>
    <definedName name="F_10_570">#REF!</definedName>
    <definedName name="F_10_60" localSheetId="7">#REF!</definedName>
    <definedName name="F_10_60" localSheetId="9">#REF!</definedName>
    <definedName name="F_10_60" localSheetId="8">#REF!</definedName>
    <definedName name="F_10_60">#REF!</definedName>
    <definedName name="F_10_600" localSheetId="7">#REF!</definedName>
    <definedName name="F_10_600" localSheetId="9">#REF!</definedName>
    <definedName name="F_10_600" localSheetId="8">#REF!</definedName>
    <definedName name="F_10_600">#REF!</definedName>
    <definedName name="F_10_630" localSheetId="7">#REF!</definedName>
    <definedName name="F_10_630" localSheetId="9">#REF!</definedName>
    <definedName name="F_10_630" localSheetId="8">#REF!</definedName>
    <definedName name="F_10_630">#REF!</definedName>
    <definedName name="F_10_660" localSheetId="7">#REF!</definedName>
    <definedName name="F_10_660" localSheetId="9">#REF!</definedName>
    <definedName name="F_10_660" localSheetId="8">#REF!</definedName>
    <definedName name="F_10_660">#REF!</definedName>
    <definedName name="F_10_690" localSheetId="7">#REF!</definedName>
    <definedName name="F_10_690" localSheetId="9">#REF!</definedName>
    <definedName name="F_10_690" localSheetId="8">#REF!</definedName>
    <definedName name="F_10_690">#REF!</definedName>
    <definedName name="F_10_720" localSheetId="7">#REF!</definedName>
    <definedName name="F_10_720" localSheetId="9">#REF!</definedName>
    <definedName name="F_10_720" localSheetId="8">#REF!</definedName>
    <definedName name="F_10_720">#REF!</definedName>
    <definedName name="F_10_90" localSheetId="7">#REF!</definedName>
    <definedName name="F_10_90" localSheetId="9">#REF!</definedName>
    <definedName name="F_10_90" localSheetId="8">#REF!</definedName>
    <definedName name="F_10_90">#REF!</definedName>
    <definedName name="F_11_120" localSheetId="7">#REF!</definedName>
    <definedName name="F_11_120" localSheetId="9">#REF!</definedName>
    <definedName name="F_11_120" localSheetId="8">#REF!</definedName>
    <definedName name="F_11_120">#REF!</definedName>
    <definedName name="F_11_150" localSheetId="7">#REF!</definedName>
    <definedName name="F_11_150" localSheetId="9">#REF!</definedName>
    <definedName name="F_11_150" localSheetId="8">#REF!</definedName>
    <definedName name="F_11_150">#REF!</definedName>
    <definedName name="F_11_180" localSheetId="7">#REF!</definedName>
    <definedName name="F_11_180" localSheetId="9">#REF!</definedName>
    <definedName name="F_11_180" localSheetId="8">#REF!</definedName>
    <definedName name="F_11_180">#REF!</definedName>
    <definedName name="F_11_210" localSheetId="7">#REF!</definedName>
    <definedName name="F_11_210" localSheetId="9">#REF!</definedName>
    <definedName name="F_11_210" localSheetId="8">#REF!</definedName>
    <definedName name="F_11_210">#REF!</definedName>
    <definedName name="F_11_240" localSheetId="7">#REF!</definedName>
    <definedName name="F_11_240" localSheetId="9">#REF!</definedName>
    <definedName name="F_11_240" localSheetId="8">#REF!</definedName>
    <definedName name="F_11_240">#REF!</definedName>
    <definedName name="F_11_270" localSheetId="7">#REF!</definedName>
    <definedName name="F_11_270" localSheetId="9">#REF!</definedName>
    <definedName name="F_11_270" localSheetId="8">#REF!</definedName>
    <definedName name="F_11_270">#REF!</definedName>
    <definedName name="F_11_30" localSheetId="7">#REF!</definedName>
    <definedName name="F_11_30" localSheetId="9">#REF!</definedName>
    <definedName name="F_11_30" localSheetId="8">#REF!</definedName>
    <definedName name="F_11_30">#REF!</definedName>
    <definedName name="F_11_300" localSheetId="7">#REF!</definedName>
    <definedName name="F_11_300" localSheetId="9">#REF!</definedName>
    <definedName name="F_11_300" localSheetId="8">#REF!</definedName>
    <definedName name="F_11_300">#REF!</definedName>
    <definedName name="F_11_330" localSheetId="7">#REF!</definedName>
    <definedName name="F_11_330" localSheetId="9">#REF!</definedName>
    <definedName name="F_11_330" localSheetId="8">#REF!</definedName>
    <definedName name="F_11_330">#REF!</definedName>
    <definedName name="F_11_360" localSheetId="7">#REF!</definedName>
    <definedName name="F_11_360" localSheetId="9">#REF!</definedName>
    <definedName name="F_11_360" localSheetId="8">#REF!</definedName>
    <definedName name="F_11_360">#REF!</definedName>
    <definedName name="F_11_390" localSheetId="7">#REF!</definedName>
    <definedName name="F_11_390" localSheetId="9">#REF!</definedName>
    <definedName name="F_11_390" localSheetId="8">#REF!</definedName>
    <definedName name="F_11_390">#REF!</definedName>
    <definedName name="F_11_420" localSheetId="7">#REF!</definedName>
    <definedName name="F_11_420" localSheetId="9">#REF!</definedName>
    <definedName name="F_11_420" localSheetId="8">#REF!</definedName>
    <definedName name="F_11_420">#REF!</definedName>
    <definedName name="F_11_450" localSheetId="7">#REF!</definedName>
    <definedName name="F_11_450" localSheetId="9">#REF!</definedName>
    <definedName name="F_11_450" localSheetId="8">#REF!</definedName>
    <definedName name="F_11_450">#REF!</definedName>
    <definedName name="F_11_480" localSheetId="7">#REF!</definedName>
    <definedName name="F_11_480" localSheetId="9">#REF!</definedName>
    <definedName name="F_11_480" localSheetId="8">#REF!</definedName>
    <definedName name="F_11_480">#REF!</definedName>
    <definedName name="F_11_510" localSheetId="7">#REF!</definedName>
    <definedName name="F_11_510" localSheetId="9">#REF!</definedName>
    <definedName name="F_11_510" localSheetId="8">#REF!</definedName>
    <definedName name="F_11_510">#REF!</definedName>
    <definedName name="F_11_540" localSheetId="7">#REF!</definedName>
    <definedName name="F_11_540" localSheetId="9">#REF!</definedName>
    <definedName name="F_11_540" localSheetId="8">#REF!</definedName>
    <definedName name="F_11_540">#REF!</definedName>
    <definedName name="F_11_570" localSheetId="7">#REF!</definedName>
    <definedName name="F_11_570" localSheetId="9">#REF!</definedName>
    <definedName name="F_11_570" localSheetId="8">#REF!</definedName>
    <definedName name="F_11_570">#REF!</definedName>
    <definedName name="F_11_60" localSheetId="7">#REF!</definedName>
    <definedName name="F_11_60" localSheetId="9">#REF!</definedName>
    <definedName name="F_11_60" localSheetId="8">#REF!</definedName>
    <definedName name="F_11_60">#REF!</definedName>
    <definedName name="F_11_600" localSheetId="7">#REF!</definedName>
    <definedName name="F_11_600" localSheetId="9">#REF!</definedName>
    <definedName name="F_11_600" localSheetId="8">#REF!</definedName>
    <definedName name="F_11_600">#REF!</definedName>
    <definedName name="F_11_630" localSheetId="7">#REF!</definedName>
    <definedName name="F_11_630" localSheetId="9">#REF!</definedName>
    <definedName name="F_11_630" localSheetId="8">#REF!</definedName>
    <definedName name="F_11_630">#REF!</definedName>
    <definedName name="F_11_660" localSheetId="7">#REF!</definedName>
    <definedName name="F_11_660" localSheetId="9">#REF!</definedName>
    <definedName name="F_11_660" localSheetId="8">#REF!</definedName>
    <definedName name="F_11_660">#REF!</definedName>
    <definedName name="F_11_690" localSheetId="7">#REF!</definedName>
    <definedName name="F_11_690" localSheetId="9">#REF!</definedName>
    <definedName name="F_11_690" localSheetId="8">#REF!</definedName>
    <definedName name="F_11_690">#REF!</definedName>
    <definedName name="F_11_720" localSheetId="7">#REF!</definedName>
    <definedName name="F_11_720" localSheetId="9">#REF!</definedName>
    <definedName name="F_11_720" localSheetId="8">#REF!</definedName>
    <definedName name="F_11_720">#REF!</definedName>
    <definedName name="F_11_90" localSheetId="7">#REF!</definedName>
    <definedName name="F_11_90" localSheetId="9">#REF!</definedName>
    <definedName name="F_11_90" localSheetId="8">#REF!</definedName>
    <definedName name="F_11_90">#REF!</definedName>
    <definedName name="F_12_120" localSheetId="7">#REF!</definedName>
    <definedName name="F_12_120" localSheetId="9">#REF!</definedName>
    <definedName name="F_12_120" localSheetId="8">#REF!</definedName>
    <definedName name="F_12_120">#REF!</definedName>
    <definedName name="F_12_150" localSheetId="7">#REF!</definedName>
    <definedName name="F_12_150" localSheetId="9">#REF!</definedName>
    <definedName name="F_12_150" localSheetId="8">#REF!</definedName>
    <definedName name="F_12_150">#REF!</definedName>
    <definedName name="F_12_180" localSheetId="7">#REF!</definedName>
    <definedName name="F_12_180" localSheetId="9">#REF!</definedName>
    <definedName name="F_12_180" localSheetId="8">#REF!</definedName>
    <definedName name="F_12_180">#REF!</definedName>
    <definedName name="F_12_210" localSheetId="7">#REF!</definedName>
    <definedName name="F_12_210" localSheetId="9">#REF!</definedName>
    <definedName name="F_12_210" localSheetId="8">#REF!</definedName>
    <definedName name="F_12_210">#REF!</definedName>
    <definedName name="F_12_240" localSheetId="7">#REF!</definedName>
    <definedName name="F_12_240" localSheetId="9">#REF!</definedName>
    <definedName name="F_12_240" localSheetId="8">#REF!</definedName>
    <definedName name="F_12_240">#REF!</definedName>
    <definedName name="F_12_270" localSheetId="7">#REF!</definedName>
    <definedName name="F_12_270" localSheetId="9">#REF!</definedName>
    <definedName name="F_12_270" localSheetId="8">#REF!</definedName>
    <definedName name="F_12_270">#REF!</definedName>
    <definedName name="F_12_30" localSheetId="7">#REF!</definedName>
    <definedName name="F_12_30" localSheetId="9">#REF!</definedName>
    <definedName name="F_12_30" localSheetId="8">#REF!</definedName>
    <definedName name="F_12_30">#REF!</definedName>
    <definedName name="F_12_300" localSheetId="7">#REF!</definedName>
    <definedName name="F_12_300" localSheetId="9">#REF!</definedName>
    <definedName name="F_12_300" localSheetId="8">#REF!</definedName>
    <definedName name="F_12_300">#REF!</definedName>
    <definedName name="F_12_330" localSheetId="7">#REF!</definedName>
    <definedName name="F_12_330" localSheetId="9">#REF!</definedName>
    <definedName name="F_12_330" localSheetId="8">#REF!</definedName>
    <definedName name="F_12_330">#REF!</definedName>
    <definedName name="F_12_360" localSheetId="7">#REF!</definedName>
    <definedName name="F_12_360" localSheetId="9">#REF!</definedName>
    <definedName name="F_12_360" localSheetId="8">#REF!</definedName>
    <definedName name="F_12_360">#REF!</definedName>
    <definedName name="F_12_390" localSheetId="7">#REF!</definedName>
    <definedName name="F_12_390" localSheetId="9">#REF!</definedName>
    <definedName name="F_12_390" localSheetId="8">#REF!</definedName>
    <definedName name="F_12_390">#REF!</definedName>
    <definedName name="F_12_420" localSheetId="7">#REF!</definedName>
    <definedName name="F_12_420" localSheetId="9">#REF!</definedName>
    <definedName name="F_12_420" localSheetId="8">#REF!</definedName>
    <definedName name="F_12_420">#REF!</definedName>
    <definedName name="F_12_450" localSheetId="7">#REF!</definedName>
    <definedName name="F_12_450" localSheetId="9">#REF!</definedName>
    <definedName name="F_12_450" localSheetId="8">#REF!</definedName>
    <definedName name="F_12_450">#REF!</definedName>
    <definedName name="F_12_480" localSheetId="7">#REF!</definedName>
    <definedName name="F_12_480" localSheetId="9">#REF!</definedName>
    <definedName name="F_12_480" localSheetId="8">#REF!</definedName>
    <definedName name="F_12_480">#REF!</definedName>
    <definedName name="F_12_510" localSheetId="7">#REF!</definedName>
    <definedName name="F_12_510" localSheetId="9">#REF!</definedName>
    <definedName name="F_12_510" localSheetId="8">#REF!</definedName>
    <definedName name="F_12_510">#REF!</definedName>
    <definedName name="F_12_540" localSheetId="7">#REF!</definedName>
    <definedName name="F_12_540" localSheetId="9">#REF!</definedName>
    <definedName name="F_12_540" localSheetId="8">#REF!</definedName>
    <definedName name="F_12_540">#REF!</definedName>
    <definedName name="F_12_570" localSheetId="7">#REF!</definedName>
    <definedName name="F_12_570" localSheetId="9">#REF!</definedName>
    <definedName name="F_12_570" localSheetId="8">#REF!</definedName>
    <definedName name="F_12_570">#REF!</definedName>
    <definedName name="F_12_60" localSheetId="7">#REF!</definedName>
    <definedName name="F_12_60" localSheetId="9">#REF!</definedName>
    <definedName name="F_12_60" localSheetId="8">#REF!</definedName>
    <definedName name="F_12_60">#REF!</definedName>
    <definedName name="F_12_600" localSheetId="7">#REF!</definedName>
    <definedName name="F_12_600" localSheetId="9">#REF!</definedName>
    <definedName name="F_12_600" localSheetId="8">#REF!</definedName>
    <definedName name="F_12_600">#REF!</definedName>
    <definedName name="F_12_630" localSheetId="7">#REF!</definedName>
    <definedName name="F_12_630" localSheetId="9">#REF!</definedName>
    <definedName name="F_12_630" localSheetId="8">#REF!</definedName>
    <definedName name="F_12_630">#REF!</definedName>
    <definedName name="F_12_660" localSheetId="7">#REF!</definedName>
    <definedName name="F_12_660" localSheetId="9">#REF!</definedName>
    <definedName name="F_12_660" localSheetId="8">#REF!</definedName>
    <definedName name="F_12_660">#REF!</definedName>
    <definedName name="F_12_690" localSheetId="7">#REF!</definedName>
    <definedName name="F_12_690" localSheetId="9">#REF!</definedName>
    <definedName name="F_12_690" localSheetId="8">#REF!</definedName>
    <definedName name="F_12_690">#REF!</definedName>
    <definedName name="F_12_720" localSheetId="7">#REF!</definedName>
    <definedName name="F_12_720" localSheetId="9">#REF!</definedName>
    <definedName name="F_12_720" localSheetId="8">#REF!</definedName>
    <definedName name="F_12_720">#REF!</definedName>
    <definedName name="F_12_90" localSheetId="7">#REF!</definedName>
    <definedName name="F_12_90" localSheetId="9">#REF!</definedName>
    <definedName name="F_12_90" localSheetId="8">#REF!</definedName>
    <definedName name="F_12_90">#REF!</definedName>
    <definedName name="F_13_120" localSheetId="7">#REF!</definedName>
    <definedName name="F_13_120" localSheetId="9">#REF!</definedName>
    <definedName name="F_13_120" localSheetId="8">#REF!</definedName>
    <definedName name="F_13_120">#REF!</definedName>
    <definedName name="F_13_150" localSheetId="7">#REF!</definedName>
    <definedName name="F_13_150" localSheetId="9">#REF!</definedName>
    <definedName name="F_13_150" localSheetId="8">#REF!</definedName>
    <definedName name="F_13_150">#REF!</definedName>
    <definedName name="F_13_180" localSheetId="7">#REF!</definedName>
    <definedName name="F_13_180" localSheetId="9">#REF!</definedName>
    <definedName name="F_13_180" localSheetId="8">#REF!</definedName>
    <definedName name="F_13_180">#REF!</definedName>
    <definedName name="F_13_210" localSheetId="7">#REF!</definedName>
    <definedName name="F_13_210" localSheetId="9">#REF!</definedName>
    <definedName name="F_13_210" localSheetId="8">#REF!</definedName>
    <definedName name="F_13_210">#REF!</definedName>
    <definedName name="F_13_240" localSheetId="7">#REF!</definedName>
    <definedName name="F_13_240" localSheetId="9">#REF!</definedName>
    <definedName name="F_13_240" localSheetId="8">#REF!</definedName>
    <definedName name="F_13_240">#REF!</definedName>
    <definedName name="F_13_270" localSheetId="7">#REF!</definedName>
    <definedName name="F_13_270" localSheetId="9">#REF!</definedName>
    <definedName name="F_13_270" localSheetId="8">#REF!</definedName>
    <definedName name="F_13_270">#REF!</definedName>
    <definedName name="F_13_30" localSheetId="7">#REF!</definedName>
    <definedName name="F_13_30" localSheetId="9">#REF!</definedName>
    <definedName name="F_13_30" localSheetId="8">#REF!</definedName>
    <definedName name="F_13_30">#REF!</definedName>
    <definedName name="F_13_300" localSheetId="7">#REF!</definedName>
    <definedName name="F_13_300" localSheetId="9">#REF!</definedName>
    <definedName name="F_13_300" localSheetId="8">#REF!</definedName>
    <definedName name="F_13_300">#REF!</definedName>
    <definedName name="F_13_330" localSheetId="7">#REF!</definedName>
    <definedName name="F_13_330" localSheetId="9">#REF!</definedName>
    <definedName name="F_13_330" localSheetId="8">#REF!</definedName>
    <definedName name="F_13_330">#REF!</definedName>
    <definedName name="F_13_360" localSheetId="7">#REF!</definedName>
    <definedName name="F_13_360" localSheetId="9">#REF!</definedName>
    <definedName name="F_13_360" localSheetId="8">#REF!</definedName>
    <definedName name="F_13_360">#REF!</definedName>
    <definedName name="F_13_390" localSheetId="7">#REF!</definedName>
    <definedName name="F_13_390" localSheetId="9">#REF!</definedName>
    <definedName name="F_13_390" localSheetId="8">#REF!</definedName>
    <definedName name="F_13_390">#REF!</definedName>
    <definedName name="F_13_420" localSheetId="7">#REF!</definedName>
    <definedName name="F_13_420" localSheetId="9">#REF!</definedName>
    <definedName name="F_13_420" localSheetId="8">#REF!</definedName>
    <definedName name="F_13_420">#REF!</definedName>
    <definedName name="F_13_450" localSheetId="7">#REF!</definedName>
    <definedName name="F_13_450" localSheetId="9">#REF!</definedName>
    <definedName name="F_13_450" localSheetId="8">#REF!</definedName>
    <definedName name="F_13_450">#REF!</definedName>
    <definedName name="F_13_480" localSheetId="7">#REF!</definedName>
    <definedName name="F_13_480" localSheetId="9">#REF!</definedName>
    <definedName name="F_13_480" localSheetId="8">#REF!</definedName>
    <definedName name="F_13_480">#REF!</definedName>
    <definedName name="F_13_510" localSheetId="7">#REF!</definedName>
    <definedName name="F_13_510" localSheetId="9">#REF!</definedName>
    <definedName name="F_13_510" localSheetId="8">#REF!</definedName>
    <definedName name="F_13_510">#REF!</definedName>
    <definedName name="F_13_540" localSheetId="7">#REF!</definedName>
    <definedName name="F_13_540" localSheetId="9">#REF!</definedName>
    <definedName name="F_13_540" localSheetId="8">#REF!</definedName>
    <definedName name="F_13_540">#REF!</definedName>
    <definedName name="F_13_570" localSheetId="7">#REF!</definedName>
    <definedName name="F_13_570" localSheetId="9">#REF!</definedName>
    <definedName name="F_13_570" localSheetId="8">#REF!</definedName>
    <definedName name="F_13_570">#REF!</definedName>
    <definedName name="F_13_60" localSheetId="7">#REF!</definedName>
    <definedName name="F_13_60" localSheetId="9">#REF!</definedName>
    <definedName name="F_13_60" localSheetId="8">#REF!</definedName>
    <definedName name="F_13_60">#REF!</definedName>
    <definedName name="F_13_600" localSheetId="7">#REF!</definedName>
    <definedName name="F_13_600" localSheetId="9">#REF!</definedName>
    <definedName name="F_13_600" localSheetId="8">#REF!</definedName>
    <definedName name="F_13_600">#REF!</definedName>
    <definedName name="F_13_630" localSheetId="7">#REF!</definedName>
    <definedName name="F_13_630" localSheetId="9">#REF!</definedName>
    <definedName name="F_13_630" localSheetId="8">#REF!</definedName>
    <definedName name="F_13_630">#REF!</definedName>
    <definedName name="F_13_660" localSheetId="7">#REF!</definedName>
    <definedName name="F_13_660" localSheetId="9">#REF!</definedName>
    <definedName name="F_13_660" localSheetId="8">#REF!</definedName>
    <definedName name="F_13_660">#REF!</definedName>
    <definedName name="F_13_690" localSheetId="7">#REF!</definedName>
    <definedName name="F_13_690" localSheetId="9">#REF!</definedName>
    <definedName name="F_13_690" localSheetId="8">#REF!</definedName>
    <definedName name="F_13_690">#REF!</definedName>
    <definedName name="F_13_720" localSheetId="7">#REF!</definedName>
    <definedName name="F_13_720" localSheetId="9">#REF!</definedName>
    <definedName name="F_13_720" localSheetId="8">#REF!</definedName>
    <definedName name="F_13_720">#REF!</definedName>
    <definedName name="F_13_90" localSheetId="7">#REF!</definedName>
    <definedName name="F_13_90" localSheetId="9">#REF!</definedName>
    <definedName name="F_13_90" localSheetId="8">#REF!</definedName>
    <definedName name="F_13_90">#REF!</definedName>
    <definedName name="F_14_120" localSheetId="7">#REF!</definedName>
    <definedName name="F_14_120" localSheetId="9">#REF!</definedName>
    <definedName name="F_14_120" localSheetId="8">#REF!</definedName>
    <definedName name="F_14_120">#REF!</definedName>
    <definedName name="F_14_150" localSheetId="7">#REF!</definedName>
    <definedName name="F_14_150" localSheetId="9">#REF!</definedName>
    <definedName name="F_14_150" localSheetId="8">#REF!</definedName>
    <definedName name="F_14_150">#REF!</definedName>
    <definedName name="F_14_180" localSheetId="7">#REF!</definedName>
    <definedName name="F_14_180" localSheetId="9">#REF!</definedName>
    <definedName name="F_14_180" localSheetId="8">#REF!</definedName>
    <definedName name="F_14_180">#REF!</definedName>
    <definedName name="F_14_210" localSheetId="7">#REF!</definedName>
    <definedName name="F_14_210" localSheetId="9">#REF!</definedName>
    <definedName name="F_14_210" localSheetId="8">#REF!</definedName>
    <definedName name="F_14_210">#REF!</definedName>
    <definedName name="F_14_240" localSheetId="7">#REF!</definedName>
    <definedName name="F_14_240" localSheetId="9">#REF!</definedName>
    <definedName name="F_14_240" localSheetId="8">#REF!</definedName>
    <definedName name="F_14_240">#REF!</definedName>
    <definedName name="F_14_270" localSheetId="7">#REF!</definedName>
    <definedName name="F_14_270" localSheetId="9">#REF!</definedName>
    <definedName name="F_14_270" localSheetId="8">#REF!</definedName>
    <definedName name="F_14_270">#REF!</definedName>
    <definedName name="F_14_30" localSheetId="7">#REF!</definedName>
    <definedName name="F_14_30" localSheetId="9">#REF!</definedName>
    <definedName name="F_14_30" localSheetId="8">#REF!</definedName>
    <definedName name="F_14_30">#REF!</definedName>
    <definedName name="F_14_300" localSheetId="7">#REF!</definedName>
    <definedName name="F_14_300" localSheetId="9">#REF!</definedName>
    <definedName name="F_14_300" localSheetId="8">#REF!</definedName>
    <definedName name="F_14_300">#REF!</definedName>
    <definedName name="F_14_330" localSheetId="7">#REF!</definedName>
    <definedName name="F_14_330" localSheetId="9">#REF!</definedName>
    <definedName name="F_14_330" localSheetId="8">#REF!</definedName>
    <definedName name="F_14_330">#REF!</definedName>
    <definedName name="F_14_360" localSheetId="7">#REF!</definedName>
    <definedName name="F_14_360" localSheetId="9">#REF!</definedName>
    <definedName name="F_14_360" localSheetId="8">#REF!</definedName>
    <definedName name="F_14_360">#REF!</definedName>
    <definedName name="F_14_390" localSheetId="7">#REF!</definedName>
    <definedName name="F_14_390" localSheetId="9">#REF!</definedName>
    <definedName name="F_14_390" localSheetId="8">#REF!</definedName>
    <definedName name="F_14_390">#REF!</definedName>
    <definedName name="F_14_420" localSheetId="7">#REF!</definedName>
    <definedName name="F_14_420" localSheetId="9">#REF!</definedName>
    <definedName name="F_14_420" localSheetId="8">#REF!</definedName>
    <definedName name="F_14_420">#REF!</definedName>
    <definedName name="F_14_450" localSheetId="7">#REF!</definedName>
    <definedName name="F_14_450" localSheetId="9">#REF!</definedName>
    <definedName name="F_14_450" localSheetId="8">#REF!</definedName>
    <definedName name="F_14_450">#REF!</definedName>
    <definedName name="F_14_480" localSheetId="7">#REF!</definedName>
    <definedName name="F_14_480" localSheetId="9">#REF!</definedName>
    <definedName name="F_14_480" localSheetId="8">#REF!</definedName>
    <definedName name="F_14_480">#REF!</definedName>
    <definedName name="F_14_510" localSheetId="7">#REF!</definedName>
    <definedName name="F_14_510" localSheetId="9">#REF!</definedName>
    <definedName name="F_14_510" localSheetId="8">#REF!</definedName>
    <definedName name="F_14_510">#REF!</definedName>
    <definedName name="F_14_540" localSheetId="7">#REF!</definedName>
    <definedName name="F_14_540" localSheetId="9">#REF!</definedName>
    <definedName name="F_14_540" localSheetId="8">#REF!</definedName>
    <definedName name="F_14_540">#REF!</definedName>
    <definedName name="F_14_570" localSheetId="7">#REF!</definedName>
    <definedName name="F_14_570" localSheetId="9">#REF!</definedName>
    <definedName name="F_14_570" localSheetId="8">#REF!</definedName>
    <definedName name="F_14_570">#REF!</definedName>
    <definedName name="F_14_60" localSheetId="7">#REF!</definedName>
    <definedName name="F_14_60" localSheetId="9">#REF!</definedName>
    <definedName name="F_14_60" localSheetId="8">#REF!</definedName>
    <definedName name="F_14_60">#REF!</definedName>
    <definedName name="F_14_600" localSheetId="7">#REF!</definedName>
    <definedName name="F_14_600" localSheetId="9">#REF!</definedName>
    <definedName name="F_14_600" localSheetId="8">#REF!</definedName>
    <definedName name="F_14_600">#REF!</definedName>
    <definedName name="F_14_630" localSheetId="7">#REF!</definedName>
    <definedName name="F_14_630" localSheetId="9">#REF!</definedName>
    <definedName name="F_14_630" localSheetId="8">#REF!</definedName>
    <definedName name="F_14_630">#REF!</definedName>
    <definedName name="F_14_660" localSheetId="7">#REF!</definedName>
    <definedName name="F_14_660" localSheetId="9">#REF!</definedName>
    <definedName name="F_14_660" localSheetId="8">#REF!</definedName>
    <definedName name="F_14_660">#REF!</definedName>
    <definedName name="F_14_690" localSheetId="7">#REF!</definedName>
    <definedName name="F_14_690" localSheetId="9">#REF!</definedName>
    <definedName name="F_14_690" localSheetId="8">#REF!</definedName>
    <definedName name="F_14_690">#REF!</definedName>
    <definedName name="F_14_720" localSheetId="7">#REF!</definedName>
    <definedName name="F_14_720" localSheetId="9">#REF!</definedName>
    <definedName name="F_14_720" localSheetId="8">#REF!</definedName>
    <definedName name="F_14_720">#REF!</definedName>
    <definedName name="F_14_90" localSheetId="7">#REF!</definedName>
    <definedName name="F_14_90" localSheetId="9">#REF!</definedName>
    <definedName name="F_14_90" localSheetId="8">#REF!</definedName>
    <definedName name="F_14_90">#REF!</definedName>
    <definedName name="F_15_120" localSheetId="7">#REF!</definedName>
    <definedName name="F_15_120" localSheetId="9">#REF!</definedName>
    <definedName name="F_15_120" localSheetId="8">#REF!</definedName>
    <definedName name="F_15_120">#REF!</definedName>
    <definedName name="F_15_150" localSheetId="7">#REF!</definedName>
    <definedName name="F_15_150" localSheetId="9">#REF!</definedName>
    <definedName name="F_15_150" localSheetId="8">#REF!</definedName>
    <definedName name="F_15_150">#REF!</definedName>
    <definedName name="F_15_180" localSheetId="7">#REF!</definedName>
    <definedName name="F_15_180" localSheetId="9">#REF!</definedName>
    <definedName name="F_15_180" localSheetId="8">#REF!</definedName>
    <definedName name="F_15_180">#REF!</definedName>
    <definedName name="F_15_210" localSheetId="7">#REF!</definedName>
    <definedName name="F_15_210" localSheetId="9">#REF!</definedName>
    <definedName name="F_15_210" localSheetId="8">#REF!</definedName>
    <definedName name="F_15_210">#REF!</definedName>
    <definedName name="F_15_240" localSheetId="7">#REF!</definedName>
    <definedName name="F_15_240" localSheetId="9">#REF!</definedName>
    <definedName name="F_15_240" localSheetId="8">#REF!</definedName>
    <definedName name="F_15_240">#REF!</definedName>
    <definedName name="F_15_270" localSheetId="7">#REF!</definedName>
    <definedName name="F_15_270" localSheetId="9">#REF!</definedName>
    <definedName name="F_15_270" localSheetId="8">#REF!</definedName>
    <definedName name="F_15_270">#REF!</definedName>
    <definedName name="F_15_30" localSheetId="7">#REF!</definedName>
    <definedName name="F_15_30" localSheetId="9">#REF!</definedName>
    <definedName name="F_15_30" localSheetId="8">#REF!</definedName>
    <definedName name="F_15_30">#REF!</definedName>
    <definedName name="F_15_300" localSheetId="7">#REF!</definedName>
    <definedName name="F_15_300" localSheetId="9">#REF!</definedName>
    <definedName name="F_15_300" localSheetId="8">#REF!</definedName>
    <definedName name="F_15_300">#REF!</definedName>
    <definedName name="F_15_330" localSheetId="7">#REF!</definedName>
    <definedName name="F_15_330" localSheetId="9">#REF!</definedName>
    <definedName name="F_15_330" localSheetId="8">#REF!</definedName>
    <definedName name="F_15_330">#REF!</definedName>
    <definedName name="F_15_360" localSheetId="7">#REF!</definedName>
    <definedName name="F_15_360" localSheetId="9">#REF!</definedName>
    <definedName name="F_15_360" localSheetId="8">#REF!</definedName>
    <definedName name="F_15_360">#REF!</definedName>
    <definedName name="F_15_390" localSheetId="7">#REF!</definedName>
    <definedName name="F_15_390" localSheetId="9">#REF!</definedName>
    <definedName name="F_15_390" localSheetId="8">#REF!</definedName>
    <definedName name="F_15_390">#REF!</definedName>
    <definedName name="F_15_420" localSheetId="7">#REF!</definedName>
    <definedName name="F_15_420" localSheetId="9">#REF!</definedName>
    <definedName name="F_15_420" localSheetId="8">#REF!</definedName>
    <definedName name="F_15_420">#REF!</definedName>
    <definedName name="F_15_450" localSheetId="7">#REF!</definedName>
    <definedName name="F_15_450" localSheetId="9">#REF!</definedName>
    <definedName name="F_15_450" localSheetId="8">#REF!</definedName>
    <definedName name="F_15_450">#REF!</definedName>
    <definedName name="F_15_480" localSheetId="7">#REF!</definedName>
    <definedName name="F_15_480" localSheetId="9">#REF!</definedName>
    <definedName name="F_15_480" localSheetId="8">#REF!</definedName>
    <definedName name="F_15_480">#REF!</definedName>
    <definedName name="F_15_510" localSheetId="7">#REF!</definedName>
    <definedName name="F_15_510" localSheetId="9">#REF!</definedName>
    <definedName name="F_15_510" localSheetId="8">#REF!</definedName>
    <definedName name="F_15_510">#REF!</definedName>
    <definedName name="F_15_540" localSheetId="7">#REF!</definedName>
    <definedName name="F_15_540" localSheetId="9">#REF!</definedName>
    <definedName name="F_15_540" localSheetId="8">#REF!</definedName>
    <definedName name="F_15_540">#REF!</definedName>
    <definedName name="F_15_570" localSheetId="7">#REF!</definedName>
    <definedName name="F_15_570" localSheetId="9">#REF!</definedName>
    <definedName name="F_15_570" localSheetId="8">#REF!</definedName>
    <definedName name="F_15_570">#REF!</definedName>
    <definedName name="F_15_60" localSheetId="7">#REF!</definedName>
    <definedName name="F_15_60" localSheetId="9">#REF!</definedName>
    <definedName name="F_15_60" localSheetId="8">#REF!</definedName>
    <definedName name="F_15_60">#REF!</definedName>
    <definedName name="F_15_600" localSheetId="7">#REF!</definedName>
    <definedName name="F_15_600" localSheetId="9">#REF!</definedName>
    <definedName name="F_15_600" localSheetId="8">#REF!</definedName>
    <definedName name="F_15_600">#REF!</definedName>
    <definedName name="F_15_630" localSheetId="7">#REF!</definedName>
    <definedName name="F_15_630" localSheetId="9">#REF!</definedName>
    <definedName name="F_15_630" localSheetId="8">#REF!</definedName>
    <definedName name="F_15_630">#REF!</definedName>
    <definedName name="F_15_660" localSheetId="7">#REF!</definedName>
    <definedName name="F_15_660" localSheetId="9">#REF!</definedName>
    <definedName name="F_15_660" localSheetId="8">#REF!</definedName>
    <definedName name="F_15_660">#REF!</definedName>
    <definedName name="F_15_690" localSheetId="7">#REF!</definedName>
    <definedName name="F_15_690" localSheetId="9">#REF!</definedName>
    <definedName name="F_15_690" localSheetId="8">#REF!</definedName>
    <definedName name="F_15_690">#REF!</definedName>
    <definedName name="F_15_720" localSheetId="7">#REF!</definedName>
    <definedName name="F_15_720" localSheetId="9">#REF!</definedName>
    <definedName name="F_15_720" localSheetId="8">#REF!</definedName>
    <definedName name="F_15_720">#REF!</definedName>
    <definedName name="F_15_90" localSheetId="7">#REF!</definedName>
    <definedName name="F_15_90" localSheetId="9">#REF!</definedName>
    <definedName name="F_15_90" localSheetId="8">#REF!</definedName>
    <definedName name="F_15_90">#REF!</definedName>
    <definedName name="faixa">'[2]RESUMO-DVOP'!$N$123</definedName>
    <definedName name="faixa2">'[2]RESUMO-DVOP'!$N$185</definedName>
    <definedName name="FATOR" localSheetId="7">#REF!</definedName>
    <definedName name="FATOR" localSheetId="9">#REF!</definedName>
    <definedName name="FATOR" localSheetId="8">#REF!</definedName>
    <definedName name="FATOR">#REF!</definedName>
    <definedName name="fator100" localSheetId="7">#REF!</definedName>
    <definedName name="fator100" localSheetId="9">#REF!</definedName>
    <definedName name="fator100" localSheetId="8">#REF!</definedName>
    <definedName name="fator100">#REF!</definedName>
    <definedName name="FATOR2" localSheetId="7">#REF!</definedName>
    <definedName name="FATOR2" localSheetId="9">#REF!</definedName>
    <definedName name="FATOR2" localSheetId="8">#REF!</definedName>
    <definedName name="FATOR2">#REF!</definedName>
    <definedName name="fator50" localSheetId="7">#REF!</definedName>
    <definedName name="fator50" localSheetId="9">#REF!</definedName>
    <definedName name="fator50" localSheetId="8">#REF!</definedName>
    <definedName name="fator50">#REF!</definedName>
    <definedName name="FE">'[19]RESUMO-DVOP'!$C$35</definedName>
    <definedName name="Ferro_CA60" localSheetId="7">#REF!</definedName>
    <definedName name="Ferro_CA60" localSheetId="9">#REF!</definedName>
    <definedName name="Ferro_CA60" localSheetId="8">#REF!</definedName>
    <definedName name="Ferro_CA60">#REF!</definedName>
    <definedName name="ffg" localSheetId="7" hidden="1">{#N/A,#N/A,FALSE,"MO (2)"}</definedName>
    <definedName name="ffg" localSheetId="9" hidden="1">{#N/A,#N/A,FALSE,"MO (2)"}</definedName>
    <definedName name="ffg" localSheetId="8" hidden="1">{#N/A,#N/A,FALSE,"MO (2)"}</definedName>
    <definedName name="ffg" hidden="1">{#N/A,#N/A,FALSE,"MO (2)"}</definedName>
    <definedName name="ffg_1" localSheetId="7" hidden="1">{#N/A,#N/A,FALSE,"MO (2)"}</definedName>
    <definedName name="ffg_1" localSheetId="9" hidden="1">{#N/A,#N/A,FALSE,"MO (2)"}</definedName>
    <definedName name="ffg_1" localSheetId="8" hidden="1">{#N/A,#N/A,FALSE,"MO (2)"}</definedName>
    <definedName name="ffg_1" hidden="1">{#N/A,#N/A,FALSE,"MO (2)"}</definedName>
    <definedName name="fghji" localSheetId="7" hidden="1">{#N/A,#N/A,FALSE,"MO (2)"}</definedName>
    <definedName name="fghji" localSheetId="9" hidden="1">{#N/A,#N/A,FALSE,"MO (2)"}</definedName>
    <definedName name="fghji" localSheetId="8" hidden="1">{#N/A,#N/A,FALSE,"MO (2)"}</definedName>
    <definedName name="fghji" hidden="1">{#N/A,#N/A,FALSE,"MO (2)"}</definedName>
    <definedName name="fghji_1" localSheetId="7" hidden="1">{#N/A,#N/A,FALSE,"MO (2)"}</definedName>
    <definedName name="fghji_1" localSheetId="9" hidden="1">{#N/A,#N/A,FALSE,"MO (2)"}</definedName>
    <definedName name="fghji_1" localSheetId="8" hidden="1">{#N/A,#N/A,FALSE,"MO (2)"}</definedName>
    <definedName name="fghji_1" hidden="1">{#N/A,#N/A,FALSE,"MO (2)"}</definedName>
    <definedName name="Filtro" localSheetId="7">#REF!</definedName>
    <definedName name="Filtro" localSheetId="9">#REF!</definedName>
    <definedName name="Filtro" localSheetId="8">#REF!</definedName>
    <definedName name="Filtro">#REF!</definedName>
    <definedName name="fir" localSheetId="7">#REF!</definedName>
    <definedName name="fir" localSheetId="9">#REF!</definedName>
    <definedName name="fir" localSheetId="8">#REF!</definedName>
    <definedName name="fir">#REF!</definedName>
    <definedName name="FIRMA" localSheetId="7">#REF!</definedName>
    <definedName name="FIRMA" localSheetId="9">#REF!</definedName>
    <definedName name="FIRMA" localSheetId="8">#REF!</definedName>
    <definedName name="FIRMA">#REF!</definedName>
    <definedName name="FIRMA1" localSheetId="7">#REF!</definedName>
    <definedName name="FIRMA1" localSheetId="9">#REF!</definedName>
    <definedName name="FIRMA1" localSheetId="8">#REF!</definedName>
    <definedName name="FIRMA1">#REF!</definedName>
    <definedName name="FIRMA2" localSheetId="7">#REF!</definedName>
    <definedName name="FIRMA2" localSheetId="9">#REF!</definedName>
    <definedName name="FIRMA2" localSheetId="8">#REF!</definedName>
    <definedName name="FIRMA2">#REF!</definedName>
    <definedName name="FIRMA3" localSheetId="7">#REF!</definedName>
    <definedName name="FIRMA3" localSheetId="9">#REF!</definedName>
    <definedName name="FIRMA3" localSheetId="8">#REF!</definedName>
    <definedName name="FIRMA3">#REF!</definedName>
    <definedName name="FOG" localSheetId="7">#REF!</definedName>
    <definedName name="FOG" localSheetId="9">#REF!</definedName>
    <definedName name="FOG" localSheetId="8">#REF!</definedName>
    <definedName name="FOG">#REF!</definedName>
    <definedName name="FORN_ACESS_EMISS" localSheetId="7">#REF!</definedName>
    <definedName name="FORN_ACESS_EMISS" localSheetId="9">#REF!</definedName>
    <definedName name="FORN_ACESS_EMISS" localSheetId="8">#REF!</definedName>
    <definedName name="FORN_ACESS_EMISS">#REF!</definedName>
    <definedName name="FORN_ACESS_EMISS2_M" localSheetId="7">#REF!</definedName>
    <definedName name="FORN_ACESS_EMISS2_M" localSheetId="9">#REF!</definedName>
    <definedName name="FORN_ACESS_EMISS2_M" localSheetId="8">#REF!</definedName>
    <definedName name="FORN_ACESS_EMISS2_M">#REF!</definedName>
    <definedName name="FORN_ACESS_EMISS3_M" localSheetId="7">#REF!</definedName>
    <definedName name="FORN_ACESS_EMISS3_M" localSheetId="9">#REF!</definedName>
    <definedName name="FORN_ACESS_EMISS3_M" localSheetId="8">#REF!</definedName>
    <definedName name="FORN_ACESS_EMISS3_M">#REF!</definedName>
    <definedName name="FORN_ACESS_REDE_COL" localSheetId="7">#REF!</definedName>
    <definedName name="FORN_ACESS_REDE_COL" localSheetId="9">#REF!</definedName>
    <definedName name="FORN_ACESS_REDE_COL" localSheetId="8">#REF!</definedName>
    <definedName name="FORN_ACESS_REDE_COL">#REF!</definedName>
    <definedName name="FORN_ACESSÓRIOS" localSheetId="7">#REF!</definedName>
    <definedName name="FORN_ACESSÓRIOS" localSheetId="9">#REF!</definedName>
    <definedName name="FORN_ACESSÓRIOS" localSheetId="8">#REF!</definedName>
    <definedName name="FORN_ACESSÓRIOS">#REF!</definedName>
    <definedName name="FORN_CON_EMISS3_M" localSheetId="7">#REF!</definedName>
    <definedName name="FORN_CON_EMISS3_M" localSheetId="9">#REF!</definedName>
    <definedName name="FORN_CON_EMISS3_M" localSheetId="8">#REF!</definedName>
    <definedName name="FORN_CON_EMISS3_M">#REF!</definedName>
    <definedName name="FORN_CONEX" localSheetId="7">#REF!</definedName>
    <definedName name="FORN_CONEX" localSheetId="9">#REF!</definedName>
    <definedName name="FORN_CONEX" localSheetId="8">#REF!</definedName>
    <definedName name="FORN_CONEX">#REF!</definedName>
    <definedName name="FORN_CONEX_EMISS" localSheetId="7">#REF!</definedName>
    <definedName name="FORN_CONEX_EMISS" localSheetId="9">#REF!</definedName>
    <definedName name="FORN_CONEX_EMISS" localSheetId="8">#REF!</definedName>
    <definedName name="FORN_CONEX_EMISS">#REF!</definedName>
    <definedName name="FORN_CONEX_PEÇAS" localSheetId="7">#REF!</definedName>
    <definedName name="FORN_CONEX_PEÇAS" localSheetId="9">#REF!</definedName>
    <definedName name="FORN_CONEX_PEÇAS" localSheetId="8">#REF!</definedName>
    <definedName name="FORN_CONEX_PEÇAS">#REF!</definedName>
    <definedName name="FORN_PEÇAS_EMISS2_M" localSheetId="7">#REF!</definedName>
    <definedName name="FORN_PEÇAS_EMISS2_M" localSheetId="9">#REF!</definedName>
    <definedName name="FORN_PEÇAS_EMISS2_M" localSheetId="8">#REF!</definedName>
    <definedName name="FORN_PEÇAS_EMISS2_M">#REF!</definedName>
    <definedName name="FORN_TUB_EMISS" localSheetId="7">#REF!</definedName>
    <definedName name="FORN_TUB_EMISS" localSheetId="9">#REF!</definedName>
    <definedName name="FORN_TUB_EMISS" localSheetId="8">#REF!</definedName>
    <definedName name="FORN_TUB_EMISS">#REF!</definedName>
    <definedName name="FORN_TUB_EMISS2_M" localSheetId="7">#REF!</definedName>
    <definedName name="FORN_TUB_EMISS2_M" localSheetId="9">#REF!</definedName>
    <definedName name="FORN_TUB_EMISS2_M" localSheetId="8">#REF!</definedName>
    <definedName name="FORN_TUB_EMISS2_M">#REF!</definedName>
    <definedName name="FORN_TUB_EMISS3_M" localSheetId="7">#REF!</definedName>
    <definedName name="FORN_TUB_EMISS3_M" localSheetId="9">#REF!</definedName>
    <definedName name="FORN_TUB_EMISS3_M" localSheetId="8">#REF!</definedName>
    <definedName name="FORN_TUB_EMISS3_M">#REF!</definedName>
    <definedName name="FORN_TUB_REDE_COL" localSheetId="7">#REF!</definedName>
    <definedName name="FORN_TUB_REDE_COL" localSheetId="9">#REF!</definedName>
    <definedName name="FORN_TUB_REDE_COL" localSheetId="8">#REF!</definedName>
    <definedName name="FORN_TUB_REDE_COL">#REF!</definedName>
    <definedName name="FORN_TUBU" localSheetId="7">#REF!</definedName>
    <definedName name="FORN_TUBU" localSheetId="9">#REF!</definedName>
    <definedName name="FORN_TUBU" localSheetId="8">#REF!</definedName>
    <definedName name="FORN_TUBU">#REF!</definedName>
    <definedName name="fornecer" localSheetId="7">#REF!</definedName>
    <definedName name="fornecer" localSheetId="9">#REF!</definedName>
    <definedName name="fornecer" localSheetId="8">#REF!</definedName>
    <definedName name="fornecer">#REF!</definedName>
    <definedName name="Fundação" localSheetId="7">#REF!</definedName>
    <definedName name="Fundação" localSheetId="9">#REF!</definedName>
    <definedName name="Fundação" localSheetId="8">#REF!</definedName>
    <definedName name="Fundação">#REF!</definedName>
    <definedName name="fx_horiz" localSheetId="7">#REF!</definedName>
    <definedName name="fx_horiz" localSheetId="9">#REF!</definedName>
    <definedName name="fx_horiz" localSheetId="8">#REF!</definedName>
    <definedName name="fx_horiz">#REF!</definedName>
    <definedName name="G_01" localSheetId="7">#REF!</definedName>
    <definedName name="G_01" localSheetId="9">#REF!</definedName>
    <definedName name="G_01" localSheetId="8">#REF!</definedName>
    <definedName name="G_01">#REF!</definedName>
    <definedName name="G_02" localSheetId="7">#REF!</definedName>
    <definedName name="G_02" localSheetId="9">#REF!</definedName>
    <definedName name="G_02" localSheetId="8">#REF!</definedName>
    <definedName name="G_02">#REF!</definedName>
    <definedName name="G_03" localSheetId="7">#REF!</definedName>
    <definedName name="G_03" localSheetId="9">#REF!</definedName>
    <definedName name="G_03" localSheetId="8">#REF!</definedName>
    <definedName name="G_03">#REF!</definedName>
    <definedName name="G_04" localSheetId="7">#REF!</definedName>
    <definedName name="G_04" localSheetId="9">#REF!</definedName>
    <definedName name="G_04" localSheetId="8">#REF!</definedName>
    <definedName name="G_04">#REF!</definedName>
    <definedName name="G_05" localSheetId="7">#REF!</definedName>
    <definedName name="G_05" localSheetId="9">#REF!</definedName>
    <definedName name="G_05" localSheetId="8">#REF!</definedName>
    <definedName name="G_05">#REF!</definedName>
    <definedName name="G_06" localSheetId="7">#REF!</definedName>
    <definedName name="G_06" localSheetId="9">#REF!</definedName>
    <definedName name="G_06" localSheetId="8">#REF!</definedName>
    <definedName name="G_06">#REF!</definedName>
    <definedName name="G_07" localSheetId="7">#REF!</definedName>
    <definedName name="G_07" localSheetId="9">#REF!</definedName>
    <definedName name="G_07" localSheetId="8">#REF!</definedName>
    <definedName name="G_07">#REF!</definedName>
    <definedName name="G_08" localSheetId="7">#REF!</definedName>
    <definedName name="G_08" localSheetId="9">#REF!</definedName>
    <definedName name="G_08" localSheetId="8">#REF!</definedName>
    <definedName name="G_08">#REF!</definedName>
    <definedName name="G_09" localSheetId="7">#REF!</definedName>
    <definedName name="G_09" localSheetId="9">#REF!</definedName>
    <definedName name="G_09" localSheetId="8">#REF!</definedName>
    <definedName name="G_09">#REF!</definedName>
    <definedName name="G_10" localSheetId="7">#REF!</definedName>
    <definedName name="G_10" localSheetId="9">#REF!</definedName>
    <definedName name="G_10" localSheetId="8">#REF!</definedName>
    <definedName name="G_10">#REF!</definedName>
    <definedName name="G_11" localSheetId="7">#REF!</definedName>
    <definedName name="G_11" localSheetId="9">#REF!</definedName>
    <definedName name="G_11" localSheetId="8">#REF!</definedName>
    <definedName name="G_11">#REF!</definedName>
    <definedName name="G_12" localSheetId="7">#REF!</definedName>
    <definedName name="G_12" localSheetId="9">#REF!</definedName>
    <definedName name="G_12" localSheetId="8">#REF!</definedName>
    <definedName name="G_12">#REF!</definedName>
    <definedName name="G_13" localSheetId="7">#REF!</definedName>
    <definedName name="G_13" localSheetId="9">#REF!</definedName>
    <definedName name="G_13" localSheetId="8">#REF!</definedName>
    <definedName name="G_13">#REF!</definedName>
    <definedName name="G_14" localSheetId="7">#REF!</definedName>
    <definedName name="G_14" localSheetId="9">#REF!</definedName>
    <definedName name="G_14" localSheetId="8">#REF!</definedName>
    <definedName name="G_14">#REF!</definedName>
    <definedName name="G_15" localSheetId="7">#REF!</definedName>
    <definedName name="G_15" localSheetId="9">#REF!</definedName>
    <definedName name="G_15" localSheetId="8">#REF!</definedName>
    <definedName name="G_15">#REF!</definedName>
    <definedName name="G_16" localSheetId="7">#REF!</definedName>
    <definedName name="G_16" localSheetId="9">#REF!</definedName>
    <definedName name="G_16" localSheetId="8">#REF!</definedName>
    <definedName name="G_16">#REF!</definedName>
    <definedName name="G_17" localSheetId="7">#REF!</definedName>
    <definedName name="G_17" localSheetId="9">#REF!</definedName>
    <definedName name="G_17" localSheetId="8">#REF!</definedName>
    <definedName name="G_17">#REF!</definedName>
    <definedName name="G_18" localSheetId="7">#REF!</definedName>
    <definedName name="G_18" localSheetId="9">#REF!</definedName>
    <definedName name="G_18" localSheetId="8">#REF!</definedName>
    <definedName name="G_18">#REF!</definedName>
    <definedName name="G_19" localSheetId="7">#REF!</definedName>
    <definedName name="G_19" localSheetId="9">#REF!</definedName>
    <definedName name="G_19" localSheetId="8">#REF!</definedName>
    <definedName name="G_19">#REF!</definedName>
    <definedName name="G_20" localSheetId="7">#REF!</definedName>
    <definedName name="G_20" localSheetId="9">#REF!</definedName>
    <definedName name="G_20" localSheetId="8">#REF!</definedName>
    <definedName name="G_20">#REF!</definedName>
    <definedName name="G_21" localSheetId="7">#REF!</definedName>
    <definedName name="G_21" localSheetId="9">#REF!</definedName>
    <definedName name="G_21" localSheetId="8">#REF!</definedName>
    <definedName name="G_21">#REF!</definedName>
    <definedName name="G_22" localSheetId="7">#REF!</definedName>
    <definedName name="G_22" localSheetId="9">#REF!</definedName>
    <definedName name="G_22" localSheetId="8">#REF!</definedName>
    <definedName name="G_22">#REF!</definedName>
    <definedName name="G_23" localSheetId="7">#REF!</definedName>
    <definedName name="G_23" localSheetId="9">#REF!</definedName>
    <definedName name="G_23" localSheetId="8">#REF!</definedName>
    <definedName name="G_23">#REF!</definedName>
    <definedName name="G_24" localSheetId="7">#REF!</definedName>
    <definedName name="G_24" localSheetId="9">#REF!</definedName>
    <definedName name="G_24" localSheetId="8">#REF!</definedName>
    <definedName name="G_24">#REF!</definedName>
    <definedName name="G_25" localSheetId="7">#REF!</definedName>
    <definedName name="G_25" localSheetId="9">#REF!</definedName>
    <definedName name="G_25" localSheetId="8">#REF!</definedName>
    <definedName name="G_25">#REF!</definedName>
    <definedName name="GAS">'[16]INSUMOS BÁSICOS'!$E$66</definedName>
    <definedName name="GASOLINA" localSheetId="7">#REF!</definedName>
    <definedName name="GASOLINA" localSheetId="9">#REF!</definedName>
    <definedName name="GASOLINA" localSheetId="8">#REF!</definedName>
    <definedName name="GASOLINA">#REF!</definedName>
    <definedName name="GD" localSheetId="9">'[16]QUADRO 04 - PLANILHAS PREÇOS'!#REF!</definedName>
    <definedName name="GD">'[16]QUADRO 04 - PLANILHAS PREÇOS'!#REF!</definedName>
    <definedName name="geral" localSheetId="7">#REF!</definedName>
    <definedName name="geral" localSheetId="9">#REF!</definedName>
    <definedName name="geral" localSheetId="8">#REF!</definedName>
    <definedName name="geral">#REF!</definedName>
    <definedName name="gfgh" localSheetId="7" hidden="1">{#N/A,#N/A,FALSE,"MO (2)"}</definedName>
    <definedName name="gfgh" localSheetId="9" hidden="1">{#N/A,#N/A,FALSE,"MO (2)"}</definedName>
    <definedName name="gfgh" localSheetId="8" hidden="1">{#N/A,#N/A,FALSE,"MO (2)"}</definedName>
    <definedName name="gfgh" hidden="1">{#N/A,#N/A,FALSE,"MO (2)"}</definedName>
    <definedName name="gfgh_1" localSheetId="7" hidden="1">{#N/A,#N/A,FALSE,"MO (2)"}</definedName>
    <definedName name="gfgh_1" localSheetId="9" hidden="1">{#N/A,#N/A,FALSE,"MO (2)"}</definedName>
    <definedName name="gfgh_1" localSheetId="8" hidden="1">{#N/A,#N/A,FALSE,"MO (2)"}</definedName>
    <definedName name="gfgh_1" hidden="1">{#N/A,#N/A,FALSE,"MO (2)"}</definedName>
    <definedName name="GRAMA">'[16]QUADRO 04 - PLANILHAS PREÇOS'!#REF!</definedName>
    <definedName name="grama_mudas" localSheetId="7">#REF!</definedName>
    <definedName name="grama_mudas" localSheetId="9">#REF!</definedName>
    <definedName name="grama_mudas" localSheetId="8">#REF!</definedName>
    <definedName name="grama_mudas">#REF!</definedName>
    <definedName name="_xlnm.Recorder" localSheetId="7">#REF!</definedName>
    <definedName name="_xlnm.Recorder" localSheetId="9">#REF!</definedName>
    <definedName name="_xlnm.Recorder" localSheetId="8">#REF!</definedName>
    <definedName name="_xlnm.Recorder">#REF!</definedName>
    <definedName name="Guias" localSheetId="7">#REF!</definedName>
    <definedName name="Guias" localSheetId="9">#REF!</definedName>
    <definedName name="Guias" localSheetId="8">#REF!</definedName>
    <definedName name="Guias">#REF!</definedName>
    <definedName name="ic">'[20]Desmatamento '!$L$10</definedName>
    <definedName name="INDI" localSheetId="7">#REF!</definedName>
    <definedName name="INDI" localSheetId="9">#REF!</definedName>
    <definedName name="INDI" localSheetId="8">#REF!</definedName>
    <definedName name="INDI">#REF!</definedName>
    <definedName name="indi_33" localSheetId="7">#REF!</definedName>
    <definedName name="indi_33" localSheetId="9">#REF!</definedName>
    <definedName name="indi_33" localSheetId="8">#REF!</definedName>
    <definedName name="indi_33">#REF!</definedName>
    <definedName name="INDI22" localSheetId="7">#REF!</definedName>
    <definedName name="INDI22" localSheetId="9">#REF!</definedName>
    <definedName name="INDI22" localSheetId="8">#REF!</definedName>
    <definedName name="INDI22">#REF!</definedName>
    <definedName name="indice_2" localSheetId="7">#REF!</definedName>
    <definedName name="indice_2" localSheetId="9">#REF!</definedName>
    <definedName name="indice_2" localSheetId="8">#REF!</definedName>
    <definedName name="indice_2">#REF!</definedName>
    <definedName name="INDICEI1" localSheetId="7">#REF!</definedName>
    <definedName name="INDICEI1" localSheetId="9">#REF!</definedName>
    <definedName name="INDICEI1" localSheetId="8">#REF!</definedName>
    <definedName name="INDICEI1">#REF!</definedName>
    <definedName name="inic" localSheetId="7">#REF!</definedName>
    <definedName name="inic" localSheetId="9">#REF!</definedName>
    <definedName name="inic" localSheetId="8">#REF!</definedName>
    <definedName name="inic">#REF!</definedName>
    <definedName name="ins_não">insnãodes!$A$1:$C$5329</definedName>
    <definedName name="ins_nãodes">insnãodes!$A$1:$C$5276</definedName>
    <definedName name="ins_nãodesonerada">[12]ins_nãodesonerada!$A$1:$D$5329</definedName>
    <definedName name="insnãodes">insnãodes!$A$1:$D$5304</definedName>
    <definedName name="Inst_elétricas" localSheetId="7">#REF!</definedName>
    <definedName name="Inst_elétricas" localSheetId="9">#REF!</definedName>
    <definedName name="Inst_elétricas" localSheetId="8">#REF!</definedName>
    <definedName name="Inst_elétricas">#REF!</definedName>
    <definedName name="Inst_hidráulicas" localSheetId="7">#REF!</definedName>
    <definedName name="Inst_hidráulicas" localSheetId="9">#REF!</definedName>
    <definedName name="Inst_hidráulicas" localSheetId="8">#REF!</definedName>
    <definedName name="Inst_hidráulicas">#REF!</definedName>
    <definedName name="INST_PROVISÓRIAS" localSheetId="7">#REF!</definedName>
    <definedName name="INST_PROVISÓRIAS" localSheetId="9">#REF!</definedName>
    <definedName name="INST_PROVISÓRIAS" localSheetId="8">#REF!</definedName>
    <definedName name="INST_PROVISÓRIAS">#REF!</definedName>
    <definedName name="Inst_sanitárias" localSheetId="7">#REF!</definedName>
    <definedName name="Inst_sanitárias" localSheetId="9">#REF!</definedName>
    <definedName name="Inst_sanitárias" localSheetId="8">#REF!</definedName>
    <definedName name="Inst_sanitárias">#REF!</definedName>
    <definedName name="INSUMO_NÃO">insnãodes!$A$1:$C$5331</definedName>
    <definedName name="JAZ" localSheetId="7">#REF!</definedName>
    <definedName name="JAZ" localSheetId="9">#REF!</definedName>
    <definedName name="JAZ" localSheetId="8">#REF!</definedName>
    <definedName name="JAZ">#REF!</definedName>
    <definedName name="JAZIDAS">'[9]QUADRO 08 - COMPOSIÇÕES'!$H$786</definedName>
    <definedName name="jkhjkjkg" localSheetId="7" hidden="1">{#N/A,#N/A,FALSE,"MO (2)"}</definedName>
    <definedName name="jkhjkjkg" localSheetId="9" hidden="1">{#N/A,#N/A,FALSE,"MO (2)"}</definedName>
    <definedName name="jkhjkjkg" localSheetId="8" hidden="1">{#N/A,#N/A,FALSE,"MO (2)"}</definedName>
    <definedName name="jkhjkjkg" hidden="1">{#N/A,#N/A,FALSE,"MO (2)"}</definedName>
    <definedName name="jkhjkjkg_1" localSheetId="7" hidden="1">{#N/A,#N/A,FALSE,"MO (2)"}</definedName>
    <definedName name="jkhjkjkg_1" localSheetId="9" hidden="1">{#N/A,#N/A,FALSE,"MO (2)"}</definedName>
    <definedName name="jkhjkjkg_1" localSheetId="8" hidden="1">{#N/A,#N/A,FALSE,"MO (2)"}</definedName>
    <definedName name="jkhjkjkg_1" hidden="1">{#N/A,#N/A,FALSE,"MO (2)"}</definedName>
    <definedName name="JOSE">[2]RELATÓRIO!$I$31</definedName>
    <definedName name="kdren" localSheetId="7">#REF!</definedName>
    <definedName name="kdren" localSheetId="9">#REF!</definedName>
    <definedName name="kdren" localSheetId="8">#REF!</definedName>
    <definedName name="kdren">#REF!</definedName>
    <definedName name="kdrena" localSheetId="7">#REF!</definedName>
    <definedName name="kdrena" localSheetId="9">#REF!</definedName>
    <definedName name="kdrena" localSheetId="8">#REF!</definedName>
    <definedName name="kdrena">#REF!</definedName>
    <definedName name="Km" localSheetId="7">#REF!</definedName>
    <definedName name="Km" localSheetId="9">#REF!</definedName>
    <definedName name="Km" localSheetId="8">#REF!</definedName>
    <definedName name="Km">#REF!</definedName>
    <definedName name="koae" localSheetId="7">#REF!</definedName>
    <definedName name="koae" localSheetId="9">#REF!</definedName>
    <definedName name="koae" localSheetId="8">#REF!</definedName>
    <definedName name="koae">#REF!</definedName>
    <definedName name="kpavi" localSheetId="7">#REF!</definedName>
    <definedName name="kpavi" localSheetId="9">#REF!</definedName>
    <definedName name="kpavi" localSheetId="8">#REF!</definedName>
    <definedName name="kpavi">#REF!</definedName>
    <definedName name="KSIN" localSheetId="7">#REF!</definedName>
    <definedName name="KSIN" localSheetId="9">#REF!</definedName>
    <definedName name="KSIN" localSheetId="8">#REF!</definedName>
    <definedName name="KSIN">#REF!</definedName>
    <definedName name="ksinal">'[21]Indice de Reajuste'!#REF!</definedName>
    <definedName name="kterra" localSheetId="7">#REF!</definedName>
    <definedName name="kterra" localSheetId="9">#REF!</definedName>
    <definedName name="kterra" localSheetId="8">#REF!</definedName>
    <definedName name="kterra">#REF!</definedName>
    <definedName name="LASTRO_CONCRETO" localSheetId="7">#REF!</definedName>
    <definedName name="LASTRO_CONCRETO" localSheetId="9">#REF!</definedName>
    <definedName name="LASTRO_CONCRETO" localSheetId="8">#REF!</definedName>
    <definedName name="LASTRO_CONCRETO">#REF!</definedName>
    <definedName name="LASTRO_EMISS3_S" localSheetId="7">#REF!</definedName>
    <definedName name="LASTRO_EMISS3_S" localSheetId="9">#REF!</definedName>
    <definedName name="LASTRO_EMISS3_S" localSheetId="8">#REF!</definedName>
    <definedName name="LASTRO_EMISS3_S">#REF!</definedName>
    <definedName name="LIG_PRED_SERV" localSheetId="7">#REF!</definedName>
    <definedName name="LIG_PRED_SERV" localSheetId="9">#REF!</definedName>
    <definedName name="LIG_PRED_SERV" localSheetId="8">#REF!</definedName>
    <definedName name="LIG_PRED_SERV">#REF!</definedName>
    <definedName name="LIG_PREDIAIS_MAT" localSheetId="7">#REF!</definedName>
    <definedName name="LIG_PREDIAIS_MAT" localSheetId="9">#REF!</definedName>
    <definedName name="LIG_PREDIAIS_MAT" localSheetId="8">#REF!</definedName>
    <definedName name="LIG_PREDIAIS_MAT">#REF!</definedName>
    <definedName name="LIGAÇÃO_PREDIAL_MATERIAL">'[11]ligação predial'!$H$19</definedName>
    <definedName name="LIGAÇÃO_PREDIAL_SERVIÇOS">'[11]ligação predial'!$H$9</definedName>
    <definedName name="LIGAÇÕES" localSheetId="7">#REF!</definedName>
    <definedName name="LIGAÇÕES" localSheetId="9">#REF!</definedName>
    <definedName name="LIGAÇÕES" localSheetId="8">#REF!</definedName>
    <definedName name="LIGAÇÕES">#REF!</definedName>
    <definedName name="loc" localSheetId="7">#REF!</definedName>
    <definedName name="loc" localSheetId="9">#REF!</definedName>
    <definedName name="loc" localSheetId="8">#REF!</definedName>
    <definedName name="loc">#REF!</definedName>
    <definedName name="LOC_EMISS3" localSheetId="7">#REF!</definedName>
    <definedName name="LOC_EMISS3" localSheetId="9">#REF!</definedName>
    <definedName name="LOC_EMISS3" localSheetId="8">#REF!</definedName>
    <definedName name="LOC_EMISS3">#REF!</definedName>
    <definedName name="LOCAÇÃO" localSheetId="7">#REF!</definedName>
    <definedName name="LOCAÇÃO" localSheetId="9">#REF!</definedName>
    <definedName name="LOCAÇÃO" localSheetId="8">#REF!</definedName>
    <definedName name="LOCAÇÃO">#REF!</definedName>
    <definedName name="LOCAÇÃO_EMISS" localSheetId="7">#REF!</definedName>
    <definedName name="LOCAÇÃO_EMISS" localSheetId="9">#REF!</definedName>
    <definedName name="LOCAÇÃO_EMISS" localSheetId="8">#REF!</definedName>
    <definedName name="LOCAÇÃO_EMISS">#REF!</definedName>
    <definedName name="LOCAÇÃO_EMISS2" localSheetId="7">#REF!</definedName>
    <definedName name="LOCAÇÃO_EMISS2" localSheetId="9">#REF!</definedName>
    <definedName name="LOCAÇÃO_EMISS2" localSheetId="8">#REF!</definedName>
    <definedName name="LOCAÇÃO_EMISS2">#REF!</definedName>
    <definedName name="local" localSheetId="7">#REF!</definedName>
    <definedName name="local" localSheetId="9">#REF!</definedName>
    <definedName name="local" localSheetId="8">#REF!</definedName>
    <definedName name="local">#REF!</definedName>
    <definedName name="LOCAL1">'[9]DADOS DE ENTRADA CONCORRÊNCIA'!$B$25</definedName>
    <definedName name="LOCALIDADE">'[9]DADOS DE ENTRADA CONCORRÊNCIA'!$B$8</definedName>
    <definedName name="LOTA" localSheetId="7">#REF!</definedName>
    <definedName name="LOTA" localSheetId="9">#REF!</definedName>
    <definedName name="LOTA" localSheetId="8">#REF!</definedName>
    <definedName name="LOTA">#REF!</definedName>
    <definedName name="LOTE" localSheetId="7">#REF!</definedName>
    <definedName name="LOTE" localSheetId="9">#REF!</definedName>
    <definedName name="LOTE" localSheetId="8">#REF!</definedName>
    <definedName name="LOTE">#REF!</definedName>
    <definedName name="LOTE1" localSheetId="7">#REF!</definedName>
    <definedName name="LOTE1" localSheetId="9">#REF!</definedName>
    <definedName name="LOTE1" localSheetId="8">#REF!</definedName>
    <definedName name="LOTE1">#REF!</definedName>
    <definedName name="Louças_acessórios" localSheetId="7">#REF!</definedName>
    <definedName name="Louças_acessórios" localSheetId="9">#REF!</definedName>
    <definedName name="Louças_acessórios" localSheetId="8">#REF!</definedName>
    <definedName name="Louças_acessórios">#REF!</definedName>
    <definedName name="LS" localSheetId="7">#REF!</definedName>
    <definedName name="LS" localSheetId="9">#REF!</definedName>
    <definedName name="LS" localSheetId="8">#REF!</definedName>
    <definedName name="LS">#REF!</definedName>
    <definedName name="luis" localSheetId="7">#REF!</definedName>
    <definedName name="luis" localSheetId="9">#REF!</definedName>
    <definedName name="luis" localSheetId="8">#REF!</definedName>
    <definedName name="luis">#REF!</definedName>
    <definedName name="maria">'[2]RESUMO-DVOP'!$I$12</definedName>
    <definedName name="Material_britado" localSheetId="7">#REF!</definedName>
    <definedName name="Material_britado" localSheetId="9">#REF!</definedName>
    <definedName name="Material_britado" localSheetId="8">#REF!</definedName>
    <definedName name="Material_britado">#REF!</definedName>
    <definedName name="mbc" localSheetId="7">#REF!</definedName>
    <definedName name="mbc" localSheetId="9">#REF!</definedName>
    <definedName name="mbc" localSheetId="8">#REF!</definedName>
    <definedName name="mbc">#REF!</definedName>
    <definedName name="med" localSheetId="7" hidden="1">{#N/A,#N/A,FALSE,"MO (2)"}</definedName>
    <definedName name="med" localSheetId="9" hidden="1">{#N/A,#N/A,FALSE,"MO (2)"}</definedName>
    <definedName name="med" localSheetId="8" hidden="1">{#N/A,#N/A,FALSE,"MO (2)"}</definedName>
    <definedName name="med" hidden="1">{#N/A,#N/A,FALSE,"MO (2)"}</definedName>
    <definedName name="med_1" localSheetId="7" hidden="1">{#N/A,#N/A,FALSE,"MO (2)"}</definedName>
    <definedName name="med_1" localSheetId="9" hidden="1">{#N/A,#N/A,FALSE,"MO (2)"}</definedName>
    <definedName name="med_1" localSheetId="8" hidden="1">{#N/A,#N/A,FALSE,"MO (2)"}</definedName>
    <definedName name="med_1" hidden="1">{#N/A,#N/A,FALSE,"MO (2)"}</definedName>
    <definedName name="MEDAGOREAL">[2]RELATÓRIO!$I$30</definedName>
    <definedName name="MEIO_FIO" localSheetId="7">#REF!</definedName>
    <definedName name="MEIO_FIO" localSheetId="9">#REF!</definedName>
    <definedName name="MEIO_FIO" localSheetId="8">#REF!</definedName>
    <definedName name="MEIO_FIO">#REF!</definedName>
    <definedName name="meiofio" localSheetId="7">#REF!</definedName>
    <definedName name="meiofio" localSheetId="9">#REF!</definedName>
    <definedName name="meiofio" localSheetId="8">#REF!</definedName>
    <definedName name="meiofio">#REF!</definedName>
    <definedName name="Mem">'[4]Mat Asf'!$C$37</definedName>
    <definedName name="mo_base" localSheetId="7">#REF!</definedName>
    <definedName name="mo_base" localSheetId="9">#REF!</definedName>
    <definedName name="mo_base" localSheetId="8">#REF!</definedName>
    <definedName name="mo_base">#REF!</definedName>
    <definedName name="mo_sub_base" localSheetId="7">#REF!</definedName>
    <definedName name="mo_sub_base" localSheetId="9">#REF!</definedName>
    <definedName name="mo_sub_base" localSheetId="8">#REF!</definedName>
    <definedName name="mo_sub_base">#REF!</definedName>
    <definedName name="mosubb" localSheetId="7">#REF!</definedName>
    <definedName name="mosubb" localSheetId="9">#REF!</definedName>
    <definedName name="mosubb" localSheetId="8">#REF!</definedName>
    <definedName name="mosubb">#REF!</definedName>
    <definedName name="mosubl" localSheetId="7">#REF!</definedName>
    <definedName name="mosubl" localSheetId="9">#REF!</definedName>
    <definedName name="mosubl" localSheetId="8">#REF!</definedName>
    <definedName name="mosubl">#REF!</definedName>
    <definedName name="MOV_TERR_EMISS3_S" localSheetId="7">#REF!</definedName>
    <definedName name="MOV_TERR_EMISS3_S" localSheetId="9">#REF!</definedName>
    <definedName name="MOV_TERR_EMISS3_S" localSheetId="8">#REF!</definedName>
    <definedName name="MOV_TERR_EMISS3_S">#REF!</definedName>
    <definedName name="MOV_TERRA" localSheetId="7">#REF!</definedName>
    <definedName name="MOV_TERRA" localSheetId="9">#REF!</definedName>
    <definedName name="MOV_TERRA" localSheetId="8">#REF!</definedName>
    <definedName name="MOV_TERRA">#REF!</definedName>
    <definedName name="MOV_TERRA_EMISS" localSheetId="7">#REF!</definedName>
    <definedName name="MOV_TERRA_EMISS" localSheetId="9">#REF!</definedName>
    <definedName name="MOV_TERRA_EMISS" localSheetId="8">#REF!</definedName>
    <definedName name="MOV_TERRA_EMISS">#REF!</definedName>
    <definedName name="MOV_TERRA_EMISS2" localSheetId="7">#REF!</definedName>
    <definedName name="MOV_TERRA_EMISS2" localSheetId="9">#REF!</definedName>
    <definedName name="MOV_TERRA_EMISS2" localSheetId="8">#REF!</definedName>
    <definedName name="MOV_TERRA_EMISS2">#REF!</definedName>
    <definedName name="OAC" localSheetId="7">#REF!</definedName>
    <definedName name="OAC" localSheetId="9">#REF!</definedName>
    <definedName name="OAC" localSheetId="8">#REF!</definedName>
    <definedName name="OAC">#REF!</definedName>
    <definedName name="oac.b" localSheetId="7">#REF!</definedName>
    <definedName name="oac.b" localSheetId="9">#REF!</definedName>
    <definedName name="oac.b" localSheetId="8">#REF!</definedName>
    <definedName name="oac.b">#REF!</definedName>
    <definedName name="oac.c" localSheetId="7">#REF!</definedName>
    <definedName name="oac.c" localSheetId="9">#REF!</definedName>
    <definedName name="oac.c" localSheetId="8">#REF!</definedName>
    <definedName name="oac.c">#REF!</definedName>
    <definedName name="oac.ve" localSheetId="7">#REF!</definedName>
    <definedName name="oac.ve" localSheetId="9">#REF!</definedName>
    <definedName name="oac.ve" localSheetId="8">#REF!</definedName>
    <definedName name="oac.ve">#REF!</definedName>
    <definedName name="oac.ve.remoc" localSheetId="7">#REF!</definedName>
    <definedName name="oac.ve.remoc" localSheetId="9">#REF!</definedName>
    <definedName name="oac.ve.remoc" localSheetId="8">#REF!</definedName>
    <definedName name="oac.ve.remoc">#REF!</definedName>
    <definedName name="oac.vr" localSheetId="7">#REF!</definedName>
    <definedName name="oac.vr" localSheetId="9">#REF!</definedName>
    <definedName name="oac.vr" localSheetId="8">#REF!</definedName>
    <definedName name="oac.vr">#REF!</definedName>
    <definedName name="oac.vr.remoc" localSheetId="7">#REF!</definedName>
    <definedName name="oac.vr.remoc" localSheetId="9">#REF!</definedName>
    <definedName name="oac.vr.remoc" localSheetId="8">#REF!</definedName>
    <definedName name="oac.vr.remoc">#REF!</definedName>
    <definedName name="Oacorre2" localSheetId="7">#REF!</definedName>
    <definedName name="Oacorre2" localSheetId="9">#REF!</definedName>
    <definedName name="Oacorre2" localSheetId="8">#REF!</definedName>
    <definedName name="Oacorre2">#REF!</definedName>
    <definedName name="OAE" localSheetId="7">#REF!</definedName>
    <definedName name="OAE" localSheetId="9">#REF!</definedName>
    <definedName name="OAE" localSheetId="8">#REF!</definedName>
    <definedName name="OAE">#REF!</definedName>
    <definedName name="oae.vc" localSheetId="7">#REF!</definedName>
    <definedName name="oae.vc" localSheetId="9">#REF!</definedName>
    <definedName name="oae.vc" localSheetId="8">#REF!</definedName>
    <definedName name="oae.vc">#REF!</definedName>
    <definedName name="Oaesp2" localSheetId="7">#REF!</definedName>
    <definedName name="Oaesp2" localSheetId="9">#REF!</definedName>
    <definedName name="Oaesp2" localSheetId="8">#REF!</definedName>
    <definedName name="Oaesp2">#REF!</definedName>
    <definedName name="OBJETO" localSheetId="7">#REF!</definedName>
    <definedName name="OBJETO" localSheetId="9">#REF!</definedName>
    <definedName name="OBJETO" localSheetId="8">#REF!</definedName>
    <definedName name="OBJETO">#REF!</definedName>
    <definedName name="OBJETOA" localSheetId="7">#REF!</definedName>
    <definedName name="OBJETOA" localSheetId="9">#REF!</definedName>
    <definedName name="OBJETOA" localSheetId="8">#REF!</definedName>
    <definedName name="OBJETOA">#REF!</definedName>
    <definedName name="OCOM" localSheetId="7">#REF!</definedName>
    <definedName name="OCOM" localSheetId="9">#REF!</definedName>
    <definedName name="OCOM" localSheetId="8">#REF!</definedName>
    <definedName name="OCOM">#REF!</definedName>
    <definedName name="Ocomp2" localSheetId="7">#REF!</definedName>
    <definedName name="Ocomp2" localSheetId="9">#REF!</definedName>
    <definedName name="Ocomp2" localSheetId="8">#REF!</definedName>
    <definedName name="Ocomp2">#REF!</definedName>
    <definedName name="oesp" localSheetId="7">#REF!</definedName>
    <definedName name="oesp" localSheetId="9">#REF!</definedName>
    <definedName name="oesp" localSheetId="8">#REF!</definedName>
    <definedName name="oesp">#REF!</definedName>
    <definedName name="OK">#REF!</definedName>
    <definedName name="OP" localSheetId="7">#REF!</definedName>
    <definedName name="OP" localSheetId="9">#REF!</definedName>
    <definedName name="OP" localSheetId="8">#REF!</definedName>
    <definedName name="OP">#REF!</definedName>
    <definedName name="OPA" localSheetId="7">#REF!</definedName>
    <definedName name="OPA" localSheetId="9">#REF!</definedName>
    <definedName name="OPA" localSheetId="8">#REF!</definedName>
    <definedName name="OPA">#REF!</definedName>
    <definedName name="Orçamento" localSheetId="7">#REF!</definedName>
    <definedName name="Orçamento" localSheetId="9">#REF!</definedName>
    <definedName name="Orçamento" localSheetId="8">#REF!</definedName>
    <definedName name="Orçamento">#REF!</definedName>
    <definedName name="org" localSheetId="7">#REF!</definedName>
    <definedName name="org" localSheetId="9">#REF!</definedName>
    <definedName name="org" localSheetId="8">#REF!</definedName>
    <definedName name="org">#REF!</definedName>
    <definedName name="ÓRGÃO" localSheetId="7">#REF!</definedName>
    <definedName name="ÓRGÃO" localSheetId="9">#REF!</definedName>
    <definedName name="ÓRGÃO" localSheetId="8">#REF!</definedName>
    <definedName name="ÓRGÃO">#REF!</definedName>
    <definedName name="Orla" localSheetId="7">#REF!</definedName>
    <definedName name="Orla" localSheetId="9">#REF!</definedName>
    <definedName name="Orla" localSheetId="8">#REF!</definedName>
    <definedName name="Orla">#REF!</definedName>
    <definedName name="orlando" localSheetId="7">#REF!</definedName>
    <definedName name="orlando" localSheetId="9">#REF!</definedName>
    <definedName name="orlando" localSheetId="8">#REF!</definedName>
    <definedName name="orlando">#REF!</definedName>
    <definedName name="pav" localSheetId="7">#REF!</definedName>
    <definedName name="pav" localSheetId="9">#REF!</definedName>
    <definedName name="pav" localSheetId="8">#REF!</definedName>
    <definedName name="pav">#REF!</definedName>
    <definedName name="PAV_2">[2]RELATÓRIO!#REF!</definedName>
    <definedName name="PAV_EMISS3_S" localSheetId="7">#REF!</definedName>
    <definedName name="PAV_EMISS3_S" localSheetId="9">#REF!</definedName>
    <definedName name="PAV_EMISS3_S" localSheetId="8">#REF!</definedName>
    <definedName name="PAV_EMISS3_S">#REF!</definedName>
    <definedName name="pavi" localSheetId="7">#REF!</definedName>
    <definedName name="pavi" localSheetId="9">#REF!</definedName>
    <definedName name="pavi" localSheetId="8">#REF!</definedName>
    <definedName name="pavi">#REF!</definedName>
    <definedName name="Pavi2" localSheetId="7">#REF!</definedName>
    <definedName name="Pavi2" localSheetId="9">#REF!</definedName>
    <definedName name="Pavi2" localSheetId="8">#REF!</definedName>
    <definedName name="Pavi2">#REF!</definedName>
    <definedName name="PAVIM_EMISS" localSheetId="7">#REF!</definedName>
    <definedName name="PAVIM_EMISS" localSheetId="9">#REF!</definedName>
    <definedName name="PAVIM_EMISS" localSheetId="8">#REF!</definedName>
    <definedName name="PAVIM_EMISS">#REF!</definedName>
    <definedName name="PAVIM_EMISS2" localSheetId="7">#REF!</definedName>
    <definedName name="PAVIM_EMISS2" localSheetId="9">#REF!</definedName>
    <definedName name="PAVIM_EMISS2" localSheetId="8">#REF!</definedName>
    <definedName name="PAVIM_EMISS2">#REF!</definedName>
    <definedName name="PAVIMENTAÇÃO" localSheetId="7">#REF!</definedName>
    <definedName name="PAVIMENTAÇÃO" localSheetId="9">#REF!</definedName>
    <definedName name="PAVIMENTAÇÃO" localSheetId="8">#REF!</definedName>
    <definedName name="PAVIMENTAÇÃO">#REF!</definedName>
    <definedName name="PED" localSheetId="7">#REF!</definedName>
    <definedName name="PED" localSheetId="9">#REF!</definedName>
    <definedName name="PED" localSheetId="8">#REF!</definedName>
    <definedName name="PED">#REF!</definedName>
    <definedName name="PEDA" localSheetId="7">#REF!</definedName>
    <definedName name="PEDA" localSheetId="9">#REF!</definedName>
    <definedName name="PEDA" localSheetId="8">#REF!</definedName>
    <definedName name="PEDA">#REF!</definedName>
    <definedName name="PEDREIRA" localSheetId="7">#REF!</definedName>
    <definedName name="PEDREIRA" localSheetId="9">#REF!</definedName>
    <definedName name="PEDREIRA" localSheetId="8">#REF!</definedName>
    <definedName name="PEDREIRA">#REF!</definedName>
    <definedName name="Pia_cozinha" localSheetId="7">#REF!</definedName>
    <definedName name="Pia_cozinha" localSheetId="9">#REF!</definedName>
    <definedName name="Pia_cozinha" localSheetId="8">#REF!</definedName>
    <definedName name="Pia_cozinha">#REF!</definedName>
    <definedName name="Pilar" localSheetId="7">#REF!</definedName>
    <definedName name="Pilar" localSheetId="9">#REF!</definedName>
    <definedName name="Pilar" localSheetId="8">#REF!</definedName>
    <definedName name="Pilar">#REF!</definedName>
    <definedName name="pint_lig" localSheetId="7">#REF!</definedName>
    <definedName name="pint_lig" localSheetId="9">#REF!</definedName>
    <definedName name="pint_lig" localSheetId="8">#REF!</definedName>
    <definedName name="pint_lig">#REF!</definedName>
    <definedName name="Pintura_cal" localSheetId="7">#REF!</definedName>
    <definedName name="Pintura_cal" localSheetId="9">#REF!</definedName>
    <definedName name="Pintura_cal" localSheetId="8">#REF!</definedName>
    <definedName name="Pintura_cal">#REF!</definedName>
    <definedName name="Pintura_óleo" localSheetId="7">#REF!</definedName>
    <definedName name="Pintura_óleo" localSheetId="9">#REF!</definedName>
    <definedName name="Pintura_óleo" localSheetId="8">#REF!</definedName>
    <definedName name="Pintura_óleo">#REF!</definedName>
    <definedName name="Piso_cimentado" localSheetId="7">#REF!</definedName>
    <definedName name="Piso_cimentado" localSheetId="9">#REF!</definedName>
    <definedName name="Piso_cimentado" localSheetId="8">#REF!</definedName>
    <definedName name="Piso_cimentado">#REF!</definedName>
    <definedName name="Placa_de_cimento" localSheetId="7">#REF!</definedName>
    <definedName name="Placa_de_cimento" localSheetId="9">#REF!</definedName>
    <definedName name="Placa_de_cimento" localSheetId="8">#REF!</definedName>
    <definedName name="Placa_de_cimento">#REF!</definedName>
    <definedName name="PLACA_OBRA" localSheetId="7">#REF!</definedName>
    <definedName name="PLACA_OBRA" localSheetId="9">#REF!</definedName>
    <definedName name="PLACA_OBRA" localSheetId="8">#REF!</definedName>
    <definedName name="PLACA_OBRA">#REF!</definedName>
    <definedName name="plan">[22]Orçamento!$A$17:$D$80</definedName>
    <definedName name="plan2">[22]Orçamento!$A$17:$D$80</definedName>
    <definedName name="plan3">[22]Orçamento!$A$17:$D$80</definedName>
    <definedName name="plano" localSheetId="7">#REF!</definedName>
    <definedName name="plano" localSheetId="9">#REF!</definedName>
    <definedName name="plano" localSheetId="8">#REF!</definedName>
    <definedName name="plano">#REF!</definedName>
    <definedName name="POÇO_VISIT" localSheetId="7">#REF!</definedName>
    <definedName name="POÇO_VISIT" localSheetId="9">#REF!</definedName>
    <definedName name="POÇO_VISIT" localSheetId="8">#REF!</definedName>
    <definedName name="POÇO_VISIT">#REF!</definedName>
    <definedName name="PRAZO" localSheetId="7">#REF!</definedName>
    <definedName name="PRAZO" localSheetId="9">#REF!</definedName>
    <definedName name="PRAZO" localSheetId="8">#REF!</definedName>
    <definedName name="PRAZO">#REF!</definedName>
    <definedName name="PRAZOA" localSheetId="7">#REF!</definedName>
    <definedName name="PRAZOA" localSheetId="9">#REF!</definedName>
    <definedName name="PRAZOA" localSheetId="8">#REF!</definedName>
    <definedName name="PRAZOA">#REF!</definedName>
    <definedName name="Preço_Unitário" localSheetId="7">#REF!</definedName>
    <definedName name="Preço_Unitário" localSheetId="9">#REF!</definedName>
    <definedName name="Preço_Unitário" localSheetId="8">#REF!</definedName>
    <definedName name="Preço_Unitário">#REF!</definedName>
    <definedName name="Print_Area_MI" localSheetId="7">#REF!</definedName>
    <definedName name="Print_Area_MI" localSheetId="9">#REF!</definedName>
    <definedName name="Print_Area_MI" localSheetId="8">#REF!</definedName>
    <definedName name="Print_Area_MI">#REF!</definedName>
    <definedName name="pz" localSheetId="7">#REF!</definedName>
    <definedName name="pz" localSheetId="9">#REF!</definedName>
    <definedName name="pz" localSheetId="8">#REF!</definedName>
    <definedName name="pz">#REF!</definedName>
    <definedName name="QUANT_acumu" localSheetId="7">#REF!</definedName>
    <definedName name="QUANT_acumu" localSheetId="9">#REF!</definedName>
    <definedName name="QUANT_acumu" localSheetId="8">#REF!</definedName>
    <definedName name="QUANT_acumu">#REF!</definedName>
    <definedName name="Quantidade" localSheetId="7">#REF!</definedName>
    <definedName name="Quantidade" localSheetId="9">#REF!</definedName>
    <definedName name="Quantidade" localSheetId="8">#REF!</definedName>
    <definedName name="Quantidade">#REF!</definedName>
    <definedName name="quantidades" localSheetId="7">#REF!</definedName>
    <definedName name="quantidades" localSheetId="9">#REF!</definedName>
    <definedName name="quantidades" localSheetId="8">#REF!</definedName>
    <definedName name="quantidades">#REF!</definedName>
    <definedName name="Radier" localSheetId="7">#REF!</definedName>
    <definedName name="Radier" localSheetId="9">#REF!</definedName>
    <definedName name="Radier" localSheetId="8">#REF!</definedName>
    <definedName name="Radier">#REF!</definedName>
    <definedName name="rc.cerca" localSheetId="7">#REF!</definedName>
    <definedName name="rc.cerca" localSheetId="9">#REF!</definedName>
    <definedName name="rc.cerca" localSheetId="8">#REF!</definedName>
    <definedName name="rc.cerca">#REF!</definedName>
    <definedName name="rea" localSheetId="7">#REF!</definedName>
    <definedName name="rea" localSheetId="9">#REF!</definedName>
    <definedName name="rea" localSheetId="8">#REF!</definedName>
    <definedName name="rea">#REF!</definedName>
    <definedName name="REAJ" localSheetId="7">#REF!</definedName>
    <definedName name="REAJ" localSheetId="9">#REF!</definedName>
    <definedName name="REAJ" localSheetId="8">#REF!</definedName>
    <definedName name="REAJ">#REF!</definedName>
    <definedName name="Reaterro" localSheetId="7">#REF!</definedName>
    <definedName name="Reaterro" localSheetId="9">#REF!</definedName>
    <definedName name="Reaterro" localSheetId="8">#REF!</definedName>
    <definedName name="Reaterro">#REF!</definedName>
    <definedName name="Reboco" localSheetId="7">#REF!</definedName>
    <definedName name="Reboco" localSheetId="9">#REF!</definedName>
    <definedName name="Reboco" localSheetId="8">#REF!</definedName>
    <definedName name="Reboco">#REF!</definedName>
    <definedName name="REDE_COLETORA_MAT" localSheetId="7">#REF!</definedName>
    <definedName name="REDE_COLETORA_MAT" localSheetId="9">#REF!</definedName>
    <definedName name="REDE_COLETORA_MAT" localSheetId="8">#REF!</definedName>
    <definedName name="REDE_COLETORA_MAT">#REF!</definedName>
    <definedName name="REDE_COLETORA_MATERIAL">'[11]REDE COLETORA'!$H$67</definedName>
    <definedName name="REDE_COLETORA_SERV" localSheetId="7">#REF!</definedName>
    <definedName name="REDE_COLETORA_SERV" localSheetId="9">#REF!</definedName>
    <definedName name="REDE_COLETORA_SERV" localSheetId="8">#REF!</definedName>
    <definedName name="REDE_COLETORA_SERV">#REF!</definedName>
    <definedName name="REDE_COLETORA_SERVIÇOS">'[11]REDE COLETORA'!$H$9</definedName>
    <definedName name="REG" localSheetId="7">#REF!</definedName>
    <definedName name="REG" localSheetId="9">#REF!</definedName>
    <definedName name="REG" localSheetId="8">#REF!</definedName>
    <definedName name="REG">#REF!</definedName>
    <definedName name="REGULA" localSheetId="7">#REF!</definedName>
    <definedName name="REGULA" localSheetId="9">#REF!</definedName>
    <definedName name="REGULA" localSheetId="8">#REF!</definedName>
    <definedName name="REGULA">#REF!</definedName>
    <definedName name="RELATÓRIO_DOS_SERVIÇOS_EXECUTADOS" localSheetId="7">#REF!</definedName>
    <definedName name="RELATÓRIO_DOS_SERVIÇOS_EXECUTADOS" localSheetId="9">#REF!</definedName>
    <definedName name="RELATÓRIO_DOS_SERVIÇOS_EXECUTADOS" localSheetId="8">#REF!</definedName>
    <definedName name="RELATÓRIO_DOS_SERVIÇOS_EXECUTADOS">#REF!</definedName>
    <definedName name="remoc" localSheetId="7">#REF!</definedName>
    <definedName name="remoc" localSheetId="9">#REF!</definedName>
    <definedName name="remoc" localSheetId="8">#REF!</definedName>
    <definedName name="remoc">#REF!</definedName>
    <definedName name="REMOÇÃO" localSheetId="7">#REF!</definedName>
    <definedName name="REMOÇÃO" localSheetId="9">#REF!</definedName>
    <definedName name="REMOÇÃO" localSheetId="8">#REF!</definedName>
    <definedName name="REMOÇÃO">#REF!</definedName>
    <definedName name="resumo3" localSheetId="7" hidden="1">{#N/A,#N/A,FALSE,"MO (2)"}</definedName>
    <definedName name="resumo3" localSheetId="9" hidden="1">{#N/A,#N/A,FALSE,"MO (2)"}</definedName>
    <definedName name="resumo3" localSheetId="8" hidden="1">{#N/A,#N/A,FALSE,"MO (2)"}</definedName>
    <definedName name="resumo3" hidden="1">{#N/A,#N/A,FALSE,"MO (2)"}</definedName>
    <definedName name="resumo3_1" localSheetId="7" hidden="1">{#N/A,#N/A,FALSE,"MO (2)"}</definedName>
    <definedName name="resumo3_1" localSheetId="9" hidden="1">{#N/A,#N/A,FALSE,"MO (2)"}</definedName>
    <definedName name="resumo3_1" localSheetId="8" hidden="1">{#N/A,#N/A,FALSE,"MO (2)"}</definedName>
    <definedName name="resumo3_1" hidden="1">{#N/A,#N/A,FALSE,"MO (2)"}</definedName>
    <definedName name="RL1C" localSheetId="7">#REF!</definedName>
    <definedName name="RL1C" localSheetId="9">#REF!</definedName>
    <definedName name="RL1C" localSheetId="8">#REF!</definedName>
    <definedName name="RL1C">#REF!</definedName>
    <definedName name="ROB">'[23]Mat Asf'!$C$36</definedName>
    <definedName name="ROBERTO">'[23]Mat Asf'!$C$37</definedName>
    <definedName name="rod" localSheetId="7">#REF!</definedName>
    <definedName name="rod" localSheetId="9">#REF!</definedName>
    <definedName name="rod" localSheetId="8">#REF!</definedName>
    <definedName name="rod">#REF!</definedName>
    <definedName name="RODATETO" localSheetId="12">[8]ELÉTRICA!#REF!</definedName>
    <definedName name="RODATETO">[8]ELÉTRICA!#REF!</definedName>
    <definedName name="RODATETO1" localSheetId="12">[8]ELÉTRICA!#REF!</definedName>
    <definedName name="RODATETO1">[8]ELÉTRICA!#REF!</definedName>
    <definedName name="rodo" localSheetId="7">#REF!</definedName>
    <definedName name="rodo" localSheetId="9">#REF!</definedName>
    <definedName name="rodo" localSheetId="8">#REF!</definedName>
    <definedName name="rodo">#REF!</definedName>
    <definedName name="RODO1" localSheetId="7">#REF!</definedName>
    <definedName name="RODO1" localSheetId="9">#REF!</definedName>
    <definedName name="RODO1" localSheetId="8">#REF!</definedName>
    <definedName name="RODO1">#REF!</definedName>
    <definedName name="RODO2" localSheetId="7">#REF!</definedName>
    <definedName name="RODO2" localSheetId="9">#REF!</definedName>
    <definedName name="RODO2" localSheetId="8">#REF!</definedName>
    <definedName name="RODO2">#REF!</definedName>
    <definedName name="RODOA" localSheetId="7">#REF!</definedName>
    <definedName name="RODOA" localSheetId="9">#REF!</definedName>
    <definedName name="RODOA" localSheetId="8">#REF!</definedName>
    <definedName name="RODOA">#REF!</definedName>
    <definedName name="RODOA1" localSheetId="7">#REF!</definedName>
    <definedName name="RODOA1" localSheetId="9">#REF!</definedName>
    <definedName name="RODOA1" localSheetId="8">#REF!</definedName>
    <definedName name="RODOA1">#REF!</definedName>
    <definedName name="rodov" localSheetId="7">#REF!</definedName>
    <definedName name="rodov" localSheetId="9">#REF!</definedName>
    <definedName name="rodov" localSheetId="8">#REF!</definedName>
    <definedName name="rodov">#REF!</definedName>
    <definedName name="RODOVIA1">'[9]DADOS DE ENTRADA CONCORRÊNCIA'!$B$15</definedName>
    <definedName name="RODOVIA2">'[9]DADOS DE ENTRADA CONCORRÊNCIA'!$B$22</definedName>
    <definedName name="Rodoviário">'[24]Serviços Rodoviários'!$A$3:$E$144</definedName>
    <definedName name="rr.2c_pint" localSheetId="7">#REF!</definedName>
    <definedName name="rr.2c_pint" localSheetId="9">#REF!</definedName>
    <definedName name="rr.2c_pint" localSheetId="8">#REF!</definedName>
    <definedName name="rr.2c_pint">#REF!</definedName>
    <definedName name="RR_2C" localSheetId="7">#REF!</definedName>
    <definedName name="RR_2C" localSheetId="9">#REF!</definedName>
    <definedName name="RR_2C" localSheetId="8">#REF!</definedName>
    <definedName name="RR_2C">#REF!</definedName>
    <definedName name="RR1C" localSheetId="7">#REF!</definedName>
    <definedName name="RR1C" localSheetId="9">#REF!</definedName>
    <definedName name="RR1C" localSheetId="8">#REF!</definedName>
    <definedName name="RR1C">#REF!</definedName>
    <definedName name="RRD" localSheetId="7">#REF!</definedName>
    <definedName name="RRD" localSheetId="9">#REF!</definedName>
    <definedName name="RRD" localSheetId="8">#REF!</definedName>
    <definedName name="RRD">#REF!</definedName>
    <definedName name="s">[25]Serviços!$A$3:$F$1403</definedName>
    <definedName name="SADERA" localSheetId="7" hidden="1">{#N/A,#N/A,FALSE,"MO (2)"}</definedName>
    <definedName name="SADERA" localSheetId="9" hidden="1">{#N/A,#N/A,FALSE,"MO (2)"}</definedName>
    <definedName name="SADERA" localSheetId="8" hidden="1">{#N/A,#N/A,FALSE,"MO (2)"}</definedName>
    <definedName name="SADERA" hidden="1">{#N/A,#N/A,FALSE,"MO (2)"}</definedName>
    <definedName name="SADERA_1" localSheetId="7" hidden="1">{#N/A,#N/A,FALSE,"MO (2)"}</definedName>
    <definedName name="SADERA_1" localSheetId="9" hidden="1">{#N/A,#N/A,FALSE,"MO (2)"}</definedName>
    <definedName name="SADERA_1" localSheetId="8" hidden="1">{#N/A,#N/A,FALSE,"MO (2)"}</definedName>
    <definedName name="SADERA_1" hidden="1">{#N/A,#N/A,FALSE,"MO (2)"}</definedName>
    <definedName name="saderadesa" localSheetId="7" hidden="1">{#N/A,#N/A,FALSE,"MO (2)"}</definedName>
    <definedName name="saderadesa" localSheetId="9" hidden="1">{#N/A,#N/A,FALSE,"MO (2)"}</definedName>
    <definedName name="saderadesa" localSheetId="8" hidden="1">{#N/A,#N/A,FALSE,"MO (2)"}</definedName>
    <definedName name="saderadesa" hidden="1">{#N/A,#N/A,FALSE,"MO (2)"}</definedName>
    <definedName name="saderadesa_1" localSheetId="7" hidden="1">{#N/A,#N/A,FALSE,"MO (2)"}</definedName>
    <definedName name="saderadesa_1" localSheetId="9" hidden="1">{#N/A,#N/A,FALSE,"MO (2)"}</definedName>
    <definedName name="saderadesa_1" localSheetId="8" hidden="1">{#N/A,#N/A,FALSE,"MO (2)"}</definedName>
    <definedName name="saderadesa_1" hidden="1">{#N/A,#N/A,FALSE,"MO (2)"}</definedName>
    <definedName name="saderasa" localSheetId="7" hidden="1">{#N/A,#N/A,FALSE,"MO (2)"}</definedName>
    <definedName name="saderasa" localSheetId="9" hidden="1">{#N/A,#N/A,FALSE,"MO (2)"}</definedName>
    <definedName name="saderasa" localSheetId="8" hidden="1">{#N/A,#N/A,FALSE,"MO (2)"}</definedName>
    <definedName name="saderasa" hidden="1">{#N/A,#N/A,FALSE,"MO (2)"}</definedName>
    <definedName name="saderasa_1" localSheetId="7" hidden="1">{#N/A,#N/A,FALSE,"MO (2)"}</definedName>
    <definedName name="saderasa_1" localSheetId="9" hidden="1">{#N/A,#N/A,FALSE,"MO (2)"}</definedName>
    <definedName name="saderasa_1" localSheetId="8" hidden="1">{#N/A,#N/A,FALSE,"MO (2)"}</definedName>
    <definedName name="saderasa_1" hidden="1">{#N/A,#N/A,FALSE,"MO (2)"}</definedName>
    <definedName name="saderefe" localSheetId="7" hidden="1">{#N/A,#N/A,FALSE,"MO (2)"}</definedName>
    <definedName name="saderefe" localSheetId="9" hidden="1">{#N/A,#N/A,FALSE,"MO (2)"}</definedName>
    <definedName name="saderefe" localSheetId="8" hidden="1">{#N/A,#N/A,FALSE,"MO (2)"}</definedName>
    <definedName name="saderefe" hidden="1">{#N/A,#N/A,FALSE,"MO (2)"}</definedName>
    <definedName name="saderefe_1" localSheetId="7" hidden="1">{#N/A,#N/A,FALSE,"MO (2)"}</definedName>
    <definedName name="saderefe_1" localSheetId="9" hidden="1">{#N/A,#N/A,FALSE,"MO (2)"}</definedName>
    <definedName name="saderefe_1" localSheetId="8" hidden="1">{#N/A,#N/A,FALSE,"MO (2)"}</definedName>
    <definedName name="saderefe_1" hidden="1">{#N/A,#N/A,FALSE,"MO (2)"}</definedName>
    <definedName name="salario">[2]RELATÓRIO!$H$3</definedName>
    <definedName name="SALÁRIOMINIMO" localSheetId="7">#REF!</definedName>
    <definedName name="SALÁRIOMINIMO" localSheetId="9">#REF!</definedName>
    <definedName name="SALÁRIOMINIMO" localSheetId="8">#REF!</definedName>
    <definedName name="SALÁRIOMINIMO">#REF!</definedName>
    <definedName name="salete" localSheetId="7" hidden="1">{#N/A,#N/A,FALSE,"MO (2)"}</definedName>
    <definedName name="salete" localSheetId="9" hidden="1">{#N/A,#N/A,FALSE,"MO (2)"}</definedName>
    <definedName name="salete" localSheetId="8" hidden="1">{#N/A,#N/A,FALSE,"MO (2)"}</definedName>
    <definedName name="salete" hidden="1">{#N/A,#N/A,FALSE,"MO (2)"}</definedName>
    <definedName name="salete.com" localSheetId="7" hidden="1">{#N/A,#N/A,FALSE,"MO (2)"}</definedName>
    <definedName name="salete.com" localSheetId="9" hidden="1">{#N/A,#N/A,FALSE,"MO (2)"}</definedName>
    <definedName name="salete.com" localSheetId="8" hidden="1">{#N/A,#N/A,FALSE,"MO (2)"}</definedName>
    <definedName name="salete.com" hidden="1">{#N/A,#N/A,FALSE,"MO (2)"}</definedName>
    <definedName name="salete.com_1" localSheetId="7" hidden="1">{#N/A,#N/A,FALSE,"MO (2)"}</definedName>
    <definedName name="salete.com_1" localSheetId="9" hidden="1">{#N/A,#N/A,FALSE,"MO (2)"}</definedName>
    <definedName name="salete.com_1" localSheetId="8" hidden="1">{#N/A,#N/A,FALSE,"MO (2)"}</definedName>
    <definedName name="salete.com_1" hidden="1">{#N/A,#N/A,FALSE,"MO (2)"}</definedName>
    <definedName name="salete_1" localSheetId="7" hidden="1">{#N/A,#N/A,FALSE,"MO (2)"}</definedName>
    <definedName name="salete_1" localSheetId="9" hidden="1">{#N/A,#N/A,FALSE,"MO (2)"}</definedName>
    <definedName name="salete_1" localSheetId="8" hidden="1">{#N/A,#N/A,FALSE,"MO (2)"}</definedName>
    <definedName name="salete_1" hidden="1">{#N/A,#N/A,FALSE,"MO (2)"}</definedName>
    <definedName name="salete333" localSheetId="7" hidden="1">{#N/A,#N/A,FALSE,"MO (2)"}</definedName>
    <definedName name="salete333" localSheetId="9" hidden="1">{#N/A,#N/A,FALSE,"MO (2)"}</definedName>
    <definedName name="salete333" localSheetId="8" hidden="1">{#N/A,#N/A,FALSE,"MO (2)"}</definedName>
    <definedName name="salete333" hidden="1">{#N/A,#N/A,FALSE,"MO (2)"}</definedName>
    <definedName name="salete333_1" localSheetId="7" hidden="1">{#N/A,#N/A,FALSE,"MO (2)"}</definedName>
    <definedName name="salete333_1" localSheetId="9" hidden="1">{#N/A,#N/A,FALSE,"MO (2)"}</definedName>
    <definedName name="salete333_1" localSheetId="8" hidden="1">{#N/A,#N/A,FALSE,"MO (2)"}</definedName>
    <definedName name="salete333_1" hidden="1">{#N/A,#N/A,FALSE,"MO (2)"}</definedName>
    <definedName name="SASA" localSheetId="7" hidden="1">{#N/A,#N/A,FALSE,"MO (2)"}</definedName>
    <definedName name="SASA" localSheetId="9" hidden="1">{#N/A,#N/A,FALSE,"MO (2)"}</definedName>
    <definedName name="SASA" localSheetId="8" hidden="1">{#N/A,#N/A,FALSE,"MO (2)"}</definedName>
    <definedName name="SASA" hidden="1">{#N/A,#N/A,FALSE,"MO (2)"}</definedName>
    <definedName name="sasa.com" localSheetId="7" hidden="1">{#N/A,#N/A,FALSE,"MO (2)"}</definedName>
    <definedName name="sasa.com" localSheetId="9" hidden="1">{#N/A,#N/A,FALSE,"MO (2)"}</definedName>
    <definedName name="sasa.com" localSheetId="8" hidden="1">{#N/A,#N/A,FALSE,"MO (2)"}</definedName>
    <definedName name="sasa.com" hidden="1">{#N/A,#N/A,FALSE,"MO (2)"}</definedName>
    <definedName name="sasa.com_1" localSheetId="7" hidden="1">{#N/A,#N/A,FALSE,"MO (2)"}</definedName>
    <definedName name="sasa.com_1" localSheetId="9" hidden="1">{#N/A,#N/A,FALSE,"MO (2)"}</definedName>
    <definedName name="sasa.com_1" localSheetId="8" hidden="1">{#N/A,#N/A,FALSE,"MO (2)"}</definedName>
    <definedName name="sasa.com_1" hidden="1">{#N/A,#N/A,FALSE,"MO (2)"}</definedName>
    <definedName name="SASA_1" localSheetId="7" hidden="1">{#N/A,#N/A,FALSE,"MO (2)"}</definedName>
    <definedName name="SASA_1" localSheetId="9" hidden="1">{#N/A,#N/A,FALSE,"MO (2)"}</definedName>
    <definedName name="SASA_1" localSheetId="8" hidden="1">{#N/A,#N/A,FALSE,"MO (2)"}</definedName>
    <definedName name="SASA_1" hidden="1">{#N/A,#N/A,FALSE,"MO (2)"}</definedName>
    <definedName name="sasaasa" localSheetId="7" hidden="1">{#N/A,#N/A,FALSE,"MO (2)"}</definedName>
    <definedName name="sasaasa" localSheetId="9" hidden="1">{#N/A,#N/A,FALSE,"MO (2)"}</definedName>
    <definedName name="sasaasa" localSheetId="8" hidden="1">{#N/A,#N/A,FALSE,"MO (2)"}</definedName>
    <definedName name="sasaasa" hidden="1">{#N/A,#N/A,FALSE,"MO (2)"}</definedName>
    <definedName name="sasaasa_1" localSheetId="7" hidden="1">{#N/A,#N/A,FALSE,"MO (2)"}</definedName>
    <definedName name="sasaasa_1" localSheetId="9" hidden="1">{#N/A,#N/A,FALSE,"MO (2)"}</definedName>
    <definedName name="sasaasa_1" localSheetId="8" hidden="1">{#N/A,#N/A,FALSE,"MO (2)"}</definedName>
    <definedName name="sasaasa_1" hidden="1">{#N/A,#N/A,FALSE,"MO (2)"}</definedName>
    <definedName name="sasadasas" localSheetId="7" hidden="1">{#N/A,#N/A,FALSE,"MO (2)"}</definedName>
    <definedName name="sasadasas" localSheetId="9" hidden="1">{#N/A,#N/A,FALSE,"MO (2)"}</definedName>
    <definedName name="sasadasas" localSheetId="8" hidden="1">{#N/A,#N/A,FALSE,"MO (2)"}</definedName>
    <definedName name="sasadasas" hidden="1">{#N/A,#N/A,FALSE,"MO (2)"}</definedName>
    <definedName name="sasadasas_1" localSheetId="7" hidden="1">{#N/A,#N/A,FALSE,"MO (2)"}</definedName>
    <definedName name="sasadasas_1" localSheetId="9" hidden="1">{#N/A,#N/A,FALSE,"MO (2)"}</definedName>
    <definedName name="sasadasas_1" localSheetId="8" hidden="1">{#N/A,#N/A,FALSE,"MO (2)"}</definedName>
    <definedName name="sasadasas_1" hidden="1">{#N/A,#N/A,FALSE,"MO (2)"}</definedName>
    <definedName name="sasadefadesa" localSheetId="7" hidden="1">{#N/A,#N/A,FALSE,"MO (2)"}</definedName>
    <definedName name="sasadefadesa" localSheetId="9" hidden="1">{#N/A,#N/A,FALSE,"MO (2)"}</definedName>
    <definedName name="sasadefadesa" localSheetId="8" hidden="1">{#N/A,#N/A,FALSE,"MO (2)"}</definedName>
    <definedName name="sasadefadesa" hidden="1">{#N/A,#N/A,FALSE,"MO (2)"}</definedName>
    <definedName name="sasadefadesa_1" localSheetId="7" hidden="1">{#N/A,#N/A,FALSE,"MO (2)"}</definedName>
    <definedName name="sasadefadesa_1" localSheetId="9" hidden="1">{#N/A,#N/A,FALSE,"MO (2)"}</definedName>
    <definedName name="sasadefadesa_1" localSheetId="8" hidden="1">{#N/A,#N/A,FALSE,"MO (2)"}</definedName>
    <definedName name="sasadefadesa_1" hidden="1">{#N/A,#N/A,FALSE,"MO (2)"}</definedName>
    <definedName name="saux" localSheetId="7">#REF!</definedName>
    <definedName name="saux" localSheetId="9">#REF!</definedName>
    <definedName name="saux" localSheetId="8">#REF!</definedName>
    <definedName name="saux">#REF!</definedName>
    <definedName name="SB" localSheetId="7">#REF!</definedName>
    <definedName name="SB" localSheetId="9">#REF!</definedName>
    <definedName name="SB" localSheetId="8">#REF!</definedName>
    <definedName name="SB">#REF!</definedName>
    <definedName name="scon" localSheetId="7">#REF!</definedName>
    <definedName name="scon" localSheetId="9">#REF!</definedName>
    <definedName name="scon" localSheetId="8">#REF!</definedName>
    <definedName name="scon">#REF!</definedName>
    <definedName name="se">[26]Serviços!$A$3:$F$1403</definedName>
    <definedName name="segm">[27]dados!$B$5</definedName>
    <definedName name="segment" localSheetId="7">#REF!</definedName>
    <definedName name="segment" localSheetId="9">#REF!</definedName>
    <definedName name="segment" localSheetId="8">#REF!</definedName>
    <definedName name="segment">#REF!</definedName>
    <definedName name="SEGMENTO">'[9]DADOS DE ENTRADA CONCORRÊNCIA'!$B$19</definedName>
    <definedName name="SELO" localSheetId="9">'[16]QUADRO 04 - PLANILHAS PREÇOS'!#REF!</definedName>
    <definedName name="SELO">'[16]QUADRO 04 - PLANILHAS PREÇOS'!#REF!</definedName>
    <definedName name="SELOA" localSheetId="9">'[16]QUADRO 04 - PLANILHAS PREÇOS'!#REF!</definedName>
    <definedName name="SELOA">'[16]QUADRO 04 - PLANILHAS PREÇOS'!#REF!</definedName>
    <definedName name="SerP">[28]Serviços!$A$3:$F$1403</definedName>
    <definedName name="SERR">[29]Serviços!$A$3:$F$1403</definedName>
    <definedName name="serv">[28]Serviços!$A$3:$F$1403</definedName>
    <definedName name="servi">[28]Serviços!$A$3:$F$1403</definedName>
    <definedName name="ServiçoD">[28]Serviços!$A$3:$F$1403</definedName>
    <definedName name="Serviços">[30]Solum!$A$3:$AD$2430</definedName>
    <definedName name="sfsfsfs" localSheetId="7" hidden="1">{#N/A,#N/A,FALSE,"MO (2)"}</definedName>
    <definedName name="sfsfsfs" localSheetId="9" hidden="1">{#N/A,#N/A,FALSE,"MO (2)"}</definedName>
    <definedName name="sfsfsfs" localSheetId="8" hidden="1">{#N/A,#N/A,FALSE,"MO (2)"}</definedName>
    <definedName name="sfsfsfs" hidden="1">{#N/A,#N/A,FALSE,"MO (2)"}</definedName>
    <definedName name="SG_01_01" localSheetId="7">#REF!</definedName>
    <definedName name="SG_01_01" localSheetId="9">#REF!</definedName>
    <definedName name="SG_01_01" localSheetId="8">#REF!</definedName>
    <definedName name="SG_01_01">#REF!</definedName>
    <definedName name="SG_01_02" localSheetId="7">#REF!</definedName>
    <definedName name="SG_01_02" localSheetId="9">#REF!</definedName>
    <definedName name="SG_01_02" localSheetId="8">#REF!</definedName>
    <definedName name="SG_01_02">#REF!</definedName>
    <definedName name="SG_01_03" localSheetId="7">#REF!</definedName>
    <definedName name="SG_01_03" localSheetId="9">#REF!</definedName>
    <definedName name="SG_01_03" localSheetId="8">#REF!</definedName>
    <definedName name="SG_01_03">#REF!</definedName>
    <definedName name="SG_01_04" localSheetId="7">#REF!</definedName>
    <definedName name="SG_01_04" localSheetId="9">#REF!</definedName>
    <definedName name="SG_01_04" localSheetId="8">#REF!</definedName>
    <definedName name="SG_01_04">#REF!</definedName>
    <definedName name="SG_01_05" localSheetId="7">#REF!</definedName>
    <definedName name="SG_01_05" localSheetId="9">#REF!</definedName>
    <definedName name="SG_01_05" localSheetId="8">#REF!</definedName>
    <definedName name="SG_01_05">#REF!</definedName>
    <definedName name="SG_01_06" localSheetId="7">#REF!</definedName>
    <definedName name="SG_01_06" localSheetId="9">#REF!</definedName>
    <definedName name="SG_01_06" localSheetId="8">#REF!</definedName>
    <definedName name="SG_01_06">#REF!</definedName>
    <definedName name="SG_01_07" localSheetId="7">#REF!</definedName>
    <definedName name="SG_01_07" localSheetId="9">#REF!</definedName>
    <definedName name="SG_01_07" localSheetId="8">#REF!</definedName>
    <definedName name="SG_01_07">#REF!</definedName>
    <definedName name="SG_01_08" localSheetId="7">#REF!</definedName>
    <definedName name="SG_01_08" localSheetId="9">#REF!</definedName>
    <definedName name="SG_01_08" localSheetId="8">#REF!</definedName>
    <definedName name="SG_01_08">#REF!</definedName>
    <definedName name="SG_01_09" localSheetId="7">#REF!</definedName>
    <definedName name="SG_01_09" localSheetId="9">#REF!</definedName>
    <definedName name="SG_01_09" localSheetId="8">#REF!</definedName>
    <definedName name="SG_01_09">#REF!</definedName>
    <definedName name="SG_01_10" localSheetId="7">#REF!</definedName>
    <definedName name="SG_01_10" localSheetId="9">#REF!</definedName>
    <definedName name="SG_01_10" localSheetId="8">#REF!</definedName>
    <definedName name="SG_01_10">#REF!</definedName>
    <definedName name="SG_01_11" localSheetId="7">#REF!</definedName>
    <definedName name="SG_01_11" localSheetId="9">#REF!</definedName>
    <definedName name="SG_01_11" localSheetId="8">#REF!</definedName>
    <definedName name="SG_01_11">#REF!</definedName>
    <definedName name="SG_01_12" localSheetId="7">#REF!</definedName>
    <definedName name="SG_01_12" localSheetId="9">#REF!</definedName>
    <definedName name="SG_01_12" localSheetId="8">#REF!</definedName>
    <definedName name="SG_01_12">#REF!</definedName>
    <definedName name="SG_01_13" localSheetId="7">#REF!</definedName>
    <definedName name="SG_01_13" localSheetId="9">#REF!</definedName>
    <definedName name="SG_01_13" localSheetId="8">#REF!</definedName>
    <definedName name="SG_01_13">#REF!</definedName>
    <definedName name="SG_01_14" localSheetId="7">#REF!</definedName>
    <definedName name="SG_01_14" localSheetId="9">#REF!</definedName>
    <definedName name="SG_01_14" localSheetId="8">#REF!</definedName>
    <definedName name="SG_01_14">#REF!</definedName>
    <definedName name="SG_01_15" localSheetId="7">#REF!</definedName>
    <definedName name="SG_01_15" localSheetId="9">#REF!</definedName>
    <definedName name="SG_01_15" localSheetId="8">#REF!</definedName>
    <definedName name="SG_01_15">#REF!</definedName>
    <definedName name="SG_01_16" localSheetId="7">#REF!</definedName>
    <definedName name="SG_01_16" localSheetId="9">#REF!</definedName>
    <definedName name="SG_01_16" localSheetId="8">#REF!</definedName>
    <definedName name="SG_01_16">#REF!</definedName>
    <definedName name="SG_01_17" localSheetId="7">#REF!</definedName>
    <definedName name="SG_01_17" localSheetId="9">#REF!</definedName>
    <definedName name="SG_01_17" localSheetId="8">#REF!</definedName>
    <definedName name="SG_01_17">#REF!</definedName>
    <definedName name="SG_01_18" localSheetId="7">#REF!</definedName>
    <definedName name="SG_01_18" localSheetId="9">#REF!</definedName>
    <definedName name="SG_01_18" localSheetId="8">#REF!</definedName>
    <definedName name="SG_01_18">#REF!</definedName>
    <definedName name="SG_01_19" localSheetId="7">#REF!</definedName>
    <definedName name="SG_01_19" localSheetId="9">#REF!</definedName>
    <definedName name="SG_01_19" localSheetId="8">#REF!</definedName>
    <definedName name="SG_01_19">#REF!</definedName>
    <definedName name="SG_01_20" localSheetId="7">#REF!</definedName>
    <definedName name="SG_01_20" localSheetId="9">#REF!</definedName>
    <definedName name="SG_01_20" localSheetId="8">#REF!</definedName>
    <definedName name="SG_01_20">#REF!</definedName>
    <definedName name="SG_01_21" localSheetId="7">#REF!</definedName>
    <definedName name="SG_01_21" localSheetId="9">#REF!</definedName>
    <definedName name="SG_01_21" localSheetId="8">#REF!</definedName>
    <definedName name="SG_01_21">#REF!</definedName>
    <definedName name="SG_01_22" localSheetId="7">#REF!</definedName>
    <definedName name="SG_01_22" localSheetId="9">#REF!</definedName>
    <definedName name="SG_01_22" localSheetId="8">#REF!</definedName>
    <definedName name="SG_01_22">#REF!</definedName>
    <definedName name="SG_01_23" localSheetId="7">#REF!</definedName>
    <definedName name="SG_01_23" localSheetId="9">#REF!</definedName>
    <definedName name="SG_01_23" localSheetId="8">#REF!</definedName>
    <definedName name="SG_01_23">#REF!</definedName>
    <definedName name="SG_01_24" localSheetId="7">#REF!</definedName>
    <definedName name="SG_01_24" localSheetId="9">#REF!</definedName>
    <definedName name="SG_01_24" localSheetId="8">#REF!</definedName>
    <definedName name="SG_01_24">#REF!</definedName>
    <definedName name="SG_01_25" localSheetId="7">#REF!</definedName>
    <definedName name="SG_01_25" localSheetId="9">#REF!</definedName>
    <definedName name="SG_01_25" localSheetId="8">#REF!</definedName>
    <definedName name="SG_01_25">#REF!</definedName>
    <definedName name="SG_02_01" localSheetId="7">#REF!</definedName>
    <definedName name="SG_02_01" localSheetId="9">#REF!</definedName>
    <definedName name="SG_02_01" localSheetId="8">#REF!</definedName>
    <definedName name="SG_02_01">#REF!</definedName>
    <definedName name="SG_02_02" localSheetId="7">#REF!</definedName>
    <definedName name="SG_02_02" localSheetId="9">#REF!</definedName>
    <definedName name="SG_02_02" localSheetId="8">#REF!</definedName>
    <definedName name="SG_02_02">#REF!</definedName>
    <definedName name="SG_02_03" localSheetId="7">#REF!</definedName>
    <definedName name="SG_02_03" localSheetId="9">#REF!</definedName>
    <definedName name="SG_02_03" localSheetId="8">#REF!</definedName>
    <definedName name="SG_02_03">#REF!</definedName>
    <definedName name="SG_02_04" localSheetId="7">#REF!</definedName>
    <definedName name="SG_02_04" localSheetId="9">#REF!</definedName>
    <definedName name="SG_02_04" localSheetId="8">#REF!</definedName>
    <definedName name="SG_02_04">#REF!</definedName>
    <definedName name="SG_02_05" localSheetId="7">#REF!</definedName>
    <definedName name="SG_02_05" localSheetId="9">#REF!</definedName>
    <definedName name="SG_02_05" localSheetId="8">#REF!</definedName>
    <definedName name="SG_02_05">#REF!</definedName>
    <definedName name="SG_02_06" localSheetId="7">#REF!</definedName>
    <definedName name="SG_02_06" localSheetId="9">#REF!</definedName>
    <definedName name="SG_02_06" localSheetId="8">#REF!</definedName>
    <definedName name="SG_02_06">#REF!</definedName>
    <definedName name="SG_02_07" localSheetId="7">#REF!</definedName>
    <definedName name="SG_02_07" localSheetId="9">#REF!</definedName>
    <definedName name="SG_02_07" localSheetId="8">#REF!</definedName>
    <definedName name="SG_02_07">#REF!</definedName>
    <definedName name="SG_02_08" localSheetId="7">#REF!</definedName>
    <definedName name="SG_02_08" localSheetId="9">#REF!</definedName>
    <definedName name="SG_02_08" localSheetId="8">#REF!</definedName>
    <definedName name="SG_02_08">#REF!</definedName>
    <definedName name="SG_02_09" localSheetId="7">#REF!</definedName>
    <definedName name="SG_02_09" localSheetId="9">#REF!</definedName>
    <definedName name="SG_02_09" localSheetId="8">#REF!</definedName>
    <definedName name="SG_02_09">#REF!</definedName>
    <definedName name="SG_02_10" localSheetId="7">#REF!</definedName>
    <definedName name="SG_02_10" localSheetId="9">#REF!</definedName>
    <definedName name="SG_02_10" localSheetId="8">#REF!</definedName>
    <definedName name="SG_02_10">#REF!</definedName>
    <definedName name="SG_02_11" localSheetId="7">#REF!</definedName>
    <definedName name="SG_02_11" localSheetId="9">#REF!</definedName>
    <definedName name="SG_02_11" localSheetId="8">#REF!</definedName>
    <definedName name="SG_02_11">#REF!</definedName>
    <definedName name="SG_02_12" localSheetId="7">#REF!</definedName>
    <definedName name="SG_02_12" localSheetId="9">#REF!</definedName>
    <definedName name="SG_02_12" localSheetId="8">#REF!</definedName>
    <definedName name="SG_02_12">#REF!</definedName>
    <definedName name="SG_02_13" localSheetId="7">#REF!</definedName>
    <definedName name="SG_02_13" localSheetId="9">#REF!</definedName>
    <definedName name="SG_02_13" localSheetId="8">#REF!</definedName>
    <definedName name="SG_02_13">#REF!</definedName>
    <definedName name="SG_02_14" localSheetId="7">#REF!</definedName>
    <definedName name="SG_02_14" localSheetId="9">#REF!</definedName>
    <definedName name="SG_02_14" localSheetId="8">#REF!</definedName>
    <definedName name="SG_02_14">#REF!</definedName>
    <definedName name="SG_02_15" localSheetId="7">#REF!</definedName>
    <definedName name="SG_02_15" localSheetId="9">#REF!</definedName>
    <definedName name="SG_02_15" localSheetId="8">#REF!</definedName>
    <definedName name="SG_02_15">#REF!</definedName>
    <definedName name="SG_02_16" localSheetId="7">#REF!</definedName>
    <definedName name="SG_02_16" localSheetId="9">#REF!</definedName>
    <definedName name="SG_02_16" localSheetId="8">#REF!</definedName>
    <definedName name="SG_02_16">#REF!</definedName>
    <definedName name="SG_02_17" localSheetId="7">#REF!</definedName>
    <definedName name="SG_02_17" localSheetId="9">#REF!</definedName>
    <definedName name="SG_02_17" localSheetId="8">#REF!</definedName>
    <definedName name="SG_02_17">#REF!</definedName>
    <definedName name="SG_02_18" localSheetId="7">#REF!</definedName>
    <definedName name="SG_02_18" localSheetId="9">#REF!</definedName>
    <definedName name="SG_02_18" localSheetId="8">#REF!</definedName>
    <definedName name="SG_02_18">#REF!</definedName>
    <definedName name="SG_02_19" localSheetId="7">#REF!</definedName>
    <definedName name="SG_02_19" localSheetId="9">#REF!</definedName>
    <definedName name="SG_02_19" localSheetId="8">#REF!</definedName>
    <definedName name="SG_02_19">#REF!</definedName>
    <definedName name="SG_02_20" localSheetId="7">#REF!</definedName>
    <definedName name="SG_02_20" localSheetId="9">#REF!</definedName>
    <definedName name="SG_02_20" localSheetId="8">#REF!</definedName>
    <definedName name="SG_02_20">#REF!</definedName>
    <definedName name="SG_02_21" localSheetId="7">#REF!</definedName>
    <definedName name="SG_02_21" localSheetId="9">#REF!</definedName>
    <definedName name="SG_02_21" localSheetId="8">#REF!</definedName>
    <definedName name="SG_02_21">#REF!</definedName>
    <definedName name="SG_02_22" localSheetId="7">#REF!</definedName>
    <definedName name="SG_02_22" localSheetId="9">#REF!</definedName>
    <definedName name="SG_02_22" localSheetId="8">#REF!</definedName>
    <definedName name="SG_02_22">#REF!</definedName>
    <definedName name="SG_02_23" localSheetId="7">#REF!</definedName>
    <definedName name="SG_02_23" localSheetId="9">#REF!</definedName>
    <definedName name="SG_02_23" localSheetId="8">#REF!</definedName>
    <definedName name="SG_02_23">#REF!</definedName>
    <definedName name="SG_02_24" localSheetId="7">#REF!</definedName>
    <definedName name="SG_02_24" localSheetId="9">#REF!</definedName>
    <definedName name="SG_02_24" localSheetId="8">#REF!</definedName>
    <definedName name="SG_02_24">#REF!</definedName>
    <definedName name="SG_02_25" localSheetId="7">#REF!</definedName>
    <definedName name="SG_02_25" localSheetId="9">#REF!</definedName>
    <definedName name="SG_02_25" localSheetId="8">#REF!</definedName>
    <definedName name="SG_02_25">#REF!</definedName>
    <definedName name="SG_03_01" localSheetId="7">#REF!</definedName>
    <definedName name="SG_03_01" localSheetId="9">#REF!</definedName>
    <definedName name="SG_03_01" localSheetId="8">#REF!</definedName>
    <definedName name="SG_03_01">#REF!</definedName>
    <definedName name="SG_03_02" localSheetId="7">#REF!</definedName>
    <definedName name="SG_03_02" localSheetId="9">#REF!</definedName>
    <definedName name="SG_03_02" localSheetId="8">#REF!</definedName>
    <definedName name="SG_03_02">#REF!</definedName>
    <definedName name="SG_03_03" localSheetId="7">#REF!</definedName>
    <definedName name="SG_03_03" localSheetId="9">#REF!</definedName>
    <definedName name="SG_03_03" localSheetId="8">#REF!</definedName>
    <definedName name="SG_03_03">#REF!</definedName>
    <definedName name="SG_03_04" localSheetId="7">#REF!</definedName>
    <definedName name="SG_03_04" localSheetId="9">#REF!</definedName>
    <definedName name="SG_03_04" localSheetId="8">#REF!</definedName>
    <definedName name="SG_03_04">#REF!</definedName>
    <definedName name="SG_03_05" localSheetId="7">#REF!</definedName>
    <definedName name="SG_03_05" localSheetId="9">#REF!</definedName>
    <definedName name="SG_03_05" localSheetId="8">#REF!</definedName>
    <definedName name="SG_03_05">#REF!</definedName>
    <definedName name="SG_03_06" localSheetId="7">#REF!</definedName>
    <definedName name="SG_03_06" localSheetId="9">#REF!</definedName>
    <definedName name="SG_03_06" localSheetId="8">#REF!</definedName>
    <definedName name="SG_03_06">#REF!</definedName>
    <definedName name="SG_03_07" localSheetId="7">#REF!</definedName>
    <definedName name="SG_03_07" localSheetId="9">#REF!</definedName>
    <definedName name="SG_03_07" localSheetId="8">#REF!</definedName>
    <definedName name="SG_03_07">#REF!</definedName>
    <definedName name="SG_03_08" localSheetId="7">#REF!</definedName>
    <definedName name="SG_03_08" localSheetId="9">#REF!</definedName>
    <definedName name="SG_03_08" localSheetId="8">#REF!</definedName>
    <definedName name="SG_03_08">#REF!</definedName>
    <definedName name="SG_03_09" localSheetId="7">#REF!</definedName>
    <definedName name="SG_03_09" localSheetId="9">#REF!</definedName>
    <definedName name="SG_03_09" localSheetId="8">#REF!</definedName>
    <definedName name="SG_03_09">#REF!</definedName>
    <definedName name="SG_03_10" localSheetId="7">#REF!</definedName>
    <definedName name="SG_03_10" localSheetId="9">#REF!</definedName>
    <definedName name="SG_03_10" localSheetId="8">#REF!</definedName>
    <definedName name="SG_03_10">#REF!</definedName>
    <definedName name="SG_03_11" localSheetId="7">#REF!</definedName>
    <definedName name="SG_03_11" localSheetId="9">#REF!</definedName>
    <definedName name="SG_03_11" localSheetId="8">#REF!</definedName>
    <definedName name="SG_03_11">#REF!</definedName>
    <definedName name="SG_03_12" localSheetId="7">#REF!</definedName>
    <definedName name="SG_03_12" localSheetId="9">#REF!</definedName>
    <definedName name="SG_03_12" localSheetId="8">#REF!</definedName>
    <definedName name="SG_03_12">#REF!</definedName>
    <definedName name="SG_03_13" localSheetId="7">#REF!</definedName>
    <definedName name="SG_03_13" localSheetId="9">#REF!</definedName>
    <definedName name="SG_03_13" localSheetId="8">#REF!</definedName>
    <definedName name="SG_03_13">#REF!</definedName>
    <definedName name="SG_03_14" localSheetId="7">#REF!</definedName>
    <definedName name="SG_03_14" localSheetId="9">#REF!</definedName>
    <definedName name="SG_03_14" localSheetId="8">#REF!</definedName>
    <definedName name="SG_03_14">#REF!</definedName>
    <definedName name="SG_03_15" localSheetId="7">#REF!</definedName>
    <definedName name="SG_03_15" localSheetId="9">#REF!</definedName>
    <definedName name="SG_03_15" localSheetId="8">#REF!</definedName>
    <definedName name="SG_03_15">#REF!</definedName>
    <definedName name="SG_03_16" localSheetId="7">#REF!</definedName>
    <definedName name="SG_03_16" localSheetId="9">#REF!</definedName>
    <definedName name="SG_03_16" localSheetId="8">#REF!</definedName>
    <definedName name="SG_03_16">#REF!</definedName>
    <definedName name="SG_03_17" localSheetId="7">#REF!</definedName>
    <definedName name="SG_03_17" localSheetId="9">#REF!</definedName>
    <definedName name="SG_03_17" localSheetId="8">#REF!</definedName>
    <definedName name="SG_03_17">#REF!</definedName>
    <definedName name="SG_03_18" localSheetId="7">#REF!</definedName>
    <definedName name="SG_03_18" localSheetId="9">#REF!</definedName>
    <definedName name="SG_03_18" localSheetId="8">#REF!</definedName>
    <definedName name="SG_03_18">#REF!</definedName>
    <definedName name="SG_03_19" localSheetId="7">#REF!</definedName>
    <definedName name="SG_03_19" localSheetId="9">#REF!</definedName>
    <definedName name="SG_03_19" localSheetId="8">#REF!</definedName>
    <definedName name="SG_03_19">#REF!</definedName>
    <definedName name="SG_03_20" localSheetId="7">#REF!</definedName>
    <definedName name="SG_03_20" localSheetId="9">#REF!</definedName>
    <definedName name="SG_03_20" localSheetId="8">#REF!</definedName>
    <definedName name="SG_03_20">#REF!</definedName>
    <definedName name="SG_03_21" localSheetId="7">#REF!</definedName>
    <definedName name="SG_03_21" localSheetId="9">#REF!</definedName>
    <definedName name="SG_03_21" localSheetId="8">#REF!</definedName>
    <definedName name="SG_03_21">#REF!</definedName>
    <definedName name="SG_03_22" localSheetId="7">#REF!</definedName>
    <definedName name="SG_03_22" localSheetId="9">#REF!</definedName>
    <definedName name="SG_03_22" localSheetId="8">#REF!</definedName>
    <definedName name="SG_03_22">#REF!</definedName>
    <definedName name="SG_03_23" localSheetId="7">#REF!</definedName>
    <definedName name="SG_03_23" localSheetId="9">#REF!</definedName>
    <definedName name="SG_03_23" localSheetId="8">#REF!</definedName>
    <definedName name="SG_03_23">#REF!</definedName>
    <definedName name="SG_03_24" localSheetId="7">#REF!</definedName>
    <definedName name="SG_03_24" localSheetId="9">#REF!</definedName>
    <definedName name="SG_03_24" localSheetId="8">#REF!</definedName>
    <definedName name="SG_03_24">#REF!</definedName>
    <definedName name="SG_03_25" localSheetId="7">#REF!</definedName>
    <definedName name="SG_03_25" localSheetId="9">#REF!</definedName>
    <definedName name="SG_03_25" localSheetId="8">#REF!</definedName>
    <definedName name="SG_03_25">#REF!</definedName>
    <definedName name="SG_04_01" localSheetId="7">#REF!</definedName>
    <definedName name="SG_04_01" localSheetId="9">#REF!</definedName>
    <definedName name="SG_04_01" localSheetId="8">#REF!</definedName>
    <definedName name="SG_04_01">#REF!</definedName>
    <definedName name="SG_04_02" localSheetId="7">#REF!</definedName>
    <definedName name="SG_04_02" localSheetId="9">#REF!</definedName>
    <definedName name="SG_04_02" localSheetId="8">#REF!</definedName>
    <definedName name="SG_04_02">#REF!</definedName>
    <definedName name="SG_04_03" localSheetId="7">#REF!</definedName>
    <definedName name="SG_04_03" localSheetId="9">#REF!</definedName>
    <definedName name="SG_04_03" localSheetId="8">#REF!</definedName>
    <definedName name="SG_04_03">#REF!</definedName>
    <definedName name="SG_04_04" localSheetId="7">#REF!</definedName>
    <definedName name="SG_04_04" localSheetId="9">#REF!</definedName>
    <definedName name="SG_04_04" localSheetId="8">#REF!</definedName>
    <definedName name="SG_04_04">#REF!</definedName>
    <definedName name="SG_04_05" localSheetId="7">#REF!</definedName>
    <definedName name="SG_04_05" localSheetId="9">#REF!</definedName>
    <definedName name="SG_04_05" localSheetId="8">#REF!</definedName>
    <definedName name="SG_04_05">#REF!</definedName>
    <definedName name="SG_04_06" localSheetId="7">#REF!</definedName>
    <definedName name="SG_04_06" localSheetId="9">#REF!</definedName>
    <definedName name="SG_04_06" localSheetId="8">#REF!</definedName>
    <definedName name="SG_04_06">#REF!</definedName>
    <definedName name="SG_04_07" localSheetId="7">#REF!</definedName>
    <definedName name="SG_04_07" localSheetId="9">#REF!</definedName>
    <definedName name="SG_04_07" localSheetId="8">#REF!</definedName>
    <definedName name="SG_04_07">#REF!</definedName>
    <definedName name="SG_04_08" localSheetId="7">#REF!</definedName>
    <definedName name="SG_04_08" localSheetId="9">#REF!</definedName>
    <definedName name="SG_04_08" localSheetId="8">#REF!</definedName>
    <definedName name="SG_04_08">#REF!</definedName>
    <definedName name="SG_04_09" localSheetId="7">#REF!</definedName>
    <definedName name="SG_04_09" localSheetId="9">#REF!</definedName>
    <definedName name="SG_04_09" localSheetId="8">#REF!</definedName>
    <definedName name="SG_04_09">#REF!</definedName>
    <definedName name="SG_04_10" localSheetId="7">#REF!</definedName>
    <definedName name="SG_04_10" localSheetId="9">#REF!</definedName>
    <definedName name="SG_04_10" localSheetId="8">#REF!</definedName>
    <definedName name="SG_04_10">#REF!</definedName>
    <definedName name="SG_04_11" localSheetId="7">#REF!</definedName>
    <definedName name="SG_04_11" localSheetId="9">#REF!</definedName>
    <definedName name="SG_04_11" localSheetId="8">#REF!</definedName>
    <definedName name="SG_04_11">#REF!</definedName>
    <definedName name="SG_04_12" localSheetId="7">#REF!</definedName>
    <definedName name="SG_04_12" localSheetId="9">#REF!</definedName>
    <definedName name="SG_04_12" localSheetId="8">#REF!</definedName>
    <definedName name="SG_04_12">#REF!</definedName>
    <definedName name="SG_04_13" localSheetId="7">#REF!</definedName>
    <definedName name="SG_04_13" localSheetId="9">#REF!</definedName>
    <definedName name="SG_04_13" localSheetId="8">#REF!</definedName>
    <definedName name="SG_04_13">#REF!</definedName>
    <definedName name="SG_04_14" localSheetId="7">#REF!</definedName>
    <definedName name="SG_04_14" localSheetId="9">#REF!</definedName>
    <definedName name="SG_04_14" localSheetId="8">#REF!</definedName>
    <definedName name="SG_04_14">#REF!</definedName>
    <definedName name="SG_04_15" localSheetId="7">#REF!</definedName>
    <definedName name="SG_04_15" localSheetId="9">#REF!</definedName>
    <definedName name="SG_04_15" localSheetId="8">#REF!</definedName>
    <definedName name="SG_04_15">#REF!</definedName>
    <definedName name="SG_04_16" localSheetId="7">#REF!</definedName>
    <definedName name="SG_04_16" localSheetId="9">#REF!</definedName>
    <definedName name="SG_04_16" localSheetId="8">#REF!</definedName>
    <definedName name="SG_04_16">#REF!</definedName>
    <definedName name="SG_04_17" localSheetId="7">#REF!</definedName>
    <definedName name="SG_04_17" localSheetId="9">#REF!</definedName>
    <definedName name="SG_04_17" localSheetId="8">#REF!</definedName>
    <definedName name="SG_04_17">#REF!</definedName>
    <definedName name="SG_04_18" localSheetId="7">#REF!</definedName>
    <definedName name="SG_04_18" localSheetId="9">#REF!</definedName>
    <definedName name="SG_04_18" localSheetId="8">#REF!</definedName>
    <definedName name="SG_04_18">#REF!</definedName>
    <definedName name="SG_04_19" localSheetId="7">#REF!</definedName>
    <definedName name="SG_04_19" localSheetId="9">#REF!</definedName>
    <definedName name="SG_04_19" localSheetId="8">#REF!</definedName>
    <definedName name="SG_04_19">#REF!</definedName>
    <definedName name="SG_04_20" localSheetId="7">#REF!</definedName>
    <definedName name="SG_04_20" localSheetId="9">#REF!</definedName>
    <definedName name="SG_04_20" localSheetId="8">#REF!</definedName>
    <definedName name="SG_04_20">#REF!</definedName>
    <definedName name="SG_04_21" localSheetId="7">#REF!</definedName>
    <definedName name="SG_04_21" localSheetId="9">#REF!</definedName>
    <definedName name="SG_04_21" localSheetId="8">#REF!</definedName>
    <definedName name="SG_04_21">#REF!</definedName>
    <definedName name="SG_04_22" localSheetId="7">#REF!</definedName>
    <definedName name="SG_04_22" localSheetId="9">#REF!</definedName>
    <definedName name="SG_04_22" localSheetId="8">#REF!</definedName>
    <definedName name="SG_04_22">#REF!</definedName>
    <definedName name="SG_04_23" localSheetId="7">#REF!</definedName>
    <definedName name="SG_04_23" localSheetId="9">#REF!</definedName>
    <definedName name="SG_04_23" localSheetId="8">#REF!</definedName>
    <definedName name="SG_04_23">#REF!</definedName>
    <definedName name="SG_04_24" localSheetId="7">#REF!</definedName>
    <definedName name="SG_04_24" localSheetId="9">#REF!</definedName>
    <definedName name="SG_04_24" localSheetId="8">#REF!</definedName>
    <definedName name="SG_04_24">#REF!</definedName>
    <definedName name="SG_04_25" localSheetId="7">#REF!</definedName>
    <definedName name="SG_04_25" localSheetId="9">#REF!</definedName>
    <definedName name="SG_04_25" localSheetId="8">#REF!</definedName>
    <definedName name="SG_04_25">#REF!</definedName>
    <definedName name="SG_05_01" localSheetId="7">#REF!</definedName>
    <definedName name="SG_05_01" localSheetId="9">#REF!</definedName>
    <definedName name="SG_05_01" localSheetId="8">#REF!</definedName>
    <definedName name="SG_05_01">#REF!</definedName>
    <definedName name="SG_05_02" localSheetId="7">#REF!</definedName>
    <definedName name="SG_05_02" localSheetId="9">#REF!</definedName>
    <definedName name="SG_05_02" localSheetId="8">#REF!</definedName>
    <definedName name="SG_05_02">#REF!</definedName>
    <definedName name="SG_05_03" localSheetId="7">#REF!</definedName>
    <definedName name="SG_05_03" localSheetId="9">#REF!</definedName>
    <definedName name="SG_05_03" localSheetId="8">#REF!</definedName>
    <definedName name="SG_05_03">#REF!</definedName>
    <definedName name="SG_05_04" localSheetId="7">#REF!</definedName>
    <definedName name="SG_05_04" localSheetId="9">#REF!</definedName>
    <definedName name="SG_05_04" localSheetId="8">#REF!</definedName>
    <definedName name="SG_05_04">#REF!</definedName>
    <definedName name="SG_05_05" localSheetId="7">#REF!</definedName>
    <definedName name="SG_05_05" localSheetId="9">#REF!</definedName>
    <definedName name="SG_05_05" localSheetId="8">#REF!</definedName>
    <definedName name="SG_05_05">#REF!</definedName>
    <definedName name="SG_05_06" localSheetId="7">#REF!</definedName>
    <definedName name="SG_05_06" localSheetId="9">#REF!</definedName>
    <definedName name="SG_05_06" localSheetId="8">#REF!</definedName>
    <definedName name="SG_05_06">#REF!</definedName>
    <definedName name="SG_05_07" localSheetId="7">#REF!</definedName>
    <definedName name="SG_05_07" localSheetId="9">#REF!</definedName>
    <definedName name="SG_05_07" localSheetId="8">#REF!</definedName>
    <definedName name="SG_05_07">#REF!</definedName>
    <definedName name="SG_05_08" localSheetId="7">#REF!</definedName>
    <definedName name="SG_05_08" localSheetId="9">#REF!</definedName>
    <definedName name="SG_05_08" localSheetId="8">#REF!</definedName>
    <definedName name="SG_05_08">#REF!</definedName>
    <definedName name="SG_05_09" localSheetId="7">#REF!</definedName>
    <definedName name="SG_05_09" localSheetId="9">#REF!</definedName>
    <definedName name="SG_05_09" localSheetId="8">#REF!</definedName>
    <definedName name="SG_05_09">#REF!</definedName>
    <definedName name="SG_05_10" localSheetId="7">#REF!</definedName>
    <definedName name="SG_05_10" localSheetId="9">#REF!</definedName>
    <definedName name="SG_05_10" localSheetId="8">#REF!</definedName>
    <definedName name="SG_05_10">#REF!</definedName>
    <definedName name="SG_05_11" localSheetId="7">#REF!</definedName>
    <definedName name="SG_05_11" localSheetId="9">#REF!</definedName>
    <definedName name="SG_05_11" localSheetId="8">#REF!</definedName>
    <definedName name="SG_05_11">#REF!</definedName>
    <definedName name="SG_05_12" localSheetId="7">#REF!</definedName>
    <definedName name="SG_05_12" localSheetId="9">#REF!</definedName>
    <definedName name="SG_05_12" localSheetId="8">#REF!</definedName>
    <definedName name="SG_05_12">#REF!</definedName>
    <definedName name="SG_05_13" localSheetId="7">#REF!</definedName>
    <definedName name="SG_05_13" localSheetId="9">#REF!</definedName>
    <definedName name="SG_05_13" localSheetId="8">#REF!</definedName>
    <definedName name="SG_05_13">#REF!</definedName>
    <definedName name="SG_05_14" localSheetId="7">#REF!</definedName>
    <definedName name="SG_05_14" localSheetId="9">#REF!</definedName>
    <definedName name="SG_05_14" localSheetId="8">#REF!</definedName>
    <definedName name="SG_05_14">#REF!</definedName>
    <definedName name="SG_05_15" localSheetId="7">#REF!</definedName>
    <definedName name="SG_05_15" localSheetId="9">#REF!</definedName>
    <definedName name="SG_05_15" localSheetId="8">#REF!</definedName>
    <definedName name="SG_05_15">#REF!</definedName>
    <definedName name="SG_05_16" localSheetId="7">#REF!</definedName>
    <definedName name="SG_05_16" localSheetId="9">#REF!</definedName>
    <definedName name="SG_05_16" localSheetId="8">#REF!</definedName>
    <definedName name="SG_05_16">#REF!</definedName>
    <definedName name="SG_05_17" localSheetId="7">#REF!</definedName>
    <definedName name="SG_05_17" localSheetId="9">#REF!</definedName>
    <definedName name="SG_05_17" localSheetId="8">#REF!</definedName>
    <definedName name="SG_05_17">#REF!</definedName>
    <definedName name="SG_05_18" localSheetId="7">#REF!</definedName>
    <definedName name="SG_05_18" localSheetId="9">#REF!</definedName>
    <definedName name="SG_05_18" localSheetId="8">#REF!</definedName>
    <definedName name="SG_05_18">#REF!</definedName>
    <definedName name="SG_05_19" localSheetId="7">#REF!</definedName>
    <definedName name="SG_05_19" localSheetId="9">#REF!</definedName>
    <definedName name="SG_05_19" localSheetId="8">#REF!</definedName>
    <definedName name="SG_05_19">#REF!</definedName>
    <definedName name="SG_05_20" localSheetId="7">#REF!</definedName>
    <definedName name="SG_05_20" localSheetId="9">#REF!</definedName>
    <definedName name="SG_05_20" localSheetId="8">#REF!</definedName>
    <definedName name="SG_05_20">#REF!</definedName>
    <definedName name="SG_05_21" localSheetId="7">#REF!</definedName>
    <definedName name="SG_05_21" localSheetId="9">#REF!</definedName>
    <definedName name="SG_05_21" localSheetId="8">#REF!</definedName>
    <definedName name="SG_05_21">#REF!</definedName>
    <definedName name="SG_05_22" localSheetId="7">#REF!</definedName>
    <definedName name="SG_05_22" localSheetId="9">#REF!</definedName>
    <definedName name="SG_05_22" localSheetId="8">#REF!</definedName>
    <definedName name="SG_05_22">#REF!</definedName>
    <definedName name="SG_05_23" localSheetId="7">#REF!</definedName>
    <definedName name="SG_05_23" localSheetId="9">#REF!</definedName>
    <definedName name="SG_05_23" localSheetId="8">#REF!</definedName>
    <definedName name="SG_05_23">#REF!</definedName>
    <definedName name="SG_05_24" localSheetId="7">#REF!</definedName>
    <definedName name="SG_05_24" localSheetId="9">#REF!</definedName>
    <definedName name="SG_05_24" localSheetId="8">#REF!</definedName>
    <definedName name="SG_05_24">#REF!</definedName>
    <definedName name="SG_05_25" localSheetId="7">#REF!</definedName>
    <definedName name="SG_05_25" localSheetId="9">#REF!</definedName>
    <definedName name="SG_05_25" localSheetId="8">#REF!</definedName>
    <definedName name="SG_05_25">#REF!</definedName>
    <definedName name="SG_06_01" localSheetId="7">#REF!</definedName>
    <definedName name="SG_06_01" localSheetId="9">#REF!</definedName>
    <definedName name="SG_06_01" localSheetId="8">#REF!</definedName>
    <definedName name="SG_06_01">#REF!</definedName>
    <definedName name="SG_06_02" localSheetId="7">#REF!</definedName>
    <definedName name="SG_06_02" localSheetId="9">#REF!</definedName>
    <definedName name="SG_06_02" localSheetId="8">#REF!</definedName>
    <definedName name="SG_06_02">#REF!</definedName>
    <definedName name="SG_06_03" localSheetId="7">#REF!</definedName>
    <definedName name="SG_06_03" localSheetId="9">#REF!</definedName>
    <definedName name="SG_06_03" localSheetId="8">#REF!</definedName>
    <definedName name="SG_06_03">#REF!</definedName>
    <definedName name="SG_06_04" localSheetId="7">#REF!</definedName>
    <definedName name="SG_06_04" localSheetId="9">#REF!</definedName>
    <definedName name="SG_06_04" localSheetId="8">#REF!</definedName>
    <definedName name="SG_06_04">#REF!</definedName>
    <definedName name="SG_06_05" localSheetId="7">#REF!</definedName>
    <definedName name="SG_06_05" localSheetId="9">#REF!</definedName>
    <definedName name="SG_06_05" localSheetId="8">#REF!</definedName>
    <definedName name="SG_06_05">#REF!</definedName>
    <definedName name="SG_06_06" localSheetId="7">#REF!</definedName>
    <definedName name="SG_06_06" localSheetId="9">#REF!</definedName>
    <definedName name="SG_06_06" localSheetId="8">#REF!</definedName>
    <definedName name="SG_06_06">#REF!</definedName>
    <definedName name="SG_06_07" localSheetId="7">#REF!</definedName>
    <definedName name="SG_06_07" localSheetId="9">#REF!</definedName>
    <definedName name="SG_06_07" localSheetId="8">#REF!</definedName>
    <definedName name="SG_06_07">#REF!</definedName>
    <definedName name="SG_06_08" localSheetId="7">#REF!</definedName>
    <definedName name="SG_06_08" localSheetId="9">#REF!</definedName>
    <definedName name="SG_06_08" localSheetId="8">#REF!</definedName>
    <definedName name="SG_06_08">#REF!</definedName>
    <definedName name="SG_06_09" localSheetId="7">#REF!</definedName>
    <definedName name="SG_06_09" localSheetId="9">#REF!</definedName>
    <definedName name="SG_06_09" localSheetId="8">#REF!</definedName>
    <definedName name="SG_06_09">#REF!</definedName>
    <definedName name="SG_06_10" localSheetId="7">#REF!</definedName>
    <definedName name="SG_06_10" localSheetId="9">#REF!</definedName>
    <definedName name="SG_06_10" localSheetId="8">#REF!</definedName>
    <definedName name="SG_06_10">#REF!</definedName>
    <definedName name="SG_06_11" localSheetId="7">#REF!</definedName>
    <definedName name="SG_06_11" localSheetId="9">#REF!</definedName>
    <definedName name="SG_06_11" localSheetId="8">#REF!</definedName>
    <definedName name="SG_06_11">#REF!</definedName>
    <definedName name="SG_06_12" localSheetId="7">#REF!</definedName>
    <definedName name="SG_06_12" localSheetId="9">#REF!</definedName>
    <definedName name="SG_06_12" localSheetId="8">#REF!</definedName>
    <definedName name="SG_06_12">#REF!</definedName>
    <definedName name="SG_06_13" localSheetId="7">#REF!</definedName>
    <definedName name="SG_06_13" localSheetId="9">#REF!</definedName>
    <definedName name="SG_06_13" localSheetId="8">#REF!</definedName>
    <definedName name="SG_06_13">#REF!</definedName>
    <definedName name="SG_06_14" localSheetId="7">#REF!</definedName>
    <definedName name="SG_06_14" localSheetId="9">#REF!</definedName>
    <definedName name="SG_06_14" localSheetId="8">#REF!</definedName>
    <definedName name="SG_06_14">#REF!</definedName>
    <definedName name="SG_06_15" localSheetId="7">#REF!</definedName>
    <definedName name="SG_06_15" localSheetId="9">#REF!</definedName>
    <definedName name="SG_06_15" localSheetId="8">#REF!</definedName>
    <definedName name="SG_06_15">#REF!</definedName>
    <definedName name="SG_06_16" localSheetId="7">#REF!</definedName>
    <definedName name="SG_06_16" localSheetId="9">#REF!</definedName>
    <definedName name="SG_06_16" localSheetId="8">#REF!</definedName>
    <definedName name="SG_06_16">#REF!</definedName>
    <definedName name="SG_06_17" localSheetId="7">#REF!</definedName>
    <definedName name="SG_06_17" localSheetId="9">#REF!</definedName>
    <definedName name="SG_06_17" localSheetId="8">#REF!</definedName>
    <definedName name="SG_06_17">#REF!</definedName>
    <definedName name="SG_06_18" localSheetId="7">#REF!</definedName>
    <definedName name="SG_06_18" localSheetId="9">#REF!</definedName>
    <definedName name="SG_06_18" localSheetId="8">#REF!</definedName>
    <definedName name="SG_06_18">#REF!</definedName>
    <definedName name="SG_06_19" localSheetId="7">#REF!</definedName>
    <definedName name="SG_06_19" localSheetId="9">#REF!</definedName>
    <definedName name="SG_06_19" localSheetId="8">#REF!</definedName>
    <definedName name="SG_06_19">#REF!</definedName>
    <definedName name="SG_06_20" localSheetId="7">#REF!</definedName>
    <definedName name="SG_06_20" localSheetId="9">#REF!</definedName>
    <definedName name="SG_06_20" localSheetId="8">#REF!</definedName>
    <definedName name="SG_06_20">#REF!</definedName>
    <definedName name="SG_06_21" localSheetId="7">#REF!</definedName>
    <definedName name="SG_06_21" localSheetId="9">#REF!</definedName>
    <definedName name="SG_06_21" localSheetId="8">#REF!</definedName>
    <definedName name="SG_06_21">#REF!</definedName>
    <definedName name="SG_06_22" localSheetId="7">#REF!</definedName>
    <definedName name="SG_06_22" localSheetId="9">#REF!</definedName>
    <definedName name="SG_06_22" localSheetId="8">#REF!</definedName>
    <definedName name="SG_06_22">#REF!</definedName>
    <definedName name="SG_06_23" localSheetId="7">#REF!</definedName>
    <definedName name="SG_06_23" localSheetId="9">#REF!</definedName>
    <definedName name="SG_06_23" localSheetId="8">#REF!</definedName>
    <definedName name="SG_06_23">#REF!</definedName>
    <definedName name="SG_06_24" localSheetId="7">#REF!</definedName>
    <definedName name="SG_06_24" localSheetId="9">#REF!</definedName>
    <definedName name="SG_06_24" localSheetId="8">#REF!</definedName>
    <definedName name="SG_06_24">#REF!</definedName>
    <definedName name="SG_06_25" localSheetId="7">#REF!</definedName>
    <definedName name="SG_06_25" localSheetId="9">#REF!</definedName>
    <definedName name="SG_06_25" localSheetId="8">#REF!</definedName>
    <definedName name="SG_06_25">#REF!</definedName>
    <definedName name="SG_07_01" localSheetId="7">#REF!</definedName>
    <definedName name="SG_07_01" localSheetId="9">#REF!</definedName>
    <definedName name="SG_07_01" localSheetId="8">#REF!</definedName>
    <definedName name="SG_07_01">#REF!</definedName>
    <definedName name="SG_07_02" localSheetId="7">#REF!</definedName>
    <definedName name="SG_07_02" localSheetId="9">#REF!</definedName>
    <definedName name="SG_07_02" localSheetId="8">#REF!</definedName>
    <definedName name="SG_07_02">#REF!</definedName>
    <definedName name="SG_07_03" localSheetId="7">#REF!</definedName>
    <definedName name="SG_07_03" localSheetId="9">#REF!</definedName>
    <definedName name="SG_07_03" localSheetId="8">#REF!</definedName>
    <definedName name="SG_07_03">#REF!</definedName>
    <definedName name="SG_07_04" localSheetId="7">#REF!</definedName>
    <definedName name="SG_07_04" localSheetId="9">#REF!</definedName>
    <definedName name="SG_07_04" localSheetId="8">#REF!</definedName>
    <definedName name="SG_07_04">#REF!</definedName>
    <definedName name="SG_07_05" localSheetId="7">#REF!</definedName>
    <definedName name="SG_07_05" localSheetId="9">#REF!</definedName>
    <definedName name="SG_07_05" localSheetId="8">#REF!</definedName>
    <definedName name="SG_07_05">#REF!</definedName>
    <definedName name="SG_07_06" localSheetId="7">#REF!</definedName>
    <definedName name="SG_07_06" localSheetId="9">#REF!</definedName>
    <definedName name="SG_07_06" localSheetId="8">#REF!</definedName>
    <definedName name="SG_07_06">#REF!</definedName>
    <definedName name="SG_07_07" localSheetId="7">#REF!</definedName>
    <definedName name="SG_07_07" localSheetId="9">#REF!</definedName>
    <definedName name="SG_07_07" localSheetId="8">#REF!</definedName>
    <definedName name="SG_07_07">#REF!</definedName>
    <definedName name="SG_07_08" localSheetId="7">#REF!</definedName>
    <definedName name="SG_07_08" localSheetId="9">#REF!</definedName>
    <definedName name="SG_07_08" localSheetId="8">#REF!</definedName>
    <definedName name="SG_07_08">#REF!</definedName>
    <definedName name="SG_07_09" localSheetId="7">#REF!</definedName>
    <definedName name="SG_07_09" localSheetId="9">#REF!</definedName>
    <definedName name="SG_07_09" localSheetId="8">#REF!</definedName>
    <definedName name="SG_07_09">#REF!</definedName>
    <definedName name="SG_07_10" localSheetId="7">#REF!</definedName>
    <definedName name="SG_07_10" localSheetId="9">#REF!</definedName>
    <definedName name="SG_07_10" localSheetId="8">#REF!</definedName>
    <definedName name="SG_07_10">#REF!</definedName>
    <definedName name="SG_07_11" localSheetId="7">#REF!</definedName>
    <definedName name="SG_07_11" localSheetId="9">#REF!</definedName>
    <definedName name="SG_07_11" localSheetId="8">#REF!</definedName>
    <definedName name="SG_07_11">#REF!</definedName>
    <definedName name="SG_07_12" localSheetId="7">#REF!</definedName>
    <definedName name="SG_07_12" localSheetId="9">#REF!</definedName>
    <definedName name="SG_07_12" localSheetId="8">#REF!</definedName>
    <definedName name="SG_07_12">#REF!</definedName>
    <definedName name="SG_07_13" localSheetId="7">#REF!</definedName>
    <definedName name="SG_07_13" localSheetId="9">#REF!</definedName>
    <definedName name="SG_07_13" localSheetId="8">#REF!</definedName>
    <definedName name="SG_07_13">#REF!</definedName>
    <definedName name="SG_07_14" localSheetId="7">#REF!</definedName>
    <definedName name="SG_07_14" localSheetId="9">#REF!</definedName>
    <definedName name="SG_07_14" localSheetId="8">#REF!</definedName>
    <definedName name="SG_07_14">#REF!</definedName>
    <definedName name="SG_07_15" localSheetId="7">#REF!</definedName>
    <definedName name="SG_07_15" localSheetId="9">#REF!</definedName>
    <definedName name="SG_07_15" localSheetId="8">#REF!</definedName>
    <definedName name="SG_07_15">#REF!</definedName>
    <definedName name="SG_07_16" localSheetId="7">#REF!</definedName>
    <definedName name="SG_07_16" localSheetId="9">#REF!</definedName>
    <definedName name="SG_07_16" localSheetId="8">#REF!</definedName>
    <definedName name="SG_07_16">#REF!</definedName>
    <definedName name="SG_07_17" localSheetId="7">#REF!</definedName>
    <definedName name="SG_07_17" localSheetId="9">#REF!</definedName>
    <definedName name="SG_07_17" localSheetId="8">#REF!</definedName>
    <definedName name="SG_07_17">#REF!</definedName>
    <definedName name="SG_07_18" localSheetId="7">#REF!</definedName>
    <definedName name="SG_07_18" localSheetId="9">#REF!</definedName>
    <definedName name="SG_07_18" localSheetId="8">#REF!</definedName>
    <definedName name="SG_07_18">#REF!</definedName>
    <definedName name="SG_07_19" localSheetId="7">#REF!</definedName>
    <definedName name="SG_07_19" localSheetId="9">#REF!</definedName>
    <definedName name="SG_07_19" localSheetId="8">#REF!</definedName>
    <definedName name="SG_07_19">#REF!</definedName>
    <definedName name="SG_07_20" localSheetId="7">#REF!</definedName>
    <definedName name="SG_07_20" localSheetId="9">#REF!</definedName>
    <definedName name="SG_07_20" localSheetId="8">#REF!</definedName>
    <definedName name="SG_07_20">#REF!</definedName>
    <definedName name="SG_07_21" localSheetId="7">#REF!</definedName>
    <definedName name="SG_07_21" localSheetId="9">#REF!</definedName>
    <definedName name="SG_07_21" localSheetId="8">#REF!</definedName>
    <definedName name="SG_07_21">#REF!</definedName>
    <definedName name="SG_07_22" localSheetId="7">#REF!</definedName>
    <definedName name="SG_07_22" localSheetId="9">#REF!</definedName>
    <definedName name="SG_07_22" localSheetId="8">#REF!</definedName>
    <definedName name="SG_07_22">#REF!</definedName>
    <definedName name="SG_07_23" localSheetId="7">#REF!</definedName>
    <definedName name="SG_07_23" localSheetId="9">#REF!</definedName>
    <definedName name="SG_07_23" localSheetId="8">#REF!</definedName>
    <definedName name="SG_07_23">#REF!</definedName>
    <definedName name="SG_07_24" localSheetId="7">#REF!</definedName>
    <definedName name="SG_07_24" localSheetId="9">#REF!</definedName>
    <definedName name="SG_07_24" localSheetId="8">#REF!</definedName>
    <definedName name="SG_07_24">#REF!</definedName>
    <definedName name="SG_07_25" localSheetId="7">#REF!</definedName>
    <definedName name="SG_07_25" localSheetId="9">#REF!</definedName>
    <definedName name="SG_07_25" localSheetId="8">#REF!</definedName>
    <definedName name="SG_07_25">#REF!</definedName>
    <definedName name="SG_08_01" localSheetId="7">#REF!</definedName>
    <definedName name="SG_08_01" localSheetId="9">#REF!</definedName>
    <definedName name="SG_08_01" localSheetId="8">#REF!</definedName>
    <definedName name="SG_08_01">#REF!</definedName>
    <definedName name="SG_08_02" localSheetId="7">#REF!</definedName>
    <definedName name="SG_08_02" localSheetId="9">#REF!</definedName>
    <definedName name="SG_08_02" localSheetId="8">#REF!</definedName>
    <definedName name="SG_08_02">#REF!</definedName>
    <definedName name="SG_08_03" localSheetId="7">#REF!</definedName>
    <definedName name="SG_08_03" localSheetId="9">#REF!</definedName>
    <definedName name="SG_08_03" localSheetId="8">#REF!</definedName>
    <definedName name="SG_08_03">#REF!</definedName>
    <definedName name="SG_08_04" localSheetId="7">#REF!</definedName>
    <definedName name="SG_08_04" localSheetId="9">#REF!</definedName>
    <definedName name="SG_08_04" localSheetId="8">#REF!</definedName>
    <definedName name="SG_08_04">#REF!</definedName>
    <definedName name="SG_08_05" localSheetId="7">#REF!</definedName>
    <definedName name="SG_08_05" localSheetId="9">#REF!</definedName>
    <definedName name="SG_08_05" localSheetId="8">#REF!</definedName>
    <definedName name="SG_08_05">#REF!</definedName>
    <definedName name="SG_08_06" localSheetId="7">#REF!</definedName>
    <definedName name="SG_08_06" localSheetId="9">#REF!</definedName>
    <definedName name="SG_08_06" localSheetId="8">#REF!</definedName>
    <definedName name="SG_08_06">#REF!</definedName>
    <definedName name="SG_08_07" localSheetId="7">#REF!</definedName>
    <definedName name="SG_08_07" localSheetId="9">#REF!</definedName>
    <definedName name="SG_08_07" localSheetId="8">#REF!</definedName>
    <definedName name="SG_08_07">#REF!</definedName>
    <definedName name="SG_08_08" localSheetId="7">#REF!</definedName>
    <definedName name="SG_08_08" localSheetId="9">#REF!</definedName>
    <definedName name="SG_08_08" localSheetId="8">#REF!</definedName>
    <definedName name="SG_08_08">#REF!</definedName>
    <definedName name="SG_08_09" localSheetId="7">#REF!</definedName>
    <definedName name="SG_08_09" localSheetId="9">#REF!</definedName>
    <definedName name="SG_08_09" localSheetId="8">#REF!</definedName>
    <definedName name="SG_08_09">#REF!</definedName>
    <definedName name="SG_08_10" localSheetId="7">#REF!</definedName>
    <definedName name="SG_08_10" localSheetId="9">#REF!</definedName>
    <definedName name="SG_08_10" localSheetId="8">#REF!</definedName>
    <definedName name="SG_08_10">#REF!</definedName>
    <definedName name="SG_08_11" localSheetId="7">#REF!</definedName>
    <definedName name="SG_08_11" localSheetId="9">#REF!</definedName>
    <definedName name="SG_08_11" localSheetId="8">#REF!</definedName>
    <definedName name="SG_08_11">#REF!</definedName>
    <definedName name="SG_08_12" localSheetId="7">#REF!</definedName>
    <definedName name="SG_08_12" localSheetId="9">#REF!</definedName>
    <definedName name="SG_08_12" localSheetId="8">#REF!</definedName>
    <definedName name="SG_08_12">#REF!</definedName>
    <definedName name="SG_08_13" localSheetId="7">#REF!</definedName>
    <definedName name="SG_08_13" localSheetId="9">#REF!</definedName>
    <definedName name="SG_08_13" localSheetId="8">#REF!</definedName>
    <definedName name="SG_08_13">#REF!</definedName>
    <definedName name="SG_08_14" localSheetId="7">#REF!</definedName>
    <definedName name="SG_08_14" localSheetId="9">#REF!</definedName>
    <definedName name="SG_08_14" localSheetId="8">#REF!</definedName>
    <definedName name="SG_08_14">#REF!</definedName>
    <definedName name="SG_08_15" localSheetId="7">#REF!</definedName>
    <definedName name="SG_08_15" localSheetId="9">#REF!</definedName>
    <definedName name="SG_08_15" localSheetId="8">#REF!</definedName>
    <definedName name="SG_08_15">#REF!</definedName>
    <definedName name="SG_08_16" localSheetId="7">#REF!</definedName>
    <definedName name="SG_08_16" localSheetId="9">#REF!</definedName>
    <definedName name="SG_08_16" localSheetId="8">#REF!</definedName>
    <definedName name="SG_08_16">#REF!</definedName>
    <definedName name="SG_08_17" localSheetId="7">#REF!</definedName>
    <definedName name="SG_08_17" localSheetId="9">#REF!</definedName>
    <definedName name="SG_08_17" localSheetId="8">#REF!</definedName>
    <definedName name="SG_08_17">#REF!</definedName>
    <definedName name="SG_08_18" localSheetId="7">#REF!</definedName>
    <definedName name="SG_08_18" localSheetId="9">#REF!</definedName>
    <definedName name="SG_08_18" localSheetId="8">#REF!</definedName>
    <definedName name="SG_08_18">#REF!</definedName>
    <definedName name="SG_08_19" localSheetId="7">#REF!</definedName>
    <definedName name="SG_08_19" localSheetId="9">#REF!</definedName>
    <definedName name="SG_08_19" localSheetId="8">#REF!</definedName>
    <definedName name="SG_08_19">#REF!</definedName>
    <definedName name="SG_08_20" localSheetId="7">#REF!</definedName>
    <definedName name="SG_08_20" localSheetId="9">#REF!</definedName>
    <definedName name="SG_08_20" localSheetId="8">#REF!</definedName>
    <definedName name="SG_08_20">#REF!</definedName>
    <definedName name="SG_08_21" localSheetId="7">#REF!</definedName>
    <definedName name="SG_08_21" localSheetId="9">#REF!</definedName>
    <definedName name="SG_08_21" localSheetId="8">#REF!</definedName>
    <definedName name="SG_08_21">#REF!</definedName>
    <definedName name="SG_08_22" localSheetId="7">#REF!</definedName>
    <definedName name="SG_08_22" localSheetId="9">#REF!</definedName>
    <definedName name="SG_08_22" localSheetId="8">#REF!</definedName>
    <definedName name="SG_08_22">#REF!</definedName>
    <definedName name="SG_08_23" localSheetId="7">#REF!</definedName>
    <definedName name="SG_08_23" localSheetId="9">#REF!</definedName>
    <definedName name="SG_08_23" localSheetId="8">#REF!</definedName>
    <definedName name="SG_08_23">#REF!</definedName>
    <definedName name="SG_08_24" localSheetId="7">#REF!</definedName>
    <definedName name="SG_08_24" localSheetId="9">#REF!</definedName>
    <definedName name="SG_08_24" localSheetId="8">#REF!</definedName>
    <definedName name="SG_08_24">#REF!</definedName>
    <definedName name="SG_08_25" localSheetId="7">#REF!</definedName>
    <definedName name="SG_08_25" localSheetId="9">#REF!</definedName>
    <definedName name="SG_08_25" localSheetId="8">#REF!</definedName>
    <definedName name="SG_08_25">#REF!</definedName>
    <definedName name="SG_09_01" localSheetId="7">#REF!</definedName>
    <definedName name="SG_09_01" localSheetId="9">#REF!</definedName>
    <definedName name="SG_09_01" localSheetId="8">#REF!</definedName>
    <definedName name="SG_09_01">#REF!</definedName>
    <definedName name="SG_09_02" localSheetId="7">#REF!</definedName>
    <definedName name="SG_09_02" localSheetId="9">#REF!</definedName>
    <definedName name="SG_09_02" localSheetId="8">#REF!</definedName>
    <definedName name="SG_09_02">#REF!</definedName>
    <definedName name="SG_09_03" localSheetId="7">#REF!</definedName>
    <definedName name="SG_09_03" localSheetId="9">#REF!</definedName>
    <definedName name="SG_09_03" localSheetId="8">#REF!</definedName>
    <definedName name="SG_09_03">#REF!</definedName>
    <definedName name="SG_09_04" localSheetId="7">#REF!</definedName>
    <definedName name="SG_09_04" localSheetId="9">#REF!</definedName>
    <definedName name="SG_09_04" localSheetId="8">#REF!</definedName>
    <definedName name="SG_09_04">#REF!</definedName>
    <definedName name="SG_09_05" localSheetId="7">#REF!</definedName>
    <definedName name="SG_09_05" localSheetId="9">#REF!</definedName>
    <definedName name="SG_09_05" localSheetId="8">#REF!</definedName>
    <definedName name="SG_09_05">#REF!</definedName>
    <definedName name="SG_09_06" localSheetId="7">#REF!</definedName>
    <definedName name="SG_09_06" localSheetId="9">#REF!</definedName>
    <definedName name="SG_09_06" localSheetId="8">#REF!</definedName>
    <definedName name="SG_09_06">#REF!</definedName>
    <definedName name="SG_09_07" localSheetId="7">#REF!</definedName>
    <definedName name="SG_09_07" localSheetId="9">#REF!</definedName>
    <definedName name="SG_09_07" localSheetId="8">#REF!</definedName>
    <definedName name="SG_09_07">#REF!</definedName>
    <definedName name="SG_09_08" localSheetId="7">#REF!</definedName>
    <definedName name="SG_09_08" localSheetId="9">#REF!</definedName>
    <definedName name="SG_09_08" localSheetId="8">#REF!</definedName>
    <definedName name="SG_09_08">#REF!</definedName>
    <definedName name="SG_09_09" localSheetId="7">#REF!</definedName>
    <definedName name="SG_09_09" localSheetId="9">#REF!</definedName>
    <definedName name="SG_09_09" localSheetId="8">#REF!</definedName>
    <definedName name="SG_09_09">#REF!</definedName>
    <definedName name="SG_09_10" localSheetId="7">#REF!</definedName>
    <definedName name="SG_09_10" localSheetId="9">#REF!</definedName>
    <definedName name="SG_09_10" localSheetId="8">#REF!</definedName>
    <definedName name="SG_09_10">#REF!</definedName>
    <definedName name="SG_09_11" localSheetId="7">#REF!</definedName>
    <definedName name="SG_09_11" localSheetId="9">#REF!</definedName>
    <definedName name="SG_09_11" localSheetId="8">#REF!</definedName>
    <definedName name="SG_09_11">#REF!</definedName>
    <definedName name="SG_09_12" localSheetId="7">#REF!</definedName>
    <definedName name="SG_09_12" localSheetId="9">#REF!</definedName>
    <definedName name="SG_09_12" localSheetId="8">#REF!</definedName>
    <definedName name="SG_09_12">#REF!</definedName>
    <definedName name="SG_09_13" localSheetId="7">#REF!</definedName>
    <definedName name="SG_09_13" localSheetId="9">#REF!</definedName>
    <definedName name="SG_09_13" localSheetId="8">#REF!</definedName>
    <definedName name="SG_09_13">#REF!</definedName>
    <definedName name="SG_09_14" localSheetId="7">#REF!</definedName>
    <definedName name="SG_09_14" localSheetId="9">#REF!</definedName>
    <definedName name="SG_09_14" localSheetId="8">#REF!</definedName>
    <definedName name="SG_09_14">#REF!</definedName>
    <definedName name="SG_09_15" localSheetId="7">#REF!</definedName>
    <definedName name="SG_09_15" localSheetId="9">#REF!</definedName>
    <definedName name="SG_09_15" localSheetId="8">#REF!</definedName>
    <definedName name="SG_09_15">#REF!</definedName>
    <definedName name="SG_09_16" localSheetId="7">#REF!</definedName>
    <definedName name="SG_09_16" localSheetId="9">#REF!</definedName>
    <definedName name="SG_09_16" localSheetId="8">#REF!</definedName>
    <definedName name="SG_09_16">#REF!</definedName>
    <definedName name="SG_09_17" localSheetId="7">#REF!</definedName>
    <definedName name="SG_09_17" localSheetId="9">#REF!</definedName>
    <definedName name="SG_09_17" localSheetId="8">#REF!</definedName>
    <definedName name="SG_09_17">#REF!</definedName>
    <definedName name="SG_09_18" localSheetId="7">#REF!</definedName>
    <definedName name="SG_09_18" localSheetId="9">#REF!</definedName>
    <definedName name="SG_09_18" localSheetId="8">#REF!</definedName>
    <definedName name="SG_09_18">#REF!</definedName>
    <definedName name="SG_09_19" localSheetId="7">#REF!</definedName>
    <definedName name="SG_09_19" localSheetId="9">#REF!</definedName>
    <definedName name="SG_09_19" localSheetId="8">#REF!</definedName>
    <definedName name="SG_09_19">#REF!</definedName>
    <definedName name="SG_09_20" localSheetId="7">#REF!</definedName>
    <definedName name="SG_09_20" localSheetId="9">#REF!</definedName>
    <definedName name="SG_09_20" localSheetId="8">#REF!</definedName>
    <definedName name="SG_09_20">#REF!</definedName>
    <definedName name="SG_09_21" localSheetId="7">#REF!</definedName>
    <definedName name="SG_09_21" localSheetId="9">#REF!</definedName>
    <definedName name="SG_09_21" localSheetId="8">#REF!</definedName>
    <definedName name="SG_09_21">#REF!</definedName>
    <definedName name="SG_09_22" localSheetId="7">#REF!</definedName>
    <definedName name="SG_09_22" localSheetId="9">#REF!</definedName>
    <definedName name="SG_09_22" localSheetId="8">#REF!</definedName>
    <definedName name="SG_09_22">#REF!</definedName>
    <definedName name="SG_09_23" localSheetId="7">#REF!</definedName>
    <definedName name="SG_09_23" localSheetId="9">#REF!</definedName>
    <definedName name="SG_09_23" localSheetId="8">#REF!</definedName>
    <definedName name="SG_09_23">#REF!</definedName>
    <definedName name="SG_09_24" localSheetId="7">#REF!</definedName>
    <definedName name="SG_09_24" localSheetId="9">#REF!</definedName>
    <definedName name="SG_09_24" localSheetId="8">#REF!</definedName>
    <definedName name="SG_09_24">#REF!</definedName>
    <definedName name="SG_09_25" localSheetId="7">#REF!</definedName>
    <definedName name="SG_09_25" localSheetId="9">#REF!</definedName>
    <definedName name="SG_09_25" localSheetId="8">#REF!</definedName>
    <definedName name="SG_09_25">#REF!</definedName>
    <definedName name="SG_10_01" localSheetId="7">#REF!</definedName>
    <definedName name="SG_10_01" localSheetId="9">#REF!</definedName>
    <definedName name="SG_10_01" localSheetId="8">#REF!</definedName>
    <definedName name="SG_10_01">#REF!</definedName>
    <definedName name="SG_10_02" localSheetId="7">#REF!</definedName>
    <definedName name="SG_10_02" localSheetId="9">#REF!</definedName>
    <definedName name="SG_10_02" localSheetId="8">#REF!</definedName>
    <definedName name="SG_10_02">#REF!</definedName>
    <definedName name="SG_10_03" localSheetId="7">#REF!</definedName>
    <definedName name="SG_10_03" localSheetId="9">#REF!</definedName>
    <definedName name="SG_10_03" localSheetId="8">#REF!</definedName>
    <definedName name="SG_10_03">#REF!</definedName>
    <definedName name="SG_10_04" localSheetId="7">#REF!</definedName>
    <definedName name="SG_10_04" localSheetId="9">#REF!</definedName>
    <definedName name="SG_10_04" localSheetId="8">#REF!</definedName>
    <definedName name="SG_10_04">#REF!</definedName>
    <definedName name="SG_10_05" localSheetId="7">#REF!</definedName>
    <definedName name="SG_10_05" localSheetId="9">#REF!</definedName>
    <definedName name="SG_10_05" localSheetId="8">#REF!</definedName>
    <definedName name="SG_10_05">#REF!</definedName>
    <definedName name="SG_10_06" localSheetId="7">#REF!</definedName>
    <definedName name="SG_10_06" localSheetId="9">#REF!</definedName>
    <definedName name="SG_10_06" localSheetId="8">#REF!</definedName>
    <definedName name="SG_10_06">#REF!</definedName>
    <definedName name="SG_10_07" localSheetId="7">#REF!</definedName>
    <definedName name="SG_10_07" localSheetId="9">#REF!</definedName>
    <definedName name="SG_10_07" localSheetId="8">#REF!</definedName>
    <definedName name="SG_10_07">#REF!</definedName>
    <definedName name="SG_10_08" localSheetId="7">#REF!</definedName>
    <definedName name="SG_10_08" localSheetId="9">#REF!</definedName>
    <definedName name="SG_10_08" localSheetId="8">#REF!</definedName>
    <definedName name="SG_10_08">#REF!</definedName>
    <definedName name="SG_10_09" localSheetId="7">#REF!</definedName>
    <definedName name="SG_10_09" localSheetId="9">#REF!</definedName>
    <definedName name="SG_10_09" localSheetId="8">#REF!</definedName>
    <definedName name="SG_10_09">#REF!</definedName>
    <definedName name="SG_10_10" localSheetId="7">#REF!</definedName>
    <definedName name="SG_10_10" localSheetId="9">#REF!</definedName>
    <definedName name="SG_10_10" localSheetId="8">#REF!</definedName>
    <definedName name="SG_10_10">#REF!</definedName>
    <definedName name="SG_10_11" localSheetId="7">#REF!</definedName>
    <definedName name="SG_10_11" localSheetId="9">#REF!</definedName>
    <definedName name="SG_10_11" localSheetId="8">#REF!</definedName>
    <definedName name="SG_10_11">#REF!</definedName>
    <definedName name="SG_10_12" localSheetId="7">#REF!</definedName>
    <definedName name="SG_10_12" localSheetId="9">#REF!</definedName>
    <definedName name="SG_10_12" localSheetId="8">#REF!</definedName>
    <definedName name="SG_10_12">#REF!</definedName>
    <definedName name="SG_10_13" localSheetId="7">#REF!</definedName>
    <definedName name="SG_10_13" localSheetId="9">#REF!</definedName>
    <definedName name="SG_10_13" localSheetId="8">#REF!</definedName>
    <definedName name="SG_10_13">#REF!</definedName>
    <definedName name="SG_10_14" localSheetId="7">#REF!</definedName>
    <definedName name="SG_10_14" localSheetId="9">#REF!</definedName>
    <definedName name="SG_10_14" localSheetId="8">#REF!</definedName>
    <definedName name="SG_10_14">#REF!</definedName>
    <definedName name="SG_10_15" localSheetId="7">#REF!</definedName>
    <definedName name="SG_10_15" localSheetId="9">#REF!</definedName>
    <definedName name="SG_10_15" localSheetId="8">#REF!</definedName>
    <definedName name="SG_10_15">#REF!</definedName>
    <definedName name="SG_10_16" localSheetId="7">#REF!</definedName>
    <definedName name="SG_10_16" localSheetId="9">#REF!</definedName>
    <definedName name="SG_10_16" localSheetId="8">#REF!</definedName>
    <definedName name="SG_10_16">#REF!</definedName>
    <definedName name="SG_10_17" localSheetId="7">#REF!</definedName>
    <definedName name="SG_10_17" localSheetId="9">#REF!</definedName>
    <definedName name="SG_10_17" localSheetId="8">#REF!</definedName>
    <definedName name="SG_10_17">#REF!</definedName>
    <definedName name="SG_10_18" localSheetId="7">#REF!</definedName>
    <definedName name="SG_10_18" localSheetId="9">#REF!</definedName>
    <definedName name="SG_10_18" localSheetId="8">#REF!</definedName>
    <definedName name="SG_10_18">#REF!</definedName>
    <definedName name="SG_10_19" localSheetId="7">#REF!</definedName>
    <definedName name="SG_10_19" localSheetId="9">#REF!</definedName>
    <definedName name="SG_10_19" localSheetId="8">#REF!</definedName>
    <definedName name="SG_10_19">#REF!</definedName>
    <definedName name="SG_10_20" localSheetId="7">#REF!</definedName>
    <definedName name="SG_10_20" localSheetId="9">#REF!</definedName>
    <definedName name="SG_10_20" localSheetId="8">#REF!</definedName>
    <definedName name="SG_10_20">#REF!</definedName>
    <definedName name="SG_10_21" localSheetId="7">#REF!</definedName>
    <definedName name="SG_10_21" localSheetId="9">#REF!</definedName>
    <definedName name="SG_10_21" localSheetId="8">#REF!</definedName>
    <definedName name="SG_10_21">#REF!</definedName>
    <definedName name="SG_10_22" localSheetId="7">#REF!</definedName>
    <definedName name="SG_10_22" localSheetId="9">#REF!</definedName>
    <definedName name="SG_10_22" localSheetId="8">#REF!</definedName>
    <definedName name="SG_10_22">#REF!</definedName>
    <definedName name="SG_10_23" localSheetId="7">#REF!</definedName>
    <definedName name="SG_10_23" localSheetId="9">#REF!</definedName>
    <definedName name="SG_10_23" localSheetId="8">#REF!</definedName>
    <definedName name="SG_10_23">#REF!</definedName>
    <definedName name="SG_10_24" localSheetId="7">#REF!</definedName>
    <definedName name="SG_10_24" localSheetId="9">#REF!</definedName>
    <definedName name="SG_10_24" localSheetId="8">#REF!</definedName>
    <definedName name="SG_10_24">#REF!</definedName>
    <definedName name="SG_10_25" localSheetId="7">#REF!</definedName>
    <definedName name="SG_10_25" localSheetId="9">#REF!</definedName>
    <definedName name="SG_10_25" localSheetId="8">#REF!</definedName>
    <definedName name="SG_10_25">#REF!</definedName>
    <definedName name="SG_11_01" localSheetId="7">#REF!</definedName>
    <definedName name="SG_11_01" localSheetId="9">#REF!</definedName>
    <definedName name="SG_11_01" localSheetId="8">#REF!</definedName>
    <definedName name="SG_11_01">#REF!</definedName>
    <definedName name="SG_11_02" localSheetId="7">#REF!</definedName>
    <definedName name="SG_11_02" localSheetId="9">#REF!</definedName>
    <definedName name="SG_11_02" localSheetId="8">#REF!</definedName>
    <definedName name="SG_11_02">#REF!</definedName>
    <definedName name="SG_11_03" localSheetId="7">#REF!</definedName>
    <definedName name="SG_11_03" localSheetId="9">#REF!</definedName>
    <definedName name="SG_11_03" localSheetId="8">#REF!</definedName>
    <definedName name="SG_11_03">#REF!</definedName>
    <definedName name="SG_11_04" localSheetId="7">#REF!</definedName>
    <definedName name="SG_11_04" localSheetId="9">#REF!</definedName>
    <definedName name="SG_11_04" localSheetId="8">#REF!</definedName>
    <definedName name="SG_11_04">#REF!</definedName>
    <definedName name="SG_11_05" localSheetId="7">#REF!</definedName>
    <definedName name="SG_11_05" localSheetId="9">#REF!</definedName>
    <definedName name="SG_11_05" localSheetId="8">#REF!</definedName>
    <definedName name="SG_11_05">#REF!</definedName>
    <definedName name="SG_11_06" localSheetId="7">#REF!</definedName>
    <definedName name="SG_11_06" localSheetId="9">#REF!</definedName>
    <definedName name="SG_11_06" localSheetId="8">#REF!</definedName>
    <definedName name="SG_11_06">#REF!</definedName>
    <definedName name="SG_11_07" localSheetId="7">#REF!</definedName>
    <definedName name="SG_11_07" localSheetId="9">#REF!</definedName>
    <definedName name="SG_11_07" localSheetId="8">#REF!</definedName>
    <definedName name="SG_11_07">#REF!</definedName>
    <definedName name="SG_11_08" localSheetId="7">#REF!</definedName>
    <definedName name="SG_11_08" localSheetId="9">#REF!</definedName>
    <definedName name="SG_11_08" localSheetId="8">#REF!</definedName>
    <definedName name="SG_11_08">#REF!</definedName>
    <definedName name="SG_11_09" localSheetId="7">#REF!</definedName>
    <definedName name="SG_11_09" localSheetId="9">#REF!</definedName>
    <definedName name="SG_11_09" localSheetId="8">#REF!</definedName>
    <definedName name="SG_11_09">#REF!</definedName>
    <definedName name="SG_11_10" localSheetId="7">#REF!</definedName>
    <definedName name="SG_11_10" localSheetId="9">#REF!</definedName>
    <definedName name="SG_11_10" localSheetId="8">#REF!</definedName>
    <definedName name="SG_11_10">#REF!</definedName>
    <definedName name="SG_11_11" localSheetId="7">#REF!</definedName>
    <definedName name="SG_11_11" localSheetId="9">#REF!</definedName>
    <definedName name="SG_11_11" localSheetId="8">#REF!</definedName>
    <definedName name="SG_11_11">#REF!</definedName>
    <definedName name="SG_11_12" localSheetId="7">#REF!</definedName>
    <definedName name="SG_11_12" localSheetId="9">#REF!</definedName>
    <definedName name="SG_11_12" localSheetId="8">#REF!</definedName>
    <definedName name="SG_11_12">#REF!</definedName>
    <definedName name="SG_11_13" localSheetId="7">#REF!</definedName>
    <definedName name="SG_11_13" localSheetId="9">#REF!</definedName>
    <definedName name="SG_11_13" localSheetId="8">#REF!</definedName>
    <definedName name="SG_11_13">#REF!</definedName>
    <definedName name="SG_11_14" localSheetId="7">#REF!</definedName>
    <definedName name="SG_11_14" localSheetId="9">#REF!</definedName>
    <definedName name="SG_11_14" localSheetId="8">#REF!</definedName>
    <definedName name="SG_11_14">#REF!</definedName>
    <definedName name="SG_11_15" localSheetId="7">#REF!</definedName>
    <definedName name="SG_11_15" localSheetId="9">#REF!</definedName>
    <definedName name="SG_11_15" localSheetId="8">#REF!</definedName>
    <definedName name="SG_11_15">#REF!</definedName>
    <definedName name="SG_11_16" localSheetId="7">#REF!</definedName>
    <definedName name="SG_11_16" localSheetId="9">#REF!</definedName>
    <definedName name="SG_11_16" localSheetId="8">#REF!</definedName>
    <definedName name="SG_11_16">#REF!</definedName>
    <definedName name="SG_11_17" localSheetId="7">#REF!</definedName>
    <definedName name="SG_11_17" localSheetId="9">#REF!</definedName>
    <definedName name="SG_11_17" localSheetId="8">#REF!</definedName>
    <definedName name="SG_11_17">#REF!</definedName>
    <definedName name="SG_11_18" localSheetId="7">#REF!</definedName>
    <definedName name="SG_11_18" localSheetId="9">#REF!</definedName>
    <definedName name="SG_11_18" localSheetId="8">#REF!</definedName>
    <definedName name="SG_11_18">#REF!</definedName>
    <definedName name="SG_11_19" localSheetId="7">#REF!</definedName>
    <definedName name="SG_11_19" localSheetId="9">#REF!</definedName>
    <definedName name="SG_11_19" localSheetId="8">#REF!</definedName>
    <definedName name="SG_11_19">#REF!</definedName>
    <definedName name="SG_11_20" localSheetId="7">#REF!</definedName>
    <definedName name="SG_11_20" localSheetId="9">#REF!</definedName>
    <definedName name="SG_11_20" localSheetId="8">#REF!</definedName>
    <definedName name="SG_11_20">#REF!</definedName>
    <definedName name="SG_11_21" localSheetId="7">#REF!</definedName>
    <definedName name="SG_11_21" localSheetId="9">#REF!</definedName>
    <definedName name="SG_11_21" localSheetId="8">#REF!</definedName>
    <definedName name="SG_11_21">#REF!</definedName>
    <definedName name="SG_11_22" localSheetId="7">#REF!</definedName>
    <definedName name="SG_11_22" localSheetId="9">#REF!</definedName>
    <definedName name="SG_11_22" localSheetId="8">#REF!</definedName>
    <definedName name="SG_11_22">#REF!</definedName>
    <definedName name="SG_11_23" localSheetId="7">#REF!</definedName>
    <definedName name="SG_11_23" localSheetId="9">#REF!</definedName>
    <definedName name="SG_11_23" localSheetId="8">#REF!</definedName>
    <definedName name="SG_11_23">#REF!</definedName>
    <definedName name="SG_11_24" localSheetId="7">#REF!</definedName>
    <definedName name="SG_11_24" localSheetId="9">#REF!</definedName>
    <definedName name="SG_11_24" localSheetId="8">#REF!</definedName>
    <definedName name="SG_11_24">#REF!</definedName>
    <definedName name="SG_11_25" localSheetId="7">#REF!</definedName>
    <definedName name="SG_11_25" localSheetId="9">#REF!</definedName>
    <definedName name="SG_11_25" localSheetId="8">#REF!</definedName>
    <definedName name="SG_11_25">#REF!</definedName>
    <definedName name="SG_12_01" localSheetId="7">#REF!</definedName>
    <definedName name="SG_12_01" localSheetId="9">#REF!</definedName>
    <definedName name="SG_12_01" localSheetId="8">#REF!</definedName>
    <definedName name="SG_12_01">#REF!</definedName>
    <definedName name="SG_12_02" localSheetId="7">#REF!</definedName>
    <definedName name="SG_12_02" localSheetId="9">#REF!</definedName>
    <definedName name="SG_12_02" localSheetId="8">#REF!</definedName>
    <definedName name="SG_12_02">#REF!</definedName>
    <definedName name="SG_12_03" localSheetId="7">#REF!</definedName>
    <definedName name="SG_12_03" localSheetId="9">#REF!</definedName>
    <definedName name="SG_12_03" localSheetId="8">#REF!</definedName>
    <definedName name="SG_12_03">#REF!</definedName>
    <definedName name="SG_12_04" localSheetId="7">#REF!</definedName>
    <definedName name="SG_12_04" localSheetId="9">#REF!</definedName>
    <definedName name="SG_12_04" localSheetId="8">#REF!</definedName>
    <definedName name="SG_12_04">#REF!</definedName>
    <definedName name="SG_12_05" localSheetId="7">#REF!</definedName>
    <definedName name="SG_12_05" localSheetId="9">#REF!</definedName>
    <definedName name="SG_12_05" localSheetId="8">#REF!</definedName>
    <definedName name="SG_12_05">#REF!</definedName>
    <definedName name="SG_12_06" localSheetId="7">#REF!</definedName>
    <definedName name="SG_12_06" localSheetId="9">#REF!</definedName>
    <definedName name="SG_12_06" localSheetId="8">#REF!</definedName>
    <definedName name="SG_12_06">#REF!</definedName>
    <definedName name="SG_12_07" localSheetId="7">#REF!</definedName>
    <definedName name="SG_12_07" localSheetId="9">#REF!</definedName>
    <definedName name="SG_12_07" localSheetId="8">#REF!</definedName>
    <definedName name="SG_12_07">#REF!</definedName>
    <definedName name="SG_12_08" localSheetId="7">#REF!</definedName>
    <definedName name="SG_12_08" localSheetId="9">#REF!</definedName>
    <definedName name="SG_12_08" localSheetId="8">#REF!</definedName>
    <definedName name="SG_12_08">#REF!</definedName>
    <definedName name="SG_12_09" localSheetId="7">#REF!</definedName>
    <definedName name="SG_12_09" localSheetId="9">#REF!</definedName>
    <definedName name="SG_12_09" localSheetId="8">#REF!</definedName>
    <definedName name="SG_12_09">#REF!</definedName>
    <definedName name="SG_12_10" localSheetId="7">#REF!</definedName>
    <definedName name="SG_12_10" localSheetId="9">#REF!</definedName>
    <definedName name="SG_12_10" localSheetId="8">#REF!</definedName>
    <definedName name="SG_12_10">#REF!</definedName>
    <definedName name="SG_12_11" localSheetId="7">#REF!</definedName>
    <definedName name="SG_12_11" localSheetId="9">#REF!</definedName>
    <definedName name="SG_12_11" localSheetId="8">#REF!</definedName>
    <definedName name="SG_12_11">#REF!</definedName>
    <definedName name="SG_12_12" localSheetId="7">#REF!</definedName>
    <definedName name="SG_12_12" localSheetId="9">#REF!</definedName>
    <definedName name="SG_12_12" localSheetId="8">#REF!</definedName>
    <definedName name="SG_12_12">#REF!</definedName>
    <definedName name="SG_12_13" localSheetId="7">#REF!</definedName>
    <definedName name="SG_12_13" localSheetId="9">#REF!</definedName>
    <definedName name="SG_12_13" localSheetId="8">#REF!</definedName>
    <definedName name="SG_12_13">#REF!</definedName>
    <definedName name="SG_12_14" localSheetId="7">#REF!</definedName>
    <definedName name="SG_12_14" localSheetId="9">#REF!</definedName>
    <definedName name="SG_12_14" localSheetId="8">#REF!</definedName>
    <definedName name="SG_12_14">#REF!</definedName>
    <definedName name="SG_12_15" localSheetId="7">#REF!</definedName>
    <definedName name="SG_12_15" localSheetId="9">#REF!</definedName>
    <definedName name="SG_12_15" localSheetId="8">#REF!</definedName>
    <definedName name="SG_12_15">#REF!</definedName>
    <definedName name="SG_12_16" localSheetId="7">#REF!</definedName>
    <definedName name="SG_12_16" localSheetId="9">#REF!</definedName>
    <definedName name="SG_12_16" localSheetId="8">#REF!</definedName>
    <definedName name="SG_12_16">#REF!</definedName>
    <definedName name="SG_12_17" localSheetId="7">#REF!</definedName>
    <definedName name="SG_12_17" localSheetId="9">#REF!</definedName>
    <definedName name="SG_12_17" localSheetId="8">#REF!</definedName>
    <definedName name="SG_12_17">#REF!</definedName>
    <definedName name="SG_12_18" localSheetId="7">#REF!</definedName>
    <definedName name="SG_12_18" localSheetId="9">#REF!</definedName>
    <definedName name="SG_12_18" localSheetId="8">#REF!</definedName>
    <definedName name="SG_12_18">#REF!</definedName>
    <definedName name="SG_12_19" localSheetId="7">#REF!</definedName>
    <definedName name="SG_12_19" localSheetId="9">#REF!</definedName>
    <definedName name="SG_12_19" localSheetId="8">#REF!</definedName>
    <definedName name="SG_12_19">#REF!</definedName>
    <definedName name="SG_12_20" localSheetId="7">#REF!</definedName>
    <definedName name="SG_12_20" localSheetId="9">#REF!</definedName>
    <definedName name="SG_12_20" localSheetId="8">#REF!</definedName>
    <definedName name="SG_12_20">#REF!</definedName>
    <definedName name="SG_12_21" localSheetId="7">#REF!</definedName>
    <definedName name="SG_12_21" localSheetId="9">#REF!</definedName>
    <definedName name="SG_12_21" localSheetId="8">#REF!</definedName>
    <definedName name="SG_12_21">#REF!</definedName>
    <definedName name="SG_12_22" localSheetId="7">#REF!</definedName>
    <definedName name="SG_12_22" localSheetId="9">#REF!</definedName>
    <definedName name="SG_12_22" localSheetId="8">#REF!</definedName>
    <definedName name="SG_12_22">#REF!</definedName>
    <definedName name="SG_12_23" localSheetId="7">#REF!</definedName>
    <definedName name="SG_12_23" localSheetId="9">#REF!</definedName>
    <definedName name="SG_12_23" localSheetId="8">#REF!</definedName>
    <definedName name="SG_12_23">#REF!</definedName>
    <definedName name="SG_12_24" localSheetId="7">#REF!</definedName>
    <definedName name="SG_12_24" localSheetId="9">#REF!</definedName>
    <definedName name="SG_12_24" localSheetId="8">#REF!</definedName>
    <definedName name="SG_12_24">#REF!</definedName>
    <definedName name="SG_12_25" localSheetId="7">#REF!</definedName>
    <definedName name="SG_12_25" localSheetId="9">#REF!</definedName>
    <definedName name="SG_12_25" localSheetId="8">#REF!</definedName>
    <definedName name="SG_12_25">#REF!</definedName>
    <definedName name="SG_13_01" localSheetId="7">#REF!</definedName>
    <definedName name="SG_13_01" localSheetId="9">#REF!</definedName>
    <definedName name="SG_13_01" localSheetId="8">#REF!</definedName>
    <definedName name="SG_13_01">#REF!</definedName>
    <definedName name="SG_13_02" localSheetId="7">#REF!</definedName>
    <definedName name="SG_13_02" localSheetId="9">#REF!</definedName>
    <definedName name="SG_13_02" localSheetId="8">#REF!</definedName>
    <definedName name="SG_13_02">#REF!</definedName>
    <definedName name="SG_13_03" localSheetId="7">#REF!</definedName>
    <definedName name="SG_13_03" localSheetId="9">#REF!</definedName>
    <definedName name="SG_13_03" localSheetId="8">#REF!</definedName>
    <definedName name="SG_13_03">#REF!</definedName>
    <definedName name="SG_13_04" localSheetId="7">#REF!</definedName>
    <definedName name="SG_13_04" localSheetId="9">#REF!</definedName>
    <definedName name="SG_13_04" localSheetId="8">#REF!</definedName>
    <definedName name="SG_13_04">#REF!</definedName>
    <definedName name="SG_13_05" localSheetId="7">#REF!</definedName>
    <definedName name="SG_13_05" localSheetId="9">#REF!</definedName>
    <definedName name="SG_13_05" localSheetId="8">#REF!</definedName>
    <definedName name="SG_13_05">#REF!</definedName>
    <definedName name="SG_13_06" localSheetId="7">#REF!</definedName>
    <definedName name="SG_13_06" localSheetId="9">#REF!</definedName>
    <definedName name="SG_13_06" localSheetId="8">#REF!</definedName>
    <definedName name="SG_13_06">#REF!</definedName>
    <definedName name="SG_13_07" localSheetId="7">#REF!</definedName>
    <definedName name="SG_13_07" localSheetId="9">#REF!</definedName>
    <definedName name="SG_13_07" localSheetId="8">#REF!</definedName>
    <definedName name="SG_13_07">#REF!</definedName>
    <definedName name="SG_13_08" localSheetId="7">#REF!</definedName>
    <definedName name="SG_13_08" localSheetId="9">#REF!</definedName>
    <definedName name="SG_13_08" localSheetId="8">#REF!</definedName>
    <definedName name="SG_13_08">#REF!</definedName>
    <definedName name="SG_13_09" localSheetId="7">#REF!</definedName>
    <definedName name="SG_13_09" localSheetId="9">#REF!</definedName>
    <definedName name="SG_13_09" localSheetId="8">#REF!</definedName>
    <definedName name="SG_13_09">#REF!</definedName>
    <definedName name="SG_13_10" localSheetId="7">#REF!</definedName>
    <definedName name="SG_13_10" localSheetId="9">#REF!</definedName>
    <definedName name="SG_13_10" localSheetId="8">#REF!</definedName>
    <definedName name="SG_13_10">#REF!</definedName>
    <definedName name="SG_13_11" localSheetId="7">#REF!</definedName>
    <definedName name="SG_13_11" localSheetId="9">#REF!</definedName>
    <definedName name="SG_13_11" localSheetId="8">#REF!</definedName>
    <definedName name="SG_13_11">#REF!</definedName>
    <definedName name="SG_13_12" localSheetId="7">#REF!</definedName>
    <definedName name="SG_13_12" localSheetId="9">#REF!</definedName>
    <definedName name="SG_13_12" localSheetId="8">#REF!</definedName>
    <definedName name="SG_13_12">#REF!</definedName>
    <definedName name="SG_13_13" localSheetId="7">#REF!</definedName>
    <definedName name="SG_13_13" localSheetId="9">#REF!</definedName>
    <definedName name="SG_13_13" localSheetId="8">#REF!</definedName>
    <definedName name="SG_13_13">#REF!</definedName>
    <definedName name="SG_13_14" localSheetId="7">#REF!</definedName>
    <definedName name="SG_13_14" localSheetId="9">#REF!</definedName>
    <definedName name="SG_13_14" localSheetId="8">#REF!</definedName>
    <definedName name="SG_13_14">#REF!</definedName>
    <definedName name="SG_13_15" localSheetId="7">#REF!</definedName>
    <definedName name="SG_13_15" localSheetId="9">#REF!</definedName>
    <definedName name="SG_13_15" localSheetId="8">#REF!</definedName>
    <definedName name="SG_13_15">#REF!</definedName>
    <definedName name="SG_13_16" localSheetId="7">#REF!</definedName>
    <definedName name="SG_13_16" localSheetId="9">#REF!</definedName>
    <definedName name="SG_13_16" localSheetId="8">#REF!</definedName>
    <definedName name="SG_13_16">#REF!</definedName>
    <definedName name="SG_13_17" localSheetId="7">#REF!</definedName>
    <definedName name="SG_13_17" localSheetId="9">#REF!</definedName>
    <definedName name="SG_13_17" localSheetId="8">#REF!</definedName>
    <definedName name="SG_13_17">#REF!</definedName>
    <definedName name="SG_13_18" localSheetId="7">#REF!</definedName>
    <definedName name="SG_13_18" localSheetId="9">#REF!</definedName>
    <definedName name="SG_13_18" localSheetId="8">#REF!</definedName>
    <definedName name="SG_13_18">#REF!</definedName>
    <definedName name="SG_13_19" localSheetId="7">#REF!</definedName>
    <definedName name="SG_13_19" localSheetId="9">#REF!</definedName>
    <definedName name="SG_13_19" localSheetId="8">#REF!</definedName>
    <definedName name="SG_13_19">#REF!</definedName>
    <definedName name="SG_13_20" localSheetId="7">#REF!</definedName>
    <definedName name="SG_13_20" localSheetId="9">#REF!</definedName>
    <definedName name="SG_13_20" localSheetId="8">#REF!</definedName>
    <definedName name="SG_13_20">#REF!</definedName>
    <definedName name="SG_13_21" localSheetId="7">#REF!</definedName>
    <definedName name="SG_13_21" localSheetId="9">#REF!</definedName>
    <definedName name="SG_13_21" localSheetId="8">#REF!</definedName>
    <definedName name="SG_13_21">#REF!</definedName>
    <definedName name="SG_13_22" localSheetId="7">#REF!</definedName>
    <definedName name="SG_13_22" localSheetId="9">#REF!</definedName>
    <definedName name="SG_13_22" localSheetId="8">#REF!</definedName>
    <definedName name="SG_13_22">#REF!</definedName>
    <definedName name="SG_13_23" localSheetId="7">#REF!</definedName>
    <definedName name="SG_13_23" localSheetId="9">#REF!</definedName>
    <definedName name="SG_13_23" localSheetId="8">#REF!</definedName>
    <definedName name="SG_13_23">#REF!</definedName>
    <definedName name="SG_13_24" localSheetId="7">#REF!</definedName>
    <definedName name="SG_13_24" localSheetId="9">#REF!</definedName>
    <definedName name="SG_13_24" localSheetId="8">#REF!</definedName>
    <definedName name="SG_13_24">#REF!</definedName>
    <definedName name="SG_13_25" localSheetId="7">#REF!</definedName>
    <definedName name="SG_13_25" localSheetId="9">#REF!</definedName>
    <definedName name="SG_13_25" localSheetId="8">#REF!</definedName>
    <definedName name="SG_13_25">#REF!</definedName>
    <definedName name="SG_14_01" localSheetId="7">#REF!</definedName>
    <definedName name="SG_14_01" localSheetId="9">#REF!</definedName>
    <definedName name="SG_14_01" localSheetId="8">#REF!</definedName>
    <definedName name="SG_14_01">#REF!</definedName>
    <definedName name="SG_14_02" localSheetId="7">#REF!</definedName>
    <definedName name="SG_14_02" localSheetId="9">#REF!</definedName>
    <definedName name="SG_14_02" localSheetId="8">#REF!</definedName>
    <definedName name="SG_14_02">#REF!</definedName>
    <definedName name="SG_14_03" localSheetId="7">#REF!</definedName>
    <definedName name="SG_14_03" localSheetId="9">#REF!</definedName>
    <definedName name="SG_14_03" localSheetId="8">#REF!</definedName>
    <definedName name="SG_14_03">#REF!</definedName>
    <definedName name="SG_14_04" localSheetId="7">#REF!</definedName>
    <definedName name="SG_14_04" localSheetId="9">#REF!</definedName>
    <definedName name="SG_14_04" localSheetId="8">#REF!</definedName>
    <definedName name="SG_14_04">#REF!</definedName>
    <definedName name="SG_14_05" localSheetId="7">#REF!</definedName>
    <definedName name="SG_14_05" localSheetId="9">#REF!</definedName>
    <definedName name="SG_14_05" localSheetId="8">#REF!</definedName>
    <definedName name="SG_14_05">#REF!</definedName>
    <definedName name="SG_14_06" localSheetId="7">#REF!</definedName>
    <definedName name="SG_14_06" localSheetId="9">#REF!</definedName>
    <definedName name="SG_14_06" localSheetId="8">#REF!</definedName>
    <definedName name="SG_14_06">#REF!</definedName>
    <definedName name="SG_14_07" localSheetId="7">#REF!</definedName>
    <definedName name="SG_14_07" localSheetId="9">#REF!</definedName>
    <definedName name="SG_14_07" localSheetId="8">#REF!</definedName>
    <definedName name="SG_14_07">#REF!</definedName>
    <definedName name="SG_14_08" localSheetId="7">#REF!</definedName>
    <definedName name="SG_14_08" localSheetId="9">#REF!</definedName>
    <definedName name="SG_14_08" localSheetId="8">#REF!</definedName>
    <definedName name="SG_14_08">#REF!</definedName>
    <definedName name="SG_14_09" localSheetId="7">#REF!</definedName>
    <definedName name="SG_14_09" localSheetId="9">#REF!</definedName>
    <definedName name="SG_14_09" localSheetId="8">#REF!</definedName>
    <definedName name="SG_14_09">#REF!</definedName>
    <definedName name="SG_14_10" localSheetId="7">#REF!</definedName>
    <definedName name="SG_14_10" localSheetId="9">#REF!</definedName>
    <definedName name="SG_14_10" localSheetId="8">#REF!</definedName>
    <definedName name="SG_14_10">#REF!</definedName>
    <definedName name="SG_14_11" localSheetId="7">#REF!</definedName>
    <definedName name="SG_14_11" localSheetId="9">#REF!</definedName>
    <definedName name="SG_14_11" localSheetId="8">#REF!</definedName>
    <definedName name="SG_14_11">#REF!</definedName>
    <definedName name="SG_14_12" localSheetId="7">#REF!</definedName>
    <definedName name="SG_14_12" localSheetId="9">#REF!</definedName>
    <definedName name="SG_14_12" localSheetId="8">#REF!</definedName>
    <definedName name="SG_14_12">#REF!</definedName>
    <definedName name="SG_14_13" localSheetId="7">#REF!</definedName>
    <definedName name="SG_14_13" localSheetId="9">#REF!</definedName>
    <definedName name="SG_14_13" localSheetId="8">#REF!</definedName>
    <definedName name="SG_14_13">#REF!</definedName>
    <definedName name="SG_14_14" localSheetId="7">#REF!</definedName>
    <definedName name="SG_14_14" localSheetId="9">#REF!</definedName>
    <definedName name="SG_14_14" localSheetId="8">#REF!</definedName>
    <definedName name="SG_14_14">#REF!</definedName>
    <definedName name="SG_14_15" localSheetId="7">#REF!</definedName>
    <definedName name="SG_14_15" localSheetId="9">#REF!</definedName>
    <definedName name="SG_14_15" localSheetId="8">#REF!</definedName>
    <definedName name="SG_14_15">#REF!</definedName>
    <definedName name="SG_14_16" localSheetId="7">#REF!</definedName>
    <definedName name="SG_14_16" localSheetId="9">#REF!</definedName>
    <definedName name="SG_14_16" localSheetId="8">#REF!</definedName>
    <definedName name="SG_14_16">#REF!</definedName>
    <definedName name="SG_14_17" localSheetId="7">#REF!</definedName>
    <definedName name="SG_14_17" localSheetId="9">#REF!</definedName>
    <definedName name="SG_14_17" localSheetId="8">#REF!</definedName>
    <definedName name="SG_14_17">#REF!</definedName>
    <definedName name="SG_14_18" localSheetId="7">#REF!</definedName>
    <definedName name="SG_14_18" localSheetId="9">#REF!</definedName>
    <definedName name="SG_14_18" localSheetId="8">#REF!</definedName>
    <definedName name="SG_14_18">#REF!</definedName>
    <definedName name="SG_14_19" localSheetId="7">#REF!</definedName>
    <definedName name="SG_14_19" localSheetId="9">#REF!</definedName>
    <definedName name="SG_14_19" localSheetId="8">#REF!</definedName>
    <definedName name="SG_14_19">#REF!</definedName>
    <definedName name="SG_14_20" localSheetId="7">#REF!</definedName>
    <definedName name="SG_14_20" localSheetId="9">#REF!</definedName>
    <definedName name="SG_14_20" localSheetId="8">#REF!</definedName>
    <definedName name="SG_14_20">#REF!</definedName>
    <definedName name="SG_14_21" localSheetId="7">#REF!</definedName>
    <definedName name="SG_14_21" localSheetId="9">#REF!</definedName>
    <definedName name="SG_14_21" localSheetId="8">#REF!</definedName>
    <definedName name="SG_14_21">#REF!</definedName>
    <definedName name="SG_14_22" localSheetId="7">#REF!</definedName>
    <definedName name="SG_14_22" localSheetId="9">#REF!</definedName>
    <definedName name="SG_14_22" localSheetId="8">#REF!</definedName>
    <definedName name="SG_14_22">#REF!</definedName>
    <definedName name="SG_14_23" localSheetId="7">#REF!</definedName>
    <definedName name="SG_14_23" localSheetId="9">#REF!</definedName>
    <definedName name="SG_14_23" localSheetId="8">#REF!</definedName>
    <definedName name="SG_14_23">#REF!</definedName>
    <definedName name="SG_14_24" localSheetId="7">#REF!</definedName>
    <definedName name="SG_14_24" localSheetId="9">#REF!</definedName>
    <definedName name="SG_14_24" localSheetId="8">#REF!</definedName>
    <definedName name="SG_14_24">#REF!</definedName>
    <definedName name="SG_14_25" localSheetId="7">#REF!</definedName>
    <definedName name="SG_14_25" localSheetId="9">#REF!</definedName>
    <definedName name="SG_14_25" localSheetId="8">#REF!</definedName>
    <definedName name="SG_14_25">#REF!</definedName>
    <definedName name="SG_15_01" localSheetId="7">#REF!</definedName>
    <definedName name="SG_15_01" localSheetId="9">#REF!</definedName>
    <definedName name="SG_15_01" localSheetId="8">#REF!</definedName>
    <definedName name="SG_15_01">#REF!</definedName>
    <definedName name="SG_15_02" localSheetId="7">#REF!</definedName>
    <definedName name="SG_15_02" localSheetId="9">#REF!</definedName>
    <definedName name="SG_15_02" localSheetId="8">#REF!</definedName>
    <definedName name="SG_15_02">#REF!</definedName>
    <definedName name="SG_15_03" localSheetId="7">#REF!</definedName>
    <definedName name="SG_15_03" localSheetId="9">#REF!</definedName>
    <definedName name="SG_15_03" localSheetId="8">#REF!</definedName>
    <definedName name="SG_15_03">#REF!</definedName>
    <definedName name="SG_15_04" localSheetId="7">#REF!</definedName>
    <definedName name="SG_15_04" localSheetId="9">#REF!</definedName>
    <definedName name="SG_15_04" localSheetId="8">#REF!</definedName>
    <definedName name="SG_15_04">#REF!</definedName>
    <definedName name="SG_15_05" localSheetId="7">#REF!</definedName>
    <definedName name="SG_15_05" localSheetId="9">#REF!</definedName>
    <definedName name="SG_15_05" localSheetId="8">#REF!</definedName>
    <definedName name="SG_15_05">#REF!</definedName>
    <definedName name="SG_15_06" localSheetId="7">#REF!</definedName>
    <definedName name="SG_15_06" localSheetId="9">#REF!</definedName>
    <definedName name="SG_15_06" localSheetId="8">#REF!</definedName>
    <definedName name="SG_15_06">#REF!</definedName>
    <definedName name="SG_15_07" localSheetId="7">#REF!</definedName>
    <definedName name="SG_15_07" localSheetId="9">#REF!</definedName>
    <definedName name="SG_15_07" localSheetId="8">#REF!</definedName>
    <definedName name="SG_15_07">#REF!</definedName>
    <definedName name="SG_15_08" localSheetId="7">#REF!</definedName>
    <definedName name="SG_15_08" localSheetId="9">#REF!</definedName>
    <definedName name="SG_15_08" localSheetId="8">#REF!</definedName>
    <definedName name="SG_15_08">#REF!</definedName>
    <definedName name="SG_15_09" localSheetId="7">#REF!</definedName>
    <definedName name="SG_15_09" localSheetId="9">#REF!</definedName>
    <definedName name="SG_15_09" localSheetId="8">#REF!</definedName>
    <definedName name="SG_15_09">#REF!</definedName>
    <definedName name="SG_15_10" localSheetId="7">#REF!</definedName>
    <definedName name="SG_15_10" localSheetId="9">#REF!</definedName>
    <definedName name="SG_15_10" localSheetId="8">#REF!</definedName>
    <definedName name="SG_15_10">#REF!</definedName>
    <definedName name="SG_15_11" localSheetId="7">#REF!</definedName>
    <definedName name="SG_15_11" localSheetId="9">#REF!</definedName>
    <definedName name="SG_15_11" localSheetId="8">#REF!</definedName>
    <definedName name="SG_15_11">#REF!</definedName>
    <definedName name="SG_15_12" localSheetId="7">#REF!</definedName>
    <definedName name="SG_15_12" localSheetId="9">#REF!</definedName>
    <definedName name="SG_15_12" localSheetId="8">#REF!</definedName>
    <definedName name="SG_15_12">#REF!</definedName>
    <definedName name="SG_15_13" localSheetId="7">#REF!</definedName>
    <definedName name="SG_15_13" localSheetId="9">#REF!</definedName>
    <definedName name="SG_15_13" localSheetId="8">#REF!</definedName>
    <definedName name="SG_15_13">#REF!</definedName>
    <definedName name="SG_15_14" localSheetId="7">#REF!</definedName>
    <definedName name="SG_15_14" localSheetId="9">#REF!</definedName>
    <definedName name="SG_15_14" localSheetId="8">#REF!</definedName>
    <definedName name="SG_15_14">#REF!</definedName>
    <definedName name="SG_15_15" localSheetId="7">#REF!</definedName>
    <definedName name="SG_15_15" localSheetId="9">#REF!</definedName>
    <definedName name="SG_15_15" localSheetId="8">#REF!</definedName>
    <definedName name="SG_15_15">#REF!</definedName>
    <definedName name="SG_15_16" localSheetId="7">#REF!</definedName>
    <definedName name="SG_15_16" localSheetId="9">#REF!</definedName>
    <definedName name="SG_15_16" localSheetId="8">#REF!</definedName>
    <definedName name="SG_15_16">#REF!</definedName>
    <definedName name="SG_15_17" localSheetId="7">#REF!</definedName>
    <definedName name="SG_15_17" localSheetId="9">#REF!</definedName>
    <definedName name="SG_15_17" localSheetId="8">#REF!</definedName>
    <definedName name="SG_15_17">#REF!</definedName>
    <definedName name="SG_15_18" localSheetId="7">#REF!</definedName>
    <definedName name="SG_15_18" localSheetId="9">#REF!</definedName>
    <definedName name="SG_15_18" localSheetId="8">#REF!</definedName>
    <definedName name="SG_15_18">#REF!</definedName>
    <definedName name="SG_15_19" localSheetId="7">#REF!</definedName>
    <definedName name="SG_15_19" localSheetId="9">#REF!</definedName>
    <definedName name="SG_15_19" localSheetId="8">#REF!</definedName>
    <definedName name="SG_15_19">#REF!</definedName>
    <definedName name="SG_15_20" localSheetId="7">#REF!</definedName>
    <definedName name="SG_15_20" localSheetId="9">#REF!</definedName>
    <definedName name="SG_15_20" localSheetId="8">#REF!</definedName>
    <definedName name="SG_15_20">#REF!</definedName>
    <definedName name="SG_15_21" localSheetId="7">#REF!</definedName>
    <definedName name="SG_15_21" localSheetId="9">#REF!</definedName>
    <definedName name="SG_15_21" localSheetId="8">#REF!</definedName>
    <definedName name="SG_15_21">#REF!</definedName>
    <definedName name="SG_15_22" localSheetId="7">#REF!</definedName>
    <definedName name="SG_15_22" localSheetId="9">#REF!</definedName>
    <definedName name="SG_15_22" localSheetId="8">#REF!</definedName>
    <definedName name="SG_15_22">#REF!</definedName>
    <definedName name="SG_15_23" localSheetId="7">#REF!</definedName>
    <definedName name="SG_15_23" localSheetId="9">#REF!</definedName>
    <definedName name="SG_15_23" localSheetId="8">#REF!</definedName>
    <definedName name="SG_15_23">#REF!</definedName>
    <definedName name="SG_15_24" localSheetId="7">#REF!</definedName>
    <definedName name="SG_15_24" localSheetId="9">#REF!</definedName>
    <definedName name="SG_15_24" localSheetId="8">#REF!</definedName>
    <definedName name="SG_15_24">#REF!</definedName>
    <definedName name="SG_15_25" localSheetId="7">#REF!</definedName>
    <definedName name="SG_15_25" localSheetId="9">#REF!</definedName>
    <definedName name="SG_15_25" localSheetId="8">#REF!</definedName>
    <definedName name="SG_15_25">#REF!</definedName>
    <definedName name="SG_16_01" localSheetId="7">#REF!</definedName>
    <definedName name="SG_16_01" localSheetId="9">#REF!</definedName>
    <definedName name="SG_16_01" localSheetId="8">#REF!</definedName>
    <definedName name="SG_16_01">#REF!</definedName>
    <definedName name="SG_16_02" localSheetId="7">#REF!</definedName>
    <definedName name="SG_16_02" localSheetId="9">#REF!</definedName>
    <definedName name="SG_16_02" localSheetId="8">#REF!</definedName>
    <definedName name="SG_16_02">#REF!</definedName>
    <definedName name="SG_16_03" localSheetId="7">#REF!</definedName>
    <definedName name="SG_16_03" localSheetId="9">#REF!</definedName>
    <definedName name="SG_16_03" localSheetId="8">#REF!</definedName>
    <definedName name="SG_16_03">#REF!</definedName>
    <definedName name="SG_16_04" localSheetId="7">#REF!</definedName>
    <definedName name="SG_16_04" localSheetId="9">#REF!</definedName>
    <definedName name="SG_16_04" localSheetId="8">#REF!</definedName>
    <definedName name="SG_16_04">#REF!</definedName>
    <definedName name="SG_16_05" localSheetId="7">#REF!</definedName>
    <definedName name="SG_16_05" localSheetId="9">#REF!</definedName>
    <definedName name="SG_16_05" localSheetId="8">#REF!</definedName>
    <definedName name="SG_16_05">#REF!</definedName>
    <definedName name="SG_16_06" localSheetId="7">#REF!</definedName>
    <definedName name="SG_16_06" localSheetId="9">#REF!</definedName>
    <definedName name="SG_16_06" localSheetId="8">#REF!</definedName>
    <definedName name="SG_16_06">#REF!</definedName>
    <definedName name="SG_16_07" localSheetId="7">#REF!</definedName>
    <definedName name="SG_16_07" localSheetId="9">#REF!</definedName>
    <definedName name="SG_16_07" localSheetId="8">#REF!</definedName>
    <definedName name="SG_16_07">#REF!</definedName>
    <definedName name="SG_16_08" localSheetId="7">#REF!</definedName>
    <definedName name="SG_16_08" localSheetId="9">#REF!</definedName>
    <definedName name="SG_16_08" localSheetId="8">#REF!</definedName>
    <definedName name="SG_16_08">#REF!</definedName>
    <definedName name="SG_16_09" localSheetId="7">#REF!</definedName>
    <definedName name="SG_16_09" localSheetId="9">#REF!</definedName>
    <definedName name="SG_16_09" localSheetId="8">#REF!</definedName>
    <definedName name="SG_16_09">#REF!</definedName>
    <definedName name="SG_16_10" localSheetId="7">#REF!</definedName>
    <definedName name="SG_16_10" localSheetId="9">#REF!</definedName>
    <definedName name="SG_16_10" localSheetId="8">#REF!</definedName>
    <definedName name="SG_16_10">#REF!</definedName>
    <definedName name="SG_16_11" localSheetId="7">#REF!</definedName>
    <definedName name="SG_16_11" localSheetId="9">#REF!</definedName>
    <definedName name="SG_16_11" localSheetId="8">#REF!</definedName>
    <definedName name="SG_16_11">#REF!</definedName>
    <definedName name="SG_16_12" localSheetId="7">#REF!</definedName>
    <definedName name="SG_16_12" localSheetId="9">#REF!</definedName>
    <definedName name="SG_16_12" localSheetId="8">#REF!</definedName>
    <definedName name="SG_16_12">#REF!</definedName>
    <definedName name="SG_16_13" localSheetId="7">#REF!</definedName>
    <definedName name="SG_16_13" localSheetId="9">#REF!</definedName>
    <definedName name="SG_16_13" localSheetId="8">#REF!</definedName>
    <definedName name="SG_16_13">#REF!</definedName>
    <definedName name="SG_16_14" localSheetId="7">#REF!</definedName>
    <definedName name="SG_16_14" localSheetId="9">#REF!</definedName>
    <definedName name="SG_16_14" localSheetId="8">#REF!</definedName>
    <definedName name="SG_16_14">#REF!</definedName>
    <definedName name="SG_16_15" localSheetId="7">#REF!</definedName>
    <definedName name="SG_16_15" localSheetId="9">#REF!</definedName>
    <definedName name="SG_16_15" localSheetId="8">#REF!</definedName>
    <definedName name="SG_16_15">#REF!</definedName>
    <definedName name="SG_16_16" localSheetId="7">#REF!</definedName>
    <definedName name="SG_16_16" localSheetId="9">#REF!</definedName>
    <definedName name="SG_16_16" localSheetId="8">#REF!</definedName>
    <definedName name="SG_16_16">#REF!</definedName>
    <definedName name="SG_16_17" localSheetId="7">#REF!</definedName>
    <definedName name="SG_16_17" localSheetId="9">#REF!</definedName>
    <definedName name="SG_16_17" localSheetId="8">#REF!</definedName>
    <definedName name="SG_16_17">#REF!</definedName>
    <definedName name="SG_16_18" localSheetId="7">#REF!</definedName>
    <definedName name="SG_16_18" localSheetId="9">#REF!</definedName>
    <definedName name="SG_16_18" localSheetId="8">#REF!</definedName>
    <definedName name="SG_16_18">#REF!</definedName>
    <definedName name="SG_16_19" localSheetId="7">#REF!</definedName>
    <definedName name="SG_16_19" localSheetId="9">#REF!</definedName>
    <definedName name="SG_16_19" localSheetId="8">#REF!</definedName>
    <definedName name="SG_16_19">#REF!</definedName>
    <definedName name="SG_16_20" localSheetId="7">#REF!</definedName>
    <definedName name="SG_16_20" localSheetId="9">#REF!</definedName>
    <definedName name="SG_16_20" localSheetId="8">#REF!</definedName>
    <definedName name="SG_16_20">#REF!</definedName>
    <definedName name="SG_16_21" localSheetId="7">#REF!</definedName>
    <definedName name="SG_16_21" localSheetId="9">#REF!</definedName>
    <definedName name="SG_16_21" localSheetId="8">#REF!</definedName>
    <definedName name="SG_16_21">#REF!</definedName>
    <definedName name="SG_16_22" localSheetId="7">#REF!</definedName>
    <definedName name="SG_16_22" localSheetId="9">#REF!</definedName>
    <definedName name="SG_16_22" localSheetId="8">#REF!</definedName>
    <definedName name="SG_16_22">#REF!</definedName>
    <definedName name="SG_16_23" localSheetId="7">#REF!</definedName>
    <definedName name="SG_16_23" localSheetId="9">#REF!</definedName>
    <definedName name="SG_16_23" localSheetId="8">#REF!</definedName>
    <definedName name="SG_16_23">#REF!</definedName>
    <definedName name="SG_16_24" localSheetId="7">#REF!</definedName>
    <definedName name="SG_16_24" localSheetId="9">#REF!</definedName>
    <definedName name="SG_16_24" localSheetId="8">#REF!</definedName>
    <definedName name="SG_16_24">#REF!</definedName>
    <definedName name="SG_16_25" localSheetId="7">#REF!</definedName>
    <definedName name="SG_16_25" localSheetId="9">#REF!</definedName>
    <definedName name="SG_16_25" localSheetId="8">#REF!</definedName>
    <definedName name="SG_16_25">#REF!</definedName>
    <definedName name="SG_17_01" localSheetId="7">#REF!</definedName>
    <definedName name="SG_17_01" localSheetId="9">#REF!</definedName>
    <definedName name="SG_17_01" localSheetId="8">#REF!</definedName>
    <definedName name="SG_17_01">#REF!</definedName>
    <definedName name="SG_17_02" localSheetId="7">#REF!</definedName>
    <definedName name="SG_17_02" localSheetId="9">#REF!</definedName>
    <definedName name="SG_17_02" localSheetId="8">#REF!</definedName>
    <definedName name="SG_17_02">#REF!</definedName>
    <definedName name="SG_17_03" localSheetId="7">#REF!</definedName>
    <definedName name="SG_17_03" localSheetId="9">#REF!</definedName>
    <definedName name="SG_17_03" localSheetId="8">#REF!</definedName>
    <definedName name="SG_17_03">#REF!</definedName>
    <definedName name="SG_17_04" localSheetId="7">#REF!</definedName>
    <definedName name="SG_17_04" localSheetId="9">#REF!</definedName>
    <definedName name="SG_17_04" localSheetId="8">#REF!</definedName>
    <definedName name="SG_17_04">#REF!</definedName>
    <definedName name="SG_17_05" localSheetId="7">#REF!</definedName>
    <definedName name="SG_17_05" localSheetId="9">#REF!</definedName>
    <definedName name="SG_17_05" localSheetId="8">#REF!</definedName>
    <definedName name="SG_17_05">#REF!</definedName>
    <definedName name="SG_17_06" localSheetId="7">#REF!</definedName>
    <definedName name="SG_17_06" localSheetId="9">#REF!</definedName>
    <definedName name="SG_17_06" localSheetId="8">#REF!</definedName>
    <definedName name="SG_17_06">#REF!</definedName>
    <definedName name="SG_17_07" localSheetId="7">#REF!</definedName>
    <definedName name="SG_17_07" localSheetId="9">#REF!</definedName>
    <definedName name="SG_17_07" localSheetId="8">#REF!</definedName>
    <definedName name="SG_17_07">#REF!</definedName>
    <definedName name="SG_17_08" localSheetId="7">#REF!</definedName>
    <definedName name="SG_17_08" localSheetId="9">#REF!</definedName>
    <definedName name="SG_17_08" localSheetId="8">#REF!</definedName>
    <definedName name="SG_17_08">#REF!</definedName>
    <definedName name="SG_17_09" localSheetId="7">#REF!</definedName>
    <definedName name="SG_17_09" localSheetId="9">#REF!</definedName>
    <definedName name="SG_17_09" localSheetId="8">#REF!</definedName>
    <definedName name="SG_17_09">#REF!</definedName>
    <definedName name="SG_17_10" localSheetId="7">#REF!</definedName>
    <definedName name="SG_17_10" localSheetId="9">#REF!</definedName>
    <definedName name="SG_17_10" localSheetId="8">#REF!</definedName>
    <definedName name="SG_17_10">#REF!</definedName>
    <definedName name="SG_17_11" localSheetId="7">#REF!</definedName>
    <definedName name="SG_17_11" localSheetId="9">#REF!</definedName>
    <definedName name="SG_17_11" localSheetId="8">#REF!</definedName>
    <definedName name="SG_17_11">#REF!</definedName>
    <definedName name="SG_17_12" localSheetId="7">#REF!</definedName>
    <definedName name="SG_17_12" localSheetId="9">#REF!</definedName>
    <definedName name="SG_17_12" localSheetId="8">#REF!</definedName>
    <definedName name="SG_17_12">#REF!</definedName>
    <definedName name="SG_17_13" localSheetId="7">#REF!</definedName>
    <definedName name="SG_17_13" localSheetId="9">#REF!</definedName>
    <definedName name="SG_17_13" localSheetId="8">#REF!</definedName>
    <definedName name="SG_17_13">#REF!</definedName>
    <definedName name="SG_17_14" localSheetId="7">#REF!</definedName>
    <definedName name="SG_17_14" localSheetId="9">#REF!</definedName>
    <definedName name="SG_17_14" localSheetId="8">#REF!</definedName>
    <definedName name="SG_17_14">#REF!</definedName>
    <definedName name="SG_17_15" localSheetId="7">#REF!</definedName>
    <definedName name="SG_17_15" localSheetId="9">#REF!</definedName>
    <definedName name="SG_17_15" localSheetId="8">#REF!</definedName>
    <definedName name="SG_17_15">#REF!</definedName>
    <definedName name="SG_17_16" localSheetId="7">#REF!</definedName>
    <definedName name="SG_17_16" localSheetId="9">#REF!</definedName>
    <definedName name="SG_17_16" localSheetId="8">#REF!</definedName>
    <definedName name="SG_17_16">#REF!</definedName>
    <definedName name="SG_17_17" localSheetId="7">#REF!</definedName>
    <definedName name="SG_17_17" localSheetId="9">#REF!</definedName>
    <definedName name="SG_17_17" localSheetId="8">#REF!</definedName>
    <definedName name="SG_17_17">#REF!</definedName>
    <definedName name="SG_17_18" localSheetId="7">#REF!</definedName>
    <definedName name="SG_17_18" localSheetId="9">#REF!</definedName>
    <definedName name="SG_17_18" localSheetId="8">#REF!</definedName>
    <definedName name="SG_17_18">#REF!</definedName>
    <definedName name="SG_17_19" localSheetId="7">#REF!</definedName>
    <definedName name="SG_17_19" localSheetId="9">#REF!</definedName>
    <definedName name="SG_17_19" localSheetId="8">#REF!</definedName>
    <definedName name="SG_17_19">#REF!</definedName>
    <definedName name="SG_17_20" localSheetId="7">#REF!</definedName>
    <definedName name="SG_17_20" localSheetId="9">#REF!</definedName>
    <definedName name="SG_17_20" localSheetId="8">#REF!</definedName>
    <definedName name="SG_17_20">#REF!</definedName>
    <definedName name="SG_17_21" localSheetId="7">#REF!</definedName>
    <definedName name="SG_17_21" localSheetId="9">#REF!</definedName>
    <definedName name="SG_17_21" localSheetId="8">#REF!</definedName>
    <definedName name="SG_17_21">#REF!</definedName>
    <definedName name="SG_17_22" localSheetId="7">#REF!</definedName>
    <definedName name="SG_17_22" localSheetId="9">#REF!</definedName>
    <definedName name="SG_17_22" localSheetId="8">#REF!</definedName>
    <definedName name="SG_17_22">#REF!</definedName>
    <definedName name="SG_17_23" localSheetId="7">#REF!</definedName>
    <definedName name="SG_17_23" localSheetId="9">#REF!</definedName>
    <definedName name="SG_17_23" localSheetId="8">#REF!</definedName>
    <definedName name="SG_17_23">#REF!</definedName>
    <definedName name="SG_17_24" localSheetId="7">#REF!</definedName>
    <definedName name="SG_17_24" localSheetId="9">#REF!</definedName>
    <definedName name="SG_17_24" localSheetId="8">#REF!</definedName>
    <definedName name="SG_17_24">#REF!</definedName>
    <definedName name="SG_17_25" localSheetId="7">#REF!</definedName>
    <definedName name="SG_17_25" localSheetId="9">#REF!</definedName>
    <definedName name="SG_17_25" localSheetId="8">#REF!</definedName>
    <definedName name="SG_17_25">#REF!</definedName>
    <definedName name="SG_18_01" localSheetId="7">#REF!</definedName>
    <definedName name="SG_18_01" localSheetId="9">#REF!</definedName>
    <definedName name="SG_18_01" localSheetId="8">#REF!</definedName>
    <definedName name="SG_18_01">#REF!</definedName>
    <definedName name="SG_18_02" localSheetId="7">#REF!</definedName>
    <definedName name="SG_18_02" localSheetId="9">#REF!</definedName>
    <definedName name="SG_18_02" localSheetId="8">#REF!</definedName>
    <definedName name="SG_18_02">#REF!</definedName>
    <definedName name="SG_18_03" localSheetId="7">#REF!</definedName>
    <definedName name="SG_18_03" localSheetId="9">#REF!</definedName>
    <definedName name="SG_18_03" localSheetId="8">#REF!</definedName>
    <definedName name="SG_18_03">#REF!</definedName>
    <definedName name="SG_18_04" localSheetId="7">#REF!</definedName>
    <definedName name="SG_18_04" localSheetId="9">#REF!</definedName>
    <definedName name="SG_18_04" localSheetId="8">#REF!</definedName>
    <definedName name="SG_18_04">#REF!</definedName>
    <definedName name="SG_18_05" localSheetId="7">#REF!</definedName>
    <definedName name="SG_18_05" localSheetId="9">#REF!</definedName>
    <definedName name="SG_18_05" localSheetId="8">#REF!</definedName>
    <definedName name="SG_18_05">#REF!</definedName>
    <definedName name="SG_18_06" localSheetId="7">#REF!</definedName>
    <definedName name="SG_18_06" localSheetId="9">#REF!</definedName>
    <definedName name="SG_18_06" localSheetId="8">#REF!</definedName>
    <definedName name="SG_18_06">#REF!</definedName>
    <definedName name="SG_18_07" localSheetId="7">#REF!</definedName>
    <definedName name="SG_18_07" localSheetId="9">#REF!</definedName>
    <definedName name="SG_18_07" localSheetId="8">#REF!</definedName>
    <definedName name="SG_18_07">#REF!</definedName>
    <definedName name="SG_18_08" localSheetId="7">#REF!</definedName>
    <definedName name="SG_18_08" localSheetId="9">#REF!</definedName>
    <definedName name="SG_18_08" localSheetId="8">#REF!</definedName>
    <definedName name="SG_18_08">#REF!</definedName>
    <definedName name="SG_18_09" localSheetId="7">#REF!</definedName>
    <definedName name="SG_18_09" localSheetId="9">#REF!</definedName>
    <definedName name="SG_18_09" localSheetId="8">#REF!</definedName>
    <definedName name="SG_18_09">#REF!</definedName>
    <definedName name="SG_18_10" localSheetId="7">#REF!</definedName>
    <definedName name="SG_18_10" localSheetId="9">#REF!</definedName>
    <definedName name="SG_18_10" localSheetId="8">#REF!</definedName>
    <definedName name="SG_18_10">#REF!</definedName>
    <definedName name="SG_18_11" localSheetId="7">#REF!</definedName>
    <definedName name="SG_18_11" localSheetId="9">#REF!</definedName>
    <definedName name="SG_18_11" localSheetId="8">#REF!</definedName>
    <definedName name="SG_18_11">#REF!</definedName>
    <definedName name="SG_18_12" localSheetId="7">#REF!</definedName>
    <definedName name="SG_18_12" localSheetId="9">#REF!</definedName>
    <definedName name="SG_18_12" localSheetId="8">#REF!</definedName>
    <definedName name="SG_18_12">#REF!</definedName>
    <definedName name="SG_18_13" localSheetId="7">#REF!</definedName>
    <definedName name="SG_18_13" localSheetId="9">#REF!</definedName>
    <definedName name="SG_18_13" localSheetId="8">#REF!</definedName>
    <definedName name="SG_18_13">#REF!</definedName>
    <definedName name="SG_18_14" localSheetId="7">#REF!</definedName>
    <definedName name="SG_18_14" localSheetId="9">#REF!</definedName>
    <definedName name="SG_18_14" localSheetId="8">#REF!</definedName>
    <definedName name="SG_18_14">#REF!</definedName>
    <definedName name="SG_18_15" localSheetId="7">#REF!</definedName>
    <definedName name="SG_18_15" localSheetId="9">#REF!</definedName>
    <definedName name="SG_18_15" localSheetId="8">#REF!</definedName>
    <definedName name="SG_18_15">#REF!</definedName>
    <definedName name="SG_18_16" localSheetId="7">#REF!</definedName>
    <definedName name="SG_18_16" localSheetId="9">#REF!</definedName>
    <definedName name="SG_18_16" localSheetId="8">#REF!</definedName>
    <definedName name="SG_18_16">#REF!</definedName>
    <definedName name="SG_18_17" localSheetId="7">#REF!</definedName>
    <definedName name="SG_18_17" localSheetId="9">#REF!</definedName>
    <definedName name="SG_18_17" localSheetId="8">#REF!</definedName>
    <definedName name="SG_18_17">#REF!</definedName>
    <definedName name="SG_18_18" localSheetId="7">#REF!</definedName>
    <definedName name="SG_18_18" localSheetId="9">#REF!</definedName>
    <definedName name="SG_18_18" localSheetId="8">#REF!</definedName>
    <definedName name="SG_18_18">#REF!</definedName>
    <definedName name="SG_18_19" localSheetId="7">#REF!</definedName>
    <definedName name="SG_18_19" localSheetId="9">#REF!</definedName>
    <definedName name="SG_18_19" localSheetId="8">#REF!</definedName>
    <definedName name="SG_18_19">#REF!</definedName>
    <definedName name="SG_18_20" localSheetId="7">#REF!</definedName>
    <definedName name="SG_18_20" localSheetId="9">#REF!</definedName>
    <definedName name="SG_18_20" localSheetId="8">#REF!</definedName>
    <definedName name="SG_18_20">#REF!</definedName>
    <definedName name="SG_18_21" localSheetId="7">#REF!</definedName>
    <definedName name="SG_18_21" localSheetId="9">#REF!</definedName>
    <definedName name="SG_18_21" localSheetId="8">#REF!</definedName>
    <definedName name="SG_18_21">#REF!</definedName>
    <definedName name="SG_18_22" localSheetId="7">#REF!</definedName>
    <definedName name="SG_18_22" localSheetId="9">#REF!</definedName>
    <definedName name="SG_18_22" localSheetId="8">#REF!</definedName>
    <definedName name="SG_18_22">#REF!</definedName>
    <definedName name="SG_18_23" localSheetId="7">#REF!</definedName>
    <definedName name="SG_18_23" localSheetId="9">#REF!</definedName>
    <definedName name="SG_18_23" localSheetId="8">#REF!</definedName>
    <definedName name="SG_18_23">#REF!</definedName>
    <definedName name="SG_18_24" localSheetId="7">#REF!</definedName>
    <definedName name="SG_18_24" localSheetId="9">#REF!</definedName>
    <definedName name="SG_18_24" localSheetId="8">#REF!</definedName>
    <definedName name="SG_18_24">#REF!</definedName>
    <definedName name="SG_18_25" localSheetId="7">#REF!</definedName>
    <definedName name="SG_18_25" localSheetId="9">#REF!</definedName>
    <definedName name="SG_18_25" localSheetId="8">#REF!</definedName>
    <definedName name="SG_18_25">#REF!</definedName>
    <definedName name="SG_19_01" localSheetId="7">#REF!</definedName>
    <definedName name="SG_19_01" localSheetId="9">#REF!</definedName>
    <definedName name="SG_19_01" localSheetId="8">#REF!</definedName>
    <definedName name="SG_19_01">#REF!</definedName>
    <definedName name="SG_19_02" localSheetId="7">#REF!</definedName>
    <definedName name="SG_19_02" localSheetId="9">#REF!</definedName>
    <definedName name="SG_19_02" localSheetId="8">#REF!</definedName>
    <definedName name="SG_19_02">#REF!</definedName>
    <definedName name="SG_19_03" localSheetId="7">#REF!</definedName>
    <definedName name="SG_19_03" localSheetId="9">#REF!</definedName>
    <definedName name="SG_19_03" localSheetId="8">#REF!</definedName>
    <definedName name="SG_19_03">#REF!</definedName>
    <definedName name="SG_19_04" localSheetId="7">#REF!</definedName>
    <definedName name="SG_19_04" localSheetId="9">#REF!</definedName>
    <definedName name="SG_19_04" localSheetId="8">#REF!</definedName>
    <definedName name="SG_19_04">#REF!</definedName>
    <definedName name="SG_19_05" localSheetId="7">#REF!</definedName>
    <definedName name="SG_19_05" localSheetId="9">#REF!</definedName>
    <definedName name="SG_19_05" localSheetId="8">#REF!</definedName>
    <definedName name="SG_19_05">#REF!</definedName>
    <definedName name="SG_19_06" localSheetId="7">#REF!</definedName>
    <definedName name="SG_19_06" localSheetId="9">#REF!</definedName>
    <definedName name="SG_19_06" localSheetId="8">#REF!</definedName>
    <definedName name="SG_19_06">#REF!</definedName>
    <definedName name="SG_19_07" localSheetId="7">#REF!</definedName>
    <definedName name="SG_19_07" localSheetId="9">#REF!</definedName>
    <definedName name="SG_19_07" localSheetId="8">#REF!</definedName>
    <definedName name="SG_19_07">#REF!</definedName>
    <definedName name="SG_19_08" localSheetId="7">#REF!</definedName>
    <definedName name="SG_19_08" localSheetId="9">#REF!</definedName>
    <definedName name="SG_19_08" localSheetId="8">#REF!</definedName>
    <definedName name="SG_19_08">#REF!</definedName>
    <definedName name="SG_19_09" localSheetId="7">#REF!</definedName>
    <definedName name="SG_19_09" localSheetId="9">#REF!</definedName>
    <definedName name="SG_19_09" localSheetId="8">#REF!</definedName>
    <definedName name="SG_19_09">#REF!</definedName>
    <definedName name="SG_19_10" localSheetId="7">#REF!</definedName>
    <definedName name="SG_19_10" localSheetId="9">#REF!</definedName>
    <definedName name="SG_19_10" localSheetId="8">#REF!</definedName>
    <definedName name="SG_19_10">#REF!</definedName>
    <definedName name="SG_19_11" localSheetId="7">#REF!</definedName>
    <definedName name="SG_19_11" localSheetId="9">#REF!</definedName>
    <definedName name="SG_19_11" localSheetId="8">#REF!</definedName>
    <definedName name="SG_19_11">#REF!</definedName>
    <definedName name="SG_19_12" localSheetId="7">#REF!</definedName>
    <definedName name="SG_19_12" localSheetId="9">#REF!</definedName>
    <definedName name="SG_19_12" localSheetId="8">#REF!</definedName>
    <definedName name="SG_19_12">#REF!</definedName>
    <definedName name="SG_19_13" localSheetId="7">#REF!</definedName>
    <definedName name="SG_19_13" localSheetId="9">#REF!</definedName>
    <definedName name="SG_19_13" localSheetId="8">#REF!</definedName>
    <definedName name="SG_19_13">#REF!</definedName>
    <definedName name="SG_19_14" localSheetId="7">#REF!</definedName>
    <definedName name="SG_19_14" localSheetId="9">#REF!</definedName>
    <definedName name="SG_19_14" localSheetId="8">#REF!</definedName>
    <definedName name="SG_19_14">#REF!</definedName>
    <definedName name="SG_19_15" localSheetId="7">#REF!</definedName>
    <definedName name="SG_19_15" localSheetId="9">#REF!</definedName>
    <definedName name="SG_19_15" localSheetId="8">#REF!</definedName>
    <definedName name="SG_19_15">#REF!</definedName>
    <definedName name="SG_19_16" localSheetId="7">#REF!</definedName>
    <definedName name="SG_19_16" localSheetId="9">#REF!</definedName>
    <definedName name="SG_19_16" localSheetId="8">#REF!</definedName>
    <definedName name="SG_19_16">#REF!</definedName>
    <definedName name="SG_19_17" localSheetId="7">#REF!</definedName>
    <definedName name="SG_19_17" localSheetId="9">#REF!</definedName>
    <definedName name="SG_19_17" localSheetId="8">#REF!</definedName>
    <definedName name="SG_19_17">#REF!</definedName>
    <definedName name="SG_19_18" localSheetId="7">#REF!</definedName>
    <definedName name="SG_19_18" localSheetId="9">#REF!</definedName>
    <definedName name="SG_19_18" localSheetId="8">#REF!</definedName>
    <definedName name="SG_19_18">#REF!</definedName>
    <definedName name="SG_19_19" localSheetId="7">#REF!</definedName>
    <definedName name="SG_19_19" localSheetId="9">#REF!</definedName>
    <definedName name="SG_19_19" localSheetId="8">#REF!</definedName>
    <definedName name="SG_19_19">#REF!</definedName>
    <definedName name="SG_19_20" localSheetId="7">#REF!</definedName>
    <definedName name="SG_19_20" localSheetId="9">#REF!</definedName>
    <definedName name="SG_19_20" localSheetId="8">#REF!</definedName>
    <definedName name="SG_19_20">#REF!</definedName>
    <definedName name="SG_19_21" localSheetId="7">#REF!</definedName>
    <definedName name="SG_19_21" localSheetId="9">#REF!</definedName>
    <definedName name="SG_19_21" localSheetId="8">#REF!</definedName>
    <definedName name="SG_19_21">#REF!</definedName>
    <definedName name="SG_19_22" localSheetId="7">#REF!</definedName>
    <definedName name="SG_19_22" localSheetId="9">#REF!</definedName>
    <definedName name="SG_19_22" localSheetId="8">#REF!</definedName>
    <definedName name="SG_19_22">#REF!</definedName>
    <definedName name="SG_19_23" localSheetId="7">#REF!</definedName>
    <definedName name="SG_19_23" localSheetId="9">#REF!</definedName>
    <definedName name="SG_19_23" localSheetId="8">#REF!</definedName>
    <definedName name="SG_19_23">#REF!</definedName>
    <definedName name="SG_19_24" localSheetId="7">#REF!</definedName>
    <definedName name="SG_19_24" localSheetId="9">#REF!</definedName>
    <definedName name="SG_19_24" localSheetId="8">#REF!</definedName>
    <definedName name="SG_19_24">#REF!</definedName>
    <definedName name="SG_19_25" localSheetId="7">#REF!</definedName>
    <definedName name="SG_19_25" localSheetId="9">#REF!</definedName>
    <definedName name="SG_19_25" localSheetId="8">#REF!</definedName>
    <definedName name="SG_19_25">#REF!</definedName>
    <definedName name="SG_20_01" localSheetId="7">#REF!</definedName>
    <definedName name="SG_20_01" localSheetId="9">#REF!</definedName>
    <definedName name="SG_20_01" localSheetId="8">#REF!</definedName>
    <definedName name="SG_20_01">#REF!</definedName>
    <definedName name="SG_20_02" localSheetId="7">#REF!</definedName>
    <definedName name="SG_20_02" localSheetId="9">#REF!</definedName>
    <definedName name="SG_20_02" localSheetId="8">#REF!</definedName>
    <definedName name="SG_20_02">#REF!</definedName>
    <definedName name="SG_20_03" localSheetId="7">#REF!</definedName>
    <definedName name="SG_20_03" localSheetId="9">#REF!</definedName>
    <definedName name="SG_20_03" localSheetId="8">#REF!</definedName>
    <definedName name="SG_20_03">#REF!</definedName>
    <definedName name="SG_20_04" localSheetId="7">#REF!</definedName>
    <definedName name="SG_20_04" localSheetId="9">#REF!</definedName>
    <definedName name="SG_20_04" localSheetId="8">#REF!</definedName>
    <definedName name="SG_20_04">#REF!</definedName>
    <definedName name="SG_20_05" localSheetId="7">#REF!</definedName>
    <definedName name="SG_20_05" localSheetId="9">#REF!</definedName>
    <definedName name="SG_20_05" localSheetId="8">#REF!</definedName>
    <definedName name="SG_20_05">#REF!</definedName>
    <definedName name="SG_20_06" localSheetId="7">#REF!</definedName>
    <definedName name="SG_20_06" localSheetId="9">#REF!</definedName>
    <definedName name="SG_20_06" localSheetId="8">#REF!</definedName>
    <definedName name="SG_20_06">#REF!</definedName>
    <definedName name="SG_20_07" localSheetId="7">#REF!</definedName>
    <definedName name="SG_20_07" localSheetId="9">#REF!</definedName>
    <definedName name="SG_20_07" localSheetId="8">#REF!</definedName>
    <definedName name="SG_20_07">#REF!</definedName>
    <definedName name="SG_20_08" localSheetId="7">#REF!</definedName>
    <definedName name="SG_20_08" localSheetId="9">#REF!</definedName>
    <definedName name="SG_20_08" localSheetId="8">#REF!</definedName>
    <definedName name="SG_20_08">#REF!</definedName>
    <definedName name="SG_20_09" localSheetId="7">#REF!</definedName>
    <definedName name="SG_20_09" localSheetId="9">#REF!</definedName>
    <definedName name="SG_20_09" localSheetId="8">#REF!</definedName>
    <definedName name="SG_20_09">#REF!</definedName>
    <definedName name="SG_20_10" localSheetId="7">#REF!</definedName>
    <definedName name="SG_20_10" localSheetId="9">#REF!</definedName>
    <definedName name="SG_20_10" localSheetId="8">#REF!</definedName>
    <definedName name="SG_20_10">#REF!</definedName>
    <definedName name="SG_20_11" localSheetId="7">#REF!</definedName>
    <definedName name="SG_20_11" localSheetId="9">#REF!</definedName>
    <definedName name="SG_20_11" localSheetId="8">#REF!</definedName>
    <definedName name="SG_20_11">#REF!</definedName>
    <definedName name="SG_20_12" localSheetId="7">#REF!</definedName>
    <definedName name="SG_20_12" localSheetId="9">#REF!</definedName>
    <definedName name="SG_20_12" localSheetId="8">#REF!</definedName>
    <definedName name="SG_20_12">#REF!</definedName>
    <definedName name="SG_20_13" localSheetId="7">#REF!</definedName>
    <definedName name="SG_20_13" localSheetId="9">#REF!</definedName>
    <definedName name="SG_20_13" localSheetId="8">#REF!</definedName>
    <definedName name="SG_20_13">#REF!</definedName>
    <definedName name="SG_20_14" localSheetId="7">#REF!</definedName>
    <definedName name="SG_20_14" localSheetId="9">#REF!</definedName>
    <definedName name="SG_20_14" localSheetId="8">#REF!</definedName>
    <definedName name="SG_20_14">#REF!</definedName>
    <definedName name="SG_20_15" localSheetId="7">#REF!</definedName>
    <definedName name="SG_20_15" localSheetId="9">#REF!</definedName>
    <definedName name="SG_20_15" localSheetId="8">#REF!</definedName>
    <definedName name="SG_20_15">#REF!</definedName>
    <definedName name="SG_20_16" localSheetId="7">#REF!</definedName>
    <definedName name="SG_20_16" localSheetId="9">#REF!</definedName>
    <definedName name="SG_20_16" localSheetId="8">#REF!</definedName>
    <definedName name="SG_20_16">#REF!</definedName>
    <definedName name="SG_20_17" localSheetId="7">#REF!</definedName>
    <definedName name="SG_20_17" localSheetId="9">#REF!</definedName>
    <definedName name="SG_20_17" localSheetId="8">#REF!</definedName>
    <definedName name="SG_20_17">#REF!</definedName>
    <definedName name="SG_20_18" localSheetId="7">#REF!</definedName>
    <definedName name="SG_20_18" localSheetId="9">#REF!</definedName>
    <definedName name="SG_20_18" localSheetId="8">#REF!</definedName>
    <definedName name="SG_20_18">#REF!</definedName>
    <definedName name="SG_20_19" localSheetId="7">#REF!</definedName>
    <definedName name="SG_20_19" localSheetId="9">#REF!</definedName>
    <definedName name="SG_20_19" localSheetId="8">#REF!</definedName>
    <definedName name="SG_20_19">#REF!</definedName>
    <definedName name="SG_20_20" localSheetId="7">#REF!</definedName>
    <definedName name="SG_20_20" localSheetId="9">#REF!</definedName>
    <definedName name="SG_20_20" localSheetId="8">#REF!</definedName>
    <definedName name="SG_20_20">#REF!</definedName>
    <definedName name="SG_20_21" localSheetId="7">#REF!</definedName>
    <definedName name="SG_20_21" localSheetId="9">#REF!</definedName>
    <definedName name="SG_20_21" localSheetId="8">#REF!</definedName>
    <definedName name="SG_20_21">#REF!</definedName>
    <definedName name="SG_20_22" localSheetId="7">#REF!</definedName>
    <definedName name="SG_20_22" localSheetId="9">#REF!</definedName>
    <definedName name="SG_20_22" localSheetId="8">#REF!</definedName>
    <definedName name="SG_20_22">#REF!</definedName>
    <definedName name="SG_20_23" localSheetId="7">#REF!</definedName>
    <definedName name="SG_20_23" localSheetId="9">#REF!</definedName>
    <definedName name="SG_20_23" localSheetId="8">#REF!</definedName>
    <definedName name="SG_20_23">#REF!</definedName>
    <definedName name="SG_20_24" localSheetId="7">#REF!</definedName>
    <definedName name="SG_20_24" localSheetId="9">#REF!</definedName>
    <definedName name="SG_20_24" localSheetId="8">#REF!</definedName>
    <definedName name="SG_20_24">#REF!</definedName>
    <definedName name="SG_20_25" localSheetId="7">#REF!</definedName>
    <definedName name="SG_20_25" localSheetId="9">#REF!</definedName>
    <definedName name="SG_20_25" localSheetId="8">#REF!</definedName>
    <definedName name="SG_20_25">#REF!</definedName>
    <definedName name="SG_21_01" localSheetId="7">#REF!</definedName>
    <definedName name="SG_21_01" localSheetId="9">#REF!</definedName>
    <definedName name="SG_21_01" localSheetId="8">#REF!</definedName>
    <definedName name="SG_21_01">#REF!</definedName>
    <definedName name="SG_21_02" localSheetId="7">#REF!</definedName>
    <definedName name="SG_21_02" localSheetId="9">#REF!</definedName>
    <definedName name="SG_21_02" localSheetId="8">#REF!</definedName>
    <definedName name="SG_21_02">#REF!</definedName>
    <definedName name="SG_21_03" localSheetId="7">#REF!</definedName>
    <definedName name="SG_21_03" localSheetId="9">#REF!</definedName>
    <definedName name="SG_21_03" localSheetId="8">#REF!</definedName>
    <definedName name="SG_21_03">#REF!</definedName>
    <definedName name="SG_21_04" localSheetId="7">#REF!</definedName>
    <definedName name="SG_21_04" localSheetId="9">#REF!</definedName>
    <definedName name="SG_21_04" localSheetId="8">#REF!</definedName>
    <definedName name="SG_21_04">#REF!</definedName>
    <definedName name="SG_21_05" localSheetId="7">#REF!</definedName>
    <definedName name="SG_21_05" localSheetId="9">#REF!</definedName>
    <definedName name="SG_21_05" localSheetId="8">#REF!</definedName>
    <definedName name="SG_21_05">#REF!</definedName>
    <definedName name="SG_21_06" localSheetId="7">#REF!</definedName>
    <definedName name="SG_21_06" localSheetId="9">#REF!</definedName>
    <definedName name="SG_21_06" localSheetId="8">#REF!</definedName>
    <definedName name="SG_21_06">#REF!</definedName>
    <definedName name="SG_21_07" localSheetId="7">#REF!</definedName>
    <definedName name="SG_21_07" localSheetId="9">#REF!</definedName>
    <definedName name="SG_21_07" localSheetId="8">#REF!</definedName>
    <definedName name="SG_21_07">#REF!</definedName>
    <definedName name="SG_21_08" localSheetId="7">#REF!</definedName>
    <definedName name="SG_21_08" localSheetId="9">#REF!</definedName>
    <definedName name="SG_21_08" localSheetId="8">#REF!</definedName>
    <definedName name="SG_21_08">#REF!</definedName>
    <definedName name="SG_21_09" localSheetId="7">#REF!</definedName>
    <definedName name="SG_21_09" localSheetId="9">#REF!</definedName>
    <definedName name="SG_21_09" localSheetId="8">#REF!</definedName>
    <definedName name="SG_21_09">#REF!</definedName>
    <definedName name="SG_21_10" localSheetId="7">#REF!</definedName>
    <definedName name="SG_21_10" localSheetId="9">#REF!</definedName>
    <definedName name="SG_21_10" localSheetId="8">#REF!</definedName>
    <definedName name="SG_21_10">#REF!</definedName>
    <definedName name="SG_21_11" localSheetId="7">#REF!</definedName>
    <definedName name="SG_21_11" localSheetId="9">#REF!</definedName>
    <definedName name="SG_21_11" localSheetId="8">#REF!</definedName>
    <definedName name="SG_21_11">#REF!</definedName>
    <definedName name="SG_21_12" localSheetId="7">#REF!</definedName>
    <definedName name="SG_21_12" localSheetId="9">#REF!</definedName>
    <definedName name="SG_21_12" localSheetId="8">#REF!</definedName>
    <definedName name="SG_21_12">#REF!</definedName>
    <definedName name="SG_21_13" localSheetId="7">#REF!</definedName>
    <definedName name="SG_21_13" localSheetId="9">#REF!</definedName>
    <definedName name="SG_21_13" localSheetId="8">#REF!</definedName>
    <definedName name="SG_21_13">#REF!</definedName>
    <definedName name="SG_21_14" localSheetId="7">#REF!</definedName>
    <definedName name="SG_21_14" localSheetId="9">#REF!</definedName>
    <definedName name="SG_21_14" localSheetId="8">#REF!</definedName>
    <definedName name="SG_21_14">#REF!</definedName>
    <definedName name="SG_21_15" localSheetId="7">#REF!</definedName>
    <definedName name="SG_21_15" localSheetId="9">#REF!</definedName>
    <definedName name="SG_21_15" localSheetId="8">#REF!</definedName>
    <definedName name="SG_21_15">#REF!</definedName>
    <definedName name="SG_21_16" localSheetId="7">#REF!</definedName>
    <definedName name="SG_21_16" localSheetId="9">#REF!</definedName>
    <definedName name="SG_21_16" localSheetId="8">#REF!</definedName>
    <definedName name="SG_21_16">#REF!</definedName>
    <definedName name="SG_21_17" localSheetId="7">#REF!</definedName>
    <definedName name="SG_21_17" localSheetId="9">#REF!</definedName>
    <definedName name="SG_21_17" localSheetId="8">#REF!</definedName>
    <definedName name="SG_21_17">#REF!</definedName>
    <definedName name="SG_21_18" localSheetId="7">#REF!</definedName>
    <definedName name="SG_21_18" localSheetId="9">#REF!</definedName>
    <definedName name="SG_21_18" localSheetId="8">#REF!</definedName>
    <definedName name="SG_21_18">#REF!</definedName>
    <definedName name="SG_21_19" localSheetId="7">#REF!</definedName>
    <definedName name="SG_21_19" localSheetId="9">#REF!</definedName>
    <definedName name="SG_21_19" localSheetId="8">#REF!</definedName>
    <definedName name="SG_21_19">#REF!</definedName>
    <definedName name="SG_21_20" localSheetId="7">#REF!</definedName>
    <definedName name="SG_21_20" localSheetId="9">#REF!</definedName>
    <definedName name="SG_21_20" localSheetId="8">#REF!</definedName>
    <definedName name="SG_21_20">#REF!</definedName>
    <definedName name="SG_21_21" localSheetId="7">#REF!</definedName>
    <definedName name="SG_21_21" localSheetId="9">#REF!</definedName>
    <definedName name="SG_21_21" localSheetId="8">#REF!</definedName>
    <definedName name="SG_21_21">#REF!</definedName>
    <definedName name="SG_21_22" localSheetId="7">#REF!</definedName>
    <definedName name="SG_21_22" localSheetId="9">#REF!</definedName>
    <definedName name="SG_21_22" localSheetId="8">#REF!</definedName>
    <definedName name="SG_21_22">#REF!</definedName>
    <definedName name="SG_21_23" localSheetId="7">#REF!</definedName>
    <definedName name="SG_21_23" localSheetId="9">#REF!</definedName>
    <definedName name="SG_21_23" localSheetId="8">#REF!</definedName>
    <definedName name="SG_21_23">#REF!</definedName>
    <definedName name="SG_21_24" localSheetId="7">#REF!</definedName>
    <definedName name="SG_21_24" localSheetId="9">#REF!</definedName>
    <definedName name="SG_21_24" localSheetId="8">#REF!</definedName>
    <definedName name="SG_21_24">#REF!</definedName>
    <definedName name="SG_21_25" localSheetId="7">#REF!</definedName>
    <definedName name="SG_21_25" localSheetId="9">#REF!</definedName>
    <definedName name="SG_21_25" localSheetId="8">#REF!</definedName>
    <definedName name="SG_21_25">#REF!</definedName>
    <definedName name="SG_22_01" localSheetId="7">#REF!</definedName>
    <definedName name="SG_22_01" localSheetId="9">#REF!</definedName>
    <definedName name="SG_22_01" localSheetId="8">#REF!</definedName>
    <definedName name="SG_22_01">#REF!</definedName>
    <definedName name="SG_22_02" localSheetId="7">#REF!</definedName>
    <definedName name="SG_22_02" localSheetId="9">#REF!</definedName>
    <definedName name="SG_22_02" localSheetId="8">#REF!</definedName>
    <definedName name="SG_22_02">#REF!</definedName>
    <definedName name="SG_22_03" localSheetId="7">#REF!</definedName>
    <definedName name="SG_22_03" localSheetId="9">#REF!</definedName>
    <definedName name="SG_22_03" localSheetId="8">#REF!</definedName>
    <definedName name="SG_22_03">#REF!</definedName>
    <definedName name="SG_22_04" localSheetId="7">#REF!</definedName>
    <definedName name="SG_22_04" localSheetId="9">#REF!</definedName>
    <definedName name="SG_22_04" localSheetId="8">#REF!</definedName>
    <definedName name="SG_22_04">#REF!</definedName>
    <definedName name="SG_22_05" localSheetId="7">#REF!</definedName>
    <definedName name="SG_22_05" localSheetId="9">#REF!</definedName>
    <definedName name="SG_22_05" localSheetId="8">#REF!</definedName>
    <definedName name="SG_22_05">#REF!</definedName>
    <definedName name="SG_22_06" localSheetId="7">#REF!</definedName>
    <definedName name="SG_22_06" localSheetId="9">#REF!</definedName>
    <definedName name="SG_22_06" localSheetId="8">#REF!</definedName>
    <definedName name="SG_22_06">#REF!</definedName>
    <definedName name="SG_22_07" localSheetId="7">#REF!</definedName>
    <definedName name="SG_22_07" localSheetId="9">#REF!</definedName>
    <definedName name="SG_22_07" localSheetId="8">#REF!</definedName>
    <definedName name="SG_22_07">#REF!</definedName>
    <definedName name="SG_22_08" localSheetId="7">#REF!</definedName>
    <definedName name="SG_22_08" localSheetId="9">#REF!</definedName>
    <definedName name="SG_22_08" localSheetId="8">#REF!</definedName>
    <definedName name="SG_22_08">#REF!</definedName>
    <definedName name="SG_22_09" localSheetId="7">#REF!</definedName>
    <definedName name="SG_22_09" localSheetId="9">#REF!</definedName>
    <definedName name="SG_22_09" localSheetId="8">#REF!</definedName>
    <definedName name="SG_22_09">#REF!</definedName>
    <definedName name="SG_22_10" localSheetId="7">#REF!</definedName>
    <definedName name="SG_22_10" localSheetId="9">#REF!</definedName>
    <definedName name="SG_22_10" localSheetId="8">#REF!</definedName>
    <definedName name="SG_22_10">#REF!</definedName>
    <definedName name="SG_22_11" localSheetId="7">#REF!</definedName>
    <definedName name="SG_22_11" localSheetId="9">#REF!</definedName>
    <definedName name="SG_22_11" localSheetId="8">#REF!</definedName>
    <definedName name="SG_22_11">#REF!</definedName>
    <definedName name="SG_22_12" localSheetId="7">#REF!</definedName>
    <definedName name="SG_22_12" localSheetId="9">#REF!</definedName>
    <definedName name="SG_22_12" localSheetId="8">#REF!</definedName>
    <definedName name="SG_22_12">#REF!</definedName>
    <definedName name="SG_22_13" localSheetId="7">#REF!</definedName>
    <definedName name="SG_22_13" localSheetId="9">#REF!</definedName>
    <definedName name="SG_22_13" localSheetId="8">#REF!</definedName>
    <definedName name="SG_22_13">#REF!</definedName>
    <definedName name="SG_22_14" localSheetId="7">#REF!</definedName>
    <definedName name="SG_22_14" localSheetId="9">#REF!</definedName>
    <definedName name="SG_22_14" localSheetId="8">#REF!</definedName>
    <definedName name="SG_22_14">#REF!</definedName>
    <definedName name="SG_22_15" localSheetId="7">#REF!</definedName>
    <definedName name="SG_22_15" localSheetId="9">#REF!</definedName>
    <definedName name="SG_22_15" localSheetId="8">#REF!</definedName>
    <definedName name="SG_22_15">#REF!</definedName>
    <definedName name="SG_22_16" localSheetId="7">#REF!</definedName>
    <definedName name="SG_22_16" localSheetId="9">#REF!</definedName>
    <definedName name="SG_22_16" localSheetId="8">#REF!</definedName>
    <definedName name="SG_22_16">#REF!</definedName>
    <definedName name="SG_22_17" localSheetId="7">#REF!</definedName>
    <definedName name="SG_22_17" localSheetId="9">#REF!</definedName>
    <definedName name="SG_22_17" localSheetId="8">#REF!</definedName>
    <definedName name="SG_22_17">#REF!</definedName>
    <definedName name="SG_22_18" localSheetId="7">#REF!</definedName>
    <definedName name="SG_22_18" localSheetId="9">#REF!</definedName>
    <definedName name="SG_22_18" localSheetId="8">#REF!</definedName>
    <definedName name="SG_22_18">#REF!</definedName>
    <definedName name="SG_22_19" localSheetId="7">#REF!</definedName>
    <definedName name="SG_22_19" localSheetId="9">#REF!</definedName>
    <definedName name="SG_22_19" localSheetId="8">#REF!</definedName>
    <definedName name="SG_22_19">#REF!</definedName>
    <definedName name="SG_22_20" localSheetId="7">#REF!</definedName>
    <definedName name="SG_22_20" localSheetId="9">#REF!</definedName>
    <definedName name="SG_22_20" localSheetId="8">#REF!</definedName>
    <definedName name="SG_22_20">#REF!</definedName>
    <definedName name="SG_22_21" localSheetId="7">#REF!</definedName>
    <definedName name="SG_22_21" localSheetId="9">#REF!</definedName>
    <definedName name="SG_22_21" localSheetId="8">#REF!</definedName>
    <definedName name="SG_22_21">#REF!</definedName>
    <definedName name="SG_22_22" localSheetId="7">#REF!</definedName>
    <definedName name="SG_22_22" localSheetId="9">#REF!</definedName>
    <definedName name="SG_22_22" localSheetId="8">#REF!</definedName>
    <definedName name="SG_22_22">#REF!</definedName>
    <definedName name="SG_22_23" localSheetId="7">#REF!</definedName>
    <definedName name="SG_22_23" localSheetId="9">#REF!</definedName>
    <definedName name="SG_22_23" localSheetId="8">#REF!</definedName>
    <definedName name="SG_22_23">#REF!</definedName>
    <definedName name="SG_22_24" localSheetId="7">#REF!</definedName>
    <definedName name="SG_22_24" localSheetId="9">#REF!</definedName>
    <definedName name="SG_22_24" localSheetId="8">#REF!</definedName>
    <definedName name="SG_22_24">#REF!</definedName>
    <definedName name="SG_22_25" localSheetId="7">#REF!</definedName>
    <definedName name="SG_22_25" localSheetId="9">#REF!</definedName>
    <definedName name="SG_22_25" localSheetId="8">#REF!</definedName>
    <definedName name="SG_22_25">#REF!</definedName>
    <definedName name="SG_23_01" localSheetId="7">#REF!</definedName>
    <definedName name="SG_23_01" localSheetId="9">#REF!</definedName>
    <definedName name="SG_23_01" localSheetId="8">#REF!</definedName>
    <definedName name="SG_23_01">#REF!</definedName>
    <definedName name="SG_23_02" localSheetId="7">#REF!</definedName>
    <definedName name="SG_23_02" localSheetId="9">#REF!</definedName>
    <definedName name="SG_23_02" localSheetId="8">#REF!</definedName>
    <definedName name="SG_23_02">#REF!</definedName>
    <definedName name="SG_23_03" localSheetId="7">#REF!</definedName>
    <definedName name="SG_23_03" localSheetId="9">#REF!</definedName>
    <definedName name="SG_23_03" localSheetId="8">#REF!</definedName>
    <definedName name="SG_23_03">#REF!</definedName>
    <definedName name="SG_23_04" localSheetId="7">#REF!</definedName>
    <definedName name="SG_23_04" localSheetId="9">#REF!</definedName>
    <definedName name="SG_23_04" localSheetId="8">#REF!</definedName>
    <definedName name="SG_23_04">#REF!</definedName>
    <definedName name="SG_23_05" localSheetId="7">#REF!</definedName>
    <definedName name="SG_23_05" localSheetId="9">#REF!</definedName>
    <definedName name="SG_23_05" localSheetId="8">#REF!</definedName>
    <definedName name="SG_23_05">#REF!</definedName>
    <definedName name="SG_23_06" localSheetId="7">#REF!</definedName>
    <definedName name="SG_23_06" localSheetId="9">#REF!</definedName>
    <definedName name="SG_23_06" localSheetId="8">#REF!</definedName>
    <definedName name="SG_23_06">#REF!</definedName>
    <definedName name="SG_23_07" localSheetId="7">#REF!</definedName>
    <definedName name="SG_23_07" localSheetId="9">#REF!</definedName>
    <definedName name="SG_23_07" localSheetId="8">#REF!</definedName>
    <definedName name="SG_23_07">#REF!</definedName>
    <definedName name="SG_23_08" localSheetId="7">#REF!</definedName>
    <definedName name="SG_23_08" localSheetId="9">#REF!</definedName>
    <definedName name="SG_23_08" localSheetId="8">#REF!</definedName>
    <definedName name="SG_23_08">#REF!</definedName>
    <definedName name="SG_23_09" localSheetId="7">#REF!</definedName>
    <definedName name="SG_23_09" localSheetId="9">#REF!</definedName>
    <definedName name="SG_23_09" localSheetId="8">#REF!</definedName>
    <definedName name="SG_23_09">#REF!</definedName>
    <definedName name="SG_23_10" localSheetId="7">#REF!</definedName>
    <definedName name="SG_23_10" localSheetId="9">#REF!</definedName>
    <definedName name="SG_23_10" localSheetId="8">#REF!</definedName>
    <definedName name="SG_23_10">#REF!</definedName>
    <definedName name="SG_23_11" localSheetId="7">#REF!</definedName>
    <definedName name="SG_23_11" localSheetId="9">#REF!</definedName>
    <definedName name="SG_23_11" localSheetId="8">#REF!</definedName>
    <definedName name="SG_23_11">#REF!</definedName>
    <definedName name="SG_23_12" localSheetId="7">#REF!</definedName>
    <definedName name="SG_23_12" localSheetId="9">#REF!</definedName>
    <definedName name="SG_23_12" localSheetId="8">#REF!</definedName>
    <definedName name="SG_23_12">#REF!</definedName>
    <definedName name="SG_23_13" localSheetId="7">#REF!</definedName>
    <definedName name="SG_23_13" localSheetId="9">#REF!</definedName>
    <definedName name="SG_23_13" localSheetId="8">#REF!</definedName>
    <definedName name="SG_23_13">#REF!</definedName>
    <definedName name="SG_23_14" localSheetId="7">#REF!</definedName>
    <definedName name="SG_23_14" localSheetId="9">#REF!</definedName>
    <definedName name="SG_23_14" localSheetId="8">#REF!</definedName>
    <definedName name="SG_23_14">#REF!</definedName>
    <definedName name="SG_23_15" localSheetId="7">#REF!</definedName>
    <definedName name="SG_23_15" localSheetId="9">#REF!</definedName>
    <definedName name="SG_23_15" localSheetId="8">#REF!</definedName>
    <definedName name="SG_23_15">#REF!</definedName>
    <definedName name="SG_23_16" localSheetId="7">#REF!</definedName>
    <definedName name="SG_23_16" localSheetId="9">#REF!</definedName>
    <definedName name="SG_23_16" localSheetId="8">#REF!</definedName>
    <definedName name="SG_23_16">#REF!</definedName>
    <definedName name="SG_23_17" localSheetId="7">#REF!</definedName>
    <definedName name="SG_23_17" localSheetId="9">#REF!</definedName>
    <definedName name="SG_23_17" localSheetId="8">#REF!</definedName>
    <definedName name="SG_23_17">#REF!</definedName>
    <definedName name="SG_23_18" localSheetId="7">#REF!</definedName>
    <definedName name="SG_23_18" localSheetId="9">#REF!</definedName>
    <definedName name="SG_23_18" localSheetId="8">#REF!</definedName>
    <definedName name="SG_23_18">#REF!</definedName>
    <definedName name="SG_23_19" localSheetId="7">#REF!</definedName>
    <definedName name="SG_23_19" localSheetId="9">#REF!</definedName>
    <definedName name="SG_23_19" localSheetId="8">#REF!</definedName>
    <definedName name="SG_23_19">#REF!</definedName>
    <definedName name="SG_23_20" localSheetId="7">#REF!</definedName>
    <definedName name="SG_23_20" localSheetId="9">#REF!</definedName>
    <definedName name="SG_23_20" localSheetId="8">#REF!</definedName>
    <definedName name="SG_23_20">#REF!</definedName>
    <definedName name="SG_23_21" localSheetId="7">#REF!</definedName>
    <definedName name="SG_23_21" localSheetId="9">#REF!</definedName>
    <definedName name="SG_23_21" localSheetId="8">#REF!</definedName>
    <definedName name="SG_23_21">#REF!</definedName>
    <definedName name="SG_23_22" localSheetId="7">#REF!</definedName>
    <definedName name="SG_23_22" localSheetId="9">#REF!</definedName>
    <definedName name="SG_23_22" localSheetId="8">#REF!</definedName>
    <definedName name="SG_23_22">#REF!</definedName>
    <definedName name="SG_23_23" localSheetId="7">#REF!</definedName>
    <definedName name="SG_23_23" localSheetId="9">#REF!</definedName>
    <definedName name="SG_23_23" localSheetId="8">#REF!</definedName>
    <definedName name="SG_23_23">#REF!</definedName>
    <definedName name="SG_23_24" localSheetId="7">#REF!</definedName>
    <definedName name="SG_23_24" localSheetId="9">#REF!</definedName>
    <definedName name="SG_23_24" localSheetId="8">#REF!</definedName>
    <definedName name="SG_23_24">#REF!</definedName>
    <definedName name="SG_23_25" localSheetId="7">#REF!</definedName>
    <definedName name="SG_23_25" localSheetId="9">#REF!</definedName>
    <definedName name="SG_23_25" localSheetId="8">#REF!</definedName>
    <definedName name="SG_23_25">#REF!</definedName>
    <definedName name="SG_24_01" localSheetId="7">#REF!</definedName>
    <definedName name="SG_24_01" localSheetId="9">#REF!</definedName>
    <definedName name="SG_24_01" localSheetId="8">#REF!</definedName>
    <definedName name="SG_24_01">#REF!</definedName>
    <definedName name="SG_24_02" localSheetId="7">#REF!</definedName>
    <definedName name="SG_24_02" localSheetId="9">#REF!</definedName>
    <definedName name="SG_24_02" localSheetId="8">#REF!</definedName>
    <definedName name="SG_24_02">#REF!</definedName>
    <definedName name="SG_24_03" localSheetId="7">#REF!</definedName>
    <definedName name="SG_24_03" localSheetId="9">#REF!</definedName>
    <definedName name="SG_24_03" localSheetId="8">#REF!</definedName>
    <definedName name="SG_24_03">#REF!</definedName>
    <definedName name="SG_24_04" localSheetId="7">#REF!</definedName>
    <definedName name="SG_24_04" localSheetId="9">#REF!</definedName>
    <definedName name="SG_24_04" localSheetId="8">#REF!</definedName>
    <definedName name="SG_24_04">#REF!</definedName>
    <definedName name="SG_24_05" localSheetId="7">#REF!</definedName>
    <definedName name="SG_24_05" localSheetId="9">#REF!</definedName>
    <definedName name="SG_24_05" localSheetId="8">#REF!</definedName>
    <definedName name="SG_24_05">#REF!</definedName>
    <definedName name="SG_24_06" localSheetId="7">#REF!</definedName>
    <definedName name="SG_24_06" localSheetId="9">#REF!</definedName>
    <definedName name="SG_24_06" localSheetId="8">#REF!</definedName>
    <definedName name="SG_24_06">#REF!</definedName>
    <definedName name="SG_24_07" localSheetId="7">#REF!</definedName>
    <definedName name="SG_24_07" localSheetId="9">#REF!</definedName>
    <definedName name="SG_24_07" localSheetId="8">#REF!</definedName>
    <definedName name="SG_24_07">#REF!</definedName>
    <definedName name="SG_24_08" localSheetId="7">#REF!</definedName>
    <definedName name="SG_24_08" localSheetId="9">#REF!</definedName>
    <definedName name="SG_24_08" localSheetId="8">#REF!</definedName>
    <definedName name="SG_24_08">#REF!</definedName>
    <definedName name="SG_24_09" localSheetId="7">#REF!</definedName>
    <definedName name="SG_24_09" localSheetId="9">#REF!</definedName>
    <definedName name="SG_24_09" localSheetId="8">#REF!</definedName>
    <definedName name="SG_24_09">#REF!</definedName>
    <definedName name="SG_24_10" localSheetId="7">#REF!</definedName>
    <definedName name="SG_24_10" localSheetId="9">#REF!</definedName>
    <definedName name="SG_24_10" localSheetId="8">#REF!</definedName>
    <definedName name="SG_24_10">#REF!</definedName>
    <definedName name="SG_24_11" localSheetId="7">#REF!</definedName>
    <definedName name="SG_24_11" localSheetId="9">#REF!</definedName>
    <definedName name="SG_24_11" localSheetId="8">#REF!</definedName>
    <definedName name="SG_24_11">#REF!</definedName>
    <definedName name="SG_24_12" localSheetId="7">#REF!</definedName>
    <definedName name="SG_24_12" localSheetId="9">#REF!</definedName>
    <definedName name="SG_24_12" localSheetId="8">#REF!</definedName>
    <definedName name="SG_24_12">#REF!</definedName>
    <definedName name="SG_24_13" localSheetId="7">#REF!</definedName>
    <definedName name="SG_24_13" localSheetId="9">#REF!</definedName>
    <definedName name="SG_24_13" localSheetId="8">#REF!</definedName>
    <definedName name="SG_24_13">#REF!</definedName>
    <definedName name="SG_24_14" localSheetId="7">#REF!</definedName>
    <definedName name="SG_24_14" localSheetId="9">#REF!</definedName>
    <definedName name="SG_24_14" localSheetId="8">#REF!</definedName>
    <definedName name="SG_24_14">#REF!</definedName>
    <definedName name="SG_24_15" localSheetId="7">#REF!</definedName>
    <definedName name="SG_24_15" localSheetId="9">#REF!</definedName>
    <definedName name="SG_24_15" localSheetId="8">#REF!</definedName>
    <definedName name="SG_24_15">#REF!</definedName>
    <definedName name="SG_24_16" localSheetId="7">#REF!</definedName>
    <definedName name="SG_24_16" localSheetId="9">#REF!</definedName>
    <definedName name="SG_24_16" localSheetId="8">#REF!</definedName>
    <definedName name="SG_24_16">#REF!</definedName>
    <definedName name="SG_24_17" localSheetId="7">#REF!</definedName>
    <definedName name="SG_24_17" localSheetId="9">#REF!</definedName>
    <definedName name="SG_24_17" localSheetId="8">#REF!</definedName>
    <definedName name="SG_24_17">#REF!</definedName>
    <definedName name="SG_24_18" localSheetId="7">#REF!</definedName>
    <definedName name="SG_24_18" localSheetId="9">#REF!</definedName>
    <definedName name="SG_24_18" localSheetId="8">#REF!</definedName>
    <definedName name="SG_24_18">#REF!</definedName>
    <definedName name="SG_24_19" localSheetId="7">#REF!</definedName>
    <definedName name="SG_24_19" localSheetId="9">#REF!</definedName>
    <definedName name="SG_24_19" localSheetId="8">#REF!</definedName>
    <definedName name="SG_24_19">#REF!</definedName>
    <definedName name="SG_24_20" localSheetId="7">#REF!</definedName>
    <definedName name="SG_24_20" localSheetId="9">#REF!</definedName>
    <definedName name="SG_24_20" localSheetId="8">#REF!</definedName>
    <definedName name="SG_24_20">#REF!</definedName>
    <definedName name="SG_24_21" localSheetId="7">#REF!</definedName>
    <definedName name="SG_24_21" localSheetId="9">#REF!</definedName>
    <definedName name="SG_24_21" localSheetId="8">#REF!</definedName>
    <definedName name="SG_24_21">#REF!</definedName>
    <definedName name="SG_24_22" localSheetId="7">#REF!</definedName>
    <definedName name="SG_24_22" localSheetId="9">#REF!</definedName>
    <definedName name="SG_24_22" localSheetId="8">#REF!</definedName>
    <definedName name="SG_24_22">#REF!</definedName>
    <definedName name="SG_24_23" localSheetId="7">#REF!</definedName>
    <definedName name="SG_24_23" localSheetId="9">#REF!</definedName>
    <definedName name="SG_24_23" localSheetId="8">#REF!</definedName>
    <definedName name="SG_24_23">#REF!</definedName>
    <definedName name="SG_24_24" localSheetId="7">#REF!</definedName>
    <definedName name="SG_24_24" localSheetId="9">#REF!</definedName>
    <definedName name="SG_24_24" localSheetId="8">#REF!</definedName>
    <definedName name="SG_24_24">#REF!</definedName>
    <definedName name="SG_24_25" localSheetId="7">#REF!</definedName>
    <definedName name="SG_24_25" localSheetId="9">#REF!</definedName>
    <definedName name="SG_24_25" localSheetId="8">#REF!</definedName>
    <definedName name="SG_24_25">#REF!</definedName>
    <definedName name="SG_25_01" localSheetId="7">#REF!</definedName>
    <definedName name="SG_25_01" localSheetId="9">#REF!</definedName>
    <definedName name="SG_25_01" localSheetId="8">#REF!</definedName>
    <definedName name="SG_25_01">#REF!</definedName>
    <definedName name="SG_25_02" localSheetId="7">#REF!</definedName>
    <definedName name="SG_25_02" localSheetId="9">#REF!</definedName>
    <definedName name="SG_25_02" localSheetId="8">#REF!</definedName>
    <definedName name="SG_25_02">#REF!</definedName>
    <definedName name="SG_25_03" localSheetId="7">#REF!</definedName>
    <definedName name="SG_25_03" localSheetId="9">#REF!</definedName>
    <definedName name="SG_25_03" localSheetId="8">#REF!</definedName>
    <definedName name="SG_25_03">#REF!</definedName>
    <definedName name="SG_25_04" localSheetId="7">#REF!</definedName>
    <definedName name="SG_25_04" localSheetId="9">#REF!</definedName>
    <definedName name="SG_25_04" localSheetId="8">#REF!</definedName>
    <definedName name="SG_25_04">#REF!</definedName>
    <definedName name="SG_25_05" localSheetId="7">#REF!</definedName>
    <definedName name="SG_25_05" localSheetId="9">#REF!</definedName>
    <definedName name="SG_25_05" localSheetId="8">#REF!</definedName>
    <definedName name="SG_25_05">#REF!</definedName>
    <definedName name="SG_25_06" localSheetId="7">#REF!</definedName>
    <definedName name="SG_25_06" localSheetId="9">#REF!</definedName>
    <definedName name="SG_25_06" localSheetId="8">#REF!</definedName>
    <definedName name="SG_25_06">#REF!</definedName>
    <definedName name="SG_25_07" localSheetId="7">#REF!</definedName>
    <definedName name="SG_25_07" localSheetId="9">#REF!</definedName>
    <definedName name="SG_25_07" localSheetId="8">#REF!</definedName>
    <definedName name="SG_25_07">#REF!</definedName>
    <definedName name="SG_25_08" localSheetId="7">#REF!</definedName>
    <definedName name="SG_25_08" localSheetId="9">#REF!</definedName>
    <definedName name="SG_25_08" localSheetId="8">#REF!</definedName>
    <definedName name="SG_25_08">#REF!</definedName>
    <definedName name="SG_25_09" localSheetId="7">#REF!</definedName>
    <definedName name="SG_25_09" localSheetId="9">#REF!</definedName>
    <definedName name="SG_25_09" localSheetId="8">#REF!</definedName>
    <definedName name="SG_25_09">#REF!</definedName>
    <definedName name="SG_25_10" localSheetId="7">#REF!</definedName>
    <definedName name="SG_25_10" localSheetId="9">#REF!</definedName>
    <definedName name="SG_25_10" localSheetId="8">#REF!</definedName>
    <definedName name="SG_25_10">#REF!</definedName>
    <definedName name="SG_25_11" localSheetId="7">#REF!</definedName>
    <definedName name="SG_25_11" localSheetId="9">#REF!</definedName>
    <definedName name="SG_25_11" localSheetId="8">#REF!</definedName>
    <definedName name="SG_25_11">#REF!</definedName>
    <definedName name="SG_25_12" localSheetId="7">#REF!</definedName>
    <definedName name="SG_25_12" localSheetId="9">#REF!</definedName>
    <definedName name="SG_25_12" localSheetId="8">#REF!</definedName>
    <definedName name="SG_25_12">#REF!</definedName>
    <definedName name="SG_25_13" localSheetId="7">#REF!</definedName>
    <definedName name="SG_25_13" localSheetId="9">#REF!</definedName>
    <definedName name="SG_25_13" localSheetId="8">#REF!</definedName>
    <definedName name="SG_25_13">#REF!</definedName>
    <definedName name="SG_25_14" localSheetId="7">#REF!</definedName>
    <definedName name="SG_25_14" localSheetId="9">#REF!</definedName>
    <definedName name="SG_25_14" localSheetId="8">#REF!</definedName>
    <definedName name="SG_25_14">#REF!</definedName>
    <definedName name="SG_25_15" localSheetId="7">#REF!</definedName>
    <definedName name="SG_25_15" localSheetId="9">#REF!</definedName>
    <definedName name="SG_25_15" localSheetId="8">#REF!</definedName>
    <definedName name="SG_25_15">#REF!</definedName>
    <definedName name="SG_25_16" localSheetId="7">#REF!</definedName>
    <definedName name="SG_25_16" localSheetId="9">#REF!</definedName>
    <definedName name="SG_25_16" localSheetId="8">#REF!</definedName>
    <definedName name="SG_25_16">#REF!</definedName>
    <definedName name="SG_25_17" localSheetId="7">#REF!</definedName>
    <definedName name="SG_25_17" localSheetId="9">#REF!</definedName>
    <definedName name="SG_25_17" localSheetId="8">#REF!</definedName>
    <definedName name="SG_25_17">#REF!</definedName>
    <definedName name="SG_25_18" localSheetId="7">#REF!</definedName>
    <definedName name="SG_25_18" localSheetId="9">#REF!</definedName>
    <definedName name="SG_25_18" localSheetId="8">#REF!</definedName>
    <definedName name="SG_25_18">#REF!</definedName>
    <definedName name="SG_25_19" localSheetId="7">#REF!</definedName>
    <definedName name="SG_25_19" localSheetId="9">#REF!</definedName>
    <definedName name="SG_25_19" localSheetId="8">#REF!</definedName>
    <definedName name="SG_25_19">#REF!</definedName>
    <definedName name="SG_25_20" localSheetId="7">#REF!</definedName>
    <definedName name="SG_25_20" localSheetId="9">#REF!</definedName>
    <definedName name="SG_25_20" localSheetId="8">#REF!</definedName>
    <definedName name="SG_25_20">#REF!</definedName>
    <definedName name="SG_25_21" localSheetId="7">#REF!</definedName>
    <definedName name="SG_25_21" localSheetId="9">#REF!</definedName>
    <definedName name="SG_25_21" localSheetId="8">#REF!</definedName>
    <definedName name="SG_25_21">#REF!</definedName>
    <definedName name="SG_25_22" localSheetId="7">#REF!</definedName>
    <definedName name="SG_25_22" localSheetId="9">#REF!</definedName>
    <definedName name="SG_25_22" localSheetId="8">#REF!</definedName>
    <definedName name="SG_25_22">#REF!</definedName>
    <definedName name="SG_25_23" localSheetId="7">#REF!</definedName>
    <definedName name="SG_25_23" localSheetId="9">#REF!</definedName>
    <definedName name="SG_25_23" localSheetId="8">#REF!</definedName>
    <definedName name="SG_25_23">#REF!</definedName>
    <definedName name="SG_25_24" localSheetId="7">#REF!</definedName>
    <definedName name="SG_25_24" localSheetId="9">#REF!</definedName>
    <definedName name="SG_25_24" localSheetId="8">#REF!</definedName>
    <definedName name="SG_25_24">#REF!</definedName>
    <definedName name="SG_25_25" localSheetId="7">#REF!</definedName>
    <definedName name="SG_25_25" localSheetId="9">#REF!</definedName>
    <definedName name="SG_25_25" localSheetId="8">#REF!</definedName>
    <definedName name="SG_25_25">#REF!</definedName>
    <definedName name="sinal" localSheetId="7">#REF!</definedName>
    <definedName name="sinal" localSheetId="9">#REF!</definedName>
    <definedName name="sinal" localSheetId="8">#REF!</definedName>
    <definedName name="sinal">#REF!</definedName>
    <definedName name="SINALI" localSheetId="7">#REF!</definedName>
    <definedName name="SINALI" localSheetId="9">#REF!</definedName>
    <definedName name="SINALI" localSheetId="8">#REF!</definedName>
    <definedName name="SINALI">#REF!</definedName>
    <definedName name="sinaliz_vert" localSheetId="7">#REF!</definedName>
    <definedName name="sinaliz_vert" localSheetId="9">#REF!</definedName>
    <definedName name="sinaliz_vert" localSheetId="8">#REF!</definedName>
    <definedName name="sinaliz_vert">#REF!</definedName>
    <definedName name="SM" localSheetId="7">#REF!</definedName>
    <definedName name="SM" localSheetId="9">#REF!</definedName>
    <definedName name="SM" localSheetId="8">#REF!</definedName>
    <definedName name="SM">#REF!</definedName>
    <definedName name="Sorriso" localSheetId="7">#REF!</definedName>
    <definedName name="Sorriso" localSheetId="9">#REF!</definedName>
    <definedName name="Sorriso" localSheetId="8">#REF!</definedName>
    <definedName name="Sorriso">#REF!</definedName>
    <definedName name="SS" localSheetId="7" hidden="1">{#N/A,#N/A,FALSE,"MO (2)"}</definedName>
    <definedName name="SS" localSheetId="9" hidden="1">{#N/A,#N/A,FALSE,"MO (2)"}</definedName>
    <definedName name="SS" localSheetId="8" hidden="1">{#N/A,#N/A,FALSE,"MO (2)"}</definedName>
    <definedName name="SS" hidden="1">{#N/A,#N/A,FALSE,"MO (2)"}</definedName>
    <definedName name="SS_1" localSheetId="7" hidden="1">{#N/A,#N/A,FALSE,"MO (2)"}</definedName>
    <definedName name="SS_1" localSheetId="9" hidden="1">{#N/A,#N/A,FALSE,"MO (2)"}</definedName>
    <definedName name="SS_1" localSheetId="8" hidden="1">{#N/A,#N/A,FALSE,"MO (2)"}</definedName>
    <definedName name="SS_1" hidden="1">{#N/A,#N/A,FALSE,"MO (2)"}</definedName>
    <definedName name="SSS" localSheetId="7" hidden="1">{#N/A,#N/A,FALSE,"MO (2)"}</definedName>
    <definedName name="SSS" localSheetId="9" hidden="1">{#N/A,#N/A,FALSE,"MO (2)"}</definedName>
    <definedName name="SSS" localSheetId="8" hidden="1">{#N/A,#N/A,FALSE,"MO (2)"}</definedName>
    <definedName name="SSS" hidden="1">{#N/A,#N/A,FALSE,"MO (2)"}</definedName>
    <definedName name="SSS_1" localSheetId="7" hidden="1">{#N/A,#N/A,FALSE,"MO (2)"}</definedName>
    <definedName name="SSS_1" localSheetId="9" hidden="1">{#N/A,#N/A,FALSE,"MO (2)"}</definedName>
    <definedName name="SSS_1" localSheetId="8" hidden="1">{#N/A,#N/A,FALSE,"MO (2)"}</definedName>
    <definedName name="SSS_1" hidden="1">{#N/A,#N/A,FALSE,"MO (2)"}</definedName>
    <definedName name="subtrec" localSheetId="7">#REF!</definedName>
    <definedName name="subtrec" localSheetId="9">#REF!</definedName>
    <definedName name="subtrec" localSheetId="8">#REF!</definedName>
    <definedName name="subtrec">#REF!</definedName>
    <definedName name="subtrech" localSheetId="7">#REF!</definedName>
    <definedName name="subtrech" localSheetId="9">#REF!</definedName>
    <definedName name="subtrech" localSheetId="8">#REF!</definedName>
    <definedName name="subtrech">#REF!</definedName>
    <definedName name="T" localSheetId="7">#REF!</definedName>
    <definedName name="T" localSheetId="9">#REF!</definedName>
    <definedName name="T" localSheetId="8">#REF!</definedName>
    <definedName name="T">#REF!</definedName>
    <definedName name="tabela" localSheetId="7">#REF!</definedName>
    <definedName name="tabela" localSheetId="9">#REF!</definedName>
    <definedName name="tabela" localSheetId="8">#REF!</definedName>
    <definedName name="tabela">#REF!</definedName>
    <definedName name="tabela_de_mão_de_obra">[2]RELATÓRIO!$A$2:$C$16</definedName>
    <definedName name="tabela_de_materiais">[2]RELATÓRIO!$A$1:$D$188</definedName>
    <definedName name="TABELA1" localSheetId="7">#REF!</definedName>
    <definedName name="TABELA1" localSheetId="9">#REF!</definedName>
    <definedName name="TABELA1" localSheetId="8">#REF!</definedName>
    <definedName name="TABELA1">#REF!</definedName>
    <definedName name="tachinhas" localSheetId="7">#REF!</definedName>
    <definedName name="tachinhas" localSheetId="9">#REF!</definedName>
    <definedName name="tachinhas" localSheetId="8">#REF!</definedName>
    <definedName name="tachinhas">#REF!</definedName>
    <definedName name="tachões" localSheetId="7">#REF!</definedName>
    <definedName name="tachões" localSheetId="9">#REF!</definedName>
    <definedName name="tachões" localSheetId="8">#REF!</definedName>
    <definedName name="tachões">#REF!</definedName>
    <definedName name="Tanque_lavar_roupa" localSheetId="7">#REF!</definedName>
    <definedName name="Tanque_lavar_roupa" localSheetId="9">#REF!</definedName>
    <definedName name="Tanque_lavar_roupa" localSheetId="8">#REF!</definedName>
    <definedName name="Tanque_lavar_roupa">#REF!</definedName>
    <definedName name="Tanque_premoldado" localSheetId="7">#REF!</definedName>
    <definedName name="Tanque_premoldado" localSheetId="9">#REF!</definedName>
    <definedName name="Tanque_premoldado" localSheetId="8">#REF!</definedName>
    <definedName name="Tanque_premoldado">#REF!</definedName>
    <definedName name="taxa_cap" localSheetId="7">#REF!</definedName>
    <definedName name="taxa_cap" localSheetId="9">#REF!</definedName>
    <definedName name="taxa_cap" localSheetId="8">#REF!</definedName>
    <definedName name="taxa_cap">#REF!</definedName>
    <definedName name="TB_Inclinação">[17]!TB_Fórmula_Inclinação[#Data]</definedName>
    <definedName name="TCC4T" localSheetId="7">#REF!</definedName>
    <definedName name="TCC4T" localSheetId="9">#REF!</definedName>
    <definedName name="TCC4T" localSheetId="8">#REF!</definedName>
    <definedName name="TCC4T">#REF!</definedName>
    <definedName name="TEA" localSheetId="7">#REF!</definedName>
    <definedName name="TEA" localSheetId="9">#REF!</definedName>
    <definedName name="TEA" localSheetId="8">#REF!</definedName>
    <definedName name="TEA">#REF!</definedName>
    <definedName name="ter" localSheetId="7">#REF!</definedName>
    <definedName name="ter" localSheetId="9">#REF!</definedName>
    <definedName name="ter" localSheetId="8">#REF!</definedName>
    <definedName name="ter">#REF!</definedName>
    <definedName name="terra" localSheetId="7">#REF!</definedName>
    <definedName name="terra" localSheetId="9">#REF!</definedName>
    <definedName name="terra" localSheetId="8">#REF!</definedName>
    <definedName name="terra">#REF!</definedName>
    <definedName name="Terra2" localSheetId="7">#REF!</definedName>
    <definedName name="Terra2" localSheetId="9">#REF!</definedName>
    <definedName name="Terra2" localSheetId="8">#REF!</definedName>
    <definedName name="Terra2">#REF!</definedName>
    <definedName name="teste" localSheetId="7">#REF!</definedName>
    <definedName name="teste" localSheetId="9">#REF!</definedName>
    <definedName name="teste" localSheetId="8">#REF!</definedName>
    <definedName name="teste">#REF!</definedName>
    <definedName name="teste1" localSheetId="7">#REF!</definedName>
    <definedName name="teste1" localSheetId="9">#REF!</definedName>
    <definedName name="teste1" localSheetId="8">#REF!</definedName>
    <definedName name="teste1">#REF!</definedName>
    <definedName name="teste2" localSheetId="7">#REF!</definedName>
    <definedName name="teste2" localSheetId="9">#REF!</definedName>
    <definedName name="teste2" localSheetId="8">#REF!</definedName>
    <definedName name="teste2">#REF!</definedName>
    <definedName name="teste3" localSheetId="7">#REF!</definedName>
    <definedName name="teste3" localSheetId="9">#REF!</definedName>
    <definedName name="teste3" localSheetId="8">#REF!</definedName>
    <definedName name="teste3">#REF!</definedName>
    <definedName name="_xlnm.Print_Titles" localSheetId="7">'COMP. ELETRICO '!$1:$7</definedName>
    <definedName name="_xlnm.Print_Titles" localSheetId="6">'COMP. HIDRO'!$1:$7</definedName>
    <definedName name="_xlnm.Print_Titles" localSheetId="9">'COMP. INC'!$1:$7</definedName>
    <definedName name="_xlnm.Print_Titles" localSheetId="8">'COMP. SPDA '!$1:$7</definedName>
    <definedName name="_xlnm.Print_Titles" localSheetId="5">'CPU-ARQ'!$1:$7</definedName>
    <definedName name="_xlnm.Print_Titles" localSheetId="4">CRONOGRAMA!$1:$10</definedName>
    <definedName name="_xlnm.Print_Titles" localSheetId="3">'PLANILHA ORÇAMENTARIA'!$1:$8</definedName>
    <definedName name="_xlnm.Print_Titles" localSheetId="12">'quant-arq'!$1:$7</definedName>
    <definedName name="_xlnm.Print_Titles" localSheetId="10">'QUANTITATIVOS ARQ'!$1:$7</definedName>
    <definedName name="tmat" localSheetId="7">[2]RELATÓRIO!#REF!</definedName>
    <definedName name="tmat" localSheetId="9">[2]RELATÓRIO!#REF!</definedName>
    <definedName name="tmat" localSheetId="8">[2]RELATÓRIO!#REF!</definedName>
    <definedName name="tmat">[2]RELATÓRIO!#REF!</definedName>
    <definedName name="TOTAL" localSheetId="7">#REF!</definedName>
    <definedName name="TOTAL" localSheetId="9">#REF!</definedName>
    <definedName name="TOTAL" localSheetId="8">#REF!</definedName>
    <definedName name="TOTAL">#REF!</definedName>
    <definedName name="TOTAL_GERAL" localSheetId="7">#REF!</definedName>
    <definedName name="TOTAL_GERAL" localSheetId="9">#REF!</definedName>
    <definedName name="TOTAL_GERAL" localSheetId="8">#REF!</definedName>
    <definedName name="TOTAL_GERAL">#REF!</definedName>
    <definedName name="TOTAL_RESUMO" localSheetId="7">#REF!</definedName>
    <definedName name="TOTAL_RESUMO" localSheetId="9">#REF!</definedName>
    <definedName name="TOTAL_RESUMO" localSheetId="8">#REF!</definedName>
    <definedName name="TOTAL_RESUMO">#REF!</definedName>
    <definedName name="totee_3" localSheetId="7">#REF!</definedName>
    <definedName name="totee_3" localSheetId="9">#REF!</definedName>
    <definedName name="totee_3" localSheetId="8">#REF!</definedName>
    <definedName name="totee_3">#REF!</definedName>
    <definedName name="totee1" localSheetId="7">#REF!</definedName>
    <definedName name="totee1" localSheetId="9">#REF!</definedName>
    <definedName name="totee1" localSheetId="8">#REF!</definedName>
    <definedName name="totee1">#REF!</definedName>
    <definedName name="totee2" localSheetId="7">#REF!</definedName>
    <definedName name="totee2" localSheetId="9">#REF!</definedName>
    <definedName name="totee2" localSheetId="8">#REF!</definedName>
    <definedName name="totee2">#REF!</definedName>
    <definedName name="TOTMAT_EE1" localSheetId="7">#REF!</definedName>
    <definedName name="TOTMAT_EE1" localSheetId="9">#REF!</definedName>
    <definedName name="TOTMAT_EE1" localSheetId="8">#REF!</definedName>
    <definedName name="TOTMAT_EE1">#REF!</definedName>
    <definedName name="TOTMAT_EE2" localSheetId="7">#REF!</definedName>
    <definedName name="TOTMAT_EE2" localSheetId="9">#REF!</definedName>
    <definedName name="TOTMAT_EE2" localSheetId="8">#REF!</definedName>
    <definedName name="TOTMAT_EE2">#REF!</definedName>
    <definedName name="TOTMAT_EE3" localSheetId="7">#REF!</definedName>
    <definedName name="TOTMAT_EE3" localSheetId="9">#REF!</definedName>
    <definedName name="TOTMAT_EE3" localSheetId="8">#REF!</definedName>
    <definedName name="TOTMAT_EE3">#REF!</definedName>
    <definedName name="TOTSER_EE1" localSheetId="7">#REF!</definedName>
    <definedName name="TOTSER_EE1" localSheetId="9">#REF!</definedName>
    <definedName name="TOTSER_EE1" localSheetId="8">#REF!</definedName>
    <definedName name="TOTSER_EE1">#REF!</definedName>
    <definedName name="TOTSER_EE2" localSheetId="7">#REF!</definedName>
    <definedName name="TOTSER_EE2" localSheetId="9">#REF!</definedName>
    <definedName name="TOTSER_EE2" localSheetId="8">#REF!</definedName>
    <definedName name="TOTSER_EE2">#REF!</definedName>
    <definedName name="TOTSER_EE3" localSheetId="7">#REF!</definedName>
    <definedName name="TOTSER_EE3" localSheetId="9">#REF!</definedName>
    <definedName name="TOTSER_EE3" localSheetId="8">#REF!</definedName>
    <definedName name="TOTSER_EE3">#REF!</definedName>
    <definedName name="TRÂNS_SEG_EMISS2" localSheetId="7">#REF!</definedName>
    <definedName name="TRÂNS_SEG_EMISS2" localSheetId="9">#REF!</definedName>
    <definedName name="TRÂNS_SEG_EMISS2" localSheetId="8">#REF!</definedName>
    <definedName name="TRÂNS_SEG_EMISS2">#REF!</definedName>
    <definedName name="TRÂNS_SEG_EMISS3" localSheetId="7">#REF!</definedName>
    <definedName name="TRÂNS_SEG_EMISS3" localSheetId="9">#REF!</definedName>
    <definedName name="TRÂNS_SEG_EMISS3" localSheetId="8">#REF!</definedName>
    <definedName name="TRÂNS_SEG_EMISS3">#REF!</definedName>
    <definedName name="TRÂNS_SEGU" localSheetId="7">#REF!</definedName>
    <definedName name="TRÂNS_SEGU" localSheetId="9">#REF!</definedName>
    <definedName name="TRÂNS_SEGU" localSheetId="8">#REF!</definedName>
    <definedName name="TRÂNS_SEGU">#REF!</definedName>
    <definedName name="TRÂNS_SEGURANÇA" localSheetId="7">#REF!</definedName>
    <definedName name="TRÂNS_SEGURANÇA" localSheetId="9">#REF!</definedName>
    <definedName name="TRÂNS_SEGURANÇA" localSheetId="8">#REF!</definedName>
    <definedName name="TRÂNS_SEGURANÇA">#REF!</definedName>
    <definedName name="transp_massa" localSheetId="7">#REF!</definedName>
    <definedName name="transp_massa" localSheetId="9">#REF!</definedName>
    <definedName name="transp_massa" localSheetId="8">#REF!</definedName>
    <definedName name="transp_massa">#REF!</definedName>
    <definedName name="Transportes">[31]Serviços!$A$3:$F$1403</definedName>
    <definedName name="TRAV_EMISS3_S" localSheetId="7">#REF!</definedName>
    <definedName name="TRAV_EMISS3_S" localSheetId="9">#REF!</definedName>
    <definedName name="TRAV_EMISS3_S" localSheetId="8">#REF!</definedName>
    <definedName name="TRAV_EMISS3_S">#REF!</definedName>
    <definedName name="trec" localSheetId="7">#REF!</definedName>
    <definedName name="trec" localSheetId="9">#REF!</definedName>
    <definedName name="trec" localSheetId="8">#REF!</definedName>
    <definedName name="trec">#REF!</definedName>
    <definedName name="trech" localSheetId="7">#REF!</definedName>
    <definedName name="trech" localSheetId="9">#REF!</definedName>
    <definedName name="trech" localSheetId="8">#REF!</definedName>
    <definedName name="trech">#REF!</definedName>
    <definedName name="TRECHO">'[9]DADOS DE ENTRADA CONCORRÊNCIA'!$B$16</definedName>
    <definedName name="TRECHO1">'[9]DADOS DE ENTRADA CONCORRÊNCIA'!$B$23</definedName>
    <definedName name="TRECHOA" localSheetId="7">#REF!</definedName>
    <definedName name="TRECHOA" localSheetId="9">#REF!</definedName>
    <definedName name="TRECHOA" localSheetId="8">#REF!</definedName>
    <definedName name="TRECHOA">#REF!</definedName>
    <definedName name="ts" localSheetId="9">[2]RELATÓRIO!#REF!</definedName>
    <definedName name="ts">[2]RELATÓRIO!#REF!</definedName>
    <definedName name="TSD" localSheetId="7">#REF!</definedName>
    <definedName name="TSD" localSheetId="9">#REF!</definedName>
    <definedName name="TSD" localSheetId="8">#REF!</definedName>
    <definedName name="TSD">#REF!</definedName>
    <definedName name="tsd.a" localSheetId="9">[14]TSD!#REF!</definedName>
    <definedName name="tsd.a">[14]TSD!#REF!</definedName>
    <definedName name="TSs" localSheetId="7">#REF!</definedName>
    <definedName name="TSs" localSheetId="9">#REF!</definedName>
    <definedName name="TSs" localSheetId="8">#REF!</definedName>
    <definedName name="TSs">#REF!</definedName>
    <definedName name="tss.a" localSheetId="9">[14]TSD!#REF!</definedName>
    <definedName name="tss.a">[14]TSD!#REF!</definedName>
    <definedName name="ttra" localSheetId="9">[2]RELATÓRIO!#REF!</definedName>
    <definedName name="ttra">[2]RELATÓRIO!#REF!</definedName>
    <definedName name="TUBO" localSheetId="7">#REF!</definedName>
    <definedName name="TUBO" localSheetId="9">#REF!</definedName>
    <definedName name="TUBO" localSheetId="8">#REF!</definedName>
    <definedName name="TUBO">#REF!</definedName>
    <definedName name="TUBOA" localSheetId="7">#REF!</definedName>
    <definedName name="TUBOA" localSheetId="9">#REF!</definedName>
    <definedName name="TUBOA" localSheetId="8">#REF!</definedName>
    <definedName name="TUBOA">#REF!</definedName>
    <definedName name="TUNNELLINER">'[9]QUADRO 08 - COMPOSIÇÕES'!$H$569</definedName>
    <definedName name="vala.ca" localSheetId="7">#REF!</definedName>
    <definedName name="vala.ca" localSheetId="9">#REF!</definedName>
    <definedName name="vala.ca" localSheetId="8">#REF!</definedName>
    <definedName name="vala.ca">#REF!</definedName>
    <definedName name="VAVRC" localSheetId="7">#REF!</definedName>
    <definedName name="VAVRC" localSheetId="9">#REF!</definedName>
    <definedName name="VAVRC" localSheetId="8">#REF!</definedName>
    <definedName name="VAVRC">#REF!</definedName>
    <definedName name="Verga" localSheetId="7">#REF!</definedName>
    <definedName name="Verga" localSheetId="6">#REF!</definedName>
    <definedName name="Verga" localSheetId="9">#REF!</definedName>
    <definedName name="Verga" localSheetId="8">#REF!</definedName>
    <definedName name="VERGA" localSheetId="12">#REF!</definedName>
    <definedName name="VERGA">#REF!</definedName>
    <definedName name="Vilmar12" localSheetId="7">#REF!</definedName>
    <definedName name="Vilmar12" localSheetId="9">#REF!</definedName>
    <definedName name="Vilmar12" localSheetId="8">#REF!</definedName>
    <definedName name="Vilmar12">#REF!</definedName>
    <definedName name="VOL_MASSA" localSheetId="7">#REF!</definedName>
    <definedName name="VOL_MASSA" localSheetId="9">#REF!</definedName>
    <definedName name="VOL_MASSA" localSheetId="8">#REF!</definedName>
    <definedName name="VOL_MASSA">#REF!</definedName>
    <definedName name="volsubl" localSheetId="7">#REF!</definedName>
    <definedName name="volsubl" localSheetId="9">#REF!</definedName>
    <definedName name="volsubl" localSheetId="8">#REF!</definedName>
    <definedName name="volsubl">#REF!</definedName>
    <definedName name="vvv" localSheetId="7" hidden="1">{#N/A,#N/A,FALSE,"MO (2)"}</definedName>
    <definedName name="vvv" localSheetId="9" hidden="1">{#N/A,#N/A,FALSE,"MO (2)"}</definedName>
    <definedName name="vvv" localSheetId="8" hidden="1">{#N/A,#N/A,FALSE,"MO (2)"}</definedName>
    <definedName name="vvv" hidden="1">{#N/A,#N/A,FALSE,"MO (2)"}</definedName>
    <definedName name="vvv_1" localSheetId="7" hidden="1">{#N/A,#N/A,FALSE,"MO (2)"}</definedName>
    <definedName name="vvv_1" localSheetId="9" hidden="1">{#N/A,#N/A,FALSE,"MO (2)"}</definedName>
    <definedName name="vvv_1" localSheetId="8" hidden="1">{#N/A,#N/A,FALSE,"MO (2)"}</definedName>
    <definedName name="vvv_1" hidden="1">{#N/A,#N/A,FALSE,"MO (2)"}</definedName>
    <definedName name="WEN" localSheetId="7">#REF!</definedName>
    <definedName name="WEN" localSheetId="9">#REF!</definedName>
    <definedName name="WEN" localSheetId="8">#REF!</definedName>
    <definedName name="WEN">#REF!</definedName>
    <definedName name="wrn.mo2." localSheetId="7" hidden="1">{#N/A,#N/A,FALSE,"MO (2)"}</definedName>
    <definedName name="wrn.mo2." localSheetId="9" hidden="1">{#N/A,#N/A,FALSE,"MO (2)"}</definedName>
    <definedName name="wrn.mo2." localSheetId="8" hidden="1">{#N/A,#N/A,FALSE,"MO (2)"}</definedName>
    <definedName name="wrn.mo2." hidden="1">{#N/A,#N/A,FALSE,"MO (2)"}</definedName>
    <definedName name="wrn.mo2._1" localSheetId="7" hidden="1">{#N/A,#N/A,FALSE,"MO (2)"}</definedName>
    <definedName name="wrn.mo2._1" localSheetId="9" hidden="1">{#N/A,#N/A,FALSE,"MO (2)"}</definedName>
    <definedName name="wrn.mo2._1" localSheetId="8" hidden="1">{#N/A,#N/A,FALSE,"MO (2)"}</definedName>
    <definedName name="wrn.mo2._1" hidden="1">{#N/A,#N/A,FALSE,"MO (2)"}</definedName>
    <definedName name="wrn.Orçamento." localSheetId="7" hidden="1">{#N/A,#N/A,FALSE,"Planilha";#N/A,#N/A,FALSE,"Resumo";#N/A,#N/A,FALSE,"Fisico";#N/A,#N/A,FALSE,"Financeiro";#N/A,#N/A,FALSE,"Financeiro"}</definedName>
    <definedName name="wrn.Orçamento." localSheetId="9"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hidden="1">{#N/A,#N/A,FALSE,"Planilha";#N/A,#N/A,FALSE,"Resumo";#N/A,#N/A,FALSE,"Fisico";#N/A,#N/A,FALSE,"Financeiro";#N/A,#N/A,FALSE,"Financeiro"}</definedName>
    <definedName name="wrn.relext." localSheetId="7" hidden="1">{#N/A,#N/A,TRUE,"Plan1"}</definedName>
    <definedName name="wrn.relext." localSheetId="9" hidden="1">{#N/A,#N/A,TRUE,"Plan1"}</definedName>
    <definedName name="wrn.relext." localSheetId="8" hidden="1">{#N/A,#N/A,TRUE,"Plan1"}</definedName>
    <definedName name="wrn.relext." hidden="1">{#N/A,#N/A,TRUE,"Plan1"}</definedName>
    <definedName name="wrn.relext._1" localSheetId="7" hidden="1">{#N/A,#N/A,TRUE,"Plan1"}</definedName>
    <definedName name="wrn.relext._1" localSheetId="9" hidden="1">{#N/A,#N/A,TRUE,"Plan1"}</definedName>
    <definedName name="wrn.relext._1" localSheetId="8" hidden="1">{#N/A,#N/A,TRUE,"Plan1"}</definedName>
    <definedName name="wrn.relext._1" hidden="1">{#N/A,#N/A,TRUE,"Plan1"}</definedName>
    <definedName name="z" localSheetId="7" hidden="1">{#N/A,#N/A,FALSE,"MO (2)"}</definedName>
    <definedName name="z" localSheetId="9" hidden="1">{#N/A,#N/A,FALSE,"MO (2)"}</definedName>
    <definedName name="z" localSheetId="8" hidden="1">{#N/A,#N/A,FALSE,"MO (2)"}</definedName>
    <definedName name="z" hidden="1">{#N/A,#N/A,FALSE,"MO (2)"}</definedName>
    <definedName name="z_1" localSheetId="7" hidden="1">{#N/A,#N/A,FALSE,"MO (2)"}</definedName>
    <definedName name="z_1" localSheetId="9" hidden="1">{#N/A,#N/A,FALSE,"MO (2)"}</definedName>
    <definedName name="z_1" localSheetId="8" hidden="1">{#N/A,#N/A,FALSE,"MO (2)"}</definedName>
    <definedName name="z_1" hidden="1">{#N/A,#N/A,FALSE,"MO (2)"}</definedName>
    <definedName name="zaza" localSheetId="7" hidden="1">{#N/A,#N/A,FALSE,"MO (2)"}</definedName>
    <definedName name="zaza" localSheetId="9" hidden="1">{#N/A,#N/A,FALSE,"MO (2)"}</definedName>
    <definedName name="zaza" localSheetId="8" hidden="1">{#N/A,#N/A,FALSE,"MO (2)"}</definedName>
    <definedName name="zaza" hidden="1">{#N/A,#N/A,FALSE,"MO (2)"}</definedName>
    <definedName name="zaza_1" localSheetId="7" hidden="1">{#N/A,#N/A,FALSE,"MO (2)"}</definedName>
    <definedName name="zaza_1" localSheetId="9" hidden="1">{#N/A,#N/A,FALSE,"MO (2)"}</definedName>
    <definedName name="zaza_1" localSheetId="8" hidden="1">{#N/A,#N/A,FALSE,"MO (2)"}</definedName>
    <definedName name="zaza_1" hidden="1">{#N/A,#N/A,FALSE,"MO (2)"}</definedName>
    <definedName name="zenil" localSheetId="7">#REF!</definedName>
    <definedName name="zenil" localSheetId="9">#REF!</definedName>
    <definedName name="zenil" localSheetId="8">#REF!</definedName>
    <definedName name="zenil">#REF!</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69" i="7"/>
  <c r="G369" s="1"/>
  <c r="H369" s="1"/>
  <c r="F370"/>
  <c r="G370"/>
  <c r="H370" s="1"/>
  <c r="F371"/>
  <c r="G371" s="1"/>
  <c r="H371" s="1"/>
  <c r="F372"/>
  <c r="G372"/>
  <c r="H372" s="1"/>
  <c r="F373"/>
  <c r="G373" s="1"/>
  <c r="H373" s="1"/>
  <c r="F374"/>
  <c r="G374" s="1"/>
  <c r="H374" s="1"/>
  <c r="F315"/>
  <c r="G315" s="1"/>
  <c r="H315" s="1"/>
  <c r="F316"/>
  <c r="G316"/>
  <c r="H316" s="1"/>
  <c r="E317"/>
  <c r="F317"/>
  <c r="G317"/>
  <c r="H317" s="1"/>
  <c r="F318"/>
  <c r="G318" s="1"/>
  <c r="H318" s="1"/>
  <c r="F319"/>
  <c r="G319"/>
  <c r="H319" s="1"/>
  <c r="F320"/>
  <c r="G320" s="1"/>
  <c r="H320" s="1"/>
  <c r="F121"/>
  <c r="G121" s="1"/>
  <c r="H121" s="1"/>
  <c r="F122"/>
  <c r="G122"/>
  <c r="H122" s="1"/>
  <c r="F123"/>
  <c r="G123" s="1"/>
  <c r="H123" s="1"/>
  <c r="F124"/>
  <c r="G124"/>
  <c r="H124" s="1"/>
  <c r="F114"/>
  <c r="G114" s="1"/>
  <c r="H114" s="1"/>
  <c r="F115"/>
  <c r="G115" s="1"/>
  <c r="H115" s="1"/>
  <c r="F116"/>
  <c r="G116" s="1"/>
  <c r="H116" s="1"/>
  <c r="F117"/>
  <c r="G117" s="1"/>
  <c r="H117" s="1"/>
  <c r="F118"/>
  <c r="G118" s="1"/>
  <c r="H118" s="1"/>
  <c r="F95"/>
  <c r="G95" s="1"/>
  <c r="H95" s="1"/>
  <c r="E96"/>
  <c r="F96"/>
  <c r="G96" s="1"/>
  <c r="H96" s="1"/>
  <c r="F97"/>
  <c r="G97"/>
  <c r="H97" s="1"/>
  <c r="E98"/>
  <c r="F98"/>
  <c r="G98"/>
  <c r="H98" s="1"/>
  <c r="F99"/>
  <c r="G99" s="1"/>
  <c r="H99" s="1"/>
  <c r="F100"/>
  <c r="G100"/>
  <c r="H100" s="1"/>
  <c r="F101"/>
  <c r="G101" s="1"/>
  <c r="H101" s="1"/>
  <c r="F102"/>
  <c r="G102" s="1"/>
  <c r="H102" s="1"/>
  <c r="F71"/>
  <c r="G71" s="1"/>
  <c r="H71" s="1"/>
  <c r="F72"/>
  <c r="G72"/>
  <c r="H72" s="1"/>
  <c r="F73"/>
  <c r="G73" s="1"/>
  <c r="H73" s="1"/>
  <c r="F74"/>
  <c r="G74"/>
  <c r="H74" s="1"/>
  <c r="F75"/>
  <c r="G75" s="1"/>
  <c r="H75" s="1"/>
  <c r="F76"/>
  <c r="G76"/>
  <c r="H76" s="1"/>
  <c r="F77"/>
  <c r="G77" s="1"/>
  <c r="H77" s="1"/>
  <c r="F78"/>
  <c r="G78"/>
  <c r="H78" s="1"/>
  <c r="F38"/>
  <c r="G38"/>
  <c r="H38" s="1"/>
  <c r="F39"/>
  <c r="G39" s="1"/>
  <c r="H39" s="1"/>
  <c r="E40"/>
  <c r="F40"/>
  <c r="G40" s="1"/>
  <c r="H40" s="1"/>
  <c r="F41"/>
  <c r="G41"/>
  <c r="H41" s="1"/>
  <c r="F42"/>
  <c r="G42" s="1"/>
  <c r="H42" s="1"/>
  <c r="F43"/>
  <c r="G43"/>
  <c r="H43" s="1"/>
  <c r="F45"/>
  <c r="G45" s="1"/>
  <c r="H45" s="1"/>
  <c r="F46"/>
  <c r="G46"/>
  <c r="H46" s="1"/>
  <c r="E47"/>
  <c r="F47"/>
  <c r="G47"/>
  <c r="H47" s="1"/>
  <c r="F48"/>
  <c r="G48" s="1"/>
  <c r="H48" s="1"/>
  <c r="F49"/>
  <c r="G49"/>
  <c r="H49" s="1"/>
  <c r="F50"/>
  <c r="G50" s="1"/>
  <c r="H50" s="1"/>
  <c r="F51"/>
  <c r="G51"/>
  <c r="H51" s="1"/>
  <c r="F53"/>
  <c r="G53" s="1"/>
  <c r="H53" s="1"/>
  <c r="F31"/>
  <c r="G31" s="1"/>
  <c r="H31" s="1"/>
  <c r="F32"/>
  <c r="G32"/>
  <c r="H32" s="1"/>
  <c r="E33"/>
  <c r="F33"/>
  <c r="G33"/>
  <c r="H33" s="1"/>
  <c r="F34"/>
  <c r="G34" s="1"/>
  <c r="H34" s="1"/>
  <c r="F24"/>
  <c r="G24" s="1"/>
  <c r="H24" s="1"/>
  <c r="F25"/>
  <c r="G25"/>
  <c r="H25" s="1"/>
  <c r="F26"/>
  <c r="G26" s="1"/>
  <c r="H26" s="1"/>
  <c r="F27"/>
  <c r="G27"/>
  <c r="H27" s="1"/>
  <c r="F28"/>
  <c r="G28" s="1"/>
  <c r="H28" s="1"/>
  <c r="F18"/>
  <c r="G18" s="1"/>
  <c r="H18" s="1"/>
  <c r="F19"/>
  <c r="G19"/>
  <c r="H19" s="1"/>
  <c r="F20"/>
  <c r="G20" s="1"/>
  <c r="H20" s="1"/>
  <c r="F21"/>
  <c r="G21"/>
  <c r="H21" s="1"/>
  <c r="F56"/>
  <c r="G56"/>
  <c r="H56" s="1"/>
  <c r="E57"/>
  <c r="F57"/>
  <c r="G57"/>
  <c r="H57" s="1"/>
  <c r="F58"/>
  <c r="G58" s="1"/>
  <c r="H58" s="1"/>
  <c r="J111"/>
  <c r="F111"/>
  <c r="G111"/>
  <c r="H111" s="1"/>
  <c r="D111"/>
  <c r="C111"/>
  <c r="F382"/>
  <c r="G382" s="1"/>
  <c r="H382" s="1"/>
  <c r="D382"/>
  <c r="C382"/>
  <c r="J382"/>
  <c r="F4" i="80"/>
  <c r="E4"/>
  <c r="C4"/>
  <c r="C3"/>
  <c r="C2"/>
  <c r="C1"/>
  <c r="B4"/>
  <c r="B3"/>
  <c r="B2"/>
  <c r="B1"/>
  <c r="F4" i="79"/>
  <c r="E4"/>
  <c r="C4"/>
  <c r="B4"/>
  <c r="C3"/>
  <c r="B3"/>
  <c r="C2"/>
  <c r="B2"/>
  <c r="C1"/>
  <c r="B1"/>
  <c r="F4" i="78"/>
  <c r="E4"/>
  <c r="C4"/>
  <c r="B4"/>
  <c r="C3"/>
  <c r="B3"/>
  <c r="C2"/>
  <c r="B2"/>
  <c r="C1"/>
  <c r="B1"/>
  <c r="X39" i="8"/>
  <c r="X40"/>
  <c r="X41"/>
  <c r="X42"/>
  <c r="X43"/>
  <c r="X44"/>
  <c r="X45"/>
  <c r="X46"/>
  <c r="X47"/>
  <c r="X48"/>
  <c r="X49"/>
  <c r="X50"/>
  <c r="X51"/>
  <c r="X52"/>
  <c r="X17"/>
  <c r="X18"/>
  <c r="X19"/>
  <c r="X20"/>
  <c r="X21"/>
  <c r="X22"/>
  <c r="X23"/>
  <c r="X24"/>
  <c r="X25"/>
  <c r="X26"/>
  <c r="X27"/>
  <c r="X28"/>
  <c r="X29"/>
  <c r="X30"/>
  <c r="X31"/>
  <c r="X32"/>
  <c r="L13"/>
  <c r="J13"/>
  <c r="H13"/>
  <c r="F13"/>
  <c r="X12"/>
  <c r="R12"/>
  <c r="B11" i="9"/>
  <c r="B13" i="8" s="1"/>
  <c r="B10" i="9"/>
  <c r="B12" i="8" s="1"/>
  <c r="A10" i="9"/>
  <c r="A12" i="8" s="1"/>
  <c r="G3"/>
  <c r="G4"/>
  <c r="G2"/>
  <c r="B3"/>
  <c r="B2"/>
  <c r="B29" i="9"/>
  <c r="B31" i="8"/>
  <c r="A29" i="9"/>
  <c r="A31" i="8"/>
  <c r="B50" i="9"/>
  <c r="B52" i="8"/>
  <c r="A50" i="9"/>
  <c r="A52" i="8"/>
  <c r="F542" i="7"/>
  <c r="G542"/>
  <c r="H542" s="1"/>
  <c r="F541"/>
  <c r="G541" s="1"/>
  <c r="H541" s="1"/>
  <c r="J538"/>
  <c r="F538"/>
  <c r="G538" s="1"/>
  <c r="H538" s="1"/>
  <c r="B53" i="9"/>
  <c r="B55" i="8"/>
  <c r="B51" i="9"/>
  <c r="B53" i="8"/>
  <c r="B31" i="9"/>
  <c r="B33" i="8"/>
  <c r="B49" i="9"/>
  <c r="B51" i="8"/>
  <c r="B48" i="9"/>
  <c r="B50" i="8"/>
  <c r="B47" i="9"/>
  <c r="B49" i="8"/>
  <c r="B46" i="9"/>
  <c r="B48" i="8"/>
  <c r="B45" i="9"/>
  <c r="B47" i="8"/>
  <c r="B44" i="9"/>
  <c r="B46" i="8"/>
  <c r="B43" i="9"/>
  <c r="B45" i="8"/>
  <c r="B42" i="9"/>
  <c r="B44" i="8"/>
  <c r="B41" i="9"/>
  <c r="B43" i="8"/>
  <c r="B40" i="9"/>
  <c r="B42" i="8"/>
  <c r="B39" i="9"/>
  <c r="B41" i="8"/>
  <c r="B38" i="9"/>
  <c r="B40" i="8"/>
  <c r="B37" i="9"/>
  <c r="B39" i="8"/>
  <c r="B36" i="9"/>
  <c r="B38" i="8"/>
  <c r="B35" i="9"/>
  <c r="B37" i="8"/>
  <c r="B34" i="9"/>
  <c r="B36" i="8"/>
  <c r="B33" i="9"/>
  <c r="B35" i="8"/>
  <c r="A49" i="9"/>
  <c r="A51" i="8"/>
  <c r="A48" i="9"/>
  <c r="A50" i="8"/>
  <c r="A47" i="9"/>
  <c r="A49" i="8"/>
  <c r="A46" i="9"/>
  <c r="A48" i="8"/>
  <c r="A45" i="9"/>
  <c r="A47" i="8"/>
  <c r="A44" i="9"/>
  <c r="A46" i="8"/>
  <c r="A43" i="9"/>
  <c r="A45" i="8"/>
  <c r="A42" i="9"/>
  <c r="A44" i="8"/>
  <c r="A41" i="9"/>
  <c r="A43" i="8"/>
  <c r="A40" i="9"/>
  <c r="A42" i="8"/>
  <c r="A39" i="9"/>
  <c r="A41" i="8"/>
  <c r="A38" i="9"/>
  <c r="A40" i="8"/>
  <c r="A37" i="9"/>
  <c r="A39" i="8"/>
  <c r="A36" i="9"/>
  <c r="A38" i="8"/>
  <c r="A35" i="9"/>
  <c r="A37" i="8"/>
  <c r="A34" i="9"/>
  <c r="A36" i="8"/>
  <c r="A33" i="9"/>
  <c r="A35" i="8"/>
  <c r="B30" i="9"/>
  <c r="B32" i="8"/>
  <c r="B28" i="9"/>
  <c r="B30" i="8"/>
  <c r="B27" i="9"/>
  <c r="B29" i="8"/>
  <c r="B26" i="9"/>
  <c r="B28" i="8"/>
  <c r="B25" i="9"/>
  <c r="B27" i="8"/>
  <c r="B24" i="9"/>
  <c r="B26" i="8"/>
  <c r="B23" i="9"/>
  <c r="B25" i="8"/>
  <c r="B22" i="9"/>
  <c r="B24" i="8"/>
  <c r="B21" i="9"/>
  <c r="B23" i="8"/>
  <c r="B20" i="9"/>
  <c r="B22" i="8"/>
  <c r="B19" i="9"/>
  <c r="B21" i="8"/>
  <c r="B18" i="9"/>
  <c r="B20" i="8"/>
  <c r="B17" i="9"/>
  <c r="B19" i="8"/>
  <c r="B16" i="9"/>
  <c r="B18" i="8"/>
  <c r="B15" i="9"/>
  <c r="B17" i="8"/>
  <c r="B14" i="9"/>
  <c r="B16" i="8"/>
  <c r="A30" i="9"/>
  <c r="A32" i="8"/>
  <c r="A28" i="9"/>
  <c r="A30" i="8"/>
  <c r="A27" i="9"/>
  <c r="A29" i="8"/>
  <c r="A26" i="9"/>
  <c r="A28" i="8"/>
  <c r="A25" i="9"/>
  <c r="A27" i="8"/>
  <c r="A24" i="9"/>
  <c r="A26" i="8"/>
  <c r="A23" i="9"/>
  <c r="A25" i="8"/>
  <c r="A22" i="9"/>
  <c r="A24" i="8"/>
  <c r="A21" i="9"/>
  <c r="A23" i="8"/>
  <c r="A20" i="9"/>
  <c r="A22" i="8"/>
  <c r="A19" i="9"/>
  <c r="A21" i="8"/>
  <c r="A18" i="9"/>
  <c r="A20" i="8"/>
  <c r="A17" i="9"/>
  <c r="A19" i="8"/>
  <c r="A16" i="9"/>
  <c r="A18" i="8"/>
  <c r="A15" i="9"/>
  <c r="A17" i="8"/>
  <c r="A14" i="9"/>
  <c r="A16" i="8"/>
  <c r="B13" i="9"/>
  <c r="B15" i="8"/>
  <c r="A13" i="9"/>
  <c r="A15" i="8"/>
  <c r="A9" i="9"/>
  <c r="A11" i="8"/>
  <c r="D4" i="9"/>
  <c r="H4" i="8"/>
  <c r="C3" i="9"/>
  <c r="E4" i="68"/>
  <c r="C4" i="9"/>
  <c r="C2"/>
  <c r="B4"/>
  <c r="A4"/>
  <c r="A4" i="8" s="1"/>
  <c r="A2" i="9"/>
  <c r="A3"/>
  <c r="A3" i="76" s="1"/>
  <c r="A1" i="9"/>
  <c r="D3"/>
  <c r="H3" i="8" s="1"/>
  <c r="D2" i="9"/>
  <c r="H2" i="8"/>
  <c r="B3" i="9"/>
  <c r="B2"/>
  <c r="C2" i="68" s="1"/>
  <c r="B1" i="9"/>
  <c r="B3" i="76"/>
  <c r="C3" i="68"/>
  <c r="A3" i="8"/>
  <c r="B3" i="68"/>
  <c r="A2" i="8"/>
  <c r="A2" i="76"/>
  <c r="B2" i="68"/>
  <c r="B1" i="8"/>
  <c r="B1" i="76"/>
  <c r="C1" i="68"/>
  <c r="F4"/>
  <c r="A4" i="76"/>
  <c r="B2"/>
  <c r="A1" i="8"/>
  <c r="A1" i="76"/>
  <c r="B1" i="68"/>
  <c r="B4" i="8"/>
  <c r="C4" i="68"/>
  <c r="B4" i="76"/>
  <c r="F379" i="77"/>
  <c r="G379" s="1"/>
  <c r="F380"/>
  <c r="G380" s="1"/>
  <c r="F382"/>
  <c r="G382" s="1"/>
  <c r="F383"/>
  <c r="G383" s="1"/>
  <c r="F338"/>
  <c r="G338" s="1"/>
  <c r="F339"/>
  <c r="G339" s="1"/>
  <c r="F340"/>
  <c r="G340" s="1"/>
  <c r="F342"/>
  <c r="G342" s="1"/>
  <c r="F343"/>
  <c r="G343" s="1"/>
  <c r="C383"/>
  <c r="C382"/>
  <c r="C380"/>
  <c r="C379"/>
  <c r="F579"/>
  <c r="G579"/>
  <c r="G583" s="1"/>
  <c r="F581"/>
  <c r="G581"/>
  <c r="F582"/>
  <c r="G582"/>
  <c r="D558"/>
  <c r="F546"/>
  <c r="G546"/>
  <c r="D565"/>
  <c r="F547"/>
  <c r="G547"/>
  <c r="F549"/>
  <c r="G549"/>
  <c r="G551" s="1"/>
  <c r="F550"/>
  <c r="G550"/>
  <c r="F444"/>
  <c r="G444"/>
  <c r="F445"/>
  <c r="G445"/>
  <c r="F446"/>
  <c r="G446"/>
  <c r="F447"/>
  <c r="G447"/>
  <c r="F449"/>
  <c r="G449"/>
  <c r="F450"/>
  <c r="G450" s="1"/>
  <c r="G451" s="1"/>
  <c r="F391"/>
  <c r="G391" s="1"/>
  <c r="F392"/>
  <c r="G392" s="1"/>
  <c r="F393"/>
  <c r="G393" s="1"/>
  <c r="F395"/>
  <c r="G395" s="1"/>
  <c r="F396"/>
  <c r="G396" s="1"/>
  <c r="F320"/>
  <c r="G320" s="1"/>
  <c r="G323" s="1"/>
  <c r="F322"/>
  <c r="G322" s="1"/>
  <c r="F24"/>
  <c r="G24" s="1"/>
  <c r="F25"/>
  <c r="G25" s="1"/>
  <c r="F26"/>
  <c r="G26" s="1"/>
  <c r="F28"/>
  <c r="G28" s="1"/>
  <c r="F29"/>
  <c r="G29" s="1"/>
  <c r="F76"/>
  <c r="G76" s="1"/>
  <c r="F77"/>
  <c r="G77" s="1"/>
  <c r="F78"/>
  <c r="G78" s="1"/>
  <c r="F80"/>
  <c r="G80" s="1"/>
  <c r="F81"/>
  <c r="G81" s="1"/>
  <c r="H146" i="68"/>
  <c r="G145"/>
  <c r="H145"/>
  <c r="E145"/>
  <c r="D145"/>
  <c r="G144"/>
  <c r="H144"/>
  <c r="E144"/>
  <c r="D144"/>
  <c r="G143"/>
  <c r="H143"/>
  <c r="E143"/>
  <c r="D143"/>
  <c r="G142"/>
  <c r="H142"/>
  <c r="E142"/>
  <c r="D142"/>
  <c r="G141"/>
  <c r="H141"/>
  <c r="E141"/>
  <c r="D141"/>
  <c r="G140"/>
  <c r="H140"/>
  <c r="H147" s="1"/>
  <c r="F364" i="7" s="1"/>
  <c r="G364" s="1"/>
  <c r="E140" i="68"/>
  <c r="D140"/>
  <c r="F13" i="7"/>
  <c r="D13"/>
  <c r="C13"/>
  <c r="F12"/>
  <c r="G12" s="1"/>
  <c r="H12" s="1"/>
  <c r="D12"/>
  <c r="C12"/>
  <c r="F264"/>
  <c r="F262"/>
  <c r="G13"/>
  <c r="H13"/>
  <c r="D438" i="80"/>
  <c r="F428"/>
  <c r="G428"/>
  <c r="G430"/>
  <c r="D428"/>
  <c r="C428"/>
  <c r="D423"/>
  <c r="F413"/>
  <c r="G413"/>
  <c r="G415"/>
  <c r="D413"/>
  <c r="C413"/>
  <c r="D408"/>
  <c r="F398"/>
  <c r="G398"/>
  <c r="G400"/>
  <c r="D398"/>
  <c r="C398"/>
  <c r="D393"/>
  <c r="F382"/>
  <c r="G382"/>
  <c r="G385"/>
  <c r="G384"/>
  <c r="D382"/>
  <c r="C382"/>
  <c r="G376"/>
  <c r="G375"/>
  <c r="G373"/>
  <c r="C370"/>
  <c r="D368"/>
  <c r="F358"/>
  <c r="G358"/>
  <c r="G360"/>
  <c r="D358"/>
  <c r="C358"/>
  <c r="C355"/>
  <c r="D353"/>
  <c r="F343"/>
  <c r="G343"/>
  <c r="G345"/>
  <c r="D343"/>
  <c r="C343"/>
  <c r="C340"/>
  <c r="D338"/>
  <c r="F328"/>
  <c r="G328"/>
  <c r="G330"/>
  <c r="D328"/>
  <c r="C328"/>
  <c r="C325"/>
  <c r="D323"/>
  <c r="F312"/>
  <c r="G312"/>
  <c r="G315"/>
  <c r="G314"/>
  <c r="C312"/>
  <c r="C308"/>
  <c r="G311"/>
  <c r="G305"/>
  <c r="G304"/>
  <c r="G302"/>
  <c r="C298"/>
  <c r="G301"/>
  <c r="G295"/>
  <c r="G294"/>
  <c r="G292"/>
  <c r="C288"/>
  <c r="G291"/>
  <c r="D286"/>
  <c r="F275"/>
  <c r="G275"/>
  <c r="G278"/>
  <c r="G277"/>
  <c r="C275"/>
  <c r="C272"/>
  <c r="D270"/>
  <c r="F259"/>
  <c r="G259"/>
  <c r="G262"/>
  <c r="G261"/>
  <c r="C259"/>
  <c r="C256"/>
  <c r="D254"/>
  <c r="F243"/>
  <c r="G243"/>
  <c r="G246"/>
  <c r="G245"/>
  <c r="C243"/>
  <c r="C240"/>
  <c r="D238"/>
  <c r="F227"/>
  <c r="G227"/>
  <c r="G230"/>
  <c r="G229"/>
  <c r="C227"/>
  <c r="C224"/>
  <c r="D222"/>
  <c r="F211"/>
  <c r="G211"/>
  <c r="G214"/>
  <c r="G213"/>
  <c r="C211"/>
  <c r="C208"/>
  <c r="D206"/>
  <c r="F195"/>
  <c r="G195"/>
  <c r="G198"/>
  <c r="G197"/>
  <c r="C195"/>
  <c r="C192"/>
  <c r="G189"/>
  <c r="G188"/>
  <c r="G186"/>
  <c r="C183"/>
  <c r="G180"/>
  <c r="G179"/>
  <c r="G177"/>
  <c r="C174"/>
  <c r="G171"/>
  <c r="G169"/>
  <c r="C166"/>
  <c r="G163"/>
  <c r="G161"/>
  <c r="C158"/>
  <c r="G155"/>
  <c r="G153"/>
  <c r="C150"/>
  <c r="D148"/>
  <c r="F138"/>
  <c r="G138"/>
  <c r="G140"/>
  <c r="C138"/>
  <c r="C135"/>
  <c r="D133"/>
  <c r="F122"/>
  <c r="G122"/>
  <c r="G125"/>
  <c r="G124"/>
  <c r="C119"/>
  <c r="G116"/>
  <c r="G114"/>
  <c r="C111"/>
  <c r="D109"/>
  <c r="F99"/>
  <c r="G99"/>
  <c r="G101"/>
  <c r="C96"/>
  <c r="G93"/>
  <c r="G91"/>
  <c r="C88"/>
  <c r="D86"/>
  <c r="F75"/>
  <c r="G75"/>
  <c r="G78"/>
  <c r="G77"/>
  <c r="C72"/>
  <c r="D68"/>
  <c r="D70"/>
  <c r="F59"/>
  <c r="G59"/>
  <c r="G62"/>
  <c r="G61"/>
  <c r="C59"/>
  <c r="C56"/>
  <c r="D52"/>
  <c r="D54"/>
  <c r="F43"/>
  <c r="G43"/>
  <c r="G46"/>
  <c r="G45"/>
  <c r="C43"/>
  <c r="C40"/>
  <c r="D38"/>
  <c r="F26"/>
  <c r="G26"/>
  <c r="G29"/>
  <c r="G28"/>
  <c r="C23"/>
  <c r="D21"/>
  <c r="F11"/>
  <c r="G11"/>
  <c r="G14"/>
  <c r="G13"/>
  <c r="C8"/>
  <c r="G94"/>
  <c r="G156"/>
  <c r="H150"/>
  <c r="G117"/>
  <c r="H111"/>
  <c r="G247"/>
  <c r="H240"/>
  <c r="G215"/>
  <c r="H208"/>
  <c r="G15"/>
  <c r="H8"/>
  <c r="G47"/>
  <c r="H40"/>
  <c r="G164"/>
  <c r="H158"/>
  <c r="G30"/>
  <c r="H23"/>
  <c r="F539" i="7"/>
  <c r="G539" s="1"/>
  <c r="H539" s="1"/>
  <c r="H88" i="80"/>
  <c r="F540" i="7"/>
  <c r="G540" s="1"/>
  <c r="H540" s="1"/>
  <c r="G190" i="80"/>
  <c r="H183"/>
  <c r="G296"/>
  <c r="H288"/>
  <c r="G306"/>
  <c r="H298"/>
  <c r="G346"/>
  <c r="H340"/>
  <c r="G361"/>
  <c r="H355"/>
  <c r="G377"/>
  <c r="H370"/>
  <c r="G416"/>
  <c r="H410"/>
  <c r="G63"/>
  <c r="H56"/>
  <c r="G141"/>
  <c r="H135"/>
  <c r="G263"/>
  <c r="H256"/>
  <c r="G279"/>
  <c r="H272"/>
  <c r="G79"/>
  <c r="H72"/>
  <c r="G102"/>
  <c r="H96"/>
  <c r="G126"/>
  <c r="H119"/>
  <c r="G172"/>
  <c r="H166"/>
  <c r="G181"/>
  <c r="H174"/>
  <c r="G199"/>
  <c r="H192"/>
  <c r="G231"/>
  <c r="H224"/>
  <c r="G331"/>
  <c r="H325"/>
  <c r="F295" i="7"/>
  <c r="G401" i="80"/>
  <c r="H395"/>
  <c r="G316"/>
  <c r="H308"/>
  <c r="G386"/>
  <c r="H379"/>
  <c r="G431"/>
  <c r="H425"/>
  <c r="F294" i="7"/>
  <c r="B88" i="80"/>
  <c r="B40"/>
  <c r="B23"/>
  <c r="B111"/>
  <c r="B56"/>
  <c r="B224"/>
  <c r="B150"/>
  <c r="B272"/>
  <c r="B135"/>
  <c r="B288"/>
  <c r="B96"/>
  <c r="B72"/>
  <c r="B174"/>
  <c r="B183"/>
  <c r="B240"/>
  <c r="B298"/>
  <c r="B158"/>
  <c r="B192"/>
  <c r="B256"/>
  <c r="B340"/>
  <c r="B410"/>
  <c r="B355"/>
  <c r="B119"/>
  <c r="B166"/>
  <c r="B208"/>
  <c r="B379"/>
  <c r="B308"/>
  <c r="B370"/>
  <c r="B425"/>
  <c r="B325"/>
  <c r="B395"/>
  <c r="G854" i="79"/>
  <c r="G853"/>
  <c r="G851"/>
  <c r="G845"/>
  <c r="G844"/>
  <c r="G842"/>
  <c r="G836"/>
  <c r="G835"/>
  <c r="G833"/>
  <c r="G827"/>
  <c r="G826"/>
  <c r="G824"/>
  <c r="G818"/>
  <c r="G817"/>
  <c r="G815"/>
  <c r="G809"/>
  <c r="G808"/>
  <c r="G806"/>
  <c r="G800"/>
  <c r="G799"/>
  <c r="G797"/>
  <c r="G801"/>
  <c r="H794"/>
  <c r="G791"/>
  <c r="G790"/>
  <c r="G788"/>
  <c r="G782"/>
  <c r="G781"/>
  <c r="G779"/>
  <c r="G773"/>
  <c r="G772"/>
  <c r="G770"/>
  <c r="G764"/>
  <c r="G763"/>
  <c r="G761"/>
  <c r="G765"/>
  <c r="H758"/>
  <c r="G755"/>
  <c r="G754"/>
  <c r="G752"/>
  <c r="G756"/>
  <c r="H749"/>
  <c r="G746"/>
  <c r="G745"/>
  <c r="G743"/>
  <c r="G737"/>
  <c r="G736"/>
  <c r="G734"/>
  <c r="G728"/>
  <c r="G727"/>
  <c r="G725"/>
  <c r="G719"/>
  <c r="G718"/>
  <c r="G716"/>
  <c r="G720"/>
  <c r="G710"/>
  <c r="G709"/>
  <c r="G707"/>
  <c r="G701"/>
  <c r="G700"/>
  <c r="G698"/>
  <c r="G692"/>
  <c r="G691"/>
  <c r="G689"/>
  <c r="G683"/>
  <c r="G682"/>
  <c r="G680"/>
  <c r="G679"/>
  <c r="G678"/>
  <c r="G677"/>
  <c r="G676"/>
  <c r="G675"/>
  <c r="G669"/>
  <c r="G667"/>
  <c r="C664"/>
  <c r="G660"/>
  <c r="G658"/>
  <c r="C655"/>
  <c r="G652"/>
  <c r="G650"/>
  <c r="C647"/>
  <c r="D645"/>
  <c r="F616"/>
  <c r="G616"/>
  <c r="G637"/>
  <c r="F637"/>
  <c r="E637"/>
  <c r="D637"/>
  <c r="C637"/>
  <c r="B637"/>
  <c r="G636"/>
  <c r="F636"/>
  <c r="E636"/>
  <c r="D636"/>
  <c r="C636"/>
  <c r="B636"/>
  <c r="G635"/>
  <c r="F635"/>
  <c r="E635"/>
  <c r="D635"/>
  <c r="C635"/>
  <c r="B635"/>
  <c r="D631"/>
  <c r="F614"/>
  <c r="G614"/>
  <c r="G619"/>
  <c r="G617"/>
  <c r="D616"/>
  <c r="G615"/>
  <c r="C614"/>
  <c r="D609"/>
  <c r="F589"/>
  <c r="G589"/>
  <c r="G602"/>
  <c r="F602"/>
  <c r="E602"/>
  <c r="D602"/>
  <c r="C602"/>
  <c r="B602"/>
  <c r="G601"/>
  <c r="F601"/>
  <c r="E601"/>
  <c r="D601"/>
  <c r="C601"/>
  <c r="B601"/>
  <c r="G600"/>
  <c r="F600"/>
  <c r="E600"/>
  <c r="D600"/>
  <c r="C600"/>
  <c r="B600"/>
  <c r="G594"/>
  <c r="G593"/>
  <c r="G591"/>
  <c r="G590"/>
  <c r="D589"/>
  <c r="G588"/>
  <c r="D583"/>
  <c r="G576"/>
  <c r="F576"/>
  <c r="E576"/>
  <c r="D576"/>
  <c r="C576"/>
  <c r="B576"/>
  <c r="G575"/>
  <c r="F575"/>
  <c r="E575"/>
  <c r="D575"/>
  <c r="C575"/>
  <c r="B575"/>
  <c r="G574"/>
  <c r="F574"/>
  <c r="E574"/>
  <c r="D574"/>
  <c r="C574"/>
  <c r="B574"/>
  <c r="G566"/>
  <c r="G565"/>
  <c r="G563"/>
  <c r="G562"/>
  <c r="F561"/>
  <c r="G561"/>
  <c r="D561"/>
  <c r="G560"/>
  <c r="D555"/>
  <c r="B548"/>
  <c r="I548"/>
  <c r="G548"/>
  <c r="F548"/>
  <c r="E548"/>
  <c r="D548"/>
  <c r="C548"/>
  <c r="G547"/>
  <c r="F547"/>
  <c r="E547"/>
  <c r="D547"/>
  <c r="C547"/>
  <c r="B547"/>
  <c r="I547"/>
  <c r="G546"/>
  <c r="F546"/>
  <c r="E546"/>
  <c r="D546"/>
  <c r="C546"/>
  <c r="B546"/>
  <c r="I546"/>
  <c r="G538"/>
  <c r="G537"/>
  <c r="G535"/>
  <c r="G534"/>
  <c r="F533"/>
  <c r="G533"/>
  <c r="D533"/>
  <c r="G532"/>
  <c r="G520"/>
  <c r="G519"/>
  <c r="G517"/>
  <c r="C514"/>
  <c r="D512"/>
  <c r="I511"/>
  <c r="I510"/>
  <c r="I509"/>
  <c r="G504"/>
  <c r="F502"/>
  <c r="G502"/>
  <c r="C502"/>
  <c r="C499"/>
  <c r="D497"/>
  <c r="I496"/>
  <c r="I495"/>
  <c r="I494"/>
  <c r="G489"/>
  <c r="F487"/>
  <c r="G487"/>
  <c r="C487"/>
  <c r="C484"/>
  <c r="D482"/>
  <c r="F471"/>
  <c r="G471"/>
  <c r="I481"/>
  <c r="I480"/>
  <c r="I479"/>
  <c r="G474"/>
  <c r="G473"/>
  <c r="C471"/>
  <c r="C468"/>
  <c r="D466"/>
  <c r="F451"/>
  <c r="G451"/>
  <c r="I465"/>
  <c r="I464"/>
  <c r="I463"/>
  <c r="G455"/>
  <c r="G454"/>
  <c r="G452"/>
  <c r="D451"/>
  <c r="C451"/>
  <c r="G450"/>
  <c r="G440"/>
  <c r="G439"/>
  <c r="G437"/>
  <c r="G436"/>
  <c r="G435"/>
  <c r="G434"/>
  <c r="G425"/>
  <c r="G424"/>
  <c r="G422"/>
  <c r="G421"/>
  <c r="G420"/>
  <c r="G419"/>
  <c r="D414"/>
  <c r="F386"/>
  <c r="G386"/>
  <c r="D407"/>
  <c r="F387"/>
  <c r="G387"/>
  <c r="I406"/>
  <c r="I405"/>
  <c r="I404"/>
  <c r="D400"/>
  <c r="F384"/>
  <c r="G384"/>
  <c r="I399"/>
  <c r="I398"/>
  <c r="I397"/>
  <c r="G389"/>
  <c r="D387"/>
  <c r="C387"/>
  <c r="D386"/>
  <c r="C386"/>
  <c r="G385"/>
  <c r="D384"/>
  <c r="C384"/>
  <c r="D379"/>
  <c r="F352"/>
  <c r="G352"/>
  <c r="D372"/>
  <c r="F353"/>
  <c r="G353"/>
  <c r="I371"/>
  <c r="I370"/>
  <c r="I369"/>
  <c r="D365"/>
  <c r="F349"/>
  <c r="G349"/>
  <c r="I364"/>
  <c r="I363"/>
  <c r="I362"/>
  <c r="G355"/>
  <c r="D353"/>
  <c r="C353"/>
  <c r="D352"/>
  <c r="C352"/>
  <c r="G351"/>
  <c r="G350"/>
  <c r="D349"/>
  <c r="C349"/>
  <c r="D344"/>
  <c r="F329"/>
  <c r="G329"/>
  <c r="I343"/>
  <c r="I342"/>
  <c r="I341"/>
  <c r="G333"/>
  <c r="G331"/>
  <c r="G330"/>
  <c r="D329"/>
  <c r="C329"/>
  <c r="C326"/>
  <c r="D324"/>
  <c r="I323"/>
  <c r="I322"/>
  <c r="I321"/>
  <c r="G316"/>
  <c r="F314"/>
  <c r="G314"/>
  <c r="G317"/>
  <c r="C314"/>
  <c r="C311"/>
  <c r="D309"/>
  <c r="F284"/>
  <c r="G284"/>
  <c r="I308"/>
  <c r="I307"/>
  <c r="I306"/>
  <c r="D302"/>
  <c r="I301"/>
  <c r="I300"/>
  <c r="I299"/>
  <c r="D295"/>
  <c r="I294"/>
  <c r="I293"/>
  <c r="I292"/>
  <c r="G287"/>
  <c r="G286"/>
  <c r="C284"/>
  <c r="F283"/>
  <c r="G283"/>
  <c r="C283"/>
  <c r="F282"/>
  <c r="G282"/>
  <c r="C282"/>
  <c r="G276"/>
  <c r="D276"/>
  <c r="B276"/>
  <c r="I276"/>
  <c r="G275"/>
  <c r="F275"/>
  <c r="E275"/>
  <c r="D275"/>
  <c r="C275"/>
  <c r="B275"/>
  <c r="I275"/>
  <c r="G274"/>
  <c r="F274"/>
  <c r="E274"/>
  <c r="D274"/>
  <c r="C274"/>
  <c r="B274"/>
  <c r="I274"/>
  <c r="D270"/>
  <c r="I269"/>
  <c r="I268"/>
  <c r="I267"/>
  <c r="G261"/>
  <c r="G260"/>
  <c r="C258"/>
  <c r="C255"/>
  <c r="D253"/>
  <c r="F228"/>
  <c r="G228"/>
  <c r="I252"/>
  <c r="I251"/>
  <c r="I250"/>
  <c r="D246"/>
  <c r="F227"/>
  <c r="G227"/>
  <c r="I245"/>
  <c r="I244"/>
  <c r="I243"/>
  <c r="D239"/>
  <c r="F226"/>
  <c r="G226"/>
  <c r="I238"/>
  <c r="I237"/>
  <c r="I236"/>
  <c r="G231"/>
  <c r="G230"/>
  <c r="C228"/>
  <c r="C227"/>
  <c r="C226"/>
  <c r="G220"/>
  <c r="G218"/>
  <c r="G215"/>
  <c r="G212"/>
  <c r="G210"/>
  <c r="C207"/>
  <c r="G204"/>
  <c r="G202"/>
  <c r="G205"/>
  <c r="C199"/>
  <c r="G193"/>
  <c r="G192"/>
  <c r="G190"/>
  <c r="G189"/>
  <c r="G188"/>
  <c r="G187"/>
  <c r="C184"/>
  <c r="G177"/>
  <c r="G176"/>
  <c r="G174"/>
  <c r="G173"/>
  <c r="G172"/>
  <c r="G171"/>
  <c r="C168"/>
  <c r="G164"/>
  <c r="G163"/>
  <c r="G161"/>
  <c r="G160"/>
  <c r="C157"/>
  <c r="D152"/>
  <c r="I151"/>
  <c r="I150"/>
  <c r="I149"/>
  <c r="G143"/>
  <c r="G141"/>
  <c r="G140"/>
  <c r="G139"/>
  <c r="F138"/>
  <c r="G138"/>
  <c r="C138"/>
  <c r="C135"/>
  <c r="D133"/>
  <c r="F108"/>
  <c r="G108"/>
  <c r="I132"/>
  <c r="I131"/>
  <c r="I130"/>
  <c r="D126"/>
  <c r="I125"/>
  <c r="I124"/>
  <c r="I123"/>
  <c r="D119"/>
  <c r="F106"/>
  <c r="G106"/>
  <c r="G111"/>
  <c r="G110"/>
  <c r="C108"/>
  <c r="F107"/>
  <c r="G107"/>
  <c r="C107"/>
  <c r="C106"/>
  <c r="D101"/>
  <c r="F76"/>
  <c r="G76"/>
  <c r="I100"/>
  <c r="I99"/>
  <c r="I98"/>
  <c r="D94"/>
  <c r="I93"/>
  <c r="I92"/>
  <c r="I91"/>
  <c r="D87"/>
  <c r="F74"/>
  <c r="G74"/>
  <c r="I86"/>
  <c r="I85"/>
  <c r="I84"/>
  <c r="G79"/>
  <c r="G78"/>
  <c r="C76"/>
  <c r="F75"/>
  <c r="G75"/>
  <c r="C75"/>
  <c r="C74"/>
  <c r="D69"/>
  <c r="F44"/>
  <c r="G44"/>
  <c r="D62"/>
  <c r="I61"/>
  <c r="I60"/>
  <c r="I59"/>
  <c r="D55"/>
  <c r="I54"/>
  <c r="I53"/>
  <c r="I52"/>
  <c r="G47"/>
  <c r="G46"/>
  <c r="C44"/>
  <c r="F43"/>
  <c r="G43"/>
  <c r="C43"/>
  <c r="F42"/>
  <c r="G42"/>
  <c r="C42"/>
  <c r="D37"/>
  <c r="F26"/>
  <c r="I36"/>
  <c r="I35"/>
  <c r="I34"/>
  <c r="G29"/>
  <c r="G28"/>
  <c r="G26"/>
  <c r="C23"/>
  <c r="D21"/>
  <c r="I20"/>
  <c r="I19"/>
  <c r="I18"/>
  <c r="G13"/>
  <c r="F11"/>
  <c r="G11"/>
  <c r="G14"/>
  <c r="H8"/>
  <c r="C8"/>
  <c r="D1570" i="78"/>
  <c r="F1559"/>
  <c r="G1559"/>
  <c r="G1562"/>
  <c r="G1561"/>
  <c r="C1559"/>
  <c r="G1558"/>
  <c r="G1557"/>
  <c r="D1552"/>
  <c r="G1543"/>
  <c r="G1542"/>
  <c r="G1540"/>
  <c r="G1539"/>
  <c r="G1537"/>
  <c r="E1546"/>
  <c r="G1536"/>
  <c r="G1527"/>
  <c r="G1526"/>
  <c r="G1524"/>
  <c r="G1523"/>
  <c r="G1522"/>
  <c r="F1521"/>
  <c r="G1521"/>
  <c r="D1521"/>
  <c r="C1521"/>
  <c r="C1518"/>
  <c r="D1516"/>
  <c r="G1507"/>
  <c r="G1506"/>
  <c r="F1504"/>
  <c r="G1504"/>
  <c r="D1504"/>
  <c r="C1504"/>
  <c r="C1501"/>
  <c r="G1497"/>
  <c r="G1496"/>
  <c r="G1494"/>
  <c r="C1491"/>
  <c r="G1487"/>
  <c r="G1486"/>
  <c r="G1484"/>
  <c r="C1481"/>
  <c r="D1480"/>
  <c r="G1469"/>
  <c r="G1468"/>
  <c r="G1466"/>
  <c r="G1465"/>
  <c r="G1463"/>
  <c r="G1462"/>
  <c r="G1453"/>
  <c r="G1452"/>
  <c r="G1450"/>
  <c r="G1449"/>
  <c r="G1448"/>
  <c r="F1447"/>
  <c r="G1447"/>
  <c r="D1447"/>
  <c r="C1447"/>
  <c r="D1443"/>
  <c r="F1411"/>
  <c r="G1433"/>
  <c r="G1432"/>
  <c r="G1430"/>
  <c r="G1427"/>
  <c r="E1436"/>
  <c r="G1429"/>
  <c r="G1426"/>
  <c r="G1417"/>
  <c r="G1416"/>
  <c r="G1414"/>
  <c r="G1413"/>
  <c r="G1412"/>
  <c r="G1411"/>
  <c r="D1411"/>
  <c r="C1411"/>
  <c r="C1408"/>
  <c r="D1407"/>
  <c r="F1376"/>
  <c r="G1376"/>
  <c r="G1398"/>
  <c r="G1397"/>
  <c r="G1395"/>
  <c r="G1394"/>
  <c r="G1392"/>
  <c r="G1391"/>
  <c r="G1382"/>
  <c r="G1381"/>
  <c r="G1379"/>
  <c r="G1378"/>
  <c r="G1377"/>
  <c r="D1376"/>
  <c r="C1376"/>
  <c r="D1372"/>
  <c r="F1340"/>
  <c r="G1340"/>
  <c r="G1362"/>
  <c r="G1361"/>
  <c r="G1359"/>
  <c r="G1358"/>
  <c r="G1356"/>
  <c r="E1365"/>
  <c r="G1355"/>
  <c r="E1364"/>
  <c r="G1346"/>
  <c r="G1345"/>
  <c r="G1343"/>
  <c r="G1342"/>
  <c r="G1341"/>
  <c r="D1340"/>
  <c r="C1340"/>
  <c r="D1335"/>
  <c r="F1303"/>
  <c r="G1303"/>
  <c r="G1325"/>
  <c r="G1324"/>
  <c r="G1322"/>
  <c r="G1321"/>
  <c r="G1319"/>
  <c r="G1318"/>
  <c r="G1309"/>
  <c r="G1308"/>
  <c r="G1306"/>
  <c r="G1305"/>
  <c r="G1304"/>
  <c r="D1303"/>
  <c r="C1303"/>
  <c r="D1299"/>
  <c r="F1283"/>
  <c r="G1283"/>
  <c r="G1292"/>
  <c r="G1291"/>
  <c r="G1286"/>
  <c r="G1285"/>
  <c r="C1283"/>
  <c r="D1278"/>
  <c r="F1247"/>
  <c r="G1247"/>
  <c r="G1268"/>
  <c r="G1267"/>
  <c r="G1265"/>
  <c r="G1264"/>
  <c r="G1261"/>
  <c r="E1270"/>
  <c r="G1262"/>
  <c r="G1253"/>
  <c r="G1252"/>
  <c r="G1250"/>
  <c r="G1249"/>
  <c r="G1248"/>
  <c r="D1247"/>
  <c r="C1247"/>
  <c r="C1244"/>
  <c r="D1243"/>
  <c r="F1211"/>
  <c r="G1211"/>
  <c r="G1233"/>
  <c r="G1232"/>
  <c r="G1230"/>
  <c r="G1229"/>
  <c r="G1227"/>
  <c r="G1226"/>
  <c r="E1235"/>
  <c r="G1217"/>
  <c r="G1216"/>
  <c r="G1214"/>
  <c r="G1213"/>
  <c r="G1212"/>
  <c r="D1211"/>
  <c r="C1211"/>
  <c r="C1208"/>
  <c r="D1207"/>
  <c r="F1192"/>
  <c r="G1192"/>
  <c r="G1200"/>
  <c r="G1199"/>
  <c r="G1195"/>
  <c r="G1194"/>
  <c r="D1192"/>
  <c r="C1192"/>
  <c r="C1189"/>
  <c r="D1188"/>
  <c r="F1160"/>
  <c r="G1160"/>
  <c r="G1178"/>
  <c r="G1177"/>
  <c r="G1175"/>
  <c r="G1174"/>
  <c r="E1180"/>
  <c r="G1165"/>
  <c r="G1164"/>
  <c r="G1162"/>
  <c r="G1161"/>
  <c r="D1160"/>
  <c r="C1160"/>
  <c r="D1156"/>
  <c r="G1146"/>
  <c r="G1143"/>
  <c r="E1149"/>
  <c r="G1145"/>
  <c r="G1142"/>
  <c r="G1133"/>
  <c r="G1132"/>
  <c r="G1130"/>
  <c r="G1129"/>
  <c r="F1128"/>
  <c r="G1128"/>
  <c r="D1128"/>
  <c r="C1128"/>
  <c r="C1125"/>
  <c r="D1123"/>
  <c r="F1092"/>
  <c r="G1092"/>
  <c r="G1114"/>
  <c r="G1113"/>
  <c r="G1111"/>
  <c r="G1110"/>
  <c r="G1108"/>
  <c r="G1107"/>
  <c r="G1098"/>
  <c r="G1097"/>
  <c r="G1095"/>
  <c r="G1094"/>
  <c r="G1093"/>
  <c r="D1092"/>
  <c r="C1092"/>
  <c r="C1089"/>
  <c r="D1087"/>
  <c r="F1076"/>
  <c r="G1076"/>
  <c r="G1079"/>
  <c r="G1078"/>
  <c r="D1076"/>
  <c r="C1076"/>
  <c r="C1073"/>
  <c r="D1070"/>
  <c r="D1072"/>
  <c r="F1060"/>
  <c r="G1060"/>
  <c r="D1069"/>
  <c r="G1064"/>
  <c r="G1063"/>
  <c r="G1061"/>
  <c r="D1060"/>
  <c r="C1060"/>
  <c r="C1057"/>
  <c r="D1056"/>
  <c r="G1048"/>
  <c r="G1047"/>
  <c r="G1045"/>
  <c r="F1044"/>
  <c r="G1044"/>
  <c r="D1044"/>
  <c r="C1044"/>
  <c r="C1041"/>
  <c r="D1040"/>
  <c r="F1029"/>
  <c r="G1029"/>
  <c r="G1032"/>
  <c r="G1031"/>
  <c r="D1029"/>
  <c r="C1029"/>
  <c r="D1025"/>
  <c r="F1014"/>
  <c r="G1014"/>
  <c r="G1017"/>
  <c r="G1016"/>
  <c r="D1014"/>
  <c r="C1014"/>
  <c r="G1008"/>
  <c r="G1007"/>
  <c r="G1005"/>
  <c r="C1002"/>
  <c r="G1000"/>
  <c r="G998"/>
  <c r="C995"/>
  <c r="G993"/>
  <c r="G992"/>
  <c r="G990"/>
  <c r="G994"/>
  <c r="H987"/>
  <c r="C987"/>
  <c r="G984"/>
  <c r="G983"/>
  <c r="G981"/>
  <c r="G975"/>
  <c r="G974"/>
  <c r="G972"/>
  <c r="G966"/>
  <c r="G965"/>
  <c r="G963"/>
  <c r="G957"/>
  <c r="G956"/>
  <c r="G954"/>
  <c r="G948"/>
  <c r="G947"/>
  <c r="G945"/>
  <c r="G939"/>
  <c r="G938"/>
  <c r="G936"/>
  <c r="G930"/>
  <c r="G929"/>
  <c r="G927"/>
  <c r="G921"/>
  <c r="G920"/>
  <c r="G918"/>
  <c r="G912"/>
  <c r="G911"/>
  <c r="G909"/>
  <c r="G903"/>
  <c r="G902"/>
  <c r="G900"/>
  <c r="G894"/>
  <c r="G893"/>
  <c r="G891"/>
  <c r="G885"/>
  <c r="G884"/>
  <c r="G882"/>
  <c r="G876"/>
  <c r="G875"/>
  <c r="G873"/>
  <c r="G867"/>
  <c r="G866"/>
  <c r="G864"/>
  <c r="G858"/>
  <c r="G857"/>
  <c r="G855"/>
  <c r="G849"/>
  <c r="G848"/>
  <c r="G846"/>
  <c r="G840"/>
  <c r="G839"/>
  <c r="G837"/>
  <c r="G831"/>
  <c r="G830"/>
  <c r="G828"/>
  <c r="G822"/>
  <c r="G821"/>
  <c r="G819"/>
  <c r="G812"/>
  <c r="G810"/>
  <c r="E809"/>
  <c r="G809"/>
  <c r="G808"/>
  <c r="G807"/>
  <c r="G806"/>
  <c r="G805"/>
  <c r="G804"/>
  <c r="G803"/>
  <c r="G802"/>
  <c r="G801"/>
  <c r="G800"/>
  <c r="G794"/>
  <c r="G793"/>
  <c r="G792"/>
  <c r="G791"/>
  <c r="G790"/>
  <c r="G789"/>
  <c r="G788"/>
  <c r="G786"/>
  <c r="G785"/>
  <c r="G784"/>
  <c r="G783"/>
  <c r="G782"/>
  <c r="G781"/>
  <c r="G780"/>
  <c r="G779"/>
  <c r="G778"/>
  <c r="G777"/>
  <c r="G776"/>
  <c r="G775"/>
  <c r="G774"/>
  <c r="G773"/>
  <c r="G772"/>
  <c r="G771"/>
  <c r="G770"/>
  <c r="G769"/>
  <c r="G768"/>
  <c r="G767"/>
  <c r="G761"/>
  <c r="G760"/>
  <c r="G758"/>
  <c r="G757"/>
  <c r="G756"/>
  <c r="G755"/>
  <c r="G754"/>
  <c r="G753"/>
  <c r="G752"/>
  <c r="G751"/>
  <c r="G750"/>
  <c r="G744"/>
  <c r="G743"/>
  <c r="G741"/>
  <c r="G740"/>
  <c r="G739"/>
  <c r="G738"/>
  <c r="G737"/>
  <c r="G736"/>
  <c r="G735"/>
  <c r="G734"/>
  <c r="G733"/>
  <c r="G727"/>
  <c r="G725"/>
  <c r="C722"/>
  <c r="D720"/>
  <c r="F709"/>
  <c r="G709"/>
  <c r="I718"/>
  <c r="I717"/>
  <c r="G712"/>
  <c r="G711"/>
  <c r="D709"/>
  <c r="C709"/>
  <c r="C705"/>
  <c r="D703"/>
  <c r="F692"/>
  <c r="G692"/>
  <c r="I701"/>
  <c r="I700"/>
  <c r="G695"/>
  <c r="G694"/>
  <c r="D692"/>
  <c r="C692"/>
  <c r="C688"/>
  <c r="G685"/>
  <c r="G684"/>
  <c r="G682"/>
  <c r="G676"/>
  <c r="G675"/>
  <c r="G673"/>
  <c r="G672"/>
  <c r="G671"/>
  <c r="G665"/>
  <c r="G664"/>
  <c r="G662"/>
  <c r="G661"/>
  <c r="G660"/>
  <c r="G654"/>
  <c r="G653"/>
  <c r="G651"/>
  <c r="G650"/>
  <c r="G644"/>
  <c r="G643"/>
  <c r="G641"/>
  <c r="G640"/>
  <c r="G634"/>
  <c r="G633"/>
  <c r="G631"/>
  <c r="G630"/>
  <c r="C627"/>
  <c r="G624"/>
  <c r="G623"/>
  <c r="G621"/>
  <c r="G620"/>
  <c r="C617"/>
  <c r="D615"/>
  <c r="F603"/>
  <c r="G603"/>
  <c r="I613"/>
  <c r="I612"/>
  <c r="G607"/>
  <c r="G606"/>
  <c r="G605"/>
  <c r="D603"/>
  <c r="C603"/>
  <c r="C600"/>
  <c r="G600"/>
  <c r="D598"/>
  <c r="F586"/>
  <c r="G586"/>
  <c r="I597"/>
  <c r="I596"/>
  <c r="I595"/>
  <c r="G590"/>
  <c r="G589"/>
  <c r="G588"/>
  <c r="D586"/>
  <c r="C586"/>
  <c r="C583"/>
  <c r="G583"/>
  <c r="D581"/>
  <c r="F569"/>
  <c r="G569"/>
  <c r="I580"/>
  <c r="I579"/>
  <c r="I578"/>
  <c r="G573"/>
  <c r="G572"/>
  <c r="G571"/>
  <c r="D569"/>
  <c r="C569"/>
  <c r="G566"/>
  <c r="C566"/>
  <c r="D564"/>
  <c r="F552"/>
  <c r="G552"/>
  <c r="I563"/>
  <c r="I562"/>
  <c r="I561"/>
  <c r="G556"/>
  <c r="G555"/>
  <c r="G554"/>
  <c r="D552"/>
  <c r="C552"/>
  <c r="C549"/>
  <c r="G549"/>
  <c r="D547"/>
  <c r="F535"/>
  <c r="G535"/>
  <c r="I546"/>
  <c r="I545"/>
  <c r="I544"/>
  <c r="G539"/>
  <c r="G538"/>
  <c r="G537"/>
  <c r="D535"/>
  <c r="C535"/>
  <c r="C532"/>
  <c r="G532"/>
  <c r="D530"/>
  <c r="F518"/>
  <c r="G518"/>
  <c r="I529"/>
  <c r="I528"/>
  <c r="I527"/>
  <c r="G522"/>
  <c r="G521"/>
  <c r="G520"/>
  <c r="D518"/>
  <c r="C518"/>
  <c r="C515"/>
  <c r="G515"/>
  <c r="D513"/>
  <c r="F501"/>
  <c r="G501"/>
  <c r="I512"/>
  <c r="I511"/>
  <c r="I510"/>
  <c r="G505"/>
  <c r="G504"/>
  <c r="G503"/>
  <c r="D501"/>
  <c r="C501"/>
  <c r="C498"/>
  <c r="G498"/>
  <c r="D496"/>
  <c r="F484"/>
  <c r="G484"/>
  <c r="I495"/>
  <c r="I494"/>
  <c r="I493"/>
  <c r="G488"/>
  <c r="G487"/>
  <c r="G486"/>
  <c r="D484"/>
  <c r="C484"/>
  <c r="C481"/>
  <c r="G481"/>
  <c r="D479"/>
  <c r="F466"/>
  <c r="G466"/>
  <c r="I478"/>
  <c r="I477"/>
  <c r="I476"/>
  <c r="G470"/>
  <c r="G469"/>
  <c r="G468"/>
  <c r="D466"/>
  <c r="C466"/>
  <c r="C463"/>
  <c r="G463"/>
  <c r="D461"/>
  <c r="F449"/>
  <c r="G449"/>
  <c r="I460"/>
  <c r="I459"/>
  <c r="I458"/>
  <c r="G453"/>
  <c r="G452"/>
  <c r="G450"/>
  <c r="D449"/>
  <c r="G446"/>
  <c r="C446"/>
  <c r="D444"/>
  <c r="F432"/>
  <c r="G432"/>
  <c r="I443"/>
  <c r="I442"/>
  <c r="I441"/>
  <c r="G436"/>
  <c r="G435"/>
  <c r="G433"/>
  <c r="D432"/>
  <c r="C429"/>
  <c r="D427"/>
  <c r="F402"/>
  <c r="G402"/>
  <c r="I426"/>
  <c r="I425"/>
  <c r="I424"/>
  <c r="D420"/>
  <c r="F401"/>
  <c r="G401"/>
  <c r="I419"/>
  <c r="I418"/>
  <c r="I417"/>
  <c r="D413"/>
  <c r="I412"/>
  <c r="I411"/>
  <c r="I410"/>
  <c r="G405"/>
  <c r="G404"/>
  <c r="C402"/>
  <c r="C401"/>
  <c r="F400"/>
  <c r="G400"/>
  <c r="C400"/>
  <c r="G394"/>
  <c r="G393"/>
  <c r="G391"/>
  <c r="C388"/>
  <c r="G384"/>
  <c r="G383"/>
  <c r="G381"/>
  <c r="C378"/>
  <c r="G375"/>
  <c r="G374"/>
  <c r="G372"/>
  <c r="C369"/>
  <c r="G366"/>
  <c r="G364"/>
  <c r="C361"/>
  <c r="G357"/>
  <c r="G356"/>
  <c r="G354"/>
  <c r="G342"/>
  <c r="G341"/>
  <c r="G339"/>
  <c r="C336"/>
  <c r="G333"/>
  <c r="G332"/>
  <c r="G330"/>
  <c r="C327"/>
  <c r="G324"/>
  <c r="G323"/>
  <c r="G321"/>
  <c r="C318"/>
  <c r="D316"/>
  <c r="F305"/>
  <c r="G305"/>
  <c r="I315"/>
  <c r="I314"/>
  <c r="I313"/>
  <c r="G308"/>
  <c r="G307"/>
  <c r="C302"/>
  <c r="G299"/>
  <c r="G298"/>
  <c r="G296"/>
  <c r="C293"/>
  <c r="G290"/>
  <c r="G289"/>
  <c r="G287"/>
  <c r="C284"/>
  <c r="G281"/>
  <c r="G280"/>
  <c r="G278"/>
  <c r="C275"/>
  <c r="G272"/>
  <c r="G271"/>
  <c r="G269"/>
  <c r="C266"/>
  <c r="G264"/>
  <c r="G263"/>
  <c r="G261"/>
  <c r="G260"/>
  <c r="G258"/>
  <c r="G257"/>
  <c r="E252"/>
  <c r="G252"/>
  <c r="E251"/>
  <c r="G249"/>
  <c r="C246"/>
  <c r="G244"/>
  <c r="G243"/>
  <c r="G241"/>
  <c r="G239"/>
  <c r="G238"/>
  <c r="G233"/>
  <c r="G232"/>
  <c r="G230"/>
  <c r="G224"/>
  <c r="G222"/>
  <c r="C219"/>
  <c r="G216"/>
  <c r="G214"/>
  <c r="C211"/>
  <c r="G208"/>
  <c r="G206"/>
  <c r="C203"/>
  <c r="G200"/>
  <c r="G198"/>
  <c r="G192"/>
  <c r="G191"/>
  <c r="G190"/>
  <c r="G188"/>
  <c r="G187"/>
  <c r="G186"/>
  <c r="G185"/>
  <c r="G179"/>
  <c r="G178"/>
  <c r="G176"/>
  <c r="C173"/>
  <c r="D171"/>
  <c r="F160"/>
  <c r="G160"/>
  <c r="I170"/>
  <c r="I169"/>
  <c r="I168"/>
  <c r="G163"/>
  <c r="G162"/>
  <c r="C157"/>
  <c r="G153"/>
  <c r="G152"/>
  <c r="G150"/>
  <c r="C147"/>
  <c r="G144"/>
  <c r="G143"/>
  <c r="G141"/>
  <c r="C138"/>
  <c r="D136"/>
  <c r="F125"/>
  <c r="G125"/>
  <c r="I135"/>
  <c r="I134"/>
  <c r="I133"/>
  <c r="G128"/>
  <c r="G127"/>
  <c r="C122"/>
  <c r="D120"/>
  <c r="F110"/>
  <c r="G110"/>
  <c r="I119"/>
  <c r="I118"/>
  <c r="I117"/>
  <c r="G112"/>
  <c r="C107"/>
  <c r="D105"/>
  <c r="F94"/>
  <c r="G94"/>
  <c r="I104"/>
  <c r="I103"/>
  <c r="I102"/>
  <c r="G97"/>
  <c r="G96"/>
  <c r="C91"/>
  <c r="G88"/>
  <c r="G86"/>
  <c r="C83"/>
  <c r="D81"/>
  <c r="F70"/>
  <c r="G70"/>
  <c r="I80"/>
  <c r="I79"/>
  <c r="I78"/>
  <c r="G73"/>
  <c r="G72"/>
  <c r="C67"/>
  <c r="D65"/>
  <c r="F54"/>
  <c r="G54"/>
  <c r="I64"/>
  <c r="I63"/>
  <c r="I62"/>
  <c r="G57"/>
  <c r="G56"/>
  <c r="C51"/>
  <c r="G48"/>
  <c r="G46"/>
  <c r="C43"/>
  <c r="G40"/>
  <c r="G38"/>
  <c r="C35"/>
  <c r="G32"/>
  <c r="G31"/>
  <c r="G29"/>
  <c r="G23"/>
  <c r="G21"/>
  <c r="G20"/>
  <c r="G14"/>
  <c r="G13"/>
  <c r="G11"/>
  <c r="C8"/>
  <c r="G729" i="79"/>
  <c r="G661"/>
  <c r="H655"/>
  <c r="G774"/>
  <c r="H767"/>
  <c r="G819"/>
  <c r="H812"/>
  <c r="G837"/>
  <c r="H830"/>
  <c r="G288"/>
  <c r="F531" i="7"/>
  <c r="G426" i="79"/>
  <c r="H416"/>
  <c r="G456"/>
  <c r="H447"/>
  <c r="D638"/>
  <c r="G693"/>
  <c r="H686"/>
  <c r="G145" i="78"/>
  <c r="H138"/>
  <c r="E1545"/>
  <c r="E1117"/>
  <c r="E1236"/>
  <c r="E1328"/>
  <c r="E1401"/>
  <c r="H722" i="79"/>
  <c r="F535" i="7"/>
  <c r="F290"/>
  <c r="G290" s="1"/>
  <c r="H290" s="1"/>
  <c r="H311" i="79"/>
  <c r="F532" i="7"/>
  <c r="H713" i="79"/>
  <c r="F534" i="7"/>
  <c r="G539" i="79"/>
  <c r="H529"/>
  <c r="G886" i="78"/>
  <c r="H879"/>
  <c r="G30" i="79"/>
  <c r="G48"/>
  <c r="G144"/>
  <c r="H135"/>
  <c r="G490"/>
  <c r="H484"/>
  <c r="G828"/>
  <c r="H821"/>
  <c r="H199"/>
  <c r="F530" i="7"/>
  <c r="F289"/>
  <c r="G289"/>
  <c r="H289" s="1"/>
  <c r="G165" i="79"/>
  <c r="H157"/>
  <c r="G194"/>
  <c r="H184"/>
  <c r="G356"/>
  <c r="H346"/>
  <c r="F286" i="7"/>
  <c r="G286" s="1"/>
  <c r="H286" s="1"/>
  <c r="G178" i="79"/>
  <c r="G684"/>
  <c r="H672"/>
  <c r="G792"/>
  <c r="H785"/>
  <c r="G846"/>
  <c r="H839"/>
  <c r="F287" i="7"/>
  <c r="G287" s="1"/>
  <c r="H287" s="1"/>
  <c r="G221" i="79"/>
  <c r="H215"/>
  <c r="G213"/>
  <c r="H207"/>
  <c r="D277"/>
  <c r="F258"/>
  <c r="G258"/>
  <c r="G262"/>
  <c r="H255"/>
  <c r="G958" i="78"/>
  <c r="H951"/>
  <c r="G180"/>
  <c r="H173"/>
  <c r="G49"/>
  <c r="H43"/>
  <c r="G728"/>
  <c r="H722"/>
  <c r="G922"/>
  <c r="H915"/>
  <c r="G15"/>
  <c r="F491" i="7"/>
  <c r="G367" i="78"/>
  <c r="H361"/>
  <c r="G225"/>
  <c r="H219"/>
  <c r="G913"/>
  <c r="H906"/>
  <c r="G89"/>
  <c r="H83"/>
  <c r="G745"/>
  <c r="H730"/>
  <c r="G931"/>
  <c r="H924"/>
  <c r="G841"/>
  <c r="H834"/>
  <c r="G877"/>
  <c r="H870"/>
  <c r="G1418"/>
  <c r="G1508"/>
  <c r="G358"/>
  <c r="H351"/>
  <c r="G471"/>
  <c r="H463"/>
  <c r="G813"/>
  <c r="H797"/>
  <c r="G1563"/>
  <c r="G1254"/>
  <c r="H1244"/>
  <c r="G1488"/>
  <c r="H1481"/>
  <c r="G1196"/>
  <c r="E1116"/>
  <c r="E1181"/>
  <c r="E1327"/>
  <c r="E1400"/>
  <c r="E1435"/>
  <c r="E1471"/>
  <c r="E1148"/>
  <c r="G1166"/>
  <c r="E1271"/>
  <c r="G1287"/>
  <c r="E1472"/>
  <c r="G334" i="79"/>
  <c r="G390"/>
  <c r="H381"/>
  <c r="G441"/>
  <c r="H431"/>
  <c r="G475"/>
  <c r="H468"/>
  <c r="G620"/>
  <c r="H611"/>
  <c r="G738"/>
  <c r="H731"/>
  <c r="G783"/>
  <c r="H776"/>
  <c r="G855"/>
  <c r="H848"/>
  <c r="G521"/>
  <c r="H514"/>
  <c r="G567"/>
  <c r="H557"/>
  <c r="G653"/>
  <c r="H647"/>
  <c r="G702"/>
  <c r="H695"/>
  <c r="G747"/>
  <c r="H740"/>
  <c r="G80"/>
  <c r="G112"/>
  <c r="G232"/>
  <c r="H223"/>
  <c r="G505"/>
  <c r="H499"/>
  <c r="G595"/>
  <c r="H585"/>
  <c r="G670"/>
  <c r="H664"/>
  <c r="G711"/>
  <c r="H704"/>
  <c r="G810"/>
  <c r="H803"/>
  <c r="G33" i="78"/>
  <c r="H26"/>
  <c r="G201"/>
  <c r="F492" i="7"/>
  <c r="G376" i="78"/>
  <c r="H369"/>
  <c r="G41"/>
  <c r="H35"/>
  <c r="G164"/>
  <c r="H157"/>
  <c r="G506"/>
  <c r="H498"/>
  <c r="G395"/>
  <c r="H388"/>
  <c r="G832"/>
  <c r="H825"/>
  <c r="G868"/>
  <c r="H861"/>
  <c r="G74"/>
  <c r="H67"/>
  <c r="G98"/>
  <c r="H91"/>
  <c r="G129"/>
  <c r="H122"/>
  <c r="G217"/>
  <c r="H211"/>
  <c r="G251"/>
  <c r="G253"/>
  <c r="H246"/>
  <c r="G795"/>
  <c r="H764"/>
  <c r="G1065"/>
  <c r="G1099"/>
  <c r="G1218"/>
  <c r="G113"/>
  <c r="H107"/>
  <c r="G574"/>
  <c r="H566"/>
  <c r="G154"/>
  <c r="H147"/>
  <c r="G209"/>
  <c r="F493" i="7"/>
  <c r="G385" i="78"/>
  <c r="H378"/>
  <c r="G645"/>
  <c r="G677"/>
  <c r="H668"/>
  <c r="G823"/>
  <c r="H816"/>
  <c r="G859"/>
  <c r="H852"/>
  <c r="G1018"/>
  <c r="G1347"/>
  <c r="G686"/>
  <c r="H679"/>
  <c r="G762"/>
  <c r="H747"/>
  <c r="G949"/>
  <c r="H942"/>
  <c r="G1009"/>
  <c r="H1002"/>
  <c r="G1454"/>
  <c r="H1444"/>
  <c r="G58"/>
  <c r="H51"/>
  <c r="G193"/>
  <c r="H182"/>
  <c r="G234"/>
  <c r="H227"/>
  <c r="G300"/>
  <c r="H293"/>
  <c r="G309"/>
  <c r="H302"/>
  <c r="G334"/>
  <c r="H327"/>
  <c r="G540"/>
  <c r="H532"/>
  <c r="G557"/>
  <c r="H549"/>
  <c r="G608"/>
  <c r="H600"/>
  <c r="G696"/>
  <c r="H688"/>
  <c r="G850"/>
  <c r="H843"/>
  <c r="G895"/>
  <c r="H888"/>
  <c r="G967"/>
  <c r="H960"/>
  <c r="G1001"/>
  <c r="F494" i="7"/>
  <c r="G1033" i="78"/>
  <c r="G1080"/>
  <c r="G282"/>
  <c r="H275"/>
  <c r="G325"/>
  <c r="G343"/>
  <c r="F496" i="7"/>
  <c r="G523" i="78"/>
  <c r="H515"/>
  <c r="G940"/>
  <c r="H933"/>
  <c r="G24"/>
  <c r="F490" i="7"/>
  <c r="G291" i="78"/>
  <c r="H284"/>
  <c r="G406"/>
  <c r="H397"/>
  <c r="G437"/>
  <c r="H429"/>
  <c r="G454"/>
  <c r="H446"/>
  <c r="G625"/>
  <c r="H617"/>
  <c r="G635"/>
  <c r="H627"/>
  <c r="G655"/>
  <c r="H647"/>
  <c r="G666"/>
  <c r="H657"/>
  <c r="G985"/>
  <c r="H978"/>
  <c r="G273"/>
  <c r="H266"/>
  <c r="G489"/>
  <c r="H481"/>
  <c r="G591"/>
  <c r="H583"/>
  <c r="G1049"/>
  <c r="G904"/>
  <c r="H897"/>
  <c r="G1310"/>
  <c r="G1383"/>
  <c r="G1528"/>
  <c r="G976"/>
  <c r="H969"/>
  <c r="G1134"/>
  <c r="G713"/>
  <c r="F498" i="7"/>
  <c r="G1498" i="78"/>
  <c r="H279" i="79"/>
  <c r="H318" i="78"/>
  <c r="F495" i="7"/>
  <c r="H637" i="78"/>
  <c r="F497" i="7"/>
  <c r="H326" i="79"/>
  <c r="F533" i="7"/>
  <c r="F288"/>
  <c r="G288"/>
  <c r="H288" s="1"/>
  <c r="H168" i="79"/>
  <c r="F529" i="7"/>
  <c r="F285"/>
  <c r="G285" s="1"/>
  <c r="H285" s="1"/>
  <c r="H23" i="79"/>
  <c r="F525" i="7"/>
  <c r="F281"/>
  <c r="G281"/>
  <c r="H281" s="1"/>
  <c r="H103" i="79"/>
  <c r="H39"/>
  <c r="H71"/>
  <c r="B749"/>
  <c r="F528" i="7"/>
  <c r="F284"/>
  <c r="G284"/>
  <c r="H284" s="1"/>
  <c r="B381" i="79"/>
  <c r="F527" i="7"/>
  <c r="F283"/>
  <c r="G283" s="1"/>
  <c r="H283" s="1"/>
  <c r="F526"/>
  <c r="F282"/>
  <c r="G282" s="1"/>
  <c r="H282" s="1"/>
  <c r="H1554" i="78"/>
  <c r="F516" i="7"/>
  <c r="H1518" i="78"/>
  <c r="F515" i="7"/>
  <c r="H1337" i="78"/>
  <c r="F512" i="7"/>
  <c r="H1408" i="78"/>
  <c r="F514" i="7"/>
  <c r="H1373" i="78"/>
  <c r="F513" i="7"/>
  <c r="H1300" i="78"/>
  <c r="F511" i="7"/>
  <c r="H1280" i="78"/>
  <c r="F510" i="7"/>
  <c r="H1041" i="78"/>
  <c r="F502" i="7"/>
  <c r="H1011" i="78"/>
  <c r="F500" i="7"/>
  <c r="H1089" i="78"/>
  <c r="F505" i="7"/>
  <c r="F266"/>
  <c r="H1125" i="78"/>
  <c r="F506" i="7"/>
  <c r="H1057" i="78"/>
  <c r="F503" i="7"/>
  <c r="H8" i="78"/>
  <c r="F499" i="7"/>
  <c r="H1501" i="78"/>
  <c r="H1026"/>
  <c r="F501" i="7"/>
  <c r="H1208" i="78"/>
  <c r="F509" i="7"/>
  <c r="H1073" i="78"/>
  <c r="F504" i="7"/>
  <c r="H1157" i="78"/>
  <c r="F507" i="7"/>
  <c r="H1189" i="78"/>
  <c r="F508" i="7"/>
  <c r="B585" i="79"/>
  <c r="B611"/>
  <c r="B199"/>
  <c r="H995" i="78"/>
  <c r="F270" i="7"/>
  <c r="H1491" i="78"/>
  <c r="F267" i="7"/>
  <c r="H336" i="78"/>
  <c r="F271" i="7"/>
  <c r="H195" i="78"/>
  <c r="F268" i="7"/>
  <c r="H705" i="78"/>
  <c r="F272" i="7"/>
  <c r="H17" i="78"/>
  <c r="F265" i="7"/>
  <c r="H203" i="78"/>
  <c r="B668"/>
  <c r="F269" i="7"/>
  <c r="B1481" i="78"/>
  <c r="F275" i="7"/>
  <c r="G275" s="1"/>
  <c r="H275" s="1"/>
  <c r="F276"/>
  <c r="G276"/>
  <c r="H276" s="1"/>
  <c r="F277"/>
  <c r="G277" s="1"/>
  <c r="H277" s="1"/>
  <c r="F278"/>
  <c r="G278"/>
  <c r="H278" s="1"/>
  <c r="F279"/>
  <c r="G279" s="1"/>
  <c r="H279" s="1"/>
  <c r="F280"/>
  <c r="G280"/>
  <c r="H280" s="1"/>
  <c r="B416" i="79"/>
  <c r="B431"/>
  <c r="B447"/>
  <c r="B468"/>
  <c r="B557"/>
  <c r="B215"/>
  <c r="B157"/>
  <c r="B731"/>
  <c r="B695"/>
  <c r="B672"/>
  <c r="B361" i="78"/>
  <c r="B346" i="79"/>
  <c r="B103"/>
  <c r="B776"/>
  <c r="B514"/>
  <c r="B168"/>
  <c r="B279"/>
  <c r="B722"/>
  <c r="B848"/>
  <c r="B821"/>
  <c r="B326"/>
  <c r="B830"/>
  <c r="B951" i="78"/>
  <c r="B686" i="79"/>
  <c r="B812"/>
  <c r="B785"/>
  <c r="B758"/>
  <c r="B135"/>
  <c r="B311"/>
  <c r="B794"/>
  <c r="B803"/>
  <c r="B704"/>
  <c r="B978" i="78"/>
  <c r="B39" i="79"/>
  <c r="B223"/>
  <c r="B23"/>
  <c r="B184"/>
  <c r="B71"/>
  <c r="B688" i="78"/>
  <c r="B549"/>
  <c r="B767" i="79"/>
  <c r="B255"/>
  <c r="B664"/>
  <c r="B839"/>
  <c r="B740"/>
  <c r="B713"/>
  <c r="B529"/>
  <c r="B647"/>
  <c r="B207"/>
  <c r="B484"/>
  <c r="B499"/>
  <c r="B655"/>
  <c r="B17" i="78"/>
  <c r="B600"/>
  <c r="B1244"/>
  <c r="B1057"/>
  <c r="B1408"/>
  <c r="B843"/>
  <c r="B924"/>
  <c r="B816"/>
  <c r="B797"/>
  <c r="B1444"/>
  <c r="B397"/>
  <c r="B138"/>
  <c r="B888"/>
  <c r="B182"/>
  <c r="B637"/>
  <c r="B1491"/>
  <c r="B107"/>
  <c r="B627"/>
  <c r="B481"/>
  <c r="B960"/>
  <c r="B498"/>
  <c r="B995"/>
  <c r="B722"/>
  <c r="B302"/>
  <c r="B351"/>
  <c r="B43"/>
  <c r="B515"/>
  <c r="B764"/>
  <c r="B987"/>
  <c r="B969"/>
  <c r="B532"/>
  <c r="B679"/>
  <c r="B173"/>
  <c r="B91"/>
  <c r="B1501"/>
  <c r="B825"/>
  <c r="B852"/>
  <c r="B388"/>
  <c r="B1011"/>
  <c r="B942"/>
  <c r="B463"/>
  <c r="B566"/>
  <c r="B122"/>
  <c r="B83"/>
  <c r="B897"/>
  <c r="B378"/>
  <c r="B879"/>
  <c r="B870"/>
  <c r="B266"/>
  <c r="B246"/>
  <c r="B203"/>
  <c r="B915"/>
  <c r="B318"/>
  <c r="B1300"/>
  <c r="B834"/>
  <c r="B293"/>
  <c r="B336"/>
  <c r="B647"/>
  <c r="B211"/>
  <c r="B747"/>
  <c r="B284"/>
  <c r="B327"/>
  <c r="B583"/>
  <c r="B147"/>
  <c r="B617"/>
  <c r="B369"/>
  <c r="B1337"/>
  <c r="B705"/>
  <c r="B1125"/>
  <c r="B429"/>
  <c r="B933"/>
  <c r="B730"/>
  <c r="B657"/>
  <c r="B861"/>
  <c r="B906"/>
  <c r="B195"/>
  <c r="B26"/>
  <c r="B157"/>
  <c r="B446"/>
  <c r="B1157"/>
  <c r="B1554"/>
  <c r="B1041"/>
  <c r="B1208"/>
  <c r="B1073"/>
  <c r="B1026"/>
  <c r="B1002"/>
  <c r="B67"/>
  <c r="B275"/>
  <c r="B35"/>
  <c r="B51"/>
  <c r="B227"/>
  <c r="B1373"/>
  <c r="B1280"/>
  <c r="B1189"/>
  <c r="B1089"/>
  <c r="B1518"/>
  <c r="B219"/>
  <c r="F696" i="77"/>
  <c r="G696" s="1"/>
  <c r="G697" s="1"/>
  <c r="H691" s="1"/>
  <c r="C696"/>
  <c r="F332"/>
  <c r="G332"/>
  <c r="F331"/>
  <c r="G331"/>
  <c r="F329"/>
  <c r="G329"/>
  <c r="F328"/>
  <c r="G328"/>
  <c r="C332"/>
  <c r="C331"/>
  <c r="C329"/>
  <c r="C328"/>
  <c r="C322"/>
  <c r="C320"/>
  <c r="F4"/>
  <c r="E4"/>
  <c r="C1"/>
  <c r="C2"/>
  <c r="C3"/>
  <c r="C4"/>
  <c r="B2"/>
  <c r="B3"/>
  <c r="B4"/>
  <c r="B1"/>
  <c r="F989"/>
  <c r="G989"/>
  <c r="F992"/>
  <c r="G992"/>
  <c r="F991"/>
  <c r="G991"/>
  <c r="F983"/>
  <c r="G983"/>
  <c r="F982"/>
  <c r="G982"/>
  <c r="F975"/>
  <c r="G975"/>
  <c r="F976"/>
  <c r="G976"/>
  <c r="F977"/>
  <c r="G977"/>
  <c r="F978"/>
  <c r="G978"/>
  <c r="F979"/>
  <c r="G979"/>
  <c r="F980"/>
  <c r="F974"/>
  <c r="F965"/>
  <c r="G965"/>
  <c r="F968"/>
  <c r="G968"/>
  <c r="F967"/>
  <c r="G967"/>
  <c r="F959"/>
  <c r="G959"/>
  <c r="F958"/>
  <c r="G958"/>
  <c r="F956"/>
  <c r="G956"/>
  <c r="F955"/>
  <c r="G955"/>
  <c r="F946"/>
  <c r="G946"/>
  <c r="F947"/>
  <c r="G947"/>
  <c r="F948"/>
  <c r="G948"/>
  <c r="F945"/>
  <c r="G945"/>
  <c r="F944"/>
  <c r="G944"/>
  <c r="F943"/>
  <c r="G943"/>
  <c r="F942"/>
  <c r="G942"/>
  <c r="F827"/>
  <c r="G827"/>
  <c r="F826"/>
  <c r="G826"/>
  <c r="F825"/>
  <c r="G825"/>
  <c r="F824"/>
  <c r="G824"/>
  <c r="F820"/>
  <c r="G820"/>
  <c r="F821"/>
  <c r="G821"/>
  <c r="F822"/>
  <c r="G822"/>
  <c r="F819"/>
  <c r="G819"/>
  <c r="F540"/>
  <c r="G540"/>
  <c r="F539"/>
  <c r="G539"/>
  <c r="F537"/>
  <c r="G537" s="1"/>
  <c r="G541" s="1"/>
  <c r="F510"/>
  <c r="G510" s="1"/>
  <c r="F513"/>
  <c r="G513" s="1"/>
  <c r="F512"/>
  <c r="G512" s="1"/>
  <c r="F477"/>
  <c r="G477" s="1"/>
  <c r="F476"/>
  <c r="G476" s="1"/>
  <c r="F474"/>
  <c r="G474" s="1"/>
  <c r="F473"/>
  <c r="G473" s="1"/>
  <c r="F472"/>
  <c r="G472" s="1"/>
  <c r="F464"/>
  <c r="G464" s="1"/>
  <c r="F463"/>
  <c r="G463"/>
  <c r="F461"/>
  <c r="G461"/>
  <c r="F460"/>
  <c r="G460"/>
  <c r="F459"/>
  <c r="G459" s="1"/>
  <c r="F458"/>
  <c r="G458" s="1"/>
  <c r="G465" s="1"/>
  <c r="F436"/>
  <c r="G436" s="1"/>
  <c r="F435"/>
  <c r="G435" s="1"/>
  <c r="F432"/>
  <c r="G432" s="1"/>
  <c r="F433"/>
  <c r="G433" s="1"/>
  <c r="F431"/>
  <c r="G431" s="1"/>
  <c r="F430"/>
  <c r="G430" s="1"/>
  <c r="G437" s="1"/>
  <c r="C949"/>
  <c r="B949"/>
  <c r="C992"/>
  <c r="C991"/>
  <c r="C989"/>
  <c r="C983"/>
  <c r="C982"/>
  <c r="C975"/>
  <c r="C976"/>
  <c r="C977"/>
  <c r="C978"/>
  <c r="C979"/>
  <c r="C980"/>
  <c r="C974"/>
  <c r="C968"/>
  <c r="C967"/>
  <c r="C965"/>
  <c r="C959"/>
  <c r="C958"/>
  <c r="C956"/>
  <c r="C955"/>
  <c r="C946"/>
  <c r="C947"/>
  <c r="C948"/>
  <c r="C945"/>
  <c r="C944"/>
  <c r="C943"/>
  <c r="C942"/>
  <c r="C827"/>
  <c r="C826"/>
  <c r="C825"/>
  <c r="C824"/>
  <c r="C821"/>
  <c r="C822"/>
  <c r="C820"/>
  <c r="C819"/>
  <c r="C582"/>
  <c r="C581"/>
  <c r="C579"/>
  <c r="C550"/>
  <c r="C549"/>
  <c r="C546"/>
  <c r="C540"/>
  <c r="C539"/>
  <c r="C537"/>
  <c r="C510"/>
  <c r="C513"/>
  <c r="C512"/>
  <c r="C477"/>
  <c r="C476"/>
  <c r="C474"/>
  <c r="C473"/>
  <c r="C472"/>
  <c r="C464"/>
  <c r="C463"/>
  <c r="C460"/>
  <c r="C461"/>
  <c r="C459"/>
  <c r="C458"/>
  <c r="C450"/>
  <c r="C449"/>
  <c r="C446"/>
  <c r="C447"/>
  <c r="C445"/>
  <c r="C444"/>
  <c r="C436"/>
  <c r="C435"/>
  <c r="C432"/>
  <c r="C433"/>
  <c r="C431"/>
  <c r="C430"/>
  <c r="C396"/>
  <c r="C395"/>
  <c r="C393"/>
  <c r="C392"/>
  <c r="C391"/>
  <c r="C343"/>
  <c r="C342"/>
  <c r="C340"/>
  <c r="C339"/>
  <c r="C338"/>
  <c r="F133"/>
  <c r="G133"/>
  <c r="F132"/>
  <c r="G132"/>
  <c r="F130"/>
  <c r="G130"/>
  <c r="F129"/>
  <c r="G129"/>
  <c r="F128"/>
  <c r="G128"/>
  <c r="C133"/>
  <c r="C132"/>
  <c r="C130"/>
  <c r="C129"/>
  <c r="C128"/>
  <c r="F120"/>
  <c r="G120" s="1"/>
  <c r="F119"/>
  <c r="G119" s="1"/>
  <c r="C120"/>
  <c r="C119"/>
  <c r="F117"/>
  <c r="G117" s="1"/>
  <c r="F116"/>
  <c r="G116" s="1"/>
  <c r="F115"/>
  <c r="G115" s="1"/>
  <c r="C117"/>
  <c r="C116"/>
  <c r="C115"/>
  <c r="C81"/>
  <c r="C80"/>
  <c r="C78"/>
  <c r="C77"/>
  <c r="C76"/>
  <c r="F42"/>
  <c r="G42" s="1"/>
  <c r="F41"/>
  <c r="G41" s="1"/>
  <c r="C42"/>
  <c r="C41"/>
  <c r="C38"/>
  <c r="C39"/>
  <c r="F38"/>
  <c r="G38" s="1"/>
  <c r="F39"/>
  <c r="G39" s="1"/>
  <c r="F37"/>
  <c r="G37" s="1"/>
  <c r="G43" s="1"/>
  <c r="C37"/>
  <c r="C29"/>
  <c r="C28"/>
  <c r="C26"/>
  <c r="C25"/>
  <c r="C24"/>
  <c r="G1024"/>
  <c r="G1022"/>
  <c r="G1016"/>
  <c r="G1014"/>
  <c r="G1008"/>
  <c r="G1006"/>
  <c r="G1000"/>
  <c r="G998"/>
  <c r="D981"/>
  <c r="C981"/>
  <c r="B981"/>
  <c r="G980"/>
  <c r="G974"/>
  <c r="D949"/>
  <c r="G936"/>
  <c r="G935"/>
  <c r="G934"/>
  <c r="G932"/>
  <c r="G931"/>
  <c r="G930"/>
  <c r="G922"/>
  <c r="G921"/>
  <c r="G919"/>
  <c r="G918"/>
  <c r="D913"/>
  <c r="F903"/>
  <c r="G905"/>
  <c r="G903"/>
  <c r="C903"/>
  <c r="D898"/>
  <c r="F885"/>
  <c r="G885"/>
  <c r="G889"/>
  <c r="G888"/>
  <c r="G886"/>
  <c r="C885"/>
  <c r="G877"/>
  <c r="G875"/>
  <c r="G874"/>
  <c r="D869"/>
  <c r="G859"/>
  <c r="G858"/>
  <c r="G856"/>
  <c r="F855"/>
  <c r="G855"/>
  <c r="C855"/>
  <c r="G849"/>
  <c r="G847"/>
  <c r="G841"/>
  <c r="G840"/>
  <c r="G839"/>
  <c r="G838"/>
  <c r="G836"/>
  <c r="G835"/>
  <c r="G834"/>
  <c r="G833"/>
  <c r="D813"/>
  <c r="D812"/>
  <c r="D811"/>
  <c r="G804"/>
  <c r="G803"/>
  <c r="G801"/>
  <c r="G794"/>
  <c r="F794"/>
  <c r="E794"/>
  <c r="C794"/>
  <c r="B794"/>
  <c r="G793"/>
  <c r="F793"/>
  <c r="E793"/>
  <c r="C793"/>
  <c r="B793"/>
  <c r="G792"/>
  <c r="F792"/>
  <c r="E792"/>
  <c r="C792"/>
  <c r="B792"/>
  <c r="G789"/>
  <c r="F789"/>
  <c r="E789"/>
  <c r="D789"/>
  <c r="D794"/>
  <c r="C789"/>
  <c r="B789"/>
  <c r="G788"/>
  <c r="F788"/>
  <c r="E788"/>
  <c r="D788"/>
  <c r="D793"/>
  <c r="C788"/>
  <c r="B788"/>
  <c r="G787"/>
  <c r="F787"/>
  <c r="E787"/>
  <c r="D787"/>
  <c r="D792"/>
  <c r="C787"/>
  <c r="B787"/>
  <c r="G783"/>
  <c r="F783"/>
  <c r="E783"/>
  <c r="C783"/>
  <c r="B783"/>
  <c r="G782"/>
  <c r="F782"/>
  <c r="E782"/>
  <c r="C782"/>
  <c r="B782"/>
  <c r="G781"/>
  <c r="F781"/>
  <c r="E781"/>
  <c r="C781"/>
  <c r="B781"/>
  <c r="D764"/>
  <c r="G754"/>
  <c r="G752"/>
  <c r="F751"/>
  <c r="G751"/>
  <c r="D751"/>
  <c r="C751"/>
  <c r="D746"/>
  <c r="F735"/>
  <c r="G735"/>
  <c r="G738"/>
  <c r="G737"/>
  <c r="D735"/>
  <c r="C735"/>
  <c r="D730"/>
  <c r="F719"/>
  <c r="G719"/>
  <c r="G722"/>
  <c r="G721"/>
  <c r="D719"/>
  <c r="C719"/>
  <c r="G713"/>
  <c r="G712"/>
  <c r="G710"/>
  <c r="G709"/>
  <c r="D704"/>
  <c r="F694"/>
  <c r="G694"/>
  <c r="D694"/>
  <c r="G686"/>
  <c r="G685"/>
  <c r="G683"/>
  <c r="G682"/>
  <c r="G681"/>
  <c r="G673"/>
  <c r="G672"/>
  <c r="G670"/>
  <c r="G669"/>
  <c r="G668"/>
  <c r="G660"/>
  <c r="G659"/>
  <c r="G657"/>
  <c r="G656"/>
  <c r="G650"/>
  <c r="G649"/>
  <c r="G647"/>
  <c r="G646"/>
  <c r="G645"/>
  <c r="D638"/>
  <c r="D640"/>
  <c r="F628"/>
  <c r="G628"/>
  <c r="G632"/>
  <c r="G631"/>
  <c r="G629"/>
  <c r="D628"/>
  <c r="C628"/>
  <c r="G627"/>
  <c r="G626"/>
  <c r="G625"/>
  <c r="G624"/>
  <c r="G618"/>
  <c r="G617"/>
  <c r="G616"/>
  <c r="G615"/>
  <c r="G613"/>
  <c r="G612"/>
  <c r="G611"/>
  <c r="G610"/>
  <c r="G609"/>
  <c r="G608"/>
  <c r="G607"/>
  <c r="G606"/>
  <c r="G605"/>
  <c r="G599"/>
  <c r="G597"/>
  <c r="G591"/>
  <c r="G590"/>
  <c r="G588"/>
  <c r="G573"/>
  <c r="G572"/>
  <c r="G570"/>
  <c r="D547"/>
  <c r="C547"/>
  <c r="D546"/>
  <c r="G531"/>
  <c r="G530"/>
  <c r="G528"/>
  <c r="G522"/>
  <c r="G521"/>
  <c r="G519"/>
  <c r="G503"/>
  <c r="G502"/>
  <c r="G500"/>
  <c r="G499"/>
  <c r="G498"/>
  <c r="G490"/>
  <c r="G489"/>
  <c r="G487"/>
  <c r="G486"/>
  <c r="G485"/>
  <c r="G422"/>
  <c r="G421"/>
  <c r="G419"/>
  <c r="G418"/>
  <c r="G417"/>
  <c r="G409"/>
  <c r="G408"/>
  <c r="G406"/>
  <c r="G405"/>
  <c r="G404"/>
  <c r="G370"/>
  <c r="G369"/>
  <c r="G367"/>
  <c r="G366"/>
  <c r="G365"/>
  <c r="G364"/>
  <c r="G363"/>
  <c r="G356"/>
  <c r="G355"/>
  <c r="G353"/>
  <c r="G352"/>
  <c r="G351"/>
  <c r="G350"/>
  <c r="G349"/>
  <c r="G313"/>
  <c r="G311"/>
  <c r="G305"/>
  <c r="G303"/>
  <c r="G297"/>
  <c r="G295"/>
  <c r="G289"/>
  <c r="F289"/>
  <c r="E289"/>
  <c r="C289"/>
  <c r="B289"/>
  <c r="G288"/>
  <c r="F288"/>
  <c r="E288"/>
  <c r="C288"/>
  <c r="B288"/>
  <c r="G287"/>
  <c r="F287"/>
  <c r="E287"/>
  <c r="C287"/>
  <c r="B287"/>
  <c r="G284"/>
  <c r="F284"/>
  <c r="E284"/>
  <c r="D284"/>
  <c r="D289"/>
  <c r="C284"/>
  <c r="B284"/>
  <c r="G283"/>
  <c r="F283"/>
  <c r="E283"/>
  <c r="D283"/>
  <c r="D288"/>
  <c r="C283"/>
  <c r="B283"/>
  <c r="G282"/>
  <c r="F282"/>
  <c r="E282"/>
  <c r="D282"/>
  <c r="D287"/>
  <c r="C282"/>
  <c r="B282"/>
  <c r="G278"/>
  <c r="F278"/>
  <c r="E278"/>
  <c r="C278"/>
  <c r="B278"/>
  <c r="G277"/>
  <c r="F277"/>
  <c r="E277"/>
  <c r="C277"/>
  <c r="B277"/>
  <c r="G276"/>
  <c r="F276"/>
  <c r="E276"/>
  <c r="C276"/>
  <c r="B276"/>
  <c r="D264"/>
  <c r="C264"/>
  <c r="G258"/>
  <c r="F258"/>
  <c r="E258"/>
  <c r="C258"/>
  <c r="B258"/>
  <c r="G257"/>
  <c r="F257"/>
  <c r="E257"/>
  <c r="C257"/>
  <c r="B257"/>
  <c r="G256"/>
  <c r="F256"/>
  <c r="E256"/>
  <c r="C256"/>
  <c r="B256"/>
  <c r="G253"/>
  <c r="F253"/>
  <c r="E253"/>
  <c r="D253"/>
  <c r="D258"/>
  <c r="C253"/>
  <c r="B253"/>
  <c r="G252"/>
  <c r="F252"/>
  <c r="E252"/>
  <c r="D252"/>
  <c r="D257"/>
  <c r="C252"/>
  <c r="B252"/>
  <c r="G251"/>
  <c r="F251"/>
  <c r="E251"/>
  <c r="D251"/>
  <c r="D256"/>
  <c r="C251"/>
  <c r="B251"/>
  <c r="G247"/>
  <c r="F247"/>
  <c r="E247"/>
  <c r="C247"/>
  <c r="B247"/>
  <c r="G246"/>
  <c r="F246"/>
  <c r="E246"/>
  <c r="C246"/>
  <c r="B246"/>
  <c r="G245"/>
  <c r="F245"/>
  <c r="E245"/>
  <c r="C245"/>
  <c r="B245"/>
  <c r="D233"/>
  <c r="C233"/>
  <c r="G227"/>
  <c r="F227"/>
  <c r="E227"/>
  <c r="C227"/>
  <c r="B227"/>
  <c r="G226"/>
  <c r="F226"/>
  <c r="E226"/>
  <c r="C226"/>
  <c r="B226"/>
  <c r="G225"/>
  <c r="F225"/>
  <c r="C225"/>
  <c r="B225"/>
  <c r="G222"/>
  <c r="F222"/>
  <c r="E222"/>
  <c r="D222"/>
  <c r="D227"/>
  <c r="C222"/>
  <c r="B222"/>
  <c r="G221"/>
  <c r="F221"/>
  <c r="E221"/>
  <c r="D221"/>
  <c r="D226"/>
  <c r="C221"/>
  <c r="B221"/>
  <c r="G220"/>
  <c r="F220"/>
  <c r="D220"/>
  <c r="D225"/>
  <c r="C220"/>
  <c r="B220"/>
  <c r="G216"/>
  <c r="F216"/>
  <c r="E216"/>
  <c r="C216"/>
  <c r="B216"/>
  <c r="G215"/>
  <c r="F215"/>
  <c r="E215"/>
  <c r="C215"/>
  <c r="B215"/>
  <c r="G214"/>
  <c r="F214"/>
  <c r="C214"/>
  <c r="B214"/>
  <c r="E209"/>
  <c r="E225"/>
  <c r="D202"/>
  <c r="C202"/>
  <c r="G195"/>
  <c r="F195"/>
  <c r="E195"/>
  <c r="C195"/>
  <c r="B195"/>
  <c r="G194"/>
  <c r="F194"/>
  <c r="E194"/>
  <c r="C194"/>
  <c r="B194"/>
  <c r="G190"/>
  <c r="F190"/>
  <c r="E190"/>
  <c r="D190"/>
  <c r="D195"/>
  <c r="C190"/>
  <c r="B190"/>
  <c r="G189"/>
  <c r="F189"/>
  <c r="E189"/>
  <c r="D189"/>
  <c r="D194"/>
  <c r="C189"/>
  <c r="B189"/>
  <c r="G184"/>
  <c r="F184"/>
  <c r="E184"/>
  <c r="C184"/>
  <c r="B184"/>
  <c r="G183"/>
  <c r="F183"/>
  <c r="E183"/>
  <c r="C183"/>
  <c r="B183"/>
  <c r="D171"/>
  <c r="C171"/>
  <c r="G165"/>
  <c r="F165"/>
  <c r="E165"/>
  <c r="C165"/>
  <c r="B165"/>
  <c r="G164"/>
  <c r="F164"/>
  <c r="E164"/>
  <c r="C164"/>
  <c r="B164"/>
  <c r="G163"/>
  <c r="F163"/>
  <c r="E163"/>
  <c r="C163"/>
  <c r="B163"/>
  <c r="G160"/>
  <c r="F160"/>
  <c r="E160"/>
  <c r="D160"/>
  <c r="D165"/>
  <c r="C160"/>
  <c r="B160"/>
  <c r="G159"/>
  <c r="F159"/>
  <c r="E159"/>
  <c r="D159"/>
  <c r="D164"/>
  <c r="C159"/>
  <c r="B159"/>
  <c r="G158"/>
  <c r="F158"/>
  <c r="E158"/>
  <c r="D158"/>
  <c r="D163"/>
  <c r="C158"/>
  <c r="B158"/>
  <c r="K156"/>
  <c r="G154"/>
  <c r="F154"/>
  <c r="E154"/>
  <c r="C154"/>
  <c r="B154"/>
  <c r="G153"/>
  <c r="F153"/>
  <c r="E153"/>
  <c r="C153"/>
  <c r="B153"/>
  <c r="G152"/>
  <c r="F152"/>
  <c r="E152"/>
  <c r="C152"/>
  <c r="B152"/>
  <c r="D141"/>
  <c r="C141"/>
  <c r="G107"/>
  <c r="G106"/>
  <c r="G104"/>
  <c r="G103"/>
  <c r="G102"/>
  <c r="G94"/>
  <c r="G93"/>
  <c r="G91"/>
  <c r="G90"/>
  <c r="G89"/>
  <c r="G68"/>
  <c r="G67"/>
  <c r="G65"/>
  <c r="G64"/>
  <c r="G63"/>
  <c r="G55"/>
  <c r="G54"/>
  <c r="G52"/>
  <c r="G51"/>
  <c r="G50"/>
  <c r="G16"/>
  <c r="G15"/>
  <c r="G13"/>
  <c r="G12"/>
  <c r="G11"/>
  <c r="G600"/>
  <c r="H594"/>
  <c r="G56"/>
  <c r="H47"/>
  <c r="G69"/>
  <c r="H60"/>
  <c r="D197"/>
  <c r="F171"/>
  <c r="G171"/>
  <c r="G172"/>
  <c r="H168"/>
  <c r="G661"/>
  <c r="G714"/>
  <c r="H706"/>
  <c r="G723"/>
  <c r="H716"/>
  <c r="E214"/>
  <c r="E220"/>
  <c r="G850"/>
  <c r="H844"/>
  <c r="G1001"/>
  <c r="H995"/>
  <c r="D290"/>
  <c r="F264"/>
  <c r="G264"/>
  <c r="G265"/>
  <c r="H261"/>
  <c r="G357"/>
  <c r="H346"/>
  <c r="G410"/>
  <c r="H401"/>
  <c r="D166"/>
  <c r="F141"/>
  <c r="G141"/>
  <c r="G142"/>
  <c r="H138"/>
  <c r="D259"/>
  <c r="F233"/>
  <c r="G233"/>
  <c r="G234"/>
  <c r="H230"/>
  <c r="G842"/>
  <c r="H830"/>
  <c r="G923"/>
  <c r="H915"/>
  <c r="D795"/>
  <c r="F769"/>
  <c r="G769"/>
  <c r="G770"/>
  <c r="H766"/>
  <c r="D814"/>
  <c r="F800"/>
  <c r="G800"/>
  <c r="G805"/>
  <c r="H797"/>
  <c r="G1009"/>
  <c r="H1003"/>
  <c r="G306"/>
  <c r="H300"/>
  <c r="G17"/>
  <c r="H8"/>
  <c r="G491"/>
  <c r="H482"/>
  <c r="G314"/>
  <c r="H308"/>
  <c r="G687"/>
  <c r="H678"/>
  <c r="G1017"/>
  <c r="H1011"/>
  <c r="G574"/>
  <c r="H567"/>
  <c r="G619"/>
  <c r="H602"/>
  <c r="G878"/>
  <c r="G1025"/>
  <c r="H1019"/>
  <c r="G739"/>
  <c r="H732"/>
  <c r="G937"/>
  <c r="H927"/>
  <c r="G523"/>
  <c r="H516"/>
  <c r="G890"/>
  <c r="H882"/>
  <c r="G906"/>
  <c r="H900"/>
  <c r="G371"/>
  <c r="H360"/>
  <c r="G592"/>
  <c r="H585"/>
  <c r="G651"/>
  <c r="H642"/>
  <c r="G860"/>
  <c r="H852"/>
  <c r="G969"/>
  <c r="G960"/>
  <c r="F949"/>
  <c r="G949" s="1"/>
  <c r="G950" s="1"/>
  <c r="G828"/>
  <c r="G134"/>
  <c r="H125" s="1"/>
  <c r="G108"/>
  <c r="H99"/>
  <c r="G298"/>
  <c r="H292"/>
  <c r="G504"/>
  <c r="H495"/>
  <c r="G532"/>
  <c r="H525"/>
  <c r="D228"/>
  <c r="F202"/>
  <c r="G202"/>
  <c r="G203"/>
  <c r="H199"/>
  <c r="G95"/>
  <c r="H86"/>
  <c r="G333"/>
  <c r="H325"/>
  <c r="G423"/>
  <c r="H414"/>
  <c r="G674"/>
  <c r="H665"/>
  <c r="G993"/>
  <c r="F981"/>
  <c r="G981" s="1"/>
  <c r="G984" s="1"/>
  <c r="G633"/>
  <c r="H621"/>
  <c r="G755"/>
  <c r="H748"/>
  <c r="H871"/>
  <c r="F165" i="7"/>
  <c r="H653" i="77"/>
  <c r="F172" i="7"/>
  <c r="H816" i="77"/>
  <c r="F211" i="7"/>
  <c r="F61"/>
  <c r="F62"/>
  <c r="F64"/>
  <c r="F66"/>
  <c r="F67"/>
  <c r="F81"/>
  <c r="F85"/>
  <c r="F86"/>
  <c r="F88"/>
  <c r="F89"/>
  <c r="F90"/>
  <c r="F91"/>
  <c r="F92"/>
  <c r="F106"/>
  <c r="F107"/>
  <c r="F108"/>
  <c r="F109"/>
  <c r="F130"/>
  <c r="F131"/>
  <c r="F132"/>
  <c r="F133"/>
  <c r="F134"/>
  <c r="F135"/>
  <c r="F136"/>
  <c r="F137"/>
  <c r="F138"/>
  <c r="F139"/>
  <c r="F140"/>
  <c r="F141"/>
  <c r="F142"/>
  <c r="F143"/>
  <c r="F144"/>
  <c r="F145"/>
  <c r="F146"/>
  <c r="F147"/>
  <c r="F148"/>
  <c r="F149"/>
  <c r="F150"/>
  <c r="F151"/>
  <c r="F153"/>
  <c r="F157"/>
  <c r="F158"/>
  <c r="F159"/>
  <c r="F160"/>
  <c r="F161"/>
  <c r="F162"/>
  <c r="F163"/>
  <c r="F164"/>
  <c r="F166"/>
  <c r="F167"/>
  <c r="F170"/>
  <c r="F171"/>
  <c r="F173"/>
  <c r="F174"/>
  <c r="F175"/>
  <c r="F176"/>
  <c r="F177"/>
  <c r="F178"/>
  <c r="F179"/>
  <c r="F180"/>
  <c r="F181"/>
  <c r="F182"/>
  <c r="F183"/>
  <c r="F184"/>
  <c r="F186"/>
  <c r="F187"/>
  <c r="F188"/>
  <c r="F189"/>
  <c r="F190"/>
  <c r="F191"/>
  <c r="F192"/>
  <c r="F193"/>
  <c r="F194"/>
  <c r="F195"/>
  <c r="F196"/>
  <c r="F197"/>
  <c r="F198"/>
  <c r="F202"/>
  <c r="F206"/>
  <c r="F208"/>
  <c r="F209"/>
  <c r="F210"/>
  <c r="F212"/>
  <c r="F215"/>
  <c r="F216"/>
  <c r="F217"/>
  <c r="F218"/>
  <c r="F220"/>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3"/>
  <c r="F293"/>
  <c r="F296"/>
  <c r="F297"/>
  <c r="F302"/>
  <c r="G302" s="1"/>
  <c r="H302" s="1"/>
  <c r="H306" s="1"/>
  <c r="D34" i="9" s="1"/>
  <c r="C36" i="8" s="1"/>
  <c r="F303" i="7"/>
  <c r="G303"/>
  <c r="H303" s="1"/>
  <c r="F304"/>
  <c r="G304" s="1"/>
  <c r="H304" s="1"/>
  <c r="F305"/>
  <c r="G305"/>
  <c r="H305" s="1"/>
  <c r="F308"/>
  <c r="G308" s="1"/>
  <c r="H308" s="1"/>
  <c r="F309"/>
  <c r="G309"/>
  <c r="H309" s="1"/>
  <c r="F310"/>
  <c r="G310" s="1"/>
  <c r="H310" s="1"/>
  <c r="F311"/>
  <c r="G311"/>
  <c r="H311" s="1"/>
  <c r="F312"/>
  <c r="G312" s="1"/>
  <c r="H312" s="1"/>
  <c r="F324"/>
  <c r="G324"/>
  <c r="H324" s="1"/>
  <c r="F325"/>
  <c r="G325" s="1"/>
  <c r="H325" s="1"/>
  <c r="F326"/>
  <c r="G326"/>
  <c r="H326" s="1"/>
  <c r="F327"/>
  <c r="G327"/>
  <c r="H327" s="1"/>
  <c r="F328"/>
  <c r="G328" s="1"/>
  <c r="H328" s="1"/>
  <c r="F329"/>
  <c r="G329"/>
  <c r="H329" s="1"/>
  <c r="F331"/>
  <c r="G331" s="1"/>
  <c r="H331" s="1"/>
  <c r="F332"/>
  <c r="G332"/>
  <c r="H332" s="1"/>
  <c r="F333"/>
  <c r="G333" s="1"/>
  <c r="H333" s="1"/>
  <c r="F334"/>
  <c r="G334" s="1"/>
  <c r="H334"/>
  <c r="F335"/>
  <c r="G335"/>
  <c r="H335" s="1"/>
  <c r="E326"/>
  <c r="E333"/>
  <c r="F336"/>
  <c r="G336" s="1"/>
  <c r="H336"/>
  <c r="F337"/>
  <c r="G337"/>
  <c r="H337" s="1"/>
  <c r="F338"/>
  <c r="G338" s="1"/>
  <c r="H338"/>
  <c r="F341"/>
  <c r="G341" s="1"/>
  <c r="H341"/>
  <c r="F344"/>
  <c r="G344"/>
  <c r="H344" s="1"/>
  <c r="F345"/>
  <c r="G345" s="1"/>
  <c r="H345"/>
  <c r="F347"/>
  <c r="G347"/>
  <c r="H347" s="1"/>
  <c r="F349"/>
  <c r="G349" s="1"/>
  <c r="H349"/>
  <c r="F350"/>
  <c r="G350"/>
  <c r="H350" s="1"/>
  <c r="F354"/>
  <c r="G354" s="1"/>
  <c r="H354"/>
  <c r="F355"/>
  <c r="G355"/>
  <c r="H355" s="1"/>
  <c r="F356"/>
  <c r="G356" s="1"/>
  <c r="H356"/>
  <c r="F357"/>
  <c r="G357"/>
  <c r="H357" s="1"/>
  <c r="F358"/>
  <c r="G358" s="1"/>
  <c r="H358"/>
  <c r="F361"/>
  <c r="G361"/>
  <c r="H361" s="1"/>
  <c r="F362"/>
  <c r="G362" s="1"/>
  <c r="H362"/>
  <c r="H364"/>
  <c r="F365"/>
  <c r="G365"/>
  <c r="H365" s="1"/>
  <c r="F366"/>
  <c r="G366" s="1"/>
  <c r="H366" s="1"/>
  <c r="F378"/>
  <c r="G378"/>
  <c r="H378" s="1"/>
  <c r="F379"/>
  <c r="G379" s="1"/>
  <c r="H379" s="1"/>
  <c r="F380"/>
  <c r="G380"/>
  <c r="H380" s="1"/>
  <c r="F385"/>
  <c r="G385" s="1"/>
  <c r="H385" s="1"/>
  <c r="H389" s="1"/>
  <c r="D44" i="9" s="1"/>
  <c r="C46" i="8" s="1"/>
  <c r="F386" i="7"/>
  <c r="G386"/>
  <c r="H386" s="1"/>
  <c r="F387"/>
  <c r="G387" s="1"/>
  <c r="H387" s="1"/>
  <c r="F388"/>
  <c r="G388"/>
  <c r="H388" s="1"/>
  <c r="F391"/>
  <c r="G391" s="1"/>
  <c r="H391" s="1"/>
  <c r="H393" s="1"/>
  <c r="D45" i="9" s="1"/>
  <c r="C47" i="8" s="1"/>
  <c r="F392" i="7"/>
  <c r="G392"/>
  <c r="H392" s="1"/>
  <c r="F398"/>
  <c r="G398" s="1"/>
  <c r="H398" s="1"/>
  <c r="F399"/>
  <c r="G399"/>
  <c r="H399" s="1"/>
  <c r="F400"/>
  <c r="G400" s="1"/>
  <c r="H400" s="1"/>
  <c r="F401"/>
  <c r="G401"/>
  <c r="H401" s="1"/>
  <c r="F402"/>
  <c r="G402" s="1"/>
  <c r="H402" s="1"/>
  <c r="F403"/>
  <c r="G403"/>
  <c r="H403" s="1"/>
  <c r="F404"/>
  <c r="G404" s="1"/>
  <c r="H404" s="1"/>
  <c r="F405"/>
  <c r="G405"/>
  <c r="H405" s="1"/>
  <c r="F406"/>
  <c r="G406" s="1"/>
  <c r="H406" s="1"/>
  <c r="F407"/>
  <c r="G407"/>
  <c r="H407" s="1"/>
  <c r="F408"/>
  <c r="G408" s="1"/>
  <c r="H408" s="1"/>
  <c r="F409"/>
  <c r="G409"/>
  <c r="H409" s="1"/>
  <c r="F411"/>
  <c r="G411" s="1"/>
  <c r="H411" s="1"/>
  <c r="F413"/>
  <c r="G413"/>
  <c r="H413" s="1"/>
  <c r="F414"/>
  <c r="G414" s="1"/>
  <c r="H414" s="1"/>
  <c r="F415"/>
  <c r="G415"/>
  <c r="H415" s="1"/>
  <c r="F416"/>
  <c r="G416" s="1"/>
  <c r="H416" s="1"/>
  <c r="F417"/>
  <c r="G417"/>
  <c r="H417" s="1"/>
  <c r="F418"/>
  <c r="G418" s="1"/>
  <c r="H418" s="1"/>
  <c r="F419"/>
  <c r="G419"/>
  <c r="H419" s="1"/>
  <c r="F423"/>
  <c r="G423" s="1"/>
  <c r="H423" s="1"/>
  <c r="F424"/>
  <c r="G424"/>
  <c r="H424" s="1"/>
  <c r="F425"/>
  <c r="G425" s="1"/>
  <c r="H425" s="1"/>
  <c r="F426"/>
  <c r="G426"/>
  <c r="H426" s="1"/>
  <c r="F427"/>
  <c r="G427" s="1"/>
  <c r="H427" s="1"/>
  <c r="F428"/>
  <c r="G428"/>
  <c r="H428" s="1"/>
  <c r="F429"/>
  <c r="G429" s="1"/>
  <c r="H429" s="1"/>
  <c r="F430"/>
  <c r="G430"/>
  <c r="H430" s="1"/>
  <c r="F431"/>
  <c r="G431" s="1"/>
  <c r="H431" s="1"/>
  <c r="F432"/>
  <c r="G432"/>
  <c r="H432" s="1"/>
  <c r="F433"/>
  <c r="G433" s="1"/>
  <c r="H433" s="1"/>
  <c r="F435"/>
  <c r="G435"/>
  <c r="H435" s="1"/>
  <c r="F436"/>
  <c r="G436" s="1"/>
  <c r="H436" s="1"/>
  <c r="F437"/>
  <c r="G437"/>
  <c r="H437" s="1"/>
  <c r="F438"/>
  <c r="G438" s="1"/>
  <c r="H438" s="1"/>
  <c r="F439"/>
  <c r="G439"/>
  <c r="H439" s="1"/>
  <c r="F440"/>
  <c r="G440" s="1"/>
  <c r="H440" s="1"/>
  <c r="F441"/>
  <c r="G441"/>
  <c r="H441" s="1"/>
  <c r="F442"/>
  <c r="G442" s="1"/>
  <c r="H442" s="1"/>
  <c r="F444"/>
  <c r="G444"/>
  <c r="H444" s="1"/>
  <c r="F446"/>
  <c r="G446" s="1"/>
  <c r="H446" s="1"/>
  <c r="F447"/>
  <c r="G447"/>
  <c r="H447" s="1"/>
  <c r="F448"/>
  <c r="G448" s="1"/>
  <c r="H448" s="1"/>
  <c r="F449"/>
  <c r="G449"/>
  <c r="H449" s="1"/>
  <c r="F450"/>
  <c r="G450" s="1"/>
  <c r="H450" s="1"/>
  <c r="F452"/>
  <c r="G452"/>
  <c r="H452" s="1"/>
  <c r="F455"/>
  <c r="G455" s="1"/>
  <c r="H455" s="1"/>
  <c r="F456"/>
  <c r="G456"/>
  <c r="H456" s="1"/>
  <c r="F457"/>
  <c r="G457" s="1"/>
  <c r="H457" s="1"/>
  <c r="F458"/>
  <c r="G458"/>
  <c r="H458" s="1"/>
  <c r="F459"/>
  <c r="G459" s="1"/>
  <c r="H459" s="1"/>
  <c r="F460"/>
  <c r="F461"/>
  <c r="G461" s="1"/>
  <c r="H461" s="1"/>
  <c r="F462"/>
  <c r="G462"/>
  <c r="H462" s="1"/>
  <c r="F463"/>
  <c r="G463" s="1"/>
  <c r="H463" s="1"/>
  <c r="F464"/>
  <c r="G464"/>
  <c r="H464" s="1"/>
  <c r="F465"/>
  <c r="G465" s="1"/>
  <c r="H465" s="1"/>
  <c r="F466"/>
  <c r="G466"/>
  <c r="H466" s="1"/>
  <c r="F467"/>
  <c r="G467" s="1"/>
  <c r="H467" s="1"/>
  <c r="F468"/>
  <c r="G468"/>
  <c r="H468" s="1"/>
  <c r="F469"/>
  <c r="G469" s="1"/>
  <c r="H469" s="1"/>
  <c r="F470"/>
  <c r="G470"/>
  <c r="H470" s="1"/>
  <c r="F471"/>
  <c r="G471" s="1"/>
  <c r="H471" s="1"/>
  <c r="F472"/>
  <c r="G472"/>
  <c r="H472" s="1"/>
  <c r="F473"/>
  <c r="G473" s="1"/>
  <c r="H473" s="1"/>
  <c r="F474"/>
  <c r="G474"/>
  <c r="H474" s="1"/>
  <c r="F475"/>
  <c r="G475" s="1"/>
  <c r="H475" s="1"/>
  <c r="F476"/>
  <c r="G476"/>
  <c r="H476" s="1"/>
  <c r="F477"/>
  <c r="G477" s="1"/>
  <c r="H477" s="1"/>
  <c r="F478"/>
  <c r="G478"/>
  <c r="H478" s="1"/>
  <c r="F479"/>
  <c r="G479" s="1"/>
  <c r="H479" s="1"/>
  <c r="F480"/>
  <c r="G480"/>
  <c r="H480" s="1"/>
  <c r="F481"/>
  <c r="G481" s="1"/>
  <c r="H481" s="1"/>
  <c r="F482"/>
  <c r="G482"/>
  <c r="H482" s="1"/>
  <c r="F483"/>
  <c r="G483" s="1"/>
  <c r="H483" s="1"/>
  <c r="F484"/>
  <c r="G484"/>
  <c r="H484" s="1"/>
  <c r="F485"/>
  <c r="G485" s="1"/>
  <c r="H485" s="1"/>
  <c r="F486"/>
  <c r="G486"/>
  <c r="H486" s="1"/>
  <c r="F487"/>
  <c r="G487" s="1"/>
  <c r="H487" s="1"/>
  <c r="F488"/>
  <c r="G488"/>
  <c r="H488" s="1"/>
  <c r="F489"/>
  <c r="G489" s="1"/>
  <c r="H489" s="1"/>
  <c r="G490"/>
  <c r="H490"/>
  <c r="G491"/>
  <c r="H491"/>
  <c r="G492"/>
  <c r="H492"/>
  <c r="G493"/>
  <c r="H493"/>
  <c r="G494"/>
  <c r="H494"/>
  <c r="G495"/>
  <c r="H495"/>
  <c r="G496"/>
  <c r="H496"/>
  <c r="G497"/>
  <c r="H497"/>
  <c r="G498"/>
  <c r="H498"/>
  <c r="G499"/>
  <c r="H499"/>
  <c r="G500"/>
  <c r="H500"/>
  <c r="G501"/>
  <c r="H501"/>
  <c r="G502"/>
  <c r="H502"/>
  <c r="G503"/>
  <c r="H503"/>
  <c r="G504"/>
  <c r="H504"/>
  <c r="G505"/>
  <c r="H505"/>
  <c r="G507"/>
  <c r="H507"/>
  <c r="G508"/>
  <c r="H508"/>
  <c r="G509"/>
  <c r="H509"/>
  <c r="G510"/>
  <c r="H510"/>
  <c r="G511"/>
  <c r="H511"/>
  <c r="G512"/>
  <c r="H512"/>
  <c r="G513"/>
  <c r="H513"/>
  <c r="G514"/>
  <c r="H514"/>
  <c r="G515"/>
  <c r="H515"/>
  <c r="G516"/>
  <c r="H516"/>
  <c r="F519"/>
  <c r="G519"/>
  <c r="H519" s="1"/>
  <c r="F520"/>
  <c r="G520" s="1"/>
  <c r="H520" s="1"/>
  <c r="F521"/>
  <c r="G521"/>
  <c r="H521" s="1"/>
  <c r="F522"/>
  <c r="G522" s="1"/>
  <c r="H522" s="1"/>
  <c r="F523"/>
  <c r="G523"/>
  <c r="H523" s="1"/>
  <c r="F524"/>
  <c r="G524" s="1"/>
  <c r="H524" s="1"/>
  <c r="G525"/>
  <c r="H525"/>
  <c r="G526"/>
  <c r="H526"/>
  <c r="G527"/>
  <c r="H527"/>
  <c r="G528"/>
  <c r="H528"/>
  <c r="G529"/>
  <c r="H529"/>
  <c r="G530"/>
  <c r="H530"/>
  <c r="G531"/>
  <c r="H531"/>
  <c r="G532"/>
  <c r="H532"/>
  <c r="G533"/>
  <c r="H533"/>
  <c r="G534"/>
  <c r="H534"/>
  <c r="G535"/>
  <c r="H535"/>
  <c r="F10" i="68"/>
  <c r="G460" i="7"/>
  <c r="H460" s="1"/>
  <c r="C524"/>
  <c r="C523"/>
  <c r="C522"/>
  <c r="C521"/>
  <c r="C520"/>
  <c r="C519"/>
  <c r="G506"/>
  <c r="H506" s="1"/>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2"/>
  <c r="C450"/>
  <c r="C449"/>
  <c r="C448"/>
  <c r="C447"/>
  <c r="C446"/>
  <c r="C444"/>
  <c r="C442"/>
  <c r="C441"/>
  <c r="C440"/>
  <c r="C439"/>
  <c r="C438"/>
  <c r="C437"/>
  <c r="C436"/>
  <c r="C435"/>
  <c r="C433"/>
  <c r="C432"/>
  <c r="C431"/>
  <c r="C430"/>
  <c r="C429"/>
  <c r="C428"/>
  <c r="C427"/>
  <c r="C426"/>
  <c r="C425"/>
  <c r="C424"/>
  <c r="C423"/>
  <c r="C419"/>
  <c r="C418"/>
  <c r="C417"/>
  <c r="C416"/>
  <c r="C415"/>
  <c r="C414"/>
  <c r="C413"/>
  <c r="C411"/>
  <c r="C409"/>
  <c r="C408"/>
  <c r="C407"/>
  <c r="C406"/>
  <c r="C405"/>
  <c r="C404"/>
  <c r="C403"/>
  <c r="C402"/>
  <c r="C401"/>
  <c r="C400"/>
  <c r="C399"/>
  <c r="C398"/>
  <c r="J395"/>
  <c r="K392"/>
  <c r="J392"/>
  <c r="D392"/>
  <c r="C392"/>
  <c r="J391"/>
  <c r="D391"/>
  <c r="C391"/>
  <c r="J388"/>
  <c r="D388"/>
  <c r="C388"/>
  <c r="J387"/>
  <c r="D387"/>
  <c r="C387"/>
  <c r="J386"/>
  <c r="D386"/>
  <c r="C386"/>
  <c r="J385"/>
  <c r="D385"/>
  <c r="C385"/>
  <c r="J381"/>
  <c r="J380"/>
  <c r="D380"/>
  <c r="C380"/>
  <c r="J379"/>
  <c r="D379"/>
  <c r="C379"/>
  <c r="J378"/>
  <c r="D378"/>
  <c r="C378"/>
  <c r="J377"/>
  <c r="J374"/>
  <c r="D374"/>
  <c r="C374"/>
  <c r="J373"/>
  <c r="D373"/>
  <c r="C373"/>
  <c r="D372"/>
  <c r="C372"/>
  <c r="J371"/>
  <c r="D371"/>
  <c r="C371"/>
  <c r="D370"/>
  <c r="C370"/>
  <c r="J369"/>
  <c r="D369"/>
  <c r="C369"/>
  <c r="K368"/>
  <c r="J366"/>
  <c r="D366"/>
  <c r="C366"/>
  <c r="J365"/>
  <c r="D365"/>
  <c r="C365"/>
  <c r="J364"/>
  <c r="D362"/>
  <c r="C362"/>
  <c r="D361"/>
  <c r="C361"/>
  <c r="J358"/>
  <c r="D358"/>
  <c r="C358"/>
  <c r="J357"/>
  <c r="D357"/>
  <c r="C357"/>
  <c r="J356"/>
  <c r="D356"/>
  <c r="C356"/>
  <c r="J355"/>
  <c r="D355"/>
  <c r="C355"/>
  <c r="J354"/>
  <c r="D354"/>
  <c r="C354"/>
  <c r="J351"/>
  <c r="J350"/>
  <c r="D350"/>
  <c r="C350"/>
  <c r="J349"/>
  <c r="D349"/>
  <c r="C349"/>
  <c r="D347"/>
  <c r="C347"/>
  <c r="J346"/>
  <c r="J347"/>
  <c r="J345"/>
  <c r="D345"/>
  <c r="C345"/>
  <c r="J344"/>
  <c r="D344"/>
  <c r="C344"/>
  <c r="K341"/>
  <c r="J341"/>
  <c r="D341"/>
  <c r="C341"/>
  <c r="J338"/>
  <c r="D338"/>
  <c r="C338"/>
  <c r="J337"/>
  <c r="D337"/>
  <c r="C337"/>
  <c r="J336"/>
  <c r="D336"/>
  <c r="C336"/>
  <c r="J335"/>
  <c r="D335"/>
  <c r="C335"/>
  <c r="J334"/>
  <c r="D334"/>
  <c r="C334"/>
  <c r="D333"/>
  <c r="C333"/>
  <c r="D332"/>
  <c r="C332"/>
  <c r="D331"/>
  <c r="C331"/>
  <c r="J329"/>
  <c r="D329"/>
  <c r="C329"/>
  <c r="J328"/>
  <c r="D328"/>
  <c r="C328"/>
  <c r="J327"/>
  <c r="D327"/>
  <c r="C327"/>
  <c r="D326"/>
  <c r="C326"/>
  <c r="D325"/>
  <c r="C325"/>
  <c r="D324"/>
  <c r="C324"/>
  <c r="J320"/>
  <c r="D320"/>
  <c r="C320"/>
  <c r="J319"/>
  <c r="D319"/>
  <c r="C319"/>
  <c r="J318"/>
  <c r="D318"/>
  <c r="C318"/>
  <c r="D317"/>
  <c r="C317"/>
  <c r="D316"/>
  <c r="C316"/>
  <c r="D315"/>
  <c r="C315"/>
  <c r="J312"/>
  <c r="D312"/>
  <c r="C312"/>
  <c r="K311"/>
  <c r="J311"/>
  <c r="I311"/>
  <c r="D311"/>
  <c r="C311"/>
  <c r="K310"/>
  <c r="J310"/>
  <c r="I310"/>
  <c r="D310"/>
  <c r="C310"/>
  <c r="J309"/>
  <c r="D309"/>
  <c r="C309"/>
  <c r="J308"/>
  <c r="D308"/>
  <c r="C308"/>
  <c r="J305"/>
  <c r="D305"/>
  <c r="C305"/>
  <c r="J304"/>
  <c r="D304"/>
  <c r="C304"/>
  <c r="J303"/>
  <c r="D303"/>
  <c r="C303"/>
  <c r="J302"/>
  <c r="D302"/>
  <c r="C302"/>
  <c r="H359"/>
  <c r="H342"/>
  <c r="D38" i="9"/>
  <c r="C40" i="8" s="1"/>
  <c r="D40" i="9"/>
  <c r="C42" i="8" s="1"/>
  <c r="I341" i="7"/>
  <c r="I392"/>
  <c r="X16" i="8"/>
  <c r="X35"/>
  <c r="X36"/>
  <c r="X37"/>
  <c r="X38"/>
  <c r="B138" i="76"/>
  <c r="B139"/>
  <c r="B137"/>
  <c r="D157" i="68"/>
  <c r="D158"/>
  <c r="D156"/>
  <c r="B69" i="8"/>
  <c r="B68"/>
  <c r="B67"/>
  <c r="J10" i="68"/>
  <c r="J9"/>
  <c r="R38" i="8"/>
  <c r="R37"/>
  <c r="R36"/>
  <c r="R35"/>
  <c r="R22"/>
  <c r="R21"/>
  <c r="R20"/>
  <c r="R19"/>
  <c r="R18"/>
  <c r="R17"/>
  <c r="R16"/>
  <c r="R15"/>
  <c r="G10" i="68"/>
  <c r="G9"/>
  <c r="B9" i="9"/>
  <c r="E10" i="68"/>
  <c r="D10"/>
  <c r="E9"/>
  <c r="D9"/>
  <c r="C17" i="76"/>
  <c r="B17"/>
  <c r="C16"/>
  <c r="B16"/>
  <c r="G296" i="7"/>
  <c r="H296" s="1"/>
  <c r="G297"/>
  <c r="H297" s="1"/>
  <c r="G295"/>
  <c r="H295" s="1"/>
  <c r="G294"/>
  <c r="H294" s="1"/>
  <c r="G293"/>
  <c r="H293" s="1"/>
  <c r="H298" s="1"/>
  <c r="D30" i="9" s="1"/>
  <c r="C32" i="8" s="1"/>
  <c r="G265" i="7"/>
  <c r="G266"/>
  <c r="H266" s="1"/>
  <c r="G267"/>
  <c r="G268"/>
  <c r="G269"/>
  <c r="G270"/>
  <c r="H270" s="1"/>
  <c r="G271"/>
  <c r="G272"/>
  <c r="H272" s="1"/>
  <c r="G224"/>
  <c r="G225"/>
  <c r="G226"/>
  <c r="G227"/>
  <c r="G228"/>
  <c r="G229"/>
  <c r="H229" s="1"/>
  <c r="G230"/>
  <c r="G231"/>
  <c r="H231" s="1"/>
  <c r="G232"/>
  <c r="G233"/>
  <c r="G234"/>
  <c r="G235"/>
  <c r="G236"/>
  <c r="G237"/>
  <c r="H237" s="1"/>
  <c r="G238"/>
  <c r="G239"/>
  <c r="G240"/>
  <c r="G241"/>
  <c r="G242"/>
  <c r="G243"/>
  <c r="H243" s="1"/>
  <c r="G244"/>
  <c r="G245"/>
  <c r="H245" s="1"/>
  <c r="G246"/>
  <c r="G247"/>
  <c r="G248"/>
  <c r="G249"/>
  <c r="G250"/>
  <c r="G251"/>
  <c r="H251" s="1"/>
  <c r="G252"/>
  <c r="G253"/>
  <c r="H253" s="1"/>
  <c r="G254"/>
  <c r="G255"/>
  <c r="G256"/>
  <c r="G257"/>
  <c r="G258"/>
  <c r="G259"/>
  <c r="H259" s="1"/>
  <c r="G260"/>
  <c r="G261"/>
  <c r="H261" s="1"/>
  <c r="G262"/>
  <c r="G263"/>
  <c r="G264"/>
  <c r="H263"/>
  <c r="H255"/>
  <c r="H247"/>
  <c r="H239"/>
  <c r="H235"/>
  <c r="H227"/>
  <c r="H268"/>
  <c r="H244"/>
  <c r="H240"/>
  <c r="H228"/>
  <c r="H264"/>
  <c r="H260"/>
  <c r="H256"/>
  <c r="H252"/>
  <c r="H248"/>
  <c r="H236"/>
  <c r="H232"/>
  <c r="H257"/>
  <c r="H249"/>
  <c r="H241"/>
  <c r="H233"/>
  <c r="H225"/>
  <c r="H271"/>
  <c r="H267"/>
  <c r="H262"/>
  <c r="H258"/>
  <c r="H254"/>
  <c r="H242"/>
  <c r="H238"/>
  <c r="H230"/>
  <c r="H226"/>
  <c r="H250"/>
  <c r="H246"/>
  <c r="H234"/>
  <c r="H269"/>
  <c r="H265"/>
  <c r="H224"/>
  <c r="H273" s="1"/>
  <c r="D28" i="9" s="1"/>
  <c r="C30" i="8" s="1"/>
  <c r="G18" i="68"/>
  <c r="E18"/>
  <c r="D18"/>
  <c r="J293" i="7"/>
  <c r="G109" i="76"/>
  <c r="F84"/>
  <c r="E51"/>
  <c r="E50"/>
  <c r="E49"/>
  <c r="E48"/>
  <c r="E43"/>
  <c r="E42"/>
  <c r="E41"/>
  <c r="E34"/>
  <c r="J28" i="7"/>
  <c r="L25"/>
  <c r="L26"/>
  <c r="C123" i="76"/>
  <c r="B123"/>
  <c r="C122"/>
  <c r="B122"/>
  <c r="C121"/>
  <c r="B121"/>
  <c r="C120"/>
  <c r="B120"/>
  <c r="C117"/>
  <c r="B117"/>
  <c r="C116"/>
  <c r="B116"/>
  <c r="C115"/>
  <c r="B115"/>
  <c r="C114"/>
  <c r="B114"/>
  <c r="C113"/>
  <c r="B113"/>
  <c r="C109"/>
  <c r="B109"/>
  <c r="C108"/>
  <c r="B108"/>
  <c r="C107"/>
  <c r="B107"/>
  <c r="C106"/>
  <c r="B106"/>
  <c r="C102"/>
  <c r="B102"/>
  <c r="C101"/>
  <c r="B101"/>
  <c r="C100"/>
  <c r="B100"/>
  <c r="C99"/>
  <c r="B99"/>
  <c r="D98"/>
  <c r="C98"/>
  <c r="B98"/>
  <c r="C97"/>
  <c r="B97"/>
  <c r="D96"/>
  <c r="C96"/>
  <c r="B96"/>
  <c r="C95"/>
  <c r="B95"/>
  <c r="C92"/>
  <c r="B92"/>
  <c r="C91"/>
  <c r="B91"/>
  <c r="C90"/>
  <c r="B90"/>
  <c r="C89"/>
  <c r="B89"/>
  <c r="C88"/>
  <c r="B88"/>
  <c r="C86"/>
  <c r="B86"/>
  <c r="C85"/>
  <c r="B85"/>
  <c r="C81"/>
  <c r="B81"/>
  <c r="C78"/>
  <c r="B78"/>
  <c r="C77"/>
  <c r="B77"/>
  <c r="C76"/>
  <c r="B76"/>
  <c r="C75"/>
  <c r="B75"/>
  <c r="C74"/>
  <c r="B74"/>
  <c r="C73"/>
  <c r="B73"/>
  <c r="C72"/>
  <c r="B72"/>
  <c r="C71"/>
  <c r="B71"/>
  <c r="C67"/>
  <c r="B67"/>
  <c r="C66"/>
  <c r="B66"/>
  <c r="C64"/>
  <c r="B64"/>
  <c r="C62"/>
  <c r="B62"/>
  <c r="C61"/>
  <c r="B61"/>
  <c r="C58"/>
  <c r="B58"/>
  <c r="D57"/>
  <c r="C57"/>
  <c r="B57"/>
  <c r="C56"/>
  <c r="B56"/>
  <c r="C53"/>
  <c r="B53"/>
  <c r="C51"/>
  <c r="B51"/>
  <c r="C50"/>
  <c r="B50"/>
  <c r="C49"/>
  <c r="B49"/>
  <c r="C48"/>
  <c r="B48"/>
  <c r="D47"/>
  <c r="C47"/>
  <c r="B47"/>
  <c r="C46"/>
  <c r="B46"/>
  <c r="C45"/>
  <c r="B45"/>
  <c r="C43"/>
  <c r="B43"/>
  <c r="C42"/>
  <c r="B42"/>
  <c r="C41"/>
  <c r="B41"/>
  <c r="D40"/>
  <c r="C40"/>
  <c r="B40"/>
  <c r="C39"/>
  <c r="B39"/>
  <c r="C38"/>
  <c r="B38"/>
  <c r="C34"/>
  <c r="B34"/>
  <c r="D33"/>
  <c r="C33"/>
  <c r="B33"/>
  <c r="C32"/>
  <c r="B32"/>
  <c r="C31"/>
  <c r="B31"/>
  <c r="C28"/>
  <c r="B28"/>
  <c r="C27"/>
  <c r="B27"/>
  <c r="C26"/>
  <c r="B26"/>
  <c r="C25"/>
  <c r="B25"/>
  <c r="C24"/>
  <c r="B24"/>
  <c r="C21"/>
  <c r="B21"/>
  <c r="C20"/>
  <c r="B20"/>
  <c r="C19"/>
  <c r="B19"/>
  <c r="C18"/>
  <c r="B18"/>
  <c r="K117" i="7"/>
  <c r="D117"/>
  <c r="C117"/>
  <c r="K100"/>
  <c r="K99"/>
  <c r="K107"/>
  <c r="D100"/>
  <c r="C100"/>
  <c r="D99"/>
  <c r="C99"/>
  <c r="K32"/>
  <c r="K34"/>
  <c r="K31"/>
  <c r="I31"/>
  <c r="K46"/>
  <c r="K49"/>
  <c r="K45"/>
  <c r="I45"/>
  <c r="K39"/>
  <c r="K42"/>
  <c r="K38"/>
  <c r="I38"/>
  <c r="K106"/>
  <c r="K105"/>
  <c r="J108"/>
  <c r="L109"/>
  <c r="G108"/>
  <c r="H108"/>
  <c r="D108"/>
  <c r="C108"/>
  <c r="D57"/>
  <c r="C57"/>
  <c r="J58"/>
  <c r="D58"/>
  <c r="C58"/>
  <c r="J53"/>
  <c r="D53"/>
  <c r="C53"/>
  <c r="K110"/>
  <c r="J116"/>
  <c r="J114"/>
  <c r="M97"/>
  <c r="J95"/>
  <c r="L94"/>
  <c r="K102"/>
  <c r="L72"/>
  <c r="L71"/>
  <c r="L73"/>
  <c r="K89"/>
  <c r="G89"/>
  <c r="H89" s="1"/>
  <c r="D89"/>
  <c r="C89"/>
  <c r="K85"/>
  <c r="J21"/>
  <c r="J20"/>
  <c r="L19"/>
  <c r="L18"/>
  <c r="G90"/>
  <c r="H90"/>
  <c r="D90"/>
  <c r="C90"/>
  <c r="G91"/>
  <c r="H91"/>
  <c r="D91"/>
  <c r="C91"/>
  <c r="J88"/>
  <c r="G88"/>
  <c r="H88" s="1"/>
  <c r="D88"/>
  <c r="C88"/>
  <c r="J78"/>
  <c r="D78"/>
  <c r="C78"/>
  <c r="J97"/>
  <c r="K94"/>
  <c r="J118"/>
  <c r="G61" i="68"/>
  <c r="G60"/>
  <c r="G59"/>
  <c r="G58"/>
  <c r="E61"/>
  <c r="D61"/>
  <c r="E60"/>
  <c r="D60"/>
  <c r="E59"/>
  <c r="D59"/>
  <c r="E58"/>
  <c r="D58"/>
  <c r="J122" i="7"/>
  <c r="J121"/>
  <c r="J68"/>
  <c r="J124"/>
  <c r="J123"/>
  <c r="D124"/>
  <c r="C124"/>
  <c r="D123"/>
  <c r="C123"/>
  <c r="D122"/>
  <c r="C122"/>
  <c r="D121"/>
  <c r="C121"/>
  <c r="J92"/>
  <c r="G92"/>
  <c r="H92" s="1"/>
  <c r="D92"/>
  <c r="C92"/>
  <c r="J115"/>
  <c r="D118"/>
  <c r="C118"/>
  <c r="D116"/>
  <c r="C116"/>
  <c r="D115"/>
  <c r="C115"/>
  <c r="D114"/>
  <c r="C114"/>
  <c r="J110"/>
  <c r="G52" i="68"/>
  <c r="G51"/>
  <c r="G50"/>
  <c r="G49"/>
  <c r="G48"/>
  <c r="G47"/>
  <c r="G46"/>
  <c r="E52"/>
  <c r="D52"/>
  <c r="E51"/>
  <c r="D51"/>
  <c r="E50"/>
  <c r="D50"/>
  <c r="E49"/>
  <c r="D49"/>
  <c r="E48"/>
  <c r="D48"/>
  <c r="E47"/>
  <c r="D47"/>
  <c r="E46"/>
  <c r="D46"/>
  <c r="J109" i="7"/>
  <c r="I109"/>
  <c r="J107"/>
  <c r="J106"/>
  <c r="I106"/>
  <c r="J105"/>
  <c r="G40" i="68"/>
  <c r="G39"/>
  <c r="E40"/>
  <c r="D40"/>
  <c r="E39"/>
  <c r="D39"/>
  <c r="G109" i="7"/>
  <c r="G107"/>
  <c r="H107" s="1"/>
  <c r="G106"/>
  <c r="H106" s="1"/>
  <c r="D109"/>
  <c r="C109"/>
  <c r="D107"/>
  <c r="C107"/>
  <c r="D106"/>
  <c r="C106"/>
  <c r="J102"/>
  <c r="J101"/>
  <c r="D97"/>
  <c r="C97"/>
  <c r="D102"/>
  <c r="C102"/>
  <c r="D101"/>
  <c r="C101"/>
  <c r="D98"/>
  <c r="C98"/>
  <c r="D96"/>
  <c r="C96"/>
  <c r="D95"/>
  <c r="C95"/>
  <c r="J72"/>
  <c r="D72"/>
  <c r="C72"/>
  <c r="J71"/>
  <c r="D71"/>
  <c r="C71"/>
  <c r="J75"/>
  <c r="J74"/>
  <c r="D77"/>
  <c r="C77"/>
  <c r="D76"/>
  <c r="C76"/>
  <c r="D75"/>
  <c r="C75"/>
  <c r="D74"/>
  <c r="C74"/>
  <c r="J73"/>
  <c r="D73"/>
  <c r="C73"/>
  <c r="J87"/>
  <c r="G134" i="68"/>
  <c r="H134" s="1"/>
  <c r="E134"/>
  <c r="D134"/>
  <c r="G133"/>
  <c r="H133" s="1"/>
  <c r="E133"/>
  <c r="D133"/>
  <c r="G132"/>
  <c r="H132" s="1"/>
  <c r="E132"/>
  <c r="D132"/>
  <c r="G131"/>
  <c r="H131" s="1"/>
  <c r="E131"/>
  <c r="D131"/>
  <c r="G130"/>
  <c r="H130" s="1"/>
  <c r="E130"/>
  <c r="D130"/>
  <c r="G129"/>
  <c r="H129" s="1"/>
  <c r="E129"/>
  <c r="D129"/>
  <c r="J86" i="7"/>
  <c r="J85"/>
  <c r="G86"/>
  <c r="H86" s="1"/>
  <c r="G85"/>
  <c r="H85" s="1"/>
  <c r="D86"/>
  <c r="C86"/>
  <c r="D85"/>
  <c r="C85"/>
  <c r="K84"/>
  <c r="J118" i="68"/>
  <c r="G119"/>
  <c r="H119" s="1"/>
  <c r="E119"/>
  <c r="D119"/>
  <c r="G118"/>
  <c r="H118" s="1"/>
  <c r="G123"/>
  <c r="H123" s="1"/>
  <c r="G122"/>
  <c r="H122" s="1"/>
  <c r="G121"/>
  <c r="H121" s="1"/>
  <c r="G120"/>
  <c r="H120" s="1"/>
  <c r="G117"/>
  <c r="H117" s="1"/>
  <c r="G116"/>
  <c r="H116" s="1"/>
  <c r="E123"/>
  <c r="D123"/>
  <c r="E122"/>
  <c r="D122"/>
  <c r="E121"/>
  <c r="D121"/>
  <c r="E120"/>
  <c r="D120"/>
  <c r="E118"/>
  <c r="D118"/>
  <c r="E117"/>
  <c r="D117"/>
  <c r="E116"/>
  <c r="D116"/>
  <c r="G115"/>
  <c r="H115" s="1"/>
  <c r="E115"/>
  <c r="D115"/>
  <c r="G114"/>
  <c r="H114" s="1"/>
  <c r="E114"/>
  <c r="D114"/>
  <c r="G113"/>
  <c r="H113" s="1"/>
  <c r="E113"/>
  <c r="D113"/>
  <c r="G112"/>
  <c r="H112" s="1"/>
  <c r="E112"/>
  <c r="D112"/>
  <c r="G106"/>
  <c r="H106" s="1"/>
  <c r="E106"/>
  <c r="D106"/>
  <c r="G105"/>
  <c r="H105" s="1"/>
  <c r="E105"/>
  <c r="D105"/>
  <c r="G104"/>
  <c r="H104" s="1"/>
  <c r="E104"/>
  <c r="D104"/>
  <c r="G103"/>
  <c r="H103" s="1"/>
  <c r="E103"/>
  <c r="D103"/>
  <c r="G102"/>
  <c r="H102" s="1"/>
  <c r="E102"/>
  <c r="D102"/>
  <c r="E97"/>
  <c r="G95"/>
  <c r="H95"/>
  <c r="E95"/>
  <c r="D95"/>
  <c r="G93"/>
  <c r="H93"/>
  <c r="E93"/>
  <c r="D93"/>
  <c r="G92"/>
  <c r="H92"/>
  <c r="E92"/>
  <c r="D92"/>
  <c r="E87"/>
  <c r="G85"/>
  <c r="H85" s="1"/>
  <c r="E85"/>
  <c r="D85"/>
  <c r="G84"/>
  <c r="H84" s="1"/>
  <c r="E84"/>
  <c r="D84"/>
  <c r="G83"/>
  <c r="H83" s="1"/>
  <c r="E83"/>
  <c r="D83"/>
  <c r="G82"/>
  <c r="H82" s="1"/>
  <c r="E82"/>
  <c r="D82"/>
  <c r="G81"/>
  <c r="H81" s="1"/>
  <c r="H86" s="1"/>
  <c r="F82" i="7" s="1"/>
  <c r="G82" s="1"/>
  <c r="H82" s="1"/>
  <c r="E81" i="68"/>
  <c r="D81"/>
  <c r="G81" i="7"/>
  <c r="H81" s="1"/>
  <c r="D81"/>
  <c r="C81"/>
  <c r="G33" i="68"/>
  <c r="G32"/>
  <c r="G31"/>
  <c r="G30"/>
  <c r="G29"/>
  <c r="G28"/>
  <c r="E33"/>
  <c r="D33"/>
  <c r="E32"/>
  <c r="D32"/>
  <c r="E31"/>
  <c r="D31"/>
  <c r="E30"/>
  <c r="D30"/>
  <c r="E29"/>
  <c r="D29"/>
  <c r="E28"/>
  <c r="D28"/>
  <c r="J67" i="7"/>
  <c r="J66"/>
  <c r="G22" i="68"/>
  <c r="G21"/>
  <c r="G20"/>
  <c r="G19"/>
  <c r="E22"/>
  <c r="D22"/>
  <c r="E21"/>
  <c r="D21"/>
  <c r="E20"/>
  <c r="D20"/>
  <c r="E19"/>
  <c r="D19"/>
  <c r="E17"/>
  <c r="G17"/>
  <c r="D17"/>
  <c r="G75"/>
  <c r="H75"/>
  <c r="G74"/>
  <c r="H74"/>
  <c r="G73"/>
  <c r="H73"/>
  <c r="G72"/>
  <c r="H72"/>
  <c r="G71"/>
  <c r="H71"/>
  <c r="E75"/>
  <c r="D75"/>
  <c r="E74"/>
  <c r="D74"/>
  <c r="E73"/>
  <c r="D73"/>
  <c r="E72"/>
  <c r="D72"/>
  <c r="E71"/>
  <c r="D71"/>
  <c r="G70"/>
  <c r="H70"/>
  <c r="E70"/>
  <c r="D70"/>
  <c r="J62" i="7"/>
  <c r="J63"/>
  <c r="J64"/>
  <c r="J61"/>
  <c r="G67"/>
  <c r="H67"/>
  <c r="G66"/>
  <c r="H66"/>
  <c r="G64"/>
  <c r="H64"/>
  <c r="G62"/>
  <c r="H62"/>
  <c r="G61"/>
  <c r="H61"/>
  <c r="D67"/>
  <c r="C67"/>
  <c r="D66"/>
  <c r="C66"/>
  <c r="D64"/>
  <c r="C64"/>
  <c r="D62"/>
  <c r="C62"/>
  <c r="D61"/>
  <c r="C61"/>
  <c r="I56"/>
  <c r="K56"/>
  <c r="J56"/>
  <c r="D56"/>
  <c r="C56"/>
  <c r="D21"/>
  <c r="C21"/>
  <c r="D20"/>
  <c r="C20"/>
  <c r="I72"/>
  <c r="I110"/>
  <c r="I71"/>
  <c r="I107"/>
  <c r="I102"/>
  <c r="I73"/>
  <c r="I39"/>
  <c r="I32"/>
  <c r="I97"/>
  <c r="I94"/>
  <c r="I46"/>
  <c r="I105"/>
  <c r="H109"/>
  <c r="H107" i="68"/>
  <c r="G94" s="1"/>
  <c r="H94"/>
  <c r="H124"/>
  <c r="F84" i="7" s="1"/>
  <c r="H76" i="68"/>
  <c r="F63" i="7" s="1"/>
  <c r="G63" s="1"/>
  <c r="H63" s="1"/>
  <c r="G84"/>
  <c r="H84" s="1"/>
  <c r="J19"/>
  <c r="I19"/>
  <c r="J18"/>
  <c r="I18"/>
  <c r="D18"/>
  <c r="C18"/>
  <c r="I27"/>
  <c r="K27"/>
  <c r="J27"/>
  <c r="I26"/>
  <c r="K26"/>
  <c r="J26"/>
  <c r="J25"/>
  <c r="I25"/>
  <c r="J24"/>
  <c r="I24"/>
  <c r="J34"/>
  <c r="I34"/>
  <c r="J41"/>
  <c r="J43"/>
  <c r="J42"/>
  <c r="I42"/>
  <c r="D43"/>
  <c r="C43"/>
  <c r="J51"/>
  <c r="J50"/>
  <c r="J49"/>
  <c r="I49"/>
  <c r="J48"/>
  <c r="D51"/>
  <c r="C51"/>
  <c r="D50"/>
  <c r="C50"/>
  <c r="D49"/>
  <c r="C49"/>
  <c r="D48"/>
  <c r="C48"/>
  <c r="D47"/>
  <c r="C47"/>
  <c r="D46"/>
  <c r="C46"/>
  <c r="D45"/>
  <c r="C45"/>
  <c r="D42"/>
  <c r="C42"/>
  <c r="D41"/>
  <c r="C41"/>
  <c r="D40"/>
  <c r="C40"/>
  <c r="D39"/>
  <c r="C39"/>
  <c r="D38"/>
  <c r="C38"/>
  <c r="D34"/>
  <c r="C34"/>
  <c r="D33"/>
  <c r="C33"/>
  <c r="D32"/>
  <c r="C32"/>
  <c r="D31"/>
  <c r="C31"/>
  <c r="D26"/>
  <c r="C26"/>
  <c r="D28"/>
  <c r="C28"/>
  <c r="D27"/>
  <c r="C27"/>
  <c r="D25"/>
  <c r="C25"/>
  <c r="D24"/>
  <c r="C24"/>
  <c r="D19"/>
  <c r="C19"/>
  <c r="G217"/>
  <c r="G218"/>
  <c r="G220"/>
  <c r="G216"/>
  <c r="G215"/>
  <c r="G212"/>
  <c r="G208"/>
  <c r="G209"/>
  <c r="G210"/>
  <c r="G211"/>
  <c r="G206"/>
  <c r="H206" s="1"/>
  <c r="G182"/>
  <c r="G183"/>
  <c r="G184"/>
  <c r="G186"/>
  <c r="G187"/>
  <c r="H187" s="1"/>
  <c r="G188"/>
  <c r="G189"/>
  <c r="H189" s="1"/>
  <c r="G190"/>
  <c r="G191"/>
  <c r="G192"/>
  <c r="G193"/>
  <c r="H193" s="1"/>
  <c r="G194"/>
  <c r="G195"/>
  <c r="H195" s="1"/>
  <c r="G196"/>
  <c r="G197"/>
  <c r="G198"/>
  <c r="G202"/>
  <c r="G177"/>
  <c r="H177" s="1"/>
  <c r="G178"/>
  <c r="G179"/>
  <c r="H179" s="1"/>
  <c r="G180"/>
  <c r="G181"/>
  <c r="G165"/>
  <c r="G166"/>
  <c r="G167"/>
  <c r="G170"/>
  <c r="H170" s="1"/>
  <c r="G171"/>
  <c r="G172"/>
  <c r="G173"/>
  <c r="G174"/>
  <c r="G175"/>
  <c r="G176"/>
  <c r="H176" s="1"/>
  <c r="G162"/>
  <c r="G163"/>
  <c r="H163" s="1"/>
  <c r="G164"/>
  <c r="G157"/>
  <c r="G158"/>
  <c r="G159"/>
  <c r="G160"/>
  <c r="G161"/>
  <c r="H161" s="1"/>
  <c r="G151"/>
  <c r="G153"/>
  <c r="G135"/>
  <c r="G136"/>
  <c r="H136" s="1"/>
  <c r="G137"/>
  <c r="G138"/>
  <c r="H138" s="1"/>
  <c r="G140"/>
  <c r="G141"/>
  <c r="G142"/>
  <c r="G143"/>
  <c r="H143" s="1"/>
  <c r="G144"/>
  <c r="G145"/>
  <c r="H145" s="1"/>
  <c r="G146"/>
  <c r="G147"/>
  <c r="G148"/>
  <c r="G149"/>
  <c r="G150"/>
  <c r="G139"/>
  <c r="G131"/>
  <c r="G132"/>
  <c r="H132" s="1"/>
  <c r="G133"/>
  <c r="G134"/>
  <c r="H134" s="1"/>
  <c r="H133"/>
  <c r="H148"/>
  <c r="H144"/>
  <c r="H140"/>
  <c r="H208"/>
  <c r="H149"/>
  <c r="H178"/>
  <c r="H196"/>
  <c r="H192"/>
  <c r="H188"/>
  <c r="H184"/>
  <c r="H159"/>
  <c r="H174"/>
  <c r="H166"/>
  <c r="H215"/>
  <c r="H218"/>
  <c r="H211"/>
  <c r="H216"/>
  <c r="H135"/>
  <c r="H153"/>
  <c r="H158"/>
  <c r="H162"/>
  <c r="H173"/>
  <c r="H165"/>
  <c r="H157"/>
  <c r="H172"/>
  <c r="H181"/>
  <c r="H191"/>
  <c r="H183"/>
  <c r="H210"/>
  <c r="H131"/>
  <c r="H150"/>
  <c r="H146"/>
  <c r="H142"/>
  <c r="H220"/>
  <c r="H209"/>
  <c r="H160"/>
  <c r="H164"/>
  <c r="H175"/>
  <c r="H171"/>
  <c r="H167"/>
  <c r="H180"/>
  <c r="H202"/>
  <c r="H198"/>
  <c r="H194"/>
  <c r="H190"/>
  <c r="H186"/>
  <c r="H182"/>
  <c r="H212"/>
  <c r="H197"/>
  <c r="H217"/>
  <c r="H141"/>
  <c r="H137"/>
  <c r="H151"/>
  <c r="H147"/>
  <c r="H139"/>
  <c r="G130"/>
  <c r="H130"/>
  <c r="H61" i="68"/>
  <c r="H60"/>
  <c r="H59"/>
  <c r="H58"/>
  <c r="H62" s="1"/>
  <c r="H51"/>
  <c r="H50"/>
  <c r="H49"/>
  <c r="H48"/>
  <c r="H53" s="1"/>
  <c r="H47"/>
  <c r="H52"/>
  <c r="H46"/>
  <c r="H40"/>
  <c r="H41" s="1"/>
  <c r="H39"/>
  <c r="J30"/>
  <c r="H29"/>
  <c r="H28"/>
  <c r="H34" s="1"/>
  <c r="H33"/>
  <c r="H32"/>
  <c r="H31"/>
  <c r="H30"/>
  <c r="H22"/>
  <c r="H21"/>
  <c r="H20"/>
  <c r="H19"/>
  <c r="H18"/>
  <c r="H17"/>
  <c r="H23" s="1"/>
  <c r="H10"/>
  <c r="H11" s="1"/>
  <c r="F11" i="7" s="1"/>
  <c r="H9" i="68"/>
  <c r="D139" i="62"/>
  <c r="C99"/>
  <c r="C12" i="67"/>
  <c r="D183" i="65"/>
  <c r="D182"/>
  <c r="D181"/>
  <c r="D180"/>
  <c r="D179"/>
  <c r="D178"/>
  <c r="D177"/>
  <c r="D176"/>
  <c r="D175"/>
  <c r="D174"/>
  <c r="D173"/>
  <c r="D172"/>
  <c r="D171"/>
  <c r="D170"/>
  <c r="D169"/>
  <c r="D168"/>
  <c r="D167"/>
  <c r="D166"/>
  <c r="D165"/>
  <c r="D164"/>
  <c r="D162"/>
  <c r="D161"/>
  <c r="D160"/>
  <c r="D159"/>
  <c r="D157"/>
  <c r="D156"/>
  <c r="D155"/>
  <c r="D154"/>
  <c r="D153"/>
  <c r="D152"/>
  <c r="D151"/>
  <c r="D149"/>
  <c r="D148"/>
  <c r="D147"/>
  <c r="D146"/>
  <c r="D145"/>
  <c r="D144"/>
  <c r="D143"/>
  <c r="D142"/>
  <c r="D141"/>
  <c r="D140"/>
  <c r="D139"/>
  <c r="D138"/>
  <c r="D137"/>
  <c r="D136"/>
  <c r="D135"/>
  <c r="D134"/>
  <c r="D133"/>
  <c r="D132"/>
  <c r="D131"/>
  <c r="D130"/>
  <c r="D129"/>
  <c r="D128"/>
  <c r="D127"/>
  <c r="D126"/>
  <c r="D125"/>
  <c r="D124"/>
  <c r="D123"/>
  <c r="D122"/>
  <c r="D121"/>
  <c r="D120"/>
  <c r="D118"/>
  <c r="D117"/>
  <c r="D116"/>
  <c r="D115"/>
  <c r="D114"/>
  <c r="D113"/>
  <c r="D112"/>
  <c r="D110"/>
  <c r="D109"/>
  <c r="D108"/>
  <c r="D107"/>
  <c r="D106"/>
  <c r="D105"/>
  <c r="D104"/>
  <c r="D103"/>
  <c r="D102"/>
  <c r="D101"/>
  <c r="D100"/>
  <c r="D99"/>
  <c r="D98"/>
  <c r="D97"/>
  <c r="D96"/>
  <c r="D94"/>
  <c r="D93"/>
  <c r="D92"/>
  <c r="D91"/>
  <c r="D90"/>
  <c r="D89"/>
  <c r="D88"/>
  <c r="D87"/>
  <c r="D86"/>
  <c r="D85"/>
  <c r="D84"/>
  <c r="D83"/>
  <c r="D82"/>
  <c r="D81"/>
  <c r="D80"/>
  <c r="D79"/>
  <c r="D77"/>
  <c r="D76"/>
  <c r="D75"/>
  <c r="D74"/>
  <c r="D73"/>
  <c r="D72"/>
  <c r="D71"/>
  <c r="D70"/>
  <c r="D69"/>
  <c r="D68"/>
  <c r="D67"/>
  <c r="D66"/>
  <c r="D65"/>
  <c r="D64"/>
  <c r="D63"/>
  <c r="D62"/>
  <c r="D61"/>
  <c r="D60"/>
  <c r="D59"/>
  <c r="D58"/>
  <c r="D57"/>
  <c r="D56"/>
  <c r="D55"/>
  <c r="D54"/>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9"/>
  <c r="D8"/>
  <c r="D7"/>
  <c r="E13" i="64"/>
  <c r="D150" i="62"/>
  <c r="D147"/>
  <c r="D145"/>
  <c r="D144"/>
  <c r="D143"/>
  <c r="D142"/>
  <c r="D141"/>
  <c r="D140"/>
  <c r="D138"/>
  <c r="D137"/>
  <c r="D149"/>
  <c r="D135"/>
  <c r="D134"/>
  <c r="D133"/>
  <c r="D132"/>
  <c r="D131"/>
  <c r="D130"/>
  <c r="D129"/>
  <c r="D128"/>
  <c r="D127"/>
  <c r="D126"/>
  <c r="D125"/>
  <c r="D123"/>
  <c r="D122"/>
  <c r="D121"/>
  <c r="D120"/>
  <c r="D119"/>
  <c r="D117"/>
  <c r="D116"/>
  <c r="D115"/>
  <c r="D114"/>
  <c r="D113"/>
  <c r="D112"/>
  <c r="D111"/>
  <c r="D110"/>
  <c r="D109"/>
  <c r="D108"/>
  <c r="D107"/>
  <c r="D106"/>
  <c r="D105"/>
  <c r="D104"/>
  <c r="D102"/>
  <c r="D101"/>
  <c r="D100"/>
  <c r="D99"/>
  <c r="D98"/>
  <c r="D97"/>
  <c r="D96"/>
  <c r="D95"/>
  <c r="D93"/>
  <c r="D92"/>
  <c r="D91"/>
  <c r="D90"/>
  <c r="D89"/>
  <c r="D88"/>
  <c r="D87"/>
  <c r="D86"/>
  <c r="D85"/>
  <c r="D84"/>
  <c r="D83"/>
  <c r="D82"/>
  <c r="D81"/>
  <c r="D80"/>
  <c r="D79"/>
  <c r="D78"/>
  <c r="D76"/>
  <c r="D75"/>
  <c r="D73"/>
  <c r="D72"/>
  <c r="D71"/>
  <c r="D70"/>
  <c r="D69"/>
  <c r="D68"/>
  <c r="D67"/>
  <c r="D66"/>
  <c r="D65"/>
  <c r="D64"/>
  <c r="D62"/>
  <c r="D60"/>
  <c r="D59"/>
  <c r="D58"/>
  <c r="D57"/>
  <c r="D56"/>
  <c r="D55"/>
  <c r="D53"/>
  <c r="D52"/>
  <c r="D51"/>
  <c r="D50"/>
  <c r="D49"/>
  <c r="D48"/>
  <c r="D47"/>
  <c r="D46"/>
  <c r="D45"/>
  <c r="D44"/>
  <c r="D43"/>
  <c r="D42"/>
  <c r="D41"/>
  <c r="D40"/>
  <c r="D39"/>
  <c r="D38"/>
  <c r="D37"/>
  <c r="D36"/>
  <c r="D34"/>
  <c r="D33"/>
  <c r="D32"/>
  <c r="D31"/>
  <c r="D30"/>
  <c r="D29"/>
  <c r="D28"/>
  <c r="D27"/>
  <c r="D26"/>
  <c r="D24"/>
  <c r="D23"/>
  <c r="D22"/>
  <c r="D21"/>
  <c r="D20"/>
  <c r="D18"/>
  <c r="D16"/>
  <c r="D15"/>
  <c r="D14"/>
  <c r="D13"/>
  <c r="D12"/>
  <c r="D10"/>
  <c r="D9"/>
  <c r="D148"/>
  <c r="D136"/>
  <c r="I22" i="47"/>
  <c r="I59" i="51"/>
  <c r="K59"/>
  <c r="I58"/>
  <c r="K58"/>
  <c r="I57"/>
  <c r="K57"/>
  <c r="I53"/>
  <c r="K53"/>
  <c r="I51"/>
  <c r="K51"/>
  <c r="I50"/>
  <c r="K50"/>
  <c r="I49"/>
  <c r="K49"/>
  <c r="I48"/>
  <c r="K48"/>
  <c r="I47"/>
  <c r="K47"/>
  <c r="I45"/>
  <c r="I46"/>
  <c r="K46"/>
  <c r="I44"/>
  <c r="K44"/>
  <c r="I42"/>
  <c r="K42"/>
  <c r="I41"/>
  <c r="K41"/>
  <c r="I39"/>
  <c r="K39"/>
  <c r="I38"/>
  <c r="K38"/>
  <c r="I35"/>
  <c r="K35"/>
  <c r="I34"/>
  <c r="K34"/>
  <c r="I33"/>
  <c r="K33"/>
  <c r="I32"/>
  <c r="K32"/>
  <c r="I31"/>
  <c r="K31"/>
  <c r="I29"/>
  <c r="I30"/>
  <c r="K30"/>
  <c r="I28"/>
  <c r="I14"/>
  <c r="K14"/>
  <c r="I26"/>
  <c r="K26"/>
  <c r="I25"/>
  <c r="K25"/>
  <c r="I23"/>
  <c r="I24"/>
  <c r="K24"/>
  <c r="I22"/>
  <c r="K22"/>
  <c r="I20"/>
  <c r="K20"/>
  <c r="I18"/>
  <c r="I19"/>
  <c r="K19"/>
  <c r="I16"/>
  <c r="K16"/>
  <c r="P12"/>
  <c r="T12"/>
  <c r="K12"/>
  <c r="P9"/>
  <c r="S9"/>
  <c r="I9"/>
  <c r="K9"/>
  <c r="P6"/>
  <c r="S6"/>
  <c r="I40"/>
  <c r="K40"/>
  <c r="I5"/>
  <c r="K5"/>
  <c r="I15"/>
  <c r="I13"/>
  <c r="K13"/>
  <c r="K29"/>
  <c r="I54"/>
  <c r="K54"/>
  <c r="I7"/>
  <c r="K7"/>
  <c r="K45"/>
  <c r="T6"/>
  <c r="S12"/>
  <c r="I4"/>
  <c r="T9"/>
  <c r="I8"/>
  <c r="K8"/>
  <c r="K18"/>
  <c r="K23"/>
  <c r="K28"/>
  <c r="K15"/>
  <c r="I6"/>
  <c r="K6"/>
  <c r="K4"/>
  <c r="I10"/>
  <c r="I11"/>
  <c r="K11"/>
  <c r="K10"/>
  <c r="I63" i="50"/>
  <c r="L63"/>
  <c r="I62"/>
  <c r="K63"/>
  <c r="I61"/>
  <c r="L61"/>
  <c r="I58"/>
  <c r="L58"/>
  <c r="I57"/>
  <c r="L57"/>
  <c r="I56"/>
  <c r="K57"/>
  <c r="I55"/>
  <c r="K56"/>
  <c r="I53"/>
  <c r="L53"/>
  <c r="I52"/>
  <c r="L52"/>
  <c r="I50"/>
  <c r="K51"/>
  <c r="I49"/>
  <c r="L49"/>
  <c r="I47"/>
  <c r="I48"/>
  <c r="I46"/>
  <c r="K47"/>
  <c r="I43"/>
  <c r="K44"/>
  <c r="I42"/>
  <c r="L42"/>
  <c r="I41"/>
  <c r="K42"/>
  <c r="I40"/>
  <c r="L40"/>
  <c r="I39"/>
  <c r="L39"/>
  <c r="I37"/>
  <c r="I38"/>
  <c r="I36"/>
  <c r="K37"/>
  <c r="I34"/>
  <c r="L34"/>
  <c r="I33"/>
  <c r="L33"/>
  <c r="I32"/>
  <c r="K33"/>
  <c r="I30"/>
  <c r="I31"/>
  <c r="I29"/>
  <c r="I14"/>
  <c r="I27"/>
  <c r="K28"/>
  <c r="I26"/>
  <c r="K27"/>
  <c r="I24"/>
  <c r="L24"/>
  <c r="I23"/>
  <c r="L23"/>
  <c r="I21"/>
  <c r="L21"/>
  <c r="I20"/>
  <c r="L20"/>
  <c r="I18"/>
  <c r="L18"/>
  <c r="I16"/>
  <c r="L16"/>
  <c r="K13"/>
  <c r="I13"/>
  <c r="K14"/>
  <c r="L12"/>
  <c r="K11"/>
  <c r="Q9"/>
  <c r="T9"/>
  <c r="K9"/>
  <c r="K8"/>
  <c r="Q6"/>
  <c r="T6"/>
  <c r="I4"/>
  <c r="K5"/>
  <c r="I8"/>
  <c r="L8"/>
  <c r="I19"/>
  <c r="K20"/>
  <c r="K22"/>
  <c r="K19"/>
  <c r="L27"/>
  <c r="L56"/>
  <c r="U9"/>
  <c r="L19"/>
  <c r="I25"/>
  <c r="K35"/>
  <c r="K38"/>
  <c r="L43"/>
  <c r="L47"/>
  <c r="L50"/>
  <c r="K41"/>
  <c r="K48"/>
  <c r="L62"/>
  <c r="L37"/>
  <c r="K15"/>
  <c r="L14"/>
  <c r="L31"/>
  <c r="K32"/>
  <c r="K39"/>
  <c r="L38"/>
  <c r="K4"/>
  <c r="L4"/>
  <c r="I6"/>
  <c r="L48"/>
  <c r="K49"/>
  <c r="K21"/>
  <c r="K31"/>
  <c r="K40"/>
  <c r="K50"/>
  <c r="I54"/>
  <c r="I15"/>
  <c r="K25"/>
  <c r="K34"/>
  <c r="K43"/>
  <c r="K54"/>
  <c r="K62"/>
  <c r="L29"/>
  <c r="L32"/>
  <c r="L41"/>
  <c r="I9"/>
  <c r="L9"/>
  <c r="L13"/>
  <c r="L26"/>
  <c r="L55"/>
  <c r="U6"/>
  <c r="I10"/>
  <c r="K24"/>
  <c r="K53"/>
  <c r="K64"/>
  <c r="K30"/>
  <c r="L36"/>
  <c r="L46"/>
  <c r="I5"/>
  <c r="L30"/>
  <c r="K26"/>
  <c r="L25"/>
  <c r="K55"/>
  <c r="L54"/>
  <c r="L10"/>
  <c r="K10"/>
  <c r="I11"/>
  <c r="I7"/>
  <c r="L5"/>
  <c r="L15"/>
  <c r="K16"/>
  <c r="L6"/>
  <c r="K6"/>
  <c r="L7"/>
  <c r="K7"/>
  <c r="K67"/>
  <c r="K12"/>
  <c r="L11"/>
  <c r="I6" i="49"/>
  <c r="I5"/>
  <c r="I4"/>
  <c r="I8" i="48"/>
  <c r="I7"/>
  <c r="I6"/>
  <c r="I5"/>
  <c r="I4"/>
  <c r="K63" i="47"/>
  <c r="K62"/>
  <c r="K61"/>
  <c r="K60"/>
  <c r="K58"/>
  <c r="K57"/>
  <c r="K56"/>
  <c r="K55"/>
  <c r="K54"/>
  <c r="I52"/>
  <c r="K52"/>
  <c r="I51"/>
  <c r="K51"/>
  <c r="K50"/>
  <c r="K49"/>
  <c r="K48"/>
  <c r="I47"/>
  <c r="K47"/>
  <c r="K46"/>
  <c r="I44"/>
  <c r="K44"/>
  <c r="I43"/>
  <c r="K43"/>
  <c r="I42"/>
  <c r="K42"/>
  <c r="I41"/>
  <c r="K41"/>
  <c r="I40"/>
  <c r="K40"/>
  <c r="I39"/>
  <c r="K39"/>
  <c r="I38"/>
  <c r="K38"/>
  <c r="I37"/>
  <c r="K37"/>
  <c r="I36"/>
  <c r="K36"/>
  <c r="I34"/>
  <c r="K34"/>
  <c r="I33"/>
  <c r="K33"/>
  <c r="I32"/>
  <c r="K32"/>
  <c r="I31"/>
  <c r="K31"/>
  <c r="I30"/>
  <c r="K30"/>
  <c r="I29"/>
  <c r="K29"/>
  <c r="I26"/>
  <c r="K26"/>
  <c r="I25"/>
  <c r="K25"/>
  <c r="I24"/>
  <c r="K24"/>
  <c r="I23"/>
  <c r="K23"/>
  <c r="K22"/>
  <c r="I21"/>
  <c r="K21"/>
  <c r="K20"/>
  <c r="K19"/>
  <c r="I17"/>
  <c r="K17"/>
  <c r="K15"/>
  <c r="K14"/>
  <c r="I11"/>
  <c r="K11"/>
  <c r="I9"/>
  <c r="K9"/>
  <c r="I8"/>
  <c r="K8"/>
  <c r="I7"/>
  <c r="K7"/>
  <c r="I6"/>
  <c r="K6"/>
  <c r="K5"/>
  <c r="I10"/>
  <c r="K10"/>
  <c r="B11" i="8"/>
  <c r="G36"/>
  <c r="E36"/>
  <c r="O36"/>
  <c r="K36"/>
  <c r="I36"/>
  <c r="M36"/>
  <c r="M35"/>
  <c r="O35"/>
  <c r="M15"/>
  <c r="O15"/>
  <c r="F348" i="7" l="1"/>
  <c r="G348" s="1"/>
  <c r="H348" s="1"/>
  <c r="F65"/>
  <c r="G65" s="1"/>
  <c r="H65" s="1"/>
  <c r="F68"/>
  <c r="G68" s="1"/>
  <c r="H68" s="1"/>
  <c r="F351"/>
  <c r="G351" s="1"/>
  <c r="H351" s="1"/>
  <c r="F377"/>
  <c r="G377" s="1"/>
  <c r="H377" s="1"/>
  <c r="F105"/>
  <c r="G105" s="1"/>
  <c r="H105" s="1"/>
  <c r="F381"/>
  <c r="G381" s="1"/>
  <c r="H381" s="1"/>
  <c r="F110"/>
  <c r="G110" s="1"/>
  <c r="H110" s="1"/>
  <c r="F127"/>
  <c r="G127" s="1"/>
  <c r="H127" s="1"/>
  <c r="H128" s="1"/>
  <c r="D26" i="9" s="1"/>
  <c r="F395" i="7"/>
  <c r="G395" s="1"/>
  <c r="H395" s="1"/>
  <c r="H396" s="1"/>
  <c r="D46" i="9" s="1"/>
  <c r="J11" i="7"/>
  <c r="G11"/>
  <c r="H11" s="1"/>
  <c r="H14" s="1"/>
  <c r="H15" s="1"/>
  <c r="D10" i="9" s="1"/>
  <c r="H69" i="7"/>
  <c r="D19" i="9" s="1"/>
  <c r="E30" i="8"/>
  <c r="K30"/>
  <c r="G30"/>
  <c r="I30"/>
  <c r="E32"/>
  <c r="K32"/>
  <c r="G32"/>
  <c r="I32"/>
  <c r="I42"/>
  <c r="G42"/>
  <c r="E42"/>
  <c r="K42"/>
  <c r="G47"/>
  <c r="I47"/>
  <c r="E47"/>
  <c r="K47"/>
  <c r="I46"/>
  <c r="K46"/>
  <c r="E46"/>
  <c r="G46"/>
  <c r="F346" i="7"/>
  <c r="G346" s="1"/>
  <c r="H346" s="1"/>
  <c r="H352" s="1"/>
  <c r="D39" i="9" s="1"/>
  <c r="H536" i="7"/>
  <c r="D49" i="9" s="1"/>
  <c r="H517" i="7"/>
  <c r="D48" i="9" s="1"/>
  <c r="H313" i="7"/>
  <c r="K40" i="8"/>
  <c r="G40"/>
  <c r="I40"/>
  <c r="E40"/>
  <c r="H96" i="68"/>
  <c r="H135"/>
  <c r="F87" i="7" s="1"/>
  <c r="G87" s="1"/>
  <c r="H87" s="1"/>
  <c r="F213"/>
  <c r="G213" s="1"/>
  <c r="H213" s="1"/>
  <c r="H939" i="77"/>
  <c r="H34"/>
  <c r="F156" i="7"/>
  <c r="G156" s="1"/>
  <c r="H156" s="1"/>
  <c r="H427" i="77"/>
  <c r="F199" i="7"/>
  <c r="G199" s="1"/>
  <c r="H199" s="1"/>
  <c r="H455" i="77"/>
  <c r="F201" i="7"/>
  <c r="G201" s="1"/>
  <c r="H201" s="1"/>
  <c r="F420"/>
  <c r="G420" s="1"/>
  <c r="H420" s="1"/>
  <c r="H317" i="77"/>
  <c r="F168" i="7"/>
  <c r="G168" s="1"/>
  <c r="H168" s="1"/>
  <c r="F443"/>
  <c r="G443" s="1"/>
  <c r="H443" s="1"/>
  <c r="H441" i="77"/>
  <c r="F200" i="7"/>
  <c r="G200" s="1"/>
  <c r="H200" s="1"/>
  <c r="G514" i="77"/>
  <c r="G30"/>
  <c r="H543" i="7"/>
  <c r="D50" i="9" s="1"/>
  <c r="H59" i="7"/>
  <c r="D18" i="9" s="1"/>
  <c r="H29" i="7"/>
  <c r="D15" i="9" s="1"/>
  <c r="H79" i="7"/>
  <c r="D20" i="9" s="1"/>
  <c r="H119" i="7"/>
  <c r="D24" i="9" s="1"/>
  <c r="H125" i="7"/>
  <c r="D25" i="9" s="1"/>
  <c r="H321" i="7"/>
  <c r="D36" i="9" s="1"/>
  <c r="H375" i="7"/>
  <c r="D42" i="9" s="1"/>
  <c r="F214" i="7"/>
  <c r="G214" s="1"/>
  <c r="H214" s="1"/>
  <c r="H971" i="77"/>
  <c r="H534"/>
  <c r="F207" i="7"/>
  <c r="G207" s="1"/>
  <c r="H207" s="1"/>
  <c r="F445"/>
  <c r="G445" s="1"/>
  <c r="H445" s="1"/>
  <c r="F205"/>
  <c r="G205" s="1"/>
  <c r="H205" s="1"/>
  <c r="H543" i="77"/>
  <c r="F451" i="7"/>
  <c r="G451" s="1"/>
  <c r="H451" s="1"/>
  <c r="H576" i="77"/>
  <c r="F219" i="7"/>
  <c r="G219" s="1"/>
  <c r="H219" s="1"/>
  <c r="H339"/>
  <c r="D37" i="9" s="1"/>
  <c r="G121" i="77"/>
  <c r="G478"/>
  <c r="H291" i="7"/>
  <c r="D29" i="9" s="1"/>
  <c r="G82" i="77"/>
  <c r="G397"/>
  <c r="G344"/>
  <c r="G384"/>
  <c r="H22" i="7"/>
  <c r="H35"/>
  <c r="D16" i="9" s="1"/>
  <c r="H54" i="7"/>
  <c r="D17" i="9" s="1"/>
  <c r="H103" i="7"/>
  <c r="D22" i="9" s="1"/>
  <c r="B4" i="68"/>
  <c r="C24" i="8" l="1"/>
  <c r="C18"/>
  <c r="F434" i="7"/>
  <c r="G434" s="1"/>
  <c r="H434" s="1"/>
  <c r="H388" i="77"/>
  <c r="F185" i="7"/>
  <c r="G185" s="1"/>
  <c r="H185" s="1"/>
  <c r="C31" i="8"/>
  <c r="H112" i="77"/>
  <c r="F154" i="7"/>
  <c r="G154" s="1"/>
  <c r="H154" s="1"/>
  <c r="C19" i="8"/>
  <c r="D14" i="9"/>
  <c r="F422" i="7"/>
  <c r="G422" s="1"/>
  <c r="H422" s="1"/>
  <c r="H335" i="77"/>
  <c r="F169" i="7"/>
  <c r="G169" s="1"/>
  <c r="H169" s="1"/>
  <c r="F410"/>
  <c r="G410" s="1"/>
  <c r="H410" s="1"/>
  <c r="H73" i="77"/>
  <c r="F152" i="7"/>
  <c r="G152" s="1"/>
  <c r="H152" s="1"/>
  <c r="H469" i="77"/>
  <c r="F203" i="7"/>
  <c r="G203" s="1"/>
  <c r="H203" s="1"/>
  <c r="C39" i="8"/>
  <c r="C38"/>
  <c r="C26"/>
  <c r="C17"/>
  <c r="C52"/>
  <c r="H507" i="77"/>
  <c r="F204" i="7"/>
  <c r="G204" s="1"/>
  <c r="H204" s="1"/>
  <c r="D35" i="9"/>
  <c r="C51" i="8"/>
  <c r="C12"/>
  <c r="D11" i="9"/>
  <c r="C28" i="8"/>
  <c r="H383" i="7"/>
  <c r="D43" i="9" s="1"/>
  <c r="H376" i="77"/>
  <c r="F421" i="7"/>
  <c r="G421" s="1"/>
  <c r="H421" s="1"/>
  <c r="C44" i="8"/>
  <c r="C27"/>
  <c r="C22"/>
  <c r="C20"/>
  <c r="F412" i="7"/>
  <c r="G412" s="1"/>
  <c r="H412" s="1"/>
  <c r="F155"/>
  <c r="G155" s="1"/>
  <c r="H155" s="1"/>
  <c r="H21" i="77"/>
  <c r="F83" i="7"/>
  <c r="G83" s="1"/>
  <c r="H83" s="1"/>
  <c r="H93" s="1"/>
  <c r="D21" i="9" s="1"/>
  <c r="F363" i="7"/>
  <c r="G363" s="1"/>
  <c r="H363" s="1"/>
  <c r="H367" s="1"/>
  <c r="D41" i="9" s="1"/>
  <c r="C50" i="8"/>
  <c r="C41"/>
  <c r="C21"/>
  <c r="C48"/>
  <c r="H112" i="7"/>
  <c r="D23" i="9" s="1"/>
  <c r="C23" i="8" l="1"/>
  <c r="C45"/>
  <c r="G28"/>
  <c r="E28"/>
  <c r="K28"/>
  <c r="I28"/>
  <c r="I12"/>
  <c r="I13" s="1"/>
  <c r="G12"/>
  <c r="G13" s="1"/>
  <c r="K12"/>
  <c r="K13" s="1"/>
  <c r="E12"/>
  <c r="E13" s="1"/>
  <c r="M12"/>
  <c r="C13"/>
  <c r="O12"/>
  <c r="C16"/>
  <c r="M18"/>
  <c r="G18"/>
  <c r="O18"/>
  <c r="K18"/>
  <c r="E18"/>
  <c r="I18"/>
  <c r="G24"/>
  <c r="I24"/>
  <c r="E24"/>
  <c r="K24"/>
  <c r="H221" i="7"/>
  <c r="D27" i="9" s="1"/>
  <c r="D31" s="1"/>
  <c r="H453" i="7"/>
  <c r="D47" i="9" s="1"/>
  <c r="C25" i="8"/>
  <c r="E48"/>
  <c r="K48"/>
  <c r="I48"/>
  <c r="G48"/>
  <c r="G21"/>
  <c r="E21"/>
  <c r="I21"/>
  <c r="M21"/>
  <c r="O21"/>
  <c r="K21"/>
  <c r="E41"/>
  <c r="I41"/>
  <c r="K41"/>
  <c r="G41"/>
  <c r="G50"/>
  <c r="I50"/>
  <c r="E50"/>
  <c r="K50"/>
  <c r="C43"/>
  <c r="B60" i="77"/>
  <c r="B21"/>
  <c r="B971"/>
  <c r="B414"/>
  <c r="B732"/>
  <c r="B376"/>
  <c r="B678"/>
  <c r="B534"/>
  <c r="B882"/>
  <c r="B576"/>
  <c r="B585"/>
  <c r="B99"/>
  <c r="B401"/>
  <c r="B34"/>
  <c r="B642"/>
  <c r="B567"/>
  <c r="B871"/>
  <c r="B360"/>
  <c r="B495"/>
  <c r="B748"/>
  <c r="B915"/>
  <c r="B325"/>
  <c r="B138"/>
  <c r="B346"/>
  <c r="B168"/>
  <c r="B1003"/>
  <c r="B797"/>
  <c r="B317"/>
  <c r="B292"/>
  <c r="B766"/>
  <c r="B482"/>
  <c r="B927"/>
  <c r="B112"/>
  <c r="B335"/>
  <c r="B665"/>
  <c r="B73"/>
  <c r="B995"/>
  <c r="B300"/>
  <c r="B816"/>
  <c r="B1019"/>
  <c r="B543"/>
  <c r="B427"/>
  <c r="B199"/>
  <c r="B455"/>
  <c r="B230"/>
  <c r="B388"/>
  <c r="B706"/>
  <c r="B261"/>
  <c r="B621"/>
  <c r="B852"/>
  <c r="B900"/>
  <c r="B525"/>
  <c r="B594"/>
  <c r="B47"/>
  <c r="B691"/>
  <c r="B716"/>
  <c r="B602"/>
  <c r="B653"/>
  <c r="B125"/>
  <c r="B516"/>
  <c r="B1011"/>
  <c r="B469"/>
  <c r="B86"/>
  <c r="B939"/>
  <c r="B441"/>
  <c r="B830"/>
  <c r="B507"/>
  <c r="B844"/>
  <c r="B308"/>
  <c r="G20" i="8"/>
  <c r="M20"/>
  <c r="O20"/>
  <c r="E20"/>
  <c r="K20"/>
  <c r="I20"/>
  <c r="G22"/>
  <c r="E22"/>
  <c r="M22"/>
  <c r="K22"/>
  <c r="I22"/>
  <c r="O22"/>
  <c r="E27"/>
  <c r="K27"/>
  <c r="G27"/>
  <c r="I27"/>
  <c r="G44"/>
  <c r="K44"/>
  <c r="E44"/>
  <c r="I44"/>
  <c r="I51"/>
  <c r="K51"/>
  <c r="E51"/>
  <c r="G51"/>
  <c r="C37"/>
  <c r="D51" i="9"/>
  <c r="C35"/>
  <c r="K52" i="8"/>
  <c r="G52"/>
  <c r="I52"/>
  <c r="E52"/>
  <c r="K17"/>
  <c r="M17"/>
  <c r="O17"/>
  <c r="G17"/>
  <c r="I17"/>
  <c r="E17"/>
  <c r="E26"/>
  <c r="K26"/>
  <c r="I26"/>
  <c r="G26"/>
  <c r="K38"/>
  <c r="I38"/>
  <c r="E38"/>
  <c r="O38"/>
  <c r="G38"/>
  <c r="M38"/>
  <c r="E39"/>
  <c r="G39"/>
  <c r="K39"/>
  <c r="I39"/>
  <c r="E19"/>
  <c r="O19"/>
  <c r="G19"/>
  <c r="M19"/>
  <c r="I19"/>
  <c r="K19"/>
  <c r="E31"/>
  <c r="K31"/>
  <c r="I31"/>
  <c r="G31"/>
  <c r="C10" i="9"/>
  <c r="H299" i="7"/>
  <c r="C28" i="9" l="1"/>
  <c r="C30"/>
  <c r="C22"/>
  <c r="C16"/>
  <c r="C26"/>
  <c r="C19"/>
  <c r="C25"/>
  <c r="C20"/>
  <c r="C18"/>
  <c r="C29"/>
  <c r="C17"/>
  <c r="C24"/>
  <c r="C15"/>
  <c r="C21"/>
  <c r="C14"/>
  <c r="C23"/>
  <c r="D53"/>
  <c r="C11" s="1"/>
  <c r="E37" i="8"/>
  <c r="O37"/>
  <c r="I37"/>
  <c r="K37"/>
  <c r="M37"/>
  <c r="G37"/>
  <c r="C44" i="9"/>
  <c r="C51"/>
  <c r="C40"/>
  <c r="C38"/>
  <c r="C45"/>
  <c r="C34"/>
  <c r="C48"/>
  <c r="C39"/>
  <c r="C46"/>
  <c r="C42"/>
  <c r="C37"/>
  <c r="C36"/>
  <c r="C50"/>
  <c r="C49"/>
  <c r="E25" i="8"/>
  <c r="K25"/>
  <c r="I25"/>
  <c r="G25"/>
  <c r="C49"/>
  <c r="C47" i="9"/>
  <c r="K45" i="8"/>
  <c r="E45"/>
  <c r="I45"/>
  <c r="G45"/>
  <c r="E23"/>
  <c r="K23"/>
  <c r="I23"/>
  <c r="G23"/>
  <c r="C41" i="9"/>
  <c r="H544" i="7"/>
  <c r="H545" s="1"/>
  <c r="I43" i="8"/>
  <c r="K43"/>
  <c r="E43"/>
  <c r="G43"/>
  <c r="C27" i="9"/>
  <c r="C29" i="8"/>
  <c r="C33"/>
  <c r="O16"/>
  <c r="O55" s="1"/>
  <c r="I16"/>
  <c r="K16"/>
  <c r="E16"/>
  <c r="M16"/>
  <c r="G16"/>
  <c r="M55"/>
  <c r="C43" i="9"/>
  <c r="I29" i="8" l="1"/>
  <c r="E29"/>
  <c r="G29"/>
  <c r="K29"/>
  <c r="K33" s="1"/>
  <c r="L33" s="1"/>
  <c r="K49"/>
  <c r="I49"/>
  <c r="E49"/>
  <c r="G49"/>
  <c r="G33"/>
  <c r="H33" s="1"/>
  <c r="E33"/>
  <c r="F33" s="1"/>
  <c r="I33"/>
  <c r="J33" s="1"/>
  <c r="F51" i="9"/>
  <c r="I53" i="8"/>
  <c r="C53"/>
  <c r="G53"/>
  <c r="K53"/>
  <c r="E53"/>
  <c r="C53" i="9"/>
  <c r="C31"/>
  <c r="L53" i="8" l="1"/>
  <c r="K55"/>
  <c r="F53"/>
  <c r="E55"/>
  <c r="H53"/>
  <c r="G55"/>
  <c r="C55"/>
  <c r="D53" s="1"/>
  <c r="I55"/>
  <c r="J53"/>
  <c r="F55" l="1"/>
  <c r="Z55"/>
  <c r="Q55"/>
  <c r="Q59" s="1"/>
  <c r="H55"/>
  <c r="J55"/>
  <c r="D36"/>
  <c r="D40"/>
  <c r="D32"/>
  <c r="D46"/>
  <c r="D30"/>
  <c r="D42"/>
  <c r="D47"/>
  <c r="D28"/>
  <c r="D12"/>
  <c r="D18"/>
  <c r="D48"/>
  <c r="D24"/>
  <c r="D21"/>
  <c r="D41"/>
  <c r="D50"/>
  <c r="D22"/>
  <c r="D27"/>
  <c r="D51"/>
  <c r="D52"/>
  <c r="D17"/>
  <c r="D26"/>
  <c r="D39"/>
  <c r="D19"/>
  <c r="D31"/>
  <c r="D20"/>
  <c r="D44"/>
  <c r="D38"/>
  <c r="D25"/>
  <c r="D23"/>
  <c r="D13"/>
  <c r="D37"/>
  <c r="D45"/>
  <c r="D43"/>
  <c r="D16"/>
  <c r="D29"/>
  <c r="N55"/>
  <c r="P55"/>
  <c r="D49"/>
  <c r="D33"/>
  <c r="L55"/>
  <c r="X55" l="1"/>
  <c r="R55"/>
  <c r="S55"/>
  <c r="D55"/>
</calcChain>
</file>

<file path=xl/sharedStrings.xml><?xml version="1.0" encoding="utf-8"?>
<sst xmlns="http://schemas.openxmlformats.org/spreadsheetml/2006/main" count="36040" uniqueCount="14278">
  <si>
    <t>ITEM</t>
  </si>
  <si>
    <t>DESCRIÇÃO</t>
  </si>
  <si>
    <t>OBRA</t>
  </si>
  <si>
    <t>%</t>
  </si>
  <si>
    <t>CÓDIGO</t>
  </si>
  <si>
    <t>UND</t>
  </si>
  <si>
    <t>QNT</t>
  </si>
  <si>
    <t>P. UNT</t>
  </si>
  <si>
    <t>P. TOTAL</t>
  </si>
  <si>
    <t>M²</t>
  </si>
  <si>
    <t>M³</t>
  </si>
  <si>
    <t>PINTURA</t>
  </si>
  <si>
    <t>TOTAL DO ITEM</t>
  </si>
  <si>
    <t>1.1</t>
  </si>
  <si>
    <t>2.1</t>
  </si>
  <si>
    <t>3.1</t>
  </si>
  <si>
    <t>4.1</t>
  </si>
  <si>
    <t>4.2</t>
  </si>
  <si>
    <t>BDI:</t>
  </si>
  <si>
    <t>PLANILHA ORÇAMENTÁRIA</t>
  </si>
  <si>
    <t>VALOR</t>
  </si>
  <si>
    <t>VALOR (R$)</t>
  </si>
  <si>
    <t>TOTAL</t>
  </si>
  <si>
    <t>Município</t>
  </si>
  <si>
    <t>Endereço</t>
  </si>
  <si>
    <t>Referência:</t>
  </si>
  <si>
    <t>PLANILHA RESUMO</t>
  </si>
  <si>
    <t>P. BASE</t>
  </si>
  <si>
    <t>UN</t>
  </si>
  <si>
    <t>SERVIÇOS PRELIMINARES</t>
  </si>
  <si>
    <t>Und</t>
  </si>
  <si>
    <t>COBERTURA</t>
  </si>
  <si>
    <t>REVESTIMENTO</t>
  </si>
  <si>
    <t>SERVIÇOS COMPLEMENTARES</t>
  </si>
  <si>
    <t>KG</t>
  </si>
  <si>
    <t>M</t>
  </si>
  <si>
    <t>m²</t>
  </si>
  <si>
    <t xml:space="preserve">INSTALAÇÕES DE SEGURANÇA E PREVENÇÃO A COMBATE A INCÊNDIO E PÂNICO </t>
  </si>
  <si>
    <t>EXTINTOR DE INCÊNDIO</t>
  </si>
  <si>
    <t>SINALIZAÇÃO - SAÍDA DE EMERGÊNCIA</t>
  </si>
  <si>
    <t>SISTEMA DE ALARME DE EMERGÊNCIA</t>
  </si>
  <si>
    <t>SISTEMA E ACIONAMENTO DO HIDRANTE</t>
  </si>
  <si>
    <t>LUMINÁRIA DE EMERGÊNCIA</t>
  </si>
  <si>
    <t>4.3</t>
  </si>
  <si>
    <t>73964/006</t>
  </si>
  <si>
    <t>VENTILAÇÃO ESGOTO</t>
  </si>
  <si>
    <t>2.2</t>
  </si>
  <si>
    <t>4.4</t>
  </si>
  <si>
    <t>4.5</t>
  </si>
  <si>
    <t>3.2</t>
  </si>
  <si>
    <t>CISTERNA</t>
  </si>
  <si>
    <t>m³</t>
  </si>
  <si>
    <t>m</t>
  </si>
  <si>
    <t>74145/001</t>
  </si>
  <si>
    <t>73795/013</t>
  </si>
  <si>
    <t>73796/005</t>
  </si>
  <si>
    <t>CRONOGRAMA FÍSICO-FINANCEIRO</t>
  </si>
  <si>
    <t>TAPUME DE CHAPA DE MADEIRA COMPENSADA, E= 6MM, COM PINTURA A CAL E REAPROVEITAMENTO DE 2X</t>
  </si>
  <si>
    <t>EXECUÇÃO DE ALMOXARIFADO EM CANTEIRO DE OBRA EM CHAPA DE MADEIRA COMPENSADA, INCLUSO PRATELEIRAS. AF_02/2016</t>
  </si>
  <si>
    <t>EXECUÇÃO DE REFEITÓRIO EM CANTEIRO DE OBRA EM CHAPA DE MADEIRA COMPENSADA, NÃO INCLUSO MOBILIÁRIO E EQUIPAMENTOS. AF_02/2016</t>
  </si>
  <si>
    <t>M3</t>
  </si>
  <si>
    <t>REATERRO DE VALA COM COMPACTAÇÃO MANUAL</t>
  </si>
  <si>
    <t>ESCAVAÇÃO MANUAL DE VALAS. AF_03/2016</t>
  </si>
  <si>
    <t>PREPARO DE FUNDO DE VALA COM LARGURA MENOR QUE 1,5 M, EM LOCAL COM NÍVEL BAIXO DE INTERFERÊNCIA. AF_06/2016</t>
  </si>
  <si>
    <t>ALVENARIA DE VEDAÇÃO DE BLOCOS CERÂMICOS FURADOS NA HORIZONTAL DE 9X19X19CM (ESPESSURA 9CM) DE PAREDES COM ÁREA LÍQUIDA MAIOR OU IGUAL A 6M² SEM VÃOS E ARGAMASSA DE ASSENTAMENTO COM PREPARO EM BETONEIRA. AF_06/2014</t>
  </si>
  <si>
    <t>PILARES</t>
  </si>
  <si>
    <t>VIGAS</t>
  </si>
  <si>
    <t>CONTRAPISO ARMADO</t>
  </si>
  <si>
    <t>VIDRO TEMPERADO INCOLOR, ESPESSURA 8MM, FORNECIMENTO E INSTALACAO, INCLUSIVE MASSA PARA VEDACAO</t>
  </si>
  <si>
    <t>APLICAÇÃO MANUAL DE PINTURA COM TINTA LÁTEX ACRÍLICA EM PAREDES, DUAS DEMÃOS. AF_06/2014</t>
  </si>
  <si>
    <t>ESPELHO CRISTAL, ESPESSURA 4MM, COM PARAFUSOS DE FIXACAO, SEM MOLDURA</t>
  </si>
  <si>
    <t>REVESTIMENTO CERÂMICO PARA PAREDES EXTERNAS EM PASTILHAS DE PORCELANA 5 X 5 CM (PLACAS DE 30 X 30 CM), ALINHADAS A PRUMO, APLICADO EM PANOS COM VÃOS. AF_06/2014</t>
  </si>
  <si>
    <t>PAR DE TABELAS DE BASQUETE EM COMPENSADO NAVAL DE *1,80 X 1,20* M, COM ARO DE METAL E REDE (SEM SUPORTE DE FIXACAO)</t>
  </si>
  <si>
    <t>APLICACAO DE TINTA A BASE DE EPOXI SOBRE PISO</t>
  </si>
  <si>
    <t>SABONETEIRA PLASTICA TIPO DISPENSER PARA SABONETE LIQUIDO COM RESERVATORIO 800 A 1500 ML, INCLUSO FIXAÇÃO. AF_10/2016</t>
  </si>
  <si>
    <t>BANCADA PARA COZINHA EM AÇO INOX  NAS DIMENSÕES 2,91M X 0,60M COM 02 CUBAS EM AÇO INOX DE DIMENSÕES 0,50 X 0,45 X 0,35, INCLUSIVE TORNEIRA DE PRESSÃO PARA PIA LONGA DE PAREDE, SIFÃO METÁLICO PARA PIA E VÁLVULA DE ESCOAMENTO METÁLICA PARA PIA DE COZINHA, FIXADA SOBRE PAREDE DE ALVENARIA DE TIJOLO DE 1/2 VEZ ACABAMENTO EM AZULEJO CERAMICO ESMALTADO DE DIMENSÕES 150MM X 150MM COM REJUNTE DE COR BRANCO</t>
  </si>
  <si>
    <t>LAVATÓRIO LOUÇA BRANCA SUSPENSO, 29,5 X 39CM OU EQUIVALENTE, PADRÃO POPULAR, INCLUSO SIFÃO TIPO GARRAFA EM PVC, VÁLVULA E ENGATE FLEXÍVEL 30CM EM PLÁSTICO E TORNEIRA CROMADA DE MESA, PADRÃO POPULAR - FORNECIMENTO E INSTALAÇÃO. AF_12/2013</t>
  </si>
  <si>
    <t>CHUVEIRO ELETRICO COMUM CORPO PLASTICO TIPO DUCHA, FORNECIMENTO E INSTALACAO</t>
  </si>
  <si>
    <t>CAIXA SIFONADA DE PVC COM GRELHA BRANCA, 150 X 150 X 50 MM</t>
  </si>
  <si>
    <t>JUNÇÃO 45° DE PVC BRANCO COM REDUÇÃO, PONTA BOLSA E VIROLA, Ø 100 X 50 MM</t>
  </si>
  <si>
    <t>EXECUÇÃO DE FILTRO ANAERÓBICO D=2M E PROFUNDIDADE=2,50M</t>
  </si>
  <si>
    <t>FORNECIMENTO E INSTALAÇÃO DE PARAFUSO COM BUCHA S8</t>
  </si>
  <si>
    <t>FORNECIMENTO E INSTALAÇÃO DE PARAFUSO SEXTAVADO INOX 1/4" X 1" COM ARRUELA LISA ZINCADA</t>
  </si>
  <si>
    <t>SDC03004</t>
  </si>
  <si>
    <t>ABRAÇADEIRA TIPO "D" COM CUNHA, DIÂMETRO 1"</t>
  </si>
  <si>
    <t>FORNECIMENTO E INSTALAÇÃO DE CAIXA DE EQUIPOTENCIALIZAÇÃO 20 X 20 X10 CM</t>
  </si>
  <si>
    <t>SDC07001</t>
  </si>
  <si>
    <t>FORNECIMENTO E INSTALAÇÃO DE PLACA DE SINALIZAÇÃO DE EXTINTOR 20X30CM</t>
  </si>
  <si>
    <t>SDC07002</t>
  </si>
  <si>
    <t>FORNECIMENTO E INSTALAÇÃO DE PLACA DE SINALIZAÇÃO INDICATIVA, SAÍDA DE EMERGÊNCIA, SAÍDA LATERAL ESQUERDA/DIREITA/SAÍDA EM FRENTE</t>
  </si>
  <si>
    <t>SDC07008</t>
  </si>
  <si>
    <t>PLACA DE SINALIZACAO DE SEGURANCA CONTRA INCENDIO, FOTOLUMINESCENTE, RETANGULAR, *13 X 26* CM, EM PVC *2* MM ANTI-CHAMAS (SIMBOLOS, CORES E PICTOGRAMAS CONFORME NBR 13434)</t>
  </si>
  <si>
    <t>SDC07004</t>
  </si>
  <si>
    <t>FORNECIMENTO E INSTALAÇÃO DE ACIONADOR MANUAL PARA ALARME, TIPO QUEBRA VIDRO, COM MARTELO</t>
  </si>
  <si>
    <t>SDC07005</t>
  </si>
  <si>
    <t>FORNECIMENTO E INSTALAÇÃO DE SIRENE ELETRÔNICA, 12V, ALARME DE EMERGÊNCIA</t>
  </si>
  <si>
    <t>SDC07006</t>
  </si>
  <si>
    <t>FORNECIMENTO E INSTALAÇÃO DE CENTRAL DE ALARME IPA, 12 LAÇOS, SEM BATERIA</t>
  </si>
  <si>
    <t>SDC07007</t>
  </si>
  <si>
    <t>FORNECIMENTO E INSTALAÇÃO DE BATERIA SELADA PARA CENTRAL DE ALARME, 12V/5A</t>
  </si>
  <si>
    <t>SDC03009</t>
  </si>
  <si>
    <t>BOMBA RECALQUE D'AGUA TRIFASICA 3,0 HP</t>
  </si>
  <si>
    <t>COTOVELO 90 GRAUS, EM FERRO GALVANIZADO, CONEXÃO ROSQUEADA, DN 65 (2 1/2), INSTALADO EM RESERVAÇÃO DE ÁGUA DE EDIFICAÇÃO QUE POSSUA RESERVATÓRIO DE FIBRA/FIBROCIMENTO  FORNECIMENTO E INSTALAÇÃO. AF_06/2016</t>
  </si>
  <si>
    <t>LUVA, EM FERRO GALVANIZADO, DN 65 (2 1/2"), CONEXÃO ROSQUEADA, INSTALADO EM REDE DE ALIMENTAÇÃO PARA HIDRANTE - FORNECIMENTO E INSTALAÇÃO. AF_12/2015</t>
  </si>
  <si>
    <t>TÊ, EM FERRO GALVANIZADO, CONEXÃO ROSQUEADA, DN 65 (2 1/2"), INSTALADO EM REDE DE ALIMENTAÇÃO PARA HIDRANTE - FORNECIMENTO E INSTALAÇÃO. AF_12/2015</t>
  </si>
  <si>
    <t>VÁLVULA DE RETENÇÃO HORIZONTAL Ø 65MM (2.1/2") - FORNECIMENTO E INSTALAÇÃO</t>
  </si>
  <si>
    <t>VÁLVULA DE PÉ COM CRIVO Ø 65MM (2.1/2") - FORNECIMENTO E INSTALAÇÃO</t>
  </si>
  <si>
    <t>REGISTRO DE GAVETA BRUTO, LATÃO, ROSCÁVEL, 2 1/2, INSTALADO EM RESERVAÇÃO DE ÁGUA DE EDIFICAÇÃO QUE POSSUA RESERVATÓRIO DE FIBRA/FIBROCIMENTO  FORNECIMENTO E INSTALAÇÃO. AF_06/2016</t>
  </si>
  <si>
    <t>ELETRODUTO FLEXÍVEL CORRUGADO, PVC, DN 32 MM (1"), PARA CIRCUITOS TERMINAIS, INSTALADO EM PAREDE - FORNECIMENTO E INSTALAÇÃO. AF_12/2015</t>
  </si>
  <si>
    <t>74104/001</t>
  </si>
  <si>
    <t>PINTURA ACRILICA PARA SINALIZAÇÃO HORIZONTAL EM PISO CIMENTADO</t>
  </si>
  <si>
    <t>SDC03011</t>
  </si>
  <si>
    <t>LUMINARIA DE EMERGENCIA 30 LEDS, POTENCIA 2 W, BATERIA DE LITIO, AUTONOMIA DE 6 CR</t>
  </si>
  <si>
    <t>SDC07003</t>
  </si>
  <si>
    <t>PLACA DE SINALIZACAO DE SEGURANCA CONTRA INCENDIO, FOTOLUMINESCENTE, RETANGULAR, *20 X 40* CM, EM PVC *2* MM ANTI-CHAMAS (SIMBOLOS, CORES E PICTOGRAMAS CONFORME NBR 13434)</t>
  </si>
  <si>
    <t>BUCHA DE REDUCAO DE PVC, SOLDAVEL, CURTA COM 60 X 50 MM</t>
  </si>
  <si>
    <t>TOALHEIRO PLASTICO TIPO DISPENSER PARA PAPEL TOALHA INTERFOLHADO</t>
  </si>
  <si>
    <t>M2</t>
  </si>
  <si>
    <t>FORNECIMENTO E INSTALAÇÃO DE TERMINAL DE VENTILAÇÃO, SÉRIE NORMAL, DN 50MM</t>
  </si>
  <si>
    <t>ALVENARIA EM TIJOLO CERAMICO MACICO 5X10X20CM 1/2 VEZ (ESPESSURA 10CM), ASSENTADO COM ARGAMASSA TRACO 1:2:8 (CIMENTO, CAL E AREIA)</t>
  </si>
  <si>
    <t>FORNECIMENTO E INSTALAÇÃO DE  CAIXA DE INSPEÇÃO SUSPENSA.</t>
  </si>
  <si>
    <t>CAIXA DE GORDURA DUPLA EM CONCRETO PRE-MOLDADO DN 60MM COM TAMPA - FORNECIMENTO E INSTALACAO</t>
  </si>
  <si>
    <t>CAIXA DE INSPEÇÃO EM ALVENARIA DE TIJOLO MACIÇO 60X60X60CM, REVESTIDA INTERNAMENTO COM BARRA LISA (CIMENTO E AREIA, TRAÇO 1:4) E=2,0CM, COM TAMPA PRÉ-MOLDADA DE CONCRETO E FUNDO DE CONCRETO 15MPA TIPO C - ESCAVAÇÃO E CONFECÇÃO</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</si>
  <si>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</si>
  <si>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</si>
  <si>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75 MM, JUNTA ELÁSTICA, FORNECIDO E INSTALADO EM RAMAL DE DESCARGA OU RAMAL DE ESGOTO SANITÁRIO. AF_12/2014</t>
  </si>
  <si>
    <t>JOELHO 90 GRAUS, PVC, SERIE NORMAL, ESGOTO PREDIAL, DN 40 MM, JUNTA SOLDÁVEL,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</si>
  <si>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</si>
  <si>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</si>
  <si>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</si>
  <si>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TUBO PVC, SERIE NORMAL, ESGOTO PREDIAL, DN 75 MM, FORNECIDO E INSTALADO EM RAMAL DE DESCARGA OU RAMAL DE ESGOTO SANITÁRIO. AF_12/2014</t>
  </si>
  <si>
    <t>JOELHO 90 GRAUS, PVC, SERIE NORMAL, ESGOTO PREDIAL, DN 50 MM, JUNTA ELÁSTICA, FORNECIDO E INSTALADO EM RAMAL DE DESCARGA OU RAMAL DE ESGOTO SANITÁRIO. AF_12/2014</t>
  </si>
  <si>
    <t>TUBO PVC, SERIE NORMAL, ESGOTO PREDIAL, DN 50 MM, FORNECIDO E INSTALADO EM PRUMADA DE ESGOTO SANITÁRIO OU VENTILAÇÃO. AF_12/2014</t>
  </si>
  <si>
    <t>TE, PVC, SERIE NORMAL, ESGOTO PREDIAL, DN 50 X 50 MM, JUNTA ELÁSTICA, FORNECIDO E INSTALADO EM PRUMADA DE ESGOTO SANITÁRIO OU VENTILAÇÃO. AF_12/2014</t>
  </si>
  <si>
    <t>CAIXA DE PASSAGEM 30X30X40 COM TAMPA E DRENO BRITA</t>
  </si>
  <si>
    <t>CABO DE COBRE FLEXÍVEL ISOLADO, 2,5 MM², ANTI-CHAMA 450/750 V, PARA CIRCUITOS TERMINAIS - FORNECIMENTO E INSTALAÇÃO. AF_12/2015</t>
  </si>
  <si>
    <t>CABO DE COBRE FLEXÍVEL ISOLADO, 4 MM², ANTI-CHAMA 450/750 V, PARA CIRCUITOS TERMINAIS - FORNECIMENTO E INSTALAÇÃO. AF_12/2015</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</si>
  <si>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</si>
  <si>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</si>
  <si>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</si>
  <si>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DISJUNTOR MONOPOLAR TIPO DIN, CORRENTE NOMINAL DE 20A - FORNECIMENTO E INSTALAÇÃO. AF_04/2016</t>
  </si>
  <si>
    <t>DISJUNTOR BIPOLAR TIPO DIN, CORRENTE NOMINAL DE 20A - FORNECIMENTO E INSTALAÇÃO. AF_04/2016</t>
  </si>
  <si>
    <t>DISJUNTOR TERMOMAGNETICO TRIPOLAR PADRAO NEMA (AMERICANO) 60 A 100A 240V, FORNECIMENTO E INSTALACAO</t>
  </si>
  <si>
    <t>DISJUNTOR TERMOMAGNETICO TRIPOLAR EM CAIXA MOLDADA 300 A 400A 600V, FORNECIMENTO E INSTALACAO</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</si>
  <si>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</si>
  <si>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</si>
  <si>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CAIXA RETANGULAR 4" X 2" MÉDIA (1,30 M DO PISO), PVC, INSTALADA EM PAREDE - FORNECIMENTO E INSTALAÇÃO. AF_12/2015</t>
  </si>
  <si>
    <t>TERMINAL AEREO EM ACO GALVANIZADO COM BASE DE FIXACAO H = 30CM</t>
  </si>
  <si>
    <t>CABO DE COBRE FLEXÍVEL ISOLADO, 2,5 MM², ANTI-CHAMA 0,6/1,0 KV, PARA CIRCUITOS TERMINAIS - FORNECIMENTO E INSTALAÇÃO. AF_12/2015</t>
  </si>
  <si>
    <t>REGISTRO DE PRESSÃO BRUTO, LATÃO, ROSCÁVEL, 3/4", COM ACABAMENTO E CANOPLA CROMADOS. FORNECIDO E INSTALADO EM RAMAL DE ÁGUA. AF_12/2014</t>
  </si>
  <si>
    <t>VALVULA DESCARGA 1.1/2" COM REGISTRO, ACABAMENTO EM METAL CROMADO - FORNECIMENTO E INSTALACAO</t>
  </si>
  <si>
    <t>JOELHO 90 GRAUS, PVC, SOLDÁVEL, DN 25MM, INSTALADO EM PRUMADA DE ÁGUA - FORNECIMENTO E INSTALAÇÃO. AF_12/2014</t>
  </si>
  <si>
    <t>TUBO, PVC, SOLDÁVEL, DN 25MM, INSTALADO EM RAMAL DE DISTRIBUIÇÃO DE ÁGUA - FORNECIMENTO E INSTALAÇÃO. AF_12/2014</t>
  </si>
  <si>
    <t>TUBO, PVC, SOLDÁVEL, DN 50MM, INSTALADO EM PRUMADA DE ÁGUA - FORNECIMENTO E INSTALAÇÃO. AF_12/2014</t>
  </si>
  <si>
    <t>TUBO, PVC, SOLDÁVEL, DN 75MM, INSTALADO EM PRUMADA DE ÁGUA - FORNECIMENTO E INSTALAÇÃO. AF_12/2014</t>
  </si>
  <si>
    <t>TE, PVC, SOLDÁVEL, DN 50MM, INSTALADO EM PRUMADA DE ÁGUA - FORNECIMENTO E INSTALAÇÃO. AF_12/2014</t>
  </si>
  <si>
    <t>TE, PVC, SOLDÁVEL, DN 75MM, INSTALADO EM PRUMADA DE ÁGUA - FORNECIMENTO E INSTALAÇÃO. AF_12/2014</t>
  </si>
  <si>
    <t>TÊ DE REDUÇÃO, PVC, SOLDÁVEL, DN 50MM X 25MM, INSTALADO EM PRUMADA DE ÁGUA - FORNECIMENTO E INSTALAÇÃO. AF_12/2014</t>
  </si>
  <si>
    <t>CHAVE DE BOIA AUTOMÁTICA SUPERIOR 10A/250V - FORNECIMENTO E INSTALACAO</t>
  </si>
  <si>
    <t>PAPELEIRA DE PAREDE EM METAL CROMADO SEM TAMPA, INCLUSO FIXAÇÃO. AF_10/2016</t>
  </si>
  <si>
    <t>CABO DE COBRE NU 35MM2 - FORNECIMENTO E INSTALACAO</t>
  </si>
  <si>
    <t>CABO DE COBRE NU 50MM2 - FORNECIMENTO E INSTALACAO</t>
  </si>
  <si>
    <t>ÁGUA FRIA - RAMAL DE DISTRIBUIÇÃO ESCOLAR</t>
  </si>
  <si>
    <t>SDC07010</t>
  </si>
  <si>
    <t>SDC07011</t>
  </si>
  <si>
    <t>SDC07012</t>
  </si>
  <si>
    <t>SDC03023</t>
  </si>
  <si>
    <t>BUCHA DE REDUCAO DE PVC, SOLDAVEL, LONGA, COM 50X25 MM</t>
  </si>
  <si>
    <t>EXECUÇÃO DE SUMIDOURO EM ALVENARIA DE TIJOLO MACIÇO ASSENTADO EM 1 VEZ COM ESPASSAMENTO ENTRE OS TIJOLOS: DIAMETRO 3,00M PROFUNDIDADE 3,00M</t>
  </si>
  <si>
    <t>PINTURA ESMALTE FOSCO, DUAS DEMAOS, SOBRE SUPERFICIE METALICA, INCLUSO UMA DEMAO DE FUNDO ANTICORROSIVO. UTILIZACAO DE REVOLVER ( AR-COMPRIMIDO).</t>
  </si>
  <si>
    <t>CARGA E DESCARGA MECANIZADAS DE ENTULHO EM CAMINHAO BASCULANTE 6 M3</t>
  </si>
  <si>
    <t>M3XKM</t>
  </si>
  <si>
    <t>ITENS GERAIS</t>
  </si>
  <si>
    <t>VIGAS BALDRAMES</t>
  </si>
  <si>
    <t>SAPATAS</t>
  </si>
  <si>
    <t>ESCAVAÇÃO MECANIZADA PARA BLOCO DE COROAMENTO OU SAPATA, COM PREVISÃO DE FÔRMA, COM RETROESCAVADEIRA. AF_06/2017</t>
  </si>
  <si>
    <t>ESCAVAÇÃO MECANIZADA PARA VIGA BALDRAME, COM PREVISÃO DE FÔRMA, COM MINI-ESCAVADEIRA. AF_06/2017</t>
  </si>
  <si>
    <t>LASTRO DE CONCRETO MAGRO, APLICADO EM BLOCOS DE COROAMENTO OU SAPATAS, ESPESSURA DE 5 CM. AF_08/2017</t>
  </si>
  <si>
    <t>REATERRO MANUAL DE VALAS COM COMPACTAÇÃO MECANIZADA. AF_04/2016</t>
  </si>
  <si>
    <t>ARMAÇÃO DE BLOCO, VIGA BALDRAME E SAPATA UTILIZANDO AÇO CA-60 DE 5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</si>
  <si>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</si>
  <si>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</si>
  <si>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</si>
  <si>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</si>
  <si>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</si>
  <si>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</si>
  <si>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</si>
  <si>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</si>
  <si>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8,0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</si>
  <si>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</si>
  <si>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</si>
  <si>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</si>
  <si>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</si>
  <si>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APLICAÇÃO DE FUNDO SELADOR LÁTEX PVA EM PAREDES, UMA DEMÃO. AF_06/2014</t>
  </si>
  <si>
    <t>APLICAÇÃO MANUAL DE PINTURA COM TINTA LÁTEX PVA EM PAREDES, DUAS DEMÃOS. AF_06/2014</t>
  </si>
  <si>
    <t>ARMAÇÃO DE BLOCO, VIGA BALDRAME OU SAPATA UTILIZANDO AÇO CA-50 DE 6,3 MM - MONTAGEM. AF_06/2017</t>
  </si>
  <si>
    <t>CONCRETAGEM DE PILARES, FCK = 25 MPA, COM USO DE BOMBA EM EDIFICAÇÃO COM SEÇÃO MÉDIA DE PILARES MENOR OU IGUAL A 0,25 M² - LANÇAMENTO, ADENSAMENTO E ACABAMENTO. AF_12/2015</t>
  </si>
  <si>
    <t>ARMAÇÃO DE PILAR OU VIGA DE UMA ESTRUTURA CONVENCIONAL DE CONCRETO ARMADO EM UMA EDIFICAÇÃO TÉRREA OU SOBRADO UTILIZANDO AÇO CA-50 DE 6,3 MM - MONTAGEM. AF_12/2015</t>
  </si>
  <si>
    <t>MONTAGEM E DESMONTAGEM DE FÔRMA PARA ESCADAS, COM 2 LANCES, EM MADEIRA SERRADA, 2 UTILIZAÇÕES. AF_01/2017</t>
  </si>
  <si>
    <t>CJ</t>
  </si>
  <si>
    <t>84665</t>
  </si>
  <si>
    <t>91940</t>
  </si>
  <si>
    <t>CAIXA DE PASSAGEM EM CHAPA DE AÇO COM TAMPA PARAFUSADA, DIMENSÕES 15X15X10CM</t>
  </si>
  <si>
    <t>TERMINAL OU CONECTOR DE PRESSAO - PARA CABO 35MM2 - FORNECIMENTO E INSTALACAO</t>
  </si>
  <si>
    <t>APLICAÇÃO E LIXAMENTO DE MASSA LÁTEX EM TETO, UMA DEMÃO. AF_06/2014</t>
  </si>
  <si>
    <t>APLICAÇÃO MANUAL DE PINTURA COM TINTA LÁTEX PVA EM TETO, DUAS DEMÃOS. AF_06/2014</t>
  </si>
  <si>
    <t>INSTALAÇÕES ELÉTRICAS - BAIXA TENSÃO</t>
  </si>
  <si>
    <t>TERMINAL OU CONECTOR DE PRESSAO - PARA CABO 50MM2 - FORNECIMENTO E INSTALACAO</t>
  </si>
  <si>
    <t>FORNECIMENTO E INSTALAÇÃO DE CARTUCHO PARA SOLDA 115MM</t>
  </si>
  <si>
    <t>ELETRODUTO RÍGIDO ROSCÁVEL, PVC, DN 32 MM (1"), PARA CIRCUITOS TERMINAIS, INSTALADO EM PAREDE - FORNECIMENTO E INSTALAÇÃO. AF_12/2015</t>
  </si>
  <si>
    <t>91927</t>
  </si>
  <si>
    <t>FORNECIMENTO E INSTALAÇÃO DE BARRA CHATA DE ALUMÍNIO 1/4" X 3/4", BARRA DE 6M</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</si>
  <si>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</si>
  <si>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</si>
  <si>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ADAPTADOR CURTO COM BOLSA E ROSCA PARA REGISTRO, PVC, SOLDÁVEL, DN 75MM X 2.1/2, INSTALADO EM PRUMADA DE ÁGUA - FORNECIMENTO E INSTALAÇÃO. AF_12/2014</t>
  </si>
  <si>
    <t>JOELHO 90 GRAUS, PVC, SOLDÁVEL, DN 50MM, INSTALADO EM PRUMADA DE ÁGUA - FORNECIMENTO E INSTALAÇÃO. AF_12/2014</t>
  </si>
  <si>
    <t>TE, PVC, SOLDÁVEL, DN 25MM, INSTALADO EM RAMAL OU SUB-RAMAL DE ÁGUA - FORNECIMENTO E INSTALAÇÃO. AF_12/2014</t>
  </si>
  <si>
    <t>TÊ COM BUCHA DE LATÃO NA BOLSA CENTRAL, PVC, SOLDÁVEL, DN 25MM X 1/2, INSTALADO EM RAMAL DE DISTRIBUIÇÃO DE ÁGUA - FORNECIMENTO E INSTALAÇÃO. AF_12/2014</t>
  </si>
  <si>
    <t>CUBA DE EMBUTIR OVAL EM LOUÇA BRANCA, 35 X 50CM OU EQUIVALENTE - FORNECIMENTO E INSTALAÇÃO. AF_12/2013</t>
  </si>
  <si>
    <t>TORNEIRA CROMADA DE MESA, 1/2" OU 3/4", PARA LAVATÓRIO, PADRÃO POPULAR - FORNECIMENTO E INSTALAÇÃO. AF_12/2013</t>
  </si>
  <si>
    <t>VASO SANITARIO SIFONADO CONVENCIONAL COM  LOUÇA BRANCA - FORNECIMENTO E INSTALAÇÃO. AF_10/2016</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</si>
  <si>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</si>
  <si>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</si>
  <si>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</si>
  <si>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VASO SANITARIO SIFONADO CONVENCIONAL PARA PCD SEM FURO FRONTAL COM LOUÇA BRANCA SEM ASSENTO, INCLUSO CONJUNTO DE LIGAÇÃO PARA BACIA SANITÁRIA AJUSTÁVEL - FORNECIMENTO E INSTALAÇÃO. AF_10/2016</t>
  </si>
  <si>
    <t>VALVULA DESCARGA 1.1/2" COM REGISTRO, ACABAMENTO EM METAL CROMADO COM ALAVANCA PARA PCD- FORNECIMENTO E INSTALACAO</t>
  </si>
  <si>
    <t>INFRA-ESTRUTURA</t>
  </si>
  <si>
    <t>NÃO CONSIDERAR ESTA TABELA  NA PLANILHA QUANTITATIVA !!!</t>
  </si>
  <si>
    <t xml:space="preserve">ESCAVAÇÃO  DAS VIGAS BALDRAMES (CONSIDERADO VOLUME DE CONCRETO DAS BALDRAMES, DIVIDIDO PELA LARGURA DAS VIGAS (15cm) E MULTIPLICADO PELA LARGURA DA VALA (55cm) - 20cm PARA CADA LADO </t>
  </si>
  <si>
    <t>QUANT.</t>
  </si>
  <si>
    <t>LADO 1</t>
  </si>
  <si>
    <t>LADO 2</t>
  </si>
  <si>
    <t>AREA</t>
  </si>
  <si>
    <t>ESCAVAÇÃO (M3)</t>
  </si>
  <si>
    <t>APILOAMENTO (M2)</t>
  </si>
  <si>
    <t xml:space="preserve">LASTRO COM PREPARO DE FUNDO COM CAMADA DE BRITA P/ CONTRAPISO ARMADO - (ÁREA INTERNA * 5cm) </t>
  </si>
  <si>
    <t xml:space="preserve">IMPERMEABILIZAÇÃO - FACE LATERAL E TOPO DAS VIGAS BALDRAMES - IGUAL ÁREA DE FORMAS </t>
  </si>
  <si>
    <t>LONA PLÁSTICA PRETA PARA IMPERMEABILIZAÇÃO DE CONTRAPISO ARMADO</t>
  </si>
  <si>
    <t>FUROS</t>
  </si>
  <si>
    <t>VOLUME DE CONCRETO FCK=25MPA (AREA INTERNA * 7cm)</t>
  </si>
  <si>
    <t>LANÇAMENTO DE CONCRETO</t>
  </si>
  <si>
    <t xml:space="preserve">TELA - Q92 </t>
  </si>
  <si>
    <t>JUNTA SERRADA</t>
  </si>
  <si>
    <t>FORMA PARA FUNDAÇÃO</t>
  </si>
  <si>
    <t>VOLUME DE CONCRETO FCK=25MPA</t>
  </si>
  <si>
    <t>FORMA</t>
  </si>
  <si>
    <t>AÇO CA60 - 5mm</t>
  </si>
  <si>
    <t>AÇO CA50 - 10mm</t>
  </si>
  <si>
    <t>AÇO CA50 - 12,5mm</t>
  </si>
  <si>
    <t>ARQUIBANCADA</t>
  </si>
  <si>
    <t>TELA - Q92 (x1,20 DE PERDA)</t>
  </si>
  <si>
    <t>AÇO CA50 - 8mm</t>
  </si>
  <si>
    <t>VOLUME DE ATERRO (DE PREENCHIMENTO)</t>
  </si>
  <si>
    <t>ALVENARIA EM BLOCOS DE CONCRETO ESTRUTURAL (DIMENSÃO DO BLOCO 14x19x39cm) FCK=4,5MPA</t>
  </si>
  <si>
    <t>SUPER-ESTRUTURA</t>
  </si>
  <si>
    <t>AÇO CA50 - 6,3mm</t>
  </si>
  <si>
    <t>AÇO CA50 - 12.5mm</t>
  </si>
  <si>
    <t>AÇO CA50 - 16mm</t>
  </si>
  <si>
    <t xml:space="preserve"> ESTRUTURA DE COBERTURA</t>
  </si>
  <si>
    <t>ESTRUTURA METÁLICA (ESTRUTURA METÁLICA + PLACA BASE)</t>
  </si>
  <si>
    <t>PINTURA P/ EST. METÁLICA (PINTURA COM ESMALTE SINTÉTICO)</t>
  </si>
  <si>
    <t>AÇO CA50 - 16mm (CHUMBADORES DA PLACA BASE)</t>
  </si>
  <si>
    <t>SDC03022</t>
  </si>
  <si>
    <t>LUVA P/ELETRODUTO ZINCADO 1"</t>
  </si>
  <si>
    <t>CONDULETE DE PVC, TIPO X, PARA ELETRODUTO DE PVC SOLDÁVEL DN 32 MM (1''), APARENTE - FORNECIMENTO E INSTALAÇÃO. AF_11/2016</t>
  </si>
  <si>
    <t>SDC03024</t>
  </si>
  <si>
    <t>FORNECIMENTO E INSTALAÇÃO DE TAMPA CEGA P/CONDULETE 1"</t>
  </si>
  <si>
    <t>SDC07021</t>
  </si>
  <si>
    <t>CONDULETE DE PVC, VERMELHO, PARA INCENDIO,  3/4", COM TAMPA CEGA - FORNECIMENTO E INSTALAÇÃO</t>
  </si>
  <si>
    <t>SDC07022</t>
  </si>
  <si>
    <t>LUVA PARA ELETRODUTO, PVC, VERMELHO, PARA INCÊNDIO, DN 25 MM (3/4") - FORNECIMENTO E INSTALAÇÃO</t>
  </si>
  <si>
    <t>SDC07023</t>
  </si>
  <si>
    <t>TAMPA LATERAL PARA CONDULETE, PVC, VERMELHO, PARA INCÊNDIO, DN 25 MM (3/4") - FORNECIMENTO E INSTALAÇÃO</t>
  </si>
  <si>
    <t>SDC07018</t>
  </si>
  <si>
    <t>SDC07024</t>
  </si>
  <si>
    <t>ADAPTADOR PVC VERMELHO 3/4" PARA INCENDIO  - FORNECIMENTO E INSTALAÇÃO</t>
  </si>
  <si>
    <t>CAIXA DE INCÊNDIO 60X75X17CM - FORNECIMENTO E INSTALAÇÃO</t>
  </si>
  <si>
    <t>NIPLE, EM FERRO GALVANIZADO, DN 65 (2 1/2"), CONEXÃO ROSQUEADA, INSTALADO EM PRUMADAS - FORNECIMENTO E INSTALAÇÃO. AF_12/2015</t>
  </si>
  <si>
    <t>74169/001</t>
  </si>
  <si>
    <t>REGISTRO/VALVULA GLOBO ANGULAR 45 GRAUS EM LATAO PARA HIDRANTES DE INCÊNDIO PREDIAL DN 2.1/2, COM VOLANTE, CLASSE DE PRESSAO DE ATE 200 PSI - FORNECIMENTO E INSTALACAO</t>
  </si>
  <si>
    <t>SDC07026</t>
  </si>
  <si>
    <t>FORNECIMENTO E INSTALAÇÃO DE ADAPTADOR STORZ PARA ENGATE RÁPIDO 2 1/2 X 1 1/2 COM TAMPÃO E CORRENTE (INCÊNDIO)</t>
  </si>
  <si>
    <t>FORNECIMENTO E INSTALAÇÃO DE ESGUICHO JATO SÓLIDO, EM LATÃO, ENGATE RÁPIDO 1.1/2" X 19MM</t>
  </si>
  <si>
    <t>CAIXA DE INCÊNDIO 45X75X17CM - FORNECIMENTO E INSTALAÇÃO</t>
  </si>
  <si>
    <t>SDC07036</t>
  </si>
  <si>
    <t>COTOVELO 45° DE AÇO GALV. (2.1/2")</t>
  </si>
  <si>
    <t>FORNECIMENTO E INSTALAÇÃO DE ADAPTADOR STORZ PARA ENGATE RAPIDO 2.1/2 COM TAMPÃO E CORRENTE</t>
  </si>
  <si>
    <t>SDC07030</t>
  </si>
  <si>
    <t>SDC07037</t>
  </si>
  <si>
    <t>SDC07015</t>
  </si>
  <si>
    <t>FORNECIMENTO E INSTALAÇÃO DE ACIONADOR MANUAL LIGA DESLIGA, BOTOEIRA, TIPO QUEBRA VIDRO, PARA ACIONAMENTO DA BOMBA DO HIDRANTE</t>
  </si>
  <si>
    <t>SDC02094</t>
  </si>
  <si>
    <t>SDC03114</t>
  </si>
  <si>
    <t>SDC03062</t>
  </si>
  <si>
    <t>CABO DE COBRE ISOLADO EM EPR FLEXÍVEL 10MM² - 0,6KV/1KV/90°</t>
  </si>
  <si>
    <t>SDC07040</t>
  </si>
  <si>
    <t>DUTO CORRUGADO FLEXÍVEL EM PEAD Ø = 1.1/2', TIPO KANALEX OU SIMILAR, LANÇADO DIRETAMENTE NO SOLO, EXCLUSIVE ESCAVAÇÃO E REATERRO</t>
  </si>
  <si>
    <t>SDC04049</t>
  </si>
  <si>
    <t>MURETA C/TIJOLO MACIÇO, REBOCADA, INCL. FUNDAÇÕES</t>
  </si>
  <si>
    <t>SDC07014</t>
  </si>
  <si>
    <t>CAIXA DE PROTECAO PARA MEDIDOR TRIFASICO, FORNECIMENTO E INSTALACAO</t>
  </si>
  <si>
    <t>DISJUNTOR TRIPOLAR TIPO DIN, CORRENTE NOMINAL DE 25A - FORNECIMENTO E INSTALAÇÃO. AF_04/2016</t>
  </si>
  <si>
    <t>DISJUNTOR TRIPOLAR TIPO DIN, CORRENTE NOMINAL DE 40A - FORNECIMENTO E INSTALAÇÃO. AF_04/2016</t>
  </si>
  <si>
    <t>SDC03130</t>
  </si>
  <si>
    <t>VIDRO TEMPERADO INCOLOR, ESPESSURA 6MM, FORNECIMENTO E INSTALACAO, INCLUSIVE MASSA PARA VEDACAO</t>
  </si>
  <si>
    <t>PARAFUSO DE ACO TIPO CHUMBADOR PARABOLT, DIAMETRO 3/8", COMPRIMENTO 75 MM</t>
  </si>
  <si>
    <t>JOELHO 90 GRAUS, EM FERRO GALVANIZADO, CONEXÃO ROSQUEADA, DN 20 (3/4"), INSTALADO EM RAMAIS E SUB-RAMAIS DE GÁS - FORNECIMENTO E INSTALAÇÃO. AF_12/2015</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</si>
  <si>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</si>
  <si>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</si>
  <si>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DEMOLIÇÃO DE ALVENARIA DE BLOCO FURADO, DE FORMA MANUAL, SEM REAPROVEITAMENTO. AF_12/2017</t>
  </si>
  <si>
    <t>LASTRO DE VALA COM PREPARO DE FUNDO, LARGURA MENOR QUE 1,5 M, COM CAMADA DE BRITA, LANÇAMENTO MANUAL, EM LOCAL COM NÍVEL BAIXO DE INTERFERÊNCIA. AF_06/2016</t>
  </si>
  <si>
    <t>FABRICAÇÃO, MONTAGEM E DESMONTAGEM DE FÔRMA PARA SAPATA, EM MADEIRA SERRADA, E=25 MM, 4 UTILIZAÇÕES. AF_06/2017</t>
  </si>
  <si>
    <t>FABRICAÇÃO, MONTAGEM E DESMONTAGEM DE FÔRMA PARA VIGA BALDRAME, EM MADEIRA SERRADA, E=25 MM, 4 UTILIZAÇÕES. AF_06/2017</t>
  </si>
  <si>
    <t>MONTAGEM E DESMONTAGEM DE FÔRMA DE PILARES RETANGULARES E ESTRUTURAS SIMILARES COM ÁREA MÉDIA DAS SEÇÕES MENOR OU IGUAL A 0,25 M², PÉ-DIREITO SIMPLES, EM MADEIRA SERRADA, 4 UTILIZAÇÕES. AF_12/2015</t>
  </si>
  <si>
    <t>ARMAÇÃO DE PILAR OU VIGA DE UMA ESTRUTURA CONVENCIONAL DE CONCRETO ARMADO EM UMA EDIFICAÇÃO TÉRREA OU SOBRADO UTILIZANDO AÇO CA-50 DE 20,0 MM - MONTAGEM. AF_12/2015</t>
  </si>
  <si>
    <t>MONTAGEM E DESMONTAGEM DE FÔRMA DE LAJE MACIÇA COM ÁREA MÉDIA MAIOR QUE 20 M², PÉ-DIREITO SIMPLES, EM MADEIRA SERRADA, 4 UTILIZAÇÕES. AF_12/2015</t>
  </si>
  <si>
    <t>FABRICAÇÃO, MONTAGEM E DESMONTAGEM DE FORMA PARA RADIER, EM MADEIRA SERRADA, 4 UTILIZAÇÕES. AF_09/2017</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</si>
  <si>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</si>
  <si>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EM BETONEIRA. AF_06/2014</t>
  </si>
  <si>
    <t>ESCADA</t>
  </si>
  <si>
    <t>ARMAÇÃO DE ESCADA, COM 2 LANCES, DE UMA ESTRUTURA CONVENCIONAL DE CONCRETO ARMADO UTILIZANDO AÇO CA-60 DE 5,0 MM - MONTAGEM. AF_01/2017</t>
  </si>
  <si>
    <t>ARMAÇÃO DE ESCADA, COM 2 LANCES, DE UMA ESTRUTURA CONVENCIONAL DE CONCRETO ARMADO UTILIZANDO AÇO CA-50 DE 10,0 MM - MONTAGEM. AF_01/2017</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</si>
  <si>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</si>
  <si>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</si>
  <si>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ALVENARIA, VERGAS E DIVISÓRIAS</t>
  </si>
  <si>
    <t>COBOGO CERAMICO (ELEMENTO VAZADO), 9X20X20CM, ASSENTADO COM ARGAMASSA TRACO 1:4 DE CIMENTO E AREIA</t>
  </si>
  <si>
    <t>ESQUADRIAS E FERRAGENS</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</si>
  <si>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</si>
  <si>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</si>
  <si>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FORRO</t>
  </si>
  <si>
    <t>FORRO EM RÉGUAS DE PVC, FRISADO, PARA AMBIENTES COMERCIAIS, INCLUSIVE ESTRUTURA DE FIXAÇÃO. AF_05/2017_P</t>
  </si>
  <si>
    <t>ACABAMENTOS PARA FORRO (RODA-FORRO EM PERFIL METÁLICO E PLÁSTICO). AF_05/2017</t>
  </si>
  <si>
    <t>APLICAÇÃO E LIXAMENTO DE MASSA LÁTEX EM PAREDES, UMA DEMÃO. AF_06/2014</t>
  </si>
  <si>
    <t>PISO EM GRANILITE, MARMORITE OU GRANITINA ESPESSURA 8 MM, INCLUSO JUNTAS DE DILATACAO PLASTICAS</t>
  </si>
  <si>
    <t>LASTRO DE CONCRETO MAGRO, APLICADO EM PISOS OU RADIERS. AF_08/2017</t>
  </si>
  <si>
    <t>EXECUÇÃO DE PASSEIO (CALÇADA) OU PISO DE CONCRETO COM CONCRETO MOLDADO IN LOCO, USINADO, ACABAMENTO CONVENCIONAL, NÃO ARMADO. AF_07/2016</t>
  </si>
  <si>
    <t>MÓDULO DE REFERÊNCIA</t>
  </si>
  <si>
    <t>URBANISMO/PAISAGISMO</t>
  </si>
  <si>
    <t>ALIMENTAÇÃO</t>
  </si>
  <si>
    <t>JOELHO 90 GRAUS, PVC, SOLDÁVEL, DN 32MM, INSTALADO EM RAMAL OU SUB-RAMAL DE ÁGUA - FORNECIMENTO E INSTALAÇÃO. AF_12/2014</t>
  </si>
  <si>
    <t>TUBO, PVC, SOLDÁVEL, DN 32MM, INSTALADO EM RAMAL DE DISTRIBUIÇÃO DE ÁGUA - FORNECIMENTO E INSTALAÇÃO. AF_12/2014</t>
  </si>
  <si>
    <t>TE, PVC, SOLDÁVEL, DN 32MM, INSTALADO EM RAMAL OU SUB-RAMAL DE ÁGUA - FORNECIMENTO E INSTALAÇÃO. AF_12/2014</t>
  </si>
  <si>
    <t>JOELHO 90 GRAUS COM BUCHA DE LATÃO, PVC, SOLDÁVEL, DN 25MM, X 1/2 INSTALADO EM RAMAL OU SUB-RAMAL DE ÁGUA - FORNECIMENTO E INSTALAÇÃO. AF_12/2014</t>
  </si>
  <si>
    <t>LUVA COM BUCHA DE LATÃO, PVC, SOLDÁVEL, DN 20MM X 1/2, INSTALADO EM RAMAL DE DISTRIBUIÇÃO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</si>
  <si>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</si>
  <si>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85MM X 3, INSTALADO EM PRUMADA DE ÁGUA - FORNECIMENTO E INSTALAÇÃO. AF_12/2014</t>
  </si>
  <si>
    <t>BUCHA DE REDUCAO DE PVC, SOLDAVEL, CURTA COM 85 X 75 MM</t>
  </si>
  <si>
    <t>BUCHA DE REDUCAO DE PVC, SOLDAVEL, LONGA, COM 50X20 MM</t>
  </si>
  <si>
    <t>BUCHA DE REDUÇÃO, PVC, SOLDÁVEL, DN 75MM X 50MM, INSTALADO EM RAMAL DE DISTRIBUIÇÃO DE ÁGUA - FORNECIMENTO E INSTALAÇÃO.</t>
  </si>
  <si>
    <t>BUCHA DE REDUCAO DE PVC, SOLDAVEL, LONGA, COM 85 X 60 MM</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</si>
  <si>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</si>
  <si>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</si>
  <si>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</si>
  <si>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</si>
  <si>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TUBO, PVC, SOLDÁVEL, DN 20MM, INSTALADO EM RAMAL DE DISTRIBUIÇÃO DE ÁGUA - FORNECIMENTO E INSTALAÇÃO. AF_12/2014</t>
  </si>
  <si>
    <t>TUBO, PVC, SOLDÁVEL, DN 85MM, INSTALADO EM PRUMADA DE ÁGUA - FORNECIMENTO E INSTALAÇÃO. AF_12/2014</t>
  </si>
  <si>
    <t>TE, PVC, SOLDÁVEL, DN 85MM, INSTALADO EM PRUMADA DE ÁGUA - FORNECIMENTO E INSTALAÇÃO. AF_12/2014</t>
  </si>
  <si>
    <t>TÊ DE REDUÇÃO, PVC, SOLDÁVEL, DN 50MM X 20MM</t>
  </si>
  <si>
    <t>TE DE REDUÇÃO, PVC, SOLDÁVEL, DN 75MM X 50MM, INSTALADO EM PRUMADA DE ÁGUA - FORNECIMENTO E INSTALAÇÃO. AF_12/2014</t>
  </si>
  <si>
    <t>TÊ DE REDUÇÃO, PVC, SOLDÁVEL, DN 85MM X 75MM</t>
  </si>
  <si>
    <t>REGISTRO DE GAVETA BRUTO, LATÃO, ROSCÁVEL, 3, INSTALADO EM RESERVAÇÃO DE ÁGUA DE EDIFICAÇÃO QUE POSSUA RESERVATÓRIO DE FIBRA/FIBROCIMENTO  FORNECIMENTO E INSTALAÇÃO. AF_06/2016</t>
  </si>
  <si>
    <t>REGISTRO DE GAVETA BRUTO, LATÃO, ROSCÁVEL, 3/4", FORNECIDO E INSTALADO EM RAMAL DE ÁGUA. AF_12/2014</t>
  </si>
  <si>
    <t>REGISTRO DE GAVETA BRUTO, LATÃO, ROSCÁVEL, 1 1/2, INSTALADO EM RESERVAÇÃO DE ÁGUA DE EDIFICAÇÃO QUE POSSUA RESERVATÓRIO DE FIBRA/FIBROCIMENTO  FORNECIMENTO E INSTALAÇÃO. AF_06/2016</t>
  </si>
  <si>
    <t>REGISTRO DE PRESSÃO BRUTO, LATÃO, ROSCÁVEL, 1/2", COM ACABAMENTO E CANOPLA CROMADOS. FORNECIDO E INSTALADO EM RAMAL DE ÁGUA. AF_12/2014</t>
  </si>
  <si>
    <t>JOELHO 90 GRAUS COM BUCHA DE LATÃO, PVC, SOLDÁVEL, DN  25 MM, X 3/4 INSTALADO EM RESERVAÇÃO DE ÁGUA DE EDIFICAÇÃO QUE POSSUA RESERVATÓRIO DE FIBRA/FIBROCIMENTO   FORNECIMENTO E INSTALAÇÃO. AF_06/2016</t>
  </si>
  <si>
    <t>JOELHO 90 GRAUS COM BUCHA DE LATÃO, PVC, SOLDÁVEL, DN 20MM, X 1/2 INSTALADO EM RAMAL OU SUB-RAMAL DE ÁGUA - FORNECIMENTO E INSTALAÇÃO.</t>
  </si>
  <si>
    <t>TÊ COM BUCHA DE LATÃO NA BOLSA CENTRAL, PVC, SOLDÁVEL, DN 25MM X 3/4, INSTALADO EM RAMAL OU SUB-RAMAL DE ÁGUA - FORNECIMENTO E INSTALAÇÃO. AF_03/2015</t>
  </si>
  <si>
    <t>ADAPTADOR COM FLANGES LIVRES, PVC, SOLDÁVEL, DN 32 MM X 1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</si>
  <si>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</si>
  <si>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</si>
  <si>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</si>
  <si>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</si>
  <si>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JOELHO 90 GRAUS, PVC, SOLDÁVEL, DN 32MM, INSTALADO EM PRUMADA DE ÁGUA - FORNECIMENTO E INSTALAÇÃO. AF_12/2014</t>
  </si>
  <si>
    <t>JOELHO 45 GRAUS, PVC, SOLDÁVEL, DN 85MM, INSTALADO EM PRUMADA DE ÁGUA - FORNECIMENTO E INSTALAÇÃO. AF_12/2014</t>
  </si>
  <si>
    <t>UNIÃO, PVC, SOLDÁVEL, DN 32MM, INSTALADO EM PRUMADA DE ÁGUA - FORNECIMENTO E INSTALAÇÃO. AF_12/2014</t>
  </si>
  <si>
    <t>UNIÃO, PVC, SOLDÁVEL, DN 50MM, INSTALADO EM PRUMADA DE ÁGUA - FORNECIMENTO E INSTALAÇÃO. AF_12/2014</t>
  </si>
  <si>
    <t>UNIÃO, PVC, SOLDÁVEL, DN 85MM, INSTALADO EM PRUMADA DE ÁGUA - FORNECIMENTO E INSTALAÇÃO. AF_12/2014</t>
  </si>
  <si>
    <t>TE, PVC, SOLDÁVEL, DN 32MM, INSTALADO EM PRUMADA DE ÁGUA - FORNECIMENTO E INSTALAÇÃO. AF_12/2014</t>
  </si>
  <si>
    <t>TUBO, PVC, SOLDÁVEL, DN 32MM, INSTALADO EM PRUMADA DE ÁGUA - FORNECIMENTO E INSTALAÇÃO. AF_12/2014</t>
  </si>
  <si>
    <t>REGISTRO DE GAVETA BRUTO, LATÃO, ROSCÁVEL, 1, INSTALADO EM RESERVAÇÃO DE ÁGUA DE EDIFICAÇÃO QUE POSSUA RESERVATÓRIO DE FIBRA/FIBROCIMENTO  FORNECIMENTO E INSTALAÇÃO. AF_06/2016</t>
  </si>
  <si>
    <t>TUBO, PVC, SOLDÁVEL, DN 40MM, INSTALADO EM PRUMADA DE ÁGUA - FORNECIMENTO E INSTALAÇÃO. AF_12/2014</t>
  </si>
  <si>
    <t>UNIÃO, PVC, SOLDÁVEL, DN 40MM, INSTALADO EM PRUMADA DE ÁGUA - FORNECIMENTO E INSTALAÇÃO. AF_12/2014</t>
  </si>
  <si>
    <t>TE, PVC, SOLDÁVEL, DN 40MM, INSTALADO EM PRUMADA DE ÁGUA - FORNECIMENTO E INSTALAÇÃO. AF_12/2014</t>
  </si>
  <si>
    <t>JOELHO 90 GRAUS, PVC, SOLDÁVEL, DN 40MM, INSTALADO EM PRUMADA DE ÁGUA - FORNECIMENTO E INSTALAÇÃO. AF_12/2014</t>
  </si>
  <si>
    <t>REGISTRO DE GAVETA BRUTO, LATÃO, ROSCÁVEL, 1 1/4, INSTALADO EM RESERVAÇÃO DE ÁGUA DE EDIFICAÇÃO QUE POSSUA RESERVATÓRIO DE FIBRA/FIBROCIMENTO  FORNECIMENTO E INSTALAÇÃO. AF_06/2016</t>
  </si>
  <si>
    <t>VÁLVULA DE RETENÇÃO HORIZONTAL Ø 32MM (1.1/4") - FORNECIMENTO E INSTALAÇÃO</t>
  </si>
  <si>
    <t>VASO SANITÁRIO SIFONADO COM CAIXA ACOPLADA LOUÇA BRANCA, INCLUSO ENGATE FLEXÍVEL EM PLÁSTICO BRANCO, 1/2  X 40CM - FORNECIMENTO E INSTALAÇÃO. AF_12/2013</t>
  </si>
  <si>
    <t>BANCADA PARA COZINHA EM AÇO INOX NAS DIMENSÕES 2,46X0,80M COM 01 CUBA EM AÇO INOX DE DIMENSÕES 0,80 X 0,60 X 0,50, INCLUSIVE TORNEIRA DE PRESSÃO PARA PIA LONGA DE PAREDE, SIFÃO PARA PIA E VÁLVULA DE ESCOAMENTO METÁLICA PARA PIA DE COZINHA, FIXADA SOBRE PAREDE DE ALVENARIA DE TIJOLO DE 1/2 VEZ ACABAMENTO EM AZULEJO CERAMICO ESMALTADO DE DIMENSÕES 150MM X 150MM COM REJUNTE DE COR BRANCO.</t>
  </si>
  <si>
    <t>LAVATÓRIO LOUÇA BRANCA SUSPENSO, 29,5 X 39CM OU EQUIVALENTE, PADRÃO POPULAR, INCLUSO SIFÃO FLEXÍVEL EM PVC, VÁLVULA E ENGATE FLEXÍVEL 30CM EM PLÁSTICO E TORNEIRA DE PRESSÃO CROMADA DE MESA TIPO ALAVANCA PARA PCD, PADRÃO POPULAR - FORNECIMENTO E INSTALAÇÃO</t>
  </si>
  <si>
    <t>FORNECIMENTO E INSTALAÇÃO DE DUCHA HIGIENICA PLÁSTICA COM REGISTRO METÁLICO 1/2"</t>
  </si>
  <si>
    <t>MISTURADOR MONOCOMANDO PARA CHUVEIRO, BASE BRUTA E ACABAMENTO CROMADO, FORNECIDO E INSTALADO EM RAMAL DE ÁGUA. AF_12/2014</t>
  </si>
  <si>
    <t>INSTALAÇÕES SANITÁRIAS</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</si>
  <si>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</si>
  <si>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</si>
  <si>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</si>
  <si>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SUBCOLETOR AÉREO DE ESGOTO SANITÁRIO. AF_12/2014</t>
  </si>
  <si>
    <t>JUNÇÃO SIMPLES, PVC, SERIE R, ÁGUA PLUVIAL, DN 75 X 75 MM, JUNTA ELÁSTICA, FORNECIDO E INSTALADO EM RAMAL DE ENCAMINHAMENTO. AF_12/2014</t>
  </si>
  <si>
    <t>LUVA SIMPLES, PVC, SERIE NORMAL, ESGOTO PREDIAL, DN 40 MM, JUNTA SOLDÁVEL, FORNECIDO E INSTALADO EM RAMAL DE DESCARGA OU RAMAL DE ESGOTO SANITÁRIO. AF_12/2014</t>
  </si>
  <si>
    <t>TUBO PVC, SERIE NORMAL, ESGOTO PREDIAL, DN 150 MM, FORNECIDO E INSTALADO EM SUBCOLETOR AÉREO DE ESGOTO SANITÁRIO. AF_12/2014</t>
  </si>
  <si>
    <t>FORNECIMENTO E INSTALAÇÃO DE TERMINAL DE VENTILAÇÃO, SÉRIE NORMAL, DN 75MM</t>
  </si>
  <si>
    <t>FOSSA SÉPTICA EM ALVENARIA - TIJOLO COMUM MACIÇO, DIMENSOES 350 X 180 X 150 CM (9,45M³)</t>
  </si>
  <si>
    <t>DRENAGEM DE ÁGUAS PLUVIAIS</t>
  </si>
  <si>
    <t>CURVA CURTA 45 GRAUS, PVC, SERIE NORMAL, ESGOTO PREDIAL, DN 100 MM, JUNTA ELÁSTICA, FORNECIDO E INSTALADO EM RAMAL DE DESCARGA OU RAMAL DE ESGOTO SANITÁRIO. AF_12/2014</t>
  </si>
  <si>
    <t>RALO HEMISFÉRICO EM Fº Fº, TIPO ABACAXI 100MM</t>
  </si>
  <si>
    <t>ALVENARIA DE EMBASAMENTO EM TIJOLOS CERAMICOS MACICOS 5X10X20CM, ASSENTADO  COM ARGAMASSA TRACO 1:2:8 (CIMENTO, CAL E AREIA)</t>
  </si>
  <si>
    <t>EXECUCAO DE DRENO FRANCES COM AREIA MEDIA</t>
  </si>
  <si>
    <t>CAIXA RETANGULAR 4" X 2" ALTA (2,00 M DO PISO), PVC, INSTALADA EM PAREDE - FORNECIMENTO E INSTALAÇÃO. AF_12/2015</t>
  </si>
  <si>
    <t>CAIXA OCTOGONAL 3" X 3", PVC, INSTALADA EM LAJE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</si>
  <si>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</si>
  <si>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</si>
  <si>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</si>
  <si>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</si>
  <si>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QUADRO DE DISTRIBUICAO DE ENERGIA EM CHAPA DE ACO GALVANIZADO, PARA 12 DISJUNTORES TERMOMAGNETICOS MONOPOLARES, COM BARRAMENTO TRIFASICO E NEUTRO - FORNECIMENTO E INSTALACAO</t>
  </si>
  <si>
    <t>QUADRO DE DISTRIBUICAO DE ENERGIA DE EMBUTIR, EM CHAPA METALICA, PARA 24 DISJUNTORES TERMOMAGNETICOS MONOPOLARES, COM BARRAMENTO TRIFASICO E NEUTRO, FORNECIMENTO E INSTALACAO</t>
  </si>
  <si>
    <t>DISJUNTOR MONOPOLAR TIPO DIN, CORRENTE NOMINAL DE 16A - FORNECIMENTO E INSTALAÇÃO. AF_04/2016</t>
  </si>
  <si>
    <t>ELETRODUTO FLEXÍVEL CORRUGADO, PVC, DN 25 MM (3/4"), PARA CIRCUITOS TERMINAIS, INSTALADO EM PAREDE - FORNECIMENTO E INSTALAÇÃO. AF_12/2015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</si>
  <si>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</si>
  <si>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REATERRO MECANIZADO DE VALA COM RETROESCAVADEIRA (CAPACIDADE DA CAÇAMBA DA RETRO: 0,26 M³ / POTÊNCIA: 88 HP), LARGURA ATÉ 0,8 M, PROFUNDIDADE ATÉ 1,5 M, COM SOLO (SEM SUBSTITUIÇÃO) DE 1ª CATEGORIA EM LOCAIS COM BAIXO NÍVEL DE INTERFERÊNCIA. AF_04/2016</t>
  </si>
  <si>
    <t>INSTALAÇÕES DE GÁS</t>
  </si>
  <si>
    <t>TUBO DE AÇO PRETO SEM COSTURA, CLASSE MÉDIA, CONEXÃO SOLDADA, DN 20 (3/4"), INSTALADO EM RAMAIS E SUB-RAMAIS DE GÁS - FORNECIMENTO E INSTALAÇÃO. AF_12/2015</t>
  </si>
  <si>
    <t>TÊ, EM FERRO GALVANIZADO, CONEXÃO ROSQUEADA, DN 20 (3/4"), INSTALADO EM RAMAIS E SUB-RAMAIS DE GÁS - FORNECIMENTO E INSTALAÇÃO. AF_12/2015</t>
  </si>
  <si>
    <t>VÁLVULA DE ESFERA BRUTA, BRONZE, ROSCÁVEL, 3/4'', INSTALADO EM RESERVAÇÃO DE ÁGUA DE EDIFICAÇÃO QUE POSSUA RESERVATÓRIO DE FIBRA/FIBROCIMENTO - FORNECIMENTO E INSTALAÇÃO. AF_06/2016</t>
  </si>
  <si>
    <t>UNIÃO, EM FERRO GALVANIZADO, CONEXÃO ROSQUEADA, DN 20 (3/4"), INSTALADO EM RAMAIS E SUB-RAMAIS DE GÁS - FORNECIMENTO E INSTALAÇÃO. AF_12/2015</t>
  </si>
  <si>
    <t xml:space="preserve">QUANTITATIVO </t>
  </si>
  <si>
    <t>RESUMO DE LEVANTAMENTOS</t>
  </si>
  <si>
    <t>BLOCO: EDUCACIONAL/REFEITÓRIO/QUADRA</t>
  </si>
  <si>
    <t>UNID.</t>
  </si>
  <si>
    <t>QUANTIDADE</t>
  </si>
  <si>
    <t>INSTALAÇÕES PROVISÓRIAS</t>
  </si>
  <si>
    <t>Fornecimento e instalação de placa de obra, padrão Governo de Mato Grosso, 1 - tamanho 5,00x2,50m / 1 - tamanho 0,60x1,20m</t>
  </si>
  <si>
    <t>Execução de almoxarifado em canteiro de obra em chapa de madeira compensada, incluso prateleiras. af_02/2016</t>
  </si>
  <si>
    <t>Execução de refeitório em canteiro de obra em chapa de madeira compensada, não incluso mobiliário e equipamentos. af_02/2016</t>
  </si>
  <si>
    <t>MÁQUINAS E FERRAMENTAS</t>
  </si>
  <si>
    <t>LOCAÇÃO DE ANDAIME FACHADEIRO</t>
  </si>
  <si>
    <t>LIMPEZA DE OBRA</t>
  </si>
  <si>
    <t>LIMPEZA MECANIZADA DE TERRENO COM REMOÇÃO DE CAMADA VEGETAL, UTILIZANDO MOTONIVELADORA</t>
  </si>
  <si>
    <t>CARGA MANUAL DE ENTULHOS EM CAMINHÃO BASCULANTE 6M³</t>
  </si>
  <si>
    <t>TRANSPORTE EM CAMINHÃO BASCULANTE DE 10M³, EM VIA URBANA EM LEITO NATURAL</t>
  </si>
  <si>
    <t>M³X KM</t>
  </si>
  <si>
    <t>IMPERMEABILIZAÇÃO</t>
  </si>
  <si>
    <t>PAVIMENTAÇÃO</t>
  </si>
  <si>
    <t>ACESSIBILIDADE/COMUNICAÇÃO VISUAL</t>
  </si>
  <si>
    <t>LIMPEZA FINAL DE OBRA</t>
  </si>
  <si>
    <t>LIMPEZA GERAL</t>
  </si>
  <si>
    <t>LIMPEZA DE AZULEJOS E PASTILHAS</t>
  </si>
  <si>
    <t>LIMPEZA DE VIDROS</t>
  </si>
  <si>
    <t>TRUNCAR</t>
  </si>
  <si>
    <t>LEVANTAMENTO QUANTITATIVOS EE ARIOSTO 12 SALAS</t>
  </si>
  <si>
    <t xml:space="preserve">ESCAVAÇÃO  DAS SAPATAS (CONSIDERADO ÁREA DA SAPATA E FOLGA DE 20cm PARA CADA LADO - ALTURA DA SAPATA + 5cm DE LASTRO + ALTURA DO BALDRAME) </t>
  </si>
  <si>
    <t xml:space="preserve">REATERRO DAS SAPATAS (ESCAVAÇÃO DAS SAPATAS - VOLUME DE CONCRETO DAS SAPATAS) </t>
  </si>
  <si>
    <t>BOTAFORA MATERIAL DOS BLOCOS (CONSIDERADO 40% DE EMPOLAMENTO)</t>
  </si>
  <si>
    <t xml:space="preserve">APILOAMENTO DE FUNDO DOS BLOCOS COM LASTRO DE BRITA (5cm)- CONSIDERADO ÁREA ESCAVADA </t>
  </si>
  <si>
    <t xml:space="preserve">APILOAMENTO DE FUNDO DAS VIGAS BALDRAMES COM LASTRO DE BRITA (5cm) - CONSIDERADO ÁREA ESCAVADA - (VOLUME DE ESCAVAÇÃO DIVIDIDO PELA ALTURA DAS VIGAS) </t>
  </si>
  <si>
    <t>AÇO CA60 - 6,3mm</t>
  </si>
  <si>
    <t>AÇO CA60 - 8mm</t>
  </si>
  <si>
    <t>AÇO CA60 - 10mm</t>
  </si>
  <si>
    <t>AÇO CA50 - 20mm</t>
  </si>
  <si>
    <t>LAJE DO PRIMEIRO PAVIMENTO+PATAMAR ESCADA+RAMPA</t>
  </si>
  <si>
    <t>ÁREA DE LAJE P/ QUANTIFICAÇÃO (ALTURA DA LAJE H=16+4=20 CM)</t>
  </si>
  <si>
    <t>TELA Q92 PARA CAPA DA LAJE RELIÇADA</t>
  </si>
  <si>
    <t>FORMA DA LAJE MACIÇA</t>
  </si>
  <si>
    <t>VOLUME DE CONCRETO DA LAJE MACIÇA FCK=25MPA</t>
  </si>
  <si>
    <t>LAJE DA COBERTURA (CAIXA D'ÁGUA)</t>
  </si>
  <si>
    <t>LEVANTAMENTO QUANTITATIVOS COBERTURA BLOCO ESCOLAR (Cobertura 01 (2x) + Cobertura 02 (2x) + Cobertura 03 (2x) + Cobertura 04)</t>
  </si>
  <si>
    <t>AÇO CA50 - 12.5mm (CHUMBADORES DA PLACA BASE)</t>
  </si>
  <si>
    <t>PARABOLT Ø3/8"</t>
  </si>
  <si>
    <t>LEVANTAMENTO QUANTITATIVOS COBERTURA RAMPA - EE ARIOSTO DA RIVA - R00</t>
  </si>
  <si>
    <t>ESTRUTURA METÁLICA (ESTRUTURA METÁLICA + PLACA BASE) - AÇO ASTM A36 250 MPA - ELETRODO E70XX</t>
  </si>
  <si>
    <t>AÇO CA50 - Ø12.5mm (CHUMBADORES DA PLACA BASE)</t>
  </si>
  <si>
    <t>LEVANTAMENTO QUANTITATIVOS QUADRA SEDUC</t>
  </si>
  <si>
    <t>ESCAVAÇAO SAPATAS QUADRA</t>
  </si>
  <si>
    <t xml:space="preserve">ESCAVAÇÃO  DE SAPATAS (CONSIDERADO ÁREA DA SAPATA E FOLGA DE 20cm PARA CADA LADO - ALTURA DO BLOCO + 5cm DE LASTRO + ALTURA DO PILAR ENTERRADO) </t>
  </si>
  <si>
    <t>SAPATAS GRANDES</t>
  </si>
  <si>
    <t>H SAPATA</t>
  </si>
  <si>
    <t>H PILAR</t>
  </si>
  <si>
    <t xml:space="preserve">REATERRO DAS VIGAS BALDRAMES (ESCAVAÇÃO DAS SAPATAS - VOLUME DE CONCRETO DAS SAPATAS) </t>
  </si>
  <si>
    <t>SAPATAS PEQUENAS</t>
  </si>
  <si>
    <t>BOTAFORA MATERIAL DAS SAPATAS (CONSIDERADO 40% DE EMPOLAMENTO)</t>
  </si>
  <si>
    <t>BOTAFORA MATERIAL DAS VIGAS BALDRAMES (CONSIDERADO 40% DE EMPOLAMENTO)</t>
  </si>
  <si>
    <t xml:space="preserve">APILOAMENTO DE FUNDO DAS SAPATAS - CONSIDERADO ÁREA ESCAVADA </t>
  </si>
  <si>
    <t>LASTRO DE CONCRETO E = 5 CM - SAPATAS</t>
  </si>
  <si>
    <t xml:space="preserve">LASTRO COM PREPARO DE FUNDO COM CAMADA DE BRITA P/ VIGAS BALDRAMES (ÁREA DE APILOAMENTO * 5cm) </t>
  </si>
  <si>
    <t>FUROS DE SONDAGEM ( ÁREA = 988,41 M2 = 4 FUROS)</t>
  </si>
  <si>
    <t>ALVENARIA EM BLOCOS DE CONCRETO ESTRUTURAL (DIMENSÃO DO BLOCO 19x19x39cm) FCK=4,5MPA</t>
  </si>
  <si>
    <t>COBERTURA METÁLICA</t>
  </si>
  <si>
    <t>LEVANTAMENTO QUANTITATIVOS REFEITÓRIO -  EE ARIOSTO RIVA</t>
  </si>
  <si>
    <t>ESCAVAÇAO REFEITÓRIO - SAPATAS</t>
  </si>
  <si>
    <t xml:space="preserve">ESCAVAÇÃO  DAS SAPATAS (CONSIDERADO ÁREA DAS SAPATAS E FOLGA DE 20cm PARA CADA LADO - ALTURA DA SAPATA + 5cm DE LASTRO + ALTURA DO PILAR ENTERRADO) </t>
  </si>
  <si>
    <t>P1, P2, P3, P4, P5, P6, P7, P8, P24, P25, P26, P28, P29, P30, P31 e P32</t>
  </si>
  <si>
    <t xml:space="preserve">REATERRO DAS SAPATAS </t>
  </si>
  <si>
    <t>REATERRO DAS VIGAS BALDRAME</t>
  </si>
  <si>
    <t>P9, P16 e P27</t>
  </si>
  <si>
    <t>BOTAFORA MATERIAL DAS VIGAS BALDRAME (CONSIDERADO 40% DE EMPOLAMENTO)</t>
  </si>
  <si>
    <t>P10, P11, P12, P13, P14, P15, P17, P18, P19, P20, P21, P22 e P23</t>
  </si>
  <si>
    <t xml:space="preserve">LASTRO DE CONCRETO - SAPATAS (ÁREA DE APILOAMENTO * 5cm) </t>
  </si>
  <si>
    <t xml:space="preserve">LASTRO COM PREPARO DE FUNDO COM CAMADA DE BRITA P/  VIGAS BALDRAMES (ÁREA DE APILOAMENTO * 5cm) </t>
  </si>
  <si>
    <t xml:space="preserve">LONA PLÁSTICA PRETA PARA IMPERMEABILIZAÇÃO DE CONTRAPISO ARMADO </t>
  </si>
  <si>
    <t>FUROS DE SONDAGEM TIPO SPT ( ÁREA = 376 M2)</t>
  </si>
  <si>
    <t>LAJES TRELIÇADAS</t>
  </si>
  <si>
    <t>LAJE TRELIÇADA h=12cm PARA COBERTURA (SOBRECARGA DE 150KG/M2)</t>
  </si>
  <si>
    <t>TELA - Q92 (20% DE PERDAS)</t>
  </si>
  <si>
    <t>ESTRUTURA METÁLICA (ESTRUTURA METÁLICA + PLACA BASE) - AÇO ASTM A36 250 MPa, ELETRODO E70XX</t>
  </si>
  <si>
    <t>AÇO CA50 - 12,5mm (CHUMBADORES DA PLACA BASE)</t>
  </si>
  <si>
    <t>APLICAÇÃO MANUAL DE MASSA ACRÍLICA EM PANOS DE FACHADA COM PRESENÇA DE VÃOS, DE EDIFÍCIOS DE MÚLTIPLOS PAVIMENTOS, UMA DEMÃO. AF_05/2017</t>
  </si>
  <si>
    <t>APLICAÇÃO MANUAL DE FUNDO SELADOR ACRÍLICO EM PANOS COM PRESENÇA DE VÃOS DE EDIFÍCIOS DE MÚLTIPLOS PAVIMENTOS. AF_06/2014</t>
  </si>
  <si>
    <t xml:space="preserve">OBRA: </t>
  </si>
  <si>
    <t>QUANTITATIVO INSTALAÇÕES HIDROSSANITÁRIAS</t>
  </si>
  <si>
    <r>
      <t>JOELHO 90 GRAUS, PVC, SOLDÁVEL, DN 20MM,</t>
    </r>
    <r>
      <rPr>
        <b/>
        <sz val="10"/>
        <rFont val="Cambria"/>
        <family val="2"/>
        <scheme val="major"/>
      </rPr>
      <t xml:space="preserve"> </t>
    </r>
    <r>
      <rPr>
        <sz val="10"/>
        <rFont val="Cambria"/>
        <family val="2"/>
        <scheme val="major"/>
      </rPr>
      <t>INSTALADO EM RAMAL DE DISTRIBUIÇÃO DE ÁGUA - FORNECIMENTO E INSTALAÇÃO</t>
    </r>
  </si>
  <si>
    <t>JOELHO 90 GRAUS, PVC, SOLDÁVEL, DN 25MM,  INSTALADO EM RAMAL DE DISTRIBUIÇÃO DE ÁGUA - FORNECIMENTO E INSTALAÇÃO</t>
  </si>
  <si>
    <t>JOELHO 90 GRAUS, PVC, SOLDÁVEL, DN 50MM, INSTALADO EM RAMAL DE DISTRIBUIÇÃO DE ÁGUA - FORNECIMENTO E INSTALAÇÃO</t>
  </si>
  <si>
    <t>JOELHO 90 GRAUS, PVC, SOLDÁVEL, DN 75MM, INSTALADO EM RAMAL DE DISTRIBUIÇÃO DE ÁGUA - FORNECIMENTO E INSTALAÇÃO</t>
  </si>
  <si>
    <t>JOELHO 90 GRAUS, PVC, SOLDÁVEL, DN 85MM, INSTALADO EM RAMAL DE DISTRIBUIÇÃO DE ÁGUA - FORNECIMENTO E INSTALAÇÃO</t>
  </si>
  <si>
    <t>TUBO, PVC, SOLDÁVEL, DN 50MM,  INSTALADO EM RAMAL DE DISTRIBUIÇÃO DE ÁGUA - FORNECIMENTO E INSTALAÇÃO</t>
  </si>
  <si>
    <t>TUBO, PVC, SOLDÁVEL, DN 75MM,  INSTALADO EM RAMAL DE DISTRIBUIÇÃO DE ÁGUA - FORNECIMENTO E INSTALAÇÃO</t>
  </si>
  <si>
    <t>TE, PVC, SOLDÁVEL, DN 50MM, INSTALADO EM RAMAL OU SUB-RAMAL DE ÁGUA - FORNECIMENTO E INSTALAÇÃO</t>
  </si>
  <si>
    <t>TE, PVC, SOLDÁVEL, DN 75MM, INSTALADO EM RAMAL OU SUB-RAMAL DE ÁGUA - FORNECIMENTO E INSTALAÇÃO</t>
  </si>
  <si>
    <t>TE, PVC, SOLDÁVEL, DN 85MM,  INSTALADO EM RAMAL OU SUB-RAMAL DE ÁGUA - FORNECIMENTO E INSTALAÇÃO</t>
  </si>
  <si>
    <t>REGISTRO DE PRESSÃO BRUTO, LATÃO, ROSCÁVEL, 3/4", COM ACABAMENTO E CANOPLA CROMADOS. FORNECIDO E INSTALADO EM RAMAL DE ÁGUA. AF_12/2014 (PARA CHUVEIRO)</t>
  </si>
  <si>
    <t xml:space="preserve">REGISTRO DE GAVETA BRUTO, LATÃO, ROSCÁVEL, 3/4", FORNECIDO E INSTALADEM RAMAL DE ÁGUA. </t>
  </si>
  <si>
    <t>REGISTRO DE PRESSÃO BRUTO, LATÃO, ROSCÁVEL, 1/2", COM ACABAMENTO E CANOPLA CROMADOS. FORNECIDO E INSTALADO EM RAMAL DE ÁGUA.</t>
  </si>
  <si>
    <t>CAIXA D'ÁGUA</t>
  </si>
  <si>
    <t>CAIXA D´ÁGUA POLIETILENO, 3000 LITROS, COM ACESSÓRIOS</t>
  </si>
  <si>
    <t>ADAPTADOR COM FLANGES LIVRES, PVC, SOLDÁVEL, DN 32 MM X 1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</si>
  <si>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</si>
  <si>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</si>
  <si>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</si>
  <si>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50 MM X 1.1/2 , INSTALADO EM RESERVAÇÃO DE ÁGUA DE EDIFICAÇÃO QUE POSSUA RESERVATÓRIO DE FIBRA/FIBROCIMENTO FORNECIMENTO E INSTALAÇÃO. AF_06/2016</t>
  </si>
  <si>
    <t>TORNEIRA DE BÓIA REAL, ROSCÁVEL, 1 1/4",, FORNECIDA E INSTALADA EM RESERVAÇÃO DE ÁGUA. AF_06/2016</t>
  </si>
  <si>
    <t>CHAVE DE BOIA AUTOMÁTICA SUPERIOR 10A/250V - FORNECIMENTO E INSTALACAOINSTALACOES ESPECIAIS</t>
  </si>
  <si>
    <t>CISTERNA EM CONCRETO ARMADO, CAP. 24.500 LITROS, CONFORME PROJETO PADRÃO SEDUC - FUNDAÇÕES EM ESTACA</t>
  </si>
  <si>
    <t>BOMBA RECALQUE D'AGUA TRIFASICA 3 HP</t>
  </si>
  <si>
    <t>VALVULA PE COM CRIVO BRONZE 1.1/4" - FORNECIMENTO E INSTALACAO.</t>
  </si>
  <si>
    <t>TORNEIRA DE BÓIA REAL, ROSCÁVEL, 1", FORNECIDA E INSTALADA EM RESERVAÇÃO DE ÁGUA.</t>
  </si>
  <si>
    <t>TORNEIRA DE BÓIA REAL, ROSCÁVEL, 1 1/4",, FORNECIDA E INSTALADA EM RESERVAÇÃO DE ÁGUA.</t>
  </si>
  <si>
    <t>LOUÇAS</t>
  </si>
  <si>
    <t>ASSENTO PARA O VASO SANITÁRIO - OBS. SE NÃO ESTA INCLUSO</t>
  </si>
  <si>
    <t>TORNEIRA PRESSÃO USO GERAL (BEBEDOURO E TORNEIRA DE JARDIM)</t>
  </si>
  <si>
    <t>FORNECIMENTO E INSTALAÇÃO TANQUE DE LAVAR DUPLO EM MÁRMORE SINTÉTICOPRETO DE DIMENSÕES 1,10 X 0,60 M ASSENTADO SOBRE ALVENARIA</t>
  </si>
  <si>
    <t>ACESSORIOS E LOUÇAS PARA BANHEIROS PCDs</t>
  </si>
  <si>
    <t>ASSENTO PARA O VASO SANITÁRIO</t>
  </si>
  <si>
    <t>BUCHA DE REDUÇÃO LONGA PVC ESGOTO DN 50MM - 40MM</t>
  </si>
  <si>
    <t xml:space="preserve">CURVA LONGA 45 GRAUS, PVC, SERIE NORMAL, ESGOTO PREDIAL, DN 100 MM, JUNTA ELÁSTICA, FORNECIDO E INSTALADO EM SUBCOLETOR AÉREO DE ESGOTO SANITÁRIO. </t>
  </si>
  <si>
    <t>JOELHO 45 GRAUS, PVC, SERIE NORMAL, ESGOTO PREDIAL, DN 100 MM, JUNTA ELÁSTICA, FORNECIDO E INSTALADO EM SUBCOLETOR AÉREO DE ESGOTO SANITÁRIO. AF_12/2014</t>
  </si>
  <si>
    <t>JOELHO 45 GRAUS, PVC, SERIE NORMAL, ESGOTO PREDIAL, DN 50 MM, JUNTA ELÁSTICA, FORNECIDO E INSTALADO EM RAMAL DE DESCARGA OU RAMAL DE ESGOTO SANITÁRIO</t>
  </si>
  <si>
    <t xml:space="preserve">CURVA LONGA 90 GRAUS, PVC, SERIE NORMAL, ESGOTO PREDIAL, DN 100 MM, JUNTA SOLDÁVEL, FORNECIDO E INSTALADO EM RAMAL DE DESCARGA OU RAMAL DE ESGOTO SANITÁRIO. </t>
  </si>
  <si>
    <t>JOELHO 90 GRAUS, PVC, SERIE NORMAL, ESGOTO PREDIAL, DN 75 MM, JUNTA ELÁSTICA, FORNECIDO E  INSTALADO EM RAMAL DE DESCARGA OU RAMAL DE ESGOTO SANITÁRIO</t>
  </si>
  <si>
    <t>JUNÇÃO 45° DE PVC BRANCO COM REDUÇÃO, PONTA BOLSA E VIROLA, Ø 75 X 50 MM</t>
  </si>
  <si>
    <t>LUVA SIMPLES, PVC, ESGOTO, DN 40 MM</t>
  </si>
  <si>
    <t>REDUÇÃO EXCÊNTRICA, PVC, ESGOTO, DN 100 X 50 MM</t>
  </si>
  <si>
    <t>REDUÇÃO EXCÊNTRICA, PVC, ESGOTO, DN 100 X 75 MM</t>
  </si>
  <si>
    <t>REDUÇÃO EXCÊNTRICA, PVC, SERIE R, ÁGUA PLUVIAL, DN 75 X 50 MM, JUNTA ELÁSTICA, FORNECIDO E INSTALADO EM RAMAL DE ENCAMINHAMENTO. AF_12/2014</t>
  </si>
  <si>
    <t>TE DE REDUÇÃO, PVC, ESGOTO, DN 75 X 50 MM</t>
  </si>
  <si>
    <t>SISTEMA DE TRATAMENTO DE EFLUENTES</t>
  </si>
  <si>
    <t xml:space="preserve">REGULARIZACAO E APILOAMENTO DE FUNDO DE VALAS PREPARO DE FUNDO DE VALA COM LARGURA MENOR QUE 1,5 M, EM LOCAL COM NÍVEL BAIXO DE INTERFERÊNCIA. </t>
  </si>
  <si>
    <t>CAIXA DE PASSAGEM 60x60 com fundo de brita TAMPA DE GRELHA DE FERRO FUNDIDO</t>
  </si>
  <si>
    <t>caixa com fundo de brita 60x60cm tampa de concreto</t>
  </si>
  <si>
    <t>GRELHA DE FERRO FUNDIDO,DN 0,40X1,00 E=0,015 (ABERTURA DOS VÃO 0,02X0,26M), VÃO LIVRE PARA ESCOAMENTO 0,30M. COLOCAÇÃO E ACABAMENTO</t>
  </si>
  <si>
    <t>GRELHA DE CONCRETO</t>
  </si>
  <si>
    <t>ALVENARIA DE EMBASAMENTO COM TIJOLO CERÂMICO COMUM 6X9X19 CM (MACIÇO),1 VEZ, EMPREGANDO ARGAMASSA MISTA DE CIMENTO, CAL HIDRATADA E AREIA SEM PENEIRAR, TRAÇO 1:2:8</t>
  </si>
  <si>
    <t>REBOCO PARA PAREDE EXTERNA, HIDRÓFUGO TIPO TRAVERTINO, COM ARGAMASSA PRÉFABRICADA,
E=2 MM</t>
  </si>
  <si>
    <t>LASTRO COM CAMADA DE AREIA, LANÇAMENTO MANUAL PARA TUBO DE PVC</t>
  </si>
  <si>
    <t>LASTRO DE CONCRETO NÃO ESTRUTURAL IMPERMEABILIZADO ESPESSURA 6 CM</t>
  </si>
  <si>
    <t>m3</t>
  </si>
  <si>
    <t>QTD.</t>
  </si>
  <si>
    <t>EXTINTOR INCENDIO TP PO QUIMICO 06KG ABC - FORNECIMENTO E INSTALACAO</t>
  </si>
  <si>
    <t>1.2</t>
  </si>
  <si>
    <t>1.3</t>
  </si>
  <si>
    <t>1.4</t>
  </si>
  <si>
    <t>ELETRODUTO ZINCADO, INCLUSIVE CONEXÕES DE 1"</t>
  </si>
  <si>
    <t>CURVA 90° DE FERRO ZINCADO P/ ELTRODUTO DE 1"</t>
  </si>
  <si>
    <t>4.1.1</t>
  </si>
  <si>
    <t>4.1.2</t>
  </si>
  <si>
    <t>4.1.3</t>
  </si>
  <si>
    <t>CONJUNTO DE MANGUEIRA PARA COMBATE A INCENDIO EM FIBRA DE POLIESTER PURA, COM 1.1/2", REVESTIDA INTERNAMENTE, COM 1 LANCES DE 30M CADA</t>
  </si>
  <si>
    <t>FORNECIMENTO DE CHAVE PARA CONEXÃO DE MANGUEIRA TIPO STORZ ENGATE RÁPIDO DUPLA 1.1/2" X 2.1/2"</t>
  </si>
  <si>
    <t>4.2.1</t>
  </si>
  <si>
    <t>4.2.2</t>
  </si>
  <si>
    <t>4.3.1</t>
  </si>
  <si>
    <t>FORNECIMENTO E INSTALAÇÃO DE REGISTRO GAVETA BRUTO, D = 65 MM (2 1/2)</t>
  </si>
  <si>
    <t>4.3.2</t>
  </si>
  <si>
    <t>4.3.3</t>
  </si>
  <si>
    <t>FORNECIMENTO E INSTALAÇÃO DE TAMPA DE FERRO 60 X 40 CM COM A INSCRIÇÃO INCÊNDIO</t>
  </si>
  <si>
    <t>4.3.4</t>
  </si>
  <si>
    <t>ASSENTAMENTO DE TAMPÃO DE FERRO FUNDIDO 600MM</t>
  </si>
  <si>
    <t>4.3.5</t>
  </si>
  <si>
    <t>ALVENARIA EM TIJOLO CERÂMICO MACIÇO 5X10X20CM 1/2 VEZ (ESPESSURA 10CM), ASSENTADO COM ARGAMASSA TRAÇO 1:2:8 (CIMENTO, CAL E AREIA)</t>
  </si>
  <si>
    <t>4.3.6</t>
  </si>
  <si>
    <t>4.3.7</t>
  </si>
  <si>
    <t>TUBO GALVANIZADO SEM CUSTURA C/ROSCA 3", BARRA DE 6 METROS COM ESPESSURA DE 3,5MM - INSTALADO EM REDE DE ALIMENTAÇÃO PARA HIDRANTE</t>
  </si>
  <si>
    <t>4.3.8</t>
  </si>
  <si>
    <t>TUBO GALVANIZADO SEM CUSTURA C/ROSCA 2 1/2", BARRA DE 6 METROS COM ESPESSURA DE 3,5MM - INSTALADO EM REDE DE ALIMENTAÇÃO PARA HIDRANTE</t>
  </si>
  <si>
    <t>4.3.9</t>
  </si>
  <si>
    <t>4.3.10</t>
  </si>
  <si>
    <t>LUVA, EM FERRO GALVANIZADO, REDUÇÃO 3" / 2.1/2 CONEXÃO ROSQUEADA, INSTALADO EM REDE DE ALIMENTAÇÃO PARA HIDRANTE - FORNECIMENTO E INSTALAÇÃO. AF_12/2015</t>
  </si>
  <si>
    <t>4.3.11</t>
  </si>
  <si>
    <t>4.3.12</t>
  </si>
  <si>
    <t>4.3.13</t>
  </si>
  <si>
    <t>4.3.14</t>
  </si>
  <si>
    <t>4.3.15</t>
  </si>
  <si>
    <t>4.3.16</t>
  </si>
  <si>
    <t>4.3.17</t>
  </si>
  <si>
    <t>4.3.18</t>
  </si>
  <si>
    <t>4.3.19</t>
  </si>
  <si>
    <t>4.3.20</t>
  </si>
  <si>
    <t xml:space="preserve"> DISJUNTOR TRIPOLAR TIPO DIN, CORRENTE NOMINAL DE 25A - FORNECIMENTO E INSTALAÇÃO. AF_04/2016</t>
  </si>
  <si>
    <t xml:space="preserve"> DISJUNTOR TRIPOLAR TIPO DIN, CORRENTE NOMINAL DE 40A - FORNECIMENTO E INSTALAÇÃO. AF_04/2016</t>
  </si>
  <si>
    <t>ELETRODUTO ZINCADO, INCLUSIVE CONEXÕES DE 1" ( CASA DE BOMBA)</t>
  </si>
  <si>
    <t>LUVA P/ELETRODUTO ZINCADO 1" (Casa de Bomba)</t>
  </si>
  <si>
    <t>CURVA 90° DE FERRO ZINCADO P/ ELTRODUTO DE 1" (Casa de Bomba)</t>
  </si>
  <si>
    <t>ABRAÇADEIRA TIPO "D" COM CUNHA, DIÂMETRO 1" (Casa de Bomba)</t>
  </si>
  <si>
    <t>LUMINARIA DE EMERGENCIA 24 LEDS, POTENCIA 32 W, BATERIA DE LITIO, Bloco Autonomo DE 960 LUMENS</t>
  </si>
  <si>
    <t>1.5</t>
  </si>
  <si>
    <t>1.6</t>
  </si>
  <si>
    <t>1.7</t>
  </si>
  <si>
    <t>1.9</t>
  </si>
  <si>
    <t>1.10</t>
  </si>
  <si>
    <t>1.11</t>
  </si>
  <si>
    <t>1.12</t>
  </si>
  <si>
    <t>Escola</t>
  </si>
  <si>
    <t>Cabo de cobre flexível isolado, 2,5 mm², anti-chama 450/750 v, para circuitos terminais - fornecimento e instalação. Af_12/2015</t>
  </si>
  <si>
    <t>Cabo de cobre flexível isolado, 4 mm², anti-chama 450/750 v, para circuitos terminais - fornecimento e instalação. Af_12/2015</t>
  </si>
  <si>
    <t>Cabo isolado em epr seção 16,00 mm² - 0,6/1 KV - 90°C - flexível</t>
  </si>
  <si>
    <t>Cabo isolado em epr seção 35,00 mm² - 0,6/1 KV - 90°C - flexível</t>
  </si>
  <si>
    <t>Cabo isolado em epr seção 95,00 mm² - 0,6/1 KV - 90°C - flexível</t>
  </si>
  <si>
    <t xml:space="preserve">Fornecimento e instalação de luminária tipo calha para 2 (duas) lâmpadas tubulares led com fluxo luminoso mínimo de 4400 lúmens.  </t>
  </si>
  <si>
    <t>Lâmpada led 10 w bivolt branca, formato tradicional (base e27) - fornecimento e instalação</t>
  </si>
  <si>
    <t>Fornecimento e instalação de ventilador de teto 110v, 3 pás madeira, 3 velocidades, sem luminária</t>
  </si>
  <si>
    <t>Caixa retangular 4" x 2" baixa (0,30 m do piso), metálica, instalada em parede - fornecimento e instalação. Af_12/2015</t>
  </si>
  <si>
    <t>Tomada baixa de embutir (1 módulo), 2p+t 10 a, incluindo suporte e placa - fornecimento e instalação. Af_12/2015</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</si>
  <si>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</si>
  <si>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</si>
  <si>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</si>
  <si>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Quadro de distribuicao de energia de embutir, em chapa metalica, para 12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</si>
  <si>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</si>
  <si>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Barramento secundário trifásico para disjuntor até 100A incluindo fixação - Fornecimento e instalação</t>
  </si>
  <si>
    <t>Disjuntor monopolar tipo din, corrente nominal de 16a - fornecimento e instalação. Af_04/2016</t>
  </si>
  <si>
    <t>Disjuntor monopolar tipo din, corrente nominal de 20a - fornecimento e instalação. Af_04/2016</t>
  </si>
  <si>
    <t>Disjuntor bipolar tipo din, corrente nominal de 20a - fornecimento e instalação. Af_04/2016</t>
  </si>
  <si>
    <t>Disjuntor termomagnetico tripolar padrao nema (americano) 60 a 100a 240v, fornecimento e instalacao</t>
  </si>
  <si>
    <r>
      <t xml:space="preserve">Eletroduto flexível corrugado, pvc, dn 25 mm (3/4"), para circuitos terminais, instalado em </t>
    </r>
    <r>
      <rPr>
        <b/>
        <sz val="10"/>
        <color theme="1"/>
        <rFont val="Calibri Light"/>
        <family val="2"/>
      </rPr>
      <t>forro</t>
    </r>
    <r>
      <rPr>
        <sz val="10"/>
        <color theme="1"/>
        <rFont val="Calibri Light"/>
        <family val="2"/>
      </rPr>
      <t xml:space="preserve"> - fornecimento e instalação. Af_12/2015</t>
    </r>
  </si>
  <si>
    <r>
      <t xml:space="preserve">Eletroduto flexível corrugado, pvc, dn 32 mm (1"), para circuitos terminais, instalado em </t>
    </r>
    <r>
      <rPr>
        <b/>
        <sz val="10"/>
        <color theme="1"/>
        <rFont val="Calibri Light"/>
        <family val="2"/>
      </rPr>
      <t>forro</t>
    </r>
    <r>
      <rPr>
        <sz val="10"/>
        <color theme="1"/>
        <rFont val="Calibri Light"/>
        <family val="2"/>
      </rPr>
      <t xml:space="preserve"> - fornecimento e instalação. Af_12/2015</t>
    </r>
  </si>
  <si>
    <r>
      <t>Eletroduto flexível corrugado, pvc, dn 25 mm (3/4"), para circuitos terminais, instalado em</t>
    </r>
    <r>
      <rPr>
        <b/>
        <sz val="10"/>
        <color theme="1"/>
        <rFont val="Calibri Light"/>
        <family val="2"/>
      </rPr>
      <t xml:space="preserve"> parede</t>
    </r>
    <r>
      <rPr>
        <sz val="10"/>
        <color theme="1"/>
        <rFont val="Calibri Light"/>
        <family val="2"/>
      </rPr>
      <t xml:space="preserve"> - fornecimento e instalação. Af_12/2015</t>
    </r>
  </si>
  <si>
    <r>
      <t xml:space="preserve">Eletroduto flexível corrugado, pvc, dn 32 mm (1"), para circuitos terminais, instalado em </t>
    </r>
    <r>
      <rPr>
        <b/>
        <sz val="10"/>
        <color theme="1"/>
        <rFont val="Calibri Light"/>
        <family val="2"/>
      </rPr>
      <t>parede</t>
    </r>
    <r>
      <rPr>
        <sz val="10"/>
        <color theme="1"/>
        <rFont val="Calibri Light"/>
        <family val="2"/>
      </rPr>
      <t xml:space="preserve"> - fornecimento e instalação. Af_12/2015</t>
    </r>
  </si>
  <si>
    <t>Reaterro de vala com compactação manual</t>
  </si>
  <si>
    <t>FORNECIMENTO E INSTALAÇÃO DE BARRA CHATA DE ALUMÍNIO 1/4" X 3/4", COM CURVA DE 300MM</t>
  </si>
  <si>
    <t>FORNECIMENTO E INSTALAÇÃO DE CAIXA DE INSPEÇÃO TIPO SOLO EM PVC COM DIAMETRO 300MM, INCLUSIVE TAMPO EM FERRO FUNDIDO COM BOCAL INFERIOR QUADRADO ARTICULADO E BORDA REDONDA DE 300MM.</t>
  </si>
  <si>
    <t xml:space="preserve"> HASTE DE ATERRAMENTO EM AÇO COM 3,00 M DE COMPRIMENTO E DN = 5/8" REVESTIDA COM BAIXA CAMADA DE COBRE, SEM CONECTOR</t>
  </si>
  <si>
    <t>Item</t>
  </si>
  <si>
    <t>Serviços</t>
  </si>
  <si>
    <t>Memória Cálculo</t>
  </si>
  <si>
    <t>Un</t>
  </si>
  <si>
    <t>Quant.</t>
  </si>
  <si>
    <t>Abrigo de Gás</t>
  </si>
  <si>
    <t xml:space="preserve">Escavação </t>
  </si>
  <si>
    <t>Reaterro</t>
  </si>
  <si>
    <t>80% do volume da escavação</t>
  </si>
  <si>
    <t>Eletroduto de aço sem costura - tubo 3/4''</t>
  </si>
  <si>
    <t>Cozinha = 10</t>
  </si>
  <si>
    <t>und</t>
  </si>
  <si>
    <t>Curva 90° 3/4''</t>
  </si>
  <si>
    <t>Tê de aço galvanizado 3/4''</t>
  </si>
  <si>
    <t>Cozinha = 1</t>
  </si>
  <si>
    <t>Regulador de pressão 2° Estágio 3/4''</t>
  </si>
  <si>
    <t>Válvula de Esfera 3/4''</t>
  </si>
  <si>
    <t>Válvula de Bloqueio Manual -  Registro de Corte</t>
  </si>
  <si>
    <t>Pintura do eletroduto - cor amarela, com 1 demão de zarcão</t>
  </si>
  <si>
    <t>União 3/4"</t>
  </si>
  <si>
    <t>AREA PARCIAL P/ VERIFICAÇÃO DE QUANTIDADE DE FUROS DE SONDAGEM (1009,74M²)</t>
  </si>
  <si>
    <t>ALVENARIA DE VEDAÇÃO (ESPESSURA FINAL ACABADA = 15CM)</t>
  </si>
  <si>
    <t>ELEMENTO VAZADO (COBOGÓ) DE CONCRETO, CONFORME INDICADO EM PROJETO</t>
  </si>
  <si>
    <t>MURETA COM GRADIL</t>
  </si>
  <si>
    <t>VERGAS PORTAS - ATÉ 1,50M</t>
  </si>
  <si>
    <t>VERGAS JANELAS - ATÉ 1,50M</t>
  </si>
  <si>
    <t>CONTRAVERGAS JANELAS - ATÉ 1,50M</t>
  </si>
  <si>
    <t>VERGAS JANELAS - ACIMA DE 1,50M</t>
  </si>
  <si>
    <t>CONTRAVERGAS JANELAS - ACIMA DE 1,50M</t>
  </si>
  <si>
    <t>DIVISÓRIA EM GRANITO CINZA ANDORINHA POLIDO - ENTRE BACIAS</t>
  </si>
  <si>
    <t>PORTA METÁLICA DE ABRIR EM CHAPA METÁLICA LISA Nº 18 COM FRISO E  VISOR, PADRÃO MÉDIO, 90X210CM, ESPESSURA DE 3,5CM, ITENS INCLUSOS: DOBRADIÇAS, MONTAGEM E INSTALAÇÃO DO BATENTE, FECHADURA COM EXECUÇÃO DO FURO. APLICAÇÃO DE PINTURA DE ESMALTE SINTÉTICO BRANCO GELO COM ACABAMENTO FOSCO.</t>
  </si>
  <si>
    <t>PORTA METÁLICA DE ABRIR EM CHAPA METÁLICA LISA Nº 18 COM FRISO, PADRÃO MÉDIO, 90X210CM, ESPESSURA DE 3,5CM, ITENS INCLUSOS: DOBRADIÇAS, MONTAGEM E INSTALAÇÃO DO BATENTE, FECHADURA COM EXECUÇÃO DO FURO. APLICAÇÃO DE PINTURA DE ESMALTE SINTÉTICO BRANCO GELO COM ACABAMENTO FOSCO.</t>
  </si>
  <si>
    <t xml:space="preserve">PORTA METÁLICA DE ABRIR EM CHAPA METÁLICA LISA Nº 18 COM FRISO E BARRA HORIZONTAL PARA PCD, PADRÃO MÉDIO, 90X210CM, ESPESSURA DE 3,5CM, ITENS INCLUSOS: DOBRADIÇAS, MONTAGEM E INSTALAÇÃO DO BATENTE, FECHADURA COM EXECUÇÃO DO FURO. APLICAÇÃO DE PINTURA DE ESMALTE SINTÉTICO BRANCO GELO COM ACABAMENTO FOSCO. </t>
  </si>
  <si>
    <t>PORTA METÁLICA DE ABRIR EM CHAPA METÁLICA LISA Nº 18 COM FRISO, PADRÃO MÉDIO, 80X210CM, ESPESSURA DE 3,5CM, ITENS INCLUSOS: DOBRADIÇAS, MONTAGEM E INSTALAÇÃO DO BATENTE, FECHADURA COM EXECUÇÃO DO FURO. APLICAÇÃO DE PINTURA DE ESMALTE SINTÉTICO BRANCO GELO COM ACABAMENTO FOSCO.</t>
  </si>
  <si>
    <t>PORTA METÁLICA DE ABRIR EM CHAPA METÁLICA LISA Nº 18 COM FRISO, PADRÃO MÉDIO, 70X210CM, ESPESSURA DE 3,5CM, ITENS INCLUSOS: DOBRADIÇAS, MONTAGEM E INSTALAÇÃO DO BATENTE, FECHADURA COM EXECUÇÃO DO FURO. APLICAÇÃO DE PINTURA DE ESMALTE SINTÉTICO BRANCO GELO COM ACABAMENTO FOSCO.</t>
  </si>
  <si>
    <t>PORTA DE ALUMÍNIO UMA FOLHA DE ABRIR, VENEZIANA. ITENS INCLUSOS: DOBRADIÇAS, MONTAGEM E INSTALAÇÃO, FECHADURA COM EXECUÇÃO DO FURO. 0,80X1,70</t>
  </si>
  <si>
    <t>JANELAS EM ESTUTURA METÁLICA COM VIDRO - TIPO CORRER -4 FOLHAS SENDO DUAS FIXAS E DUAS DE CORRER - DIMENSÕES 2,00 X 1,20 M</t>
  </si>
  <si>
    <t>JANELAS METÁLICA COM VIDRO - TIPO MAXIM-AR - 3 FOLHAS - DIMENSÕES 2,00 X 0,60 M</t>
  </si>
  <si>
    <t>JANELAS METÁLICA COM VIDRO - TIPO MAXIM-AR - 1 FOLHA - DIMENSÕES 0,60 X 0,40 M</t>
  </si>
  <si>
    <t>JANELAS COM DUAS FOLHAS SENDO UMA FIXA E OUTRA MÓVEL EM ALUMÍNIO TIPO VENEZIANA COM TRAVA METÁLICA - TIPO GUILHOTINA - 2 FOLHAS - DIMENSÕES 2,00 X 1,50 M</t>
  </si>
  <si>
    <t>JANELAS METÁLICA COM VIDRO - TIPO MAXIM-AR - 1 FOLHA - DIMENSÕES 1,00 X 0,60 M</t>
  </si>
  <si>
    <t>JANELAS METÁLICA COM VIDRO - TIPO MAXIM-AR - 1 FOLHA - DIMENSÕES 1,20 X 0,60 M</t>
  </si>
  <si>
    <t>JANELAS METÁLICA COM VIDRO - TIPO MAXIM-AR - 2 FOLHAS - DIMENSÕES 2,00 X 0,80 M</t>
  </si>
  <si>
    <t>BRISES EM ALUMÍNIO COM ACABAMENTO NATURAL</t>
  </si>
  <si>
    <t>PORTÃO METÁLICO 4,30X2,20</t>
  </si>
  <si>
    <t>PORTÃO METÁLICO 1,80X2,10</t>
  </si>
  <si>
    <t>TELHA TERMOACÚSTICA</t>
  </si>
  <si>
    <t>CALHA EM CHAPA DE AÇO GALVANIZADO, DESENVOLVIMENTO DE 30 CM</t>
  </si>
  <si>
    <t>RUFO EM CHAPA DE AÇO GALVANIZADO, CORTE DE 25 CM</t>
  </si>
  <si>
    <t>CUMEEIRA EM PERFIL TRAPEZOIDAL DE ALUMÍNIO – ESPESSURA 0,8MM</t>
  </si>
  <si>
    <t>FECHAMENTO TRELIÇA COM CHAPA METÁLICA</t>
  </si>
  <si>
    <t>IMPERMEABILIZAÇÃO DE SUPÉRFICIE COM EMULSÃO ASFALTICA A BASE D'ÁGUA</t>
  </si>
  <si>
    <t>CHAPISCO</t>
  </si>
  <si>
    <t>REBOCO</t>
  </si>
  <si>
    <t>EMBOÇO</t>
  </si>
  <si>
    <t xml:space="preserve">REVESTIMENTO CERÂMICO 20X20 COR BRANCO </t>
  </si>
  <si>
    <t>PINTURA ACRÍLICA  PANTONE 312U EQUIVALENTE OU SIMILAR</t>
  </si>
  <si>
    <t xml:space="preserve">FAIXA DE 20 CM EM REVESTIMENTO CERÂMICO 20X20 NA COR PANTONE 308U. </t>
  </si>
  <si>
    <t xml:space="preserve">CAIAÇÃO </t>
  </si>
  <si>
    <t>SOLEIRAS EM GRANITO CINZA ANDORINHA COM ESPESSURA15MM – ACABAMENTO POLIDO</t>
  </si>
  <si>
    <t>PEITORIS EM GRANITO CINZA ANDORINHA COM ESPESSURA DE 15MM - ACABAMENTO POLIDO</t>
  </si>
  <si>
    <t>FORRO EM PVC BRANCO</t>
  </si>
  <si>
    <t>ACABAMENTO PARA FORRO RODA-TETO EM PERFIL METÁLICO E PLÁSTICO</t>
  </si>
  <si>
    <t>PINTURA LÁTEX ACRÍLICA BRANCO GELO</t>
  </si>
  <si>
    <t>LIQUIBRILHO H=1,20</t>
  </si>
  <si>
    <t>PINTURA LÁTEX ACRÍLICA NA COR 308U.</t>
  </si>
  <si>
    <t>PINTURA LÁTEX PVA NA COR BRANCO GELO</t>
  </si>
  <si>
    <t>APLICAÇÃO E LIXAMENTO DE MASSA LÁTEX PVA UMA DEMÃO</t>
  </si>
  <si>
    <t>APLICAÇÃO DE FUNDO SELADOR LÁTEX PVA UMA DEMÃO</t>
  </si>
  <si>
    <t>APLICAÇÃO E LIXAMENTO MASSA  ACRILICA UMA DEMÃO</t>
  </si>
  <si>
    <t>APLICAÇÃO DE FUNDO SELADOR  ACRÍLICO UMA DEMÃO</t>
  </si>
  <si>
    <t>ESMALTE SINTÉTICO METÁLICA BRANCO GELO</t>
  </si>
  <si>
    <t>ESMALTE SINTÉTICO METÁLICA AZUL ESCURO 312U</t>
  </si>
  <si>
    <t>APLICAÇÃO DE MASSA LÁTEX NO TETO</t>
  </si>
  <si>
    <t>TINTA LÁTEX PVA NO TETO COR BRANCO GELO</t>
  </si>
  <si>
    <t>PISO EM REVESTIMENTO CERÂMICO 35X35</t>
  </si>
  <si>
    <t>PISO EM GRANILITI CINZA CLARO</t>
  </si>
  <si>
    <t xml:space="preserve">LASTRO DE CONCRETO </t>
  </si>
  <si>
    <t>MEIO FIO RETO</t>
  </si>
  <si>
    <t>CALÇADA DE PASSEIO</t>
  </si>
  <si>
    <t>PISO TÁTIL DIRECIONAL DE BORRACHA SINTÉTICA, FIXADO COM COLA. 0,25X0,25. COR AZUL</t>
  </si>
  <si>
    <t>PISO TÁTIL ALERTA DE BORRACHA SINTÉTICA, FIXADO COM COLA. 0,25X0,25. COR AMARELO</t>
  </si>
  <si>
    <t>PISO TÁTIL DIRECIONAL EM CONCRETO, FIXADO COM ARGAMASSA. 0,25X0,25. COR VERMELHO</t>
  </si>
  <si>
    <t>PISO TÁTIL ALERTA EM CONCRETO, FIXADO COM ARGAMASSA. 0,25X0,25. COR AMARELO</t>
  </si>
  <si>
    <t>BARRA DE APOIO 40CM - PCD</t>
  </si>
  <si>
    <t>BARRA DE APOIO 80CM - PCD</t>
  </si>
  <si>
    <t xml:space="preserve">MAPA TÁTIL </t>
  </si>
  <si>
    <t>ANEL DE TEXTURA</t>
  </si>
  <si>
    <t xml:space="preserve">FITA ADESIVA FOTOLUMINESCENTE </t>
  </si>
  <si>
    <t>PLACA TÁTIL EM BRAILLE PARA CORRIMÃO</t>
  </si>
  <si>
    <t>GUARDA CORPO EM AÇO GALVANIZADO COM GUIA DE BALIZAMENTO H=1,10</t>
  </si>
  <si>
    <t>GUARDA CORPO EM AÇO GALVANIZADO COM GUIA DE BALIZAMENTO E CORRIMÃO FIXADO NA SUA EXTENSÃO H=1,10</t>
  </si>
  <si>
    <t xml:space="preserve">GRAMA ESMERALDA </t>
  </si>
  <si>
    <t>MASTRO PARA BANDEIRA</t>
  </si>
  <si>
    <t>BEBEDOURO</t>
  </si>
  <si>
    <t>QUADRO DE VIDRO TEMPERADO</t>
  </si>
  <si>
    <t>TOTEM DE CONCRETO</t>
  </si>
  <si>
    <t>PLACA DE ACM PARA LOGO DO GOVERNO</t>
  </si>
  <si>
    <t>NOME DA ESCOLA</t>
  </si>
  <si>
    <t>PLACA DE INAUGURAÇÃO</t>
  </si>
  <si>
    <t>MÃO FRANCESA</t>
  </si>
  <si>
    <t>EXAUSTOR</t>
  </si>
  <si>
    <t>ABRIGO DE RESÍDUOS SÓLIDOS</t>
  </si>
  <si>
    <t>QUADRA</t>
  </si>
  <si>
    <t>SINAPI</t>
  </si>
  <si>
    <t>ENGENHEIRO CIVIL DE OBRA JUNIOR COM ENCARGOS COMPLEMENTARES</t>
  </si>
  <si>
    <t>H</t>
  </si>
  <si>
    <t>MESTRE DE OBRAS COM ENCARGOS COMPLEMENTARES</t>
  </si>
  <si>
    <t>MES</t>
  </si>
  <si>
    <t>VIGIA NOTURNO COM ENCARGOS COMPLEMENTARES</t>
  </si>
  <si>
    <t>VIGIA DIURNO COM ENCARGOS COMPLEMENTARES</t>
  </si>
  <si>
    <t>AUXILIAR DE ENCANADOR OU BOMBEIRO HIDRÁULICO COM ENCARGOS COMPLEMENTARES</t>
  </si>
  <si>
    <t>ENCANADOR OU BOMBEIRO HIDRÁULICO COM ENCARGOS COMPLEMENTARES</t>
  </si>
  <si>
    <t>PEDREIRO COM ENCARGOS COMPLEMENTARES</t>
  </si>
  <si>
    <t>SERVENTE COM ENCARGOS COMPLEMENTARES</t>
  </si>
  <si>
    <t>CARPINTEIRO DE FORMAS COM ENCARGOS COMPLEMENTARES</t>
  </si>
  <si>
    <t>PREGO DE ACO POLIDO COM CABECA 15 X 15 (1 1/4 X 13)</t>
  </si>
  <si>
    <t>TUBO PVC  SERIE NORMAL, DN 100 MM, PARA ESGOTO  PREDIAL (NBR 5688)</t>
  </si>
  <si>
    <t>AREIA MEDIA - POSTO JAZIDA/FORNECEDOR (RETIRADO NA JAZIDA, SEM TRANSPORTE)</t>
  </si>
  <si>
    <t>HIDROMETRO UNIJATO, VAZAO MAXIMA DE 5,0 M3/H, DE 3/4"</t>
  </si>
  <si>
    <t>TUBO PVC, SOLDAVEL, DN 25 MM, AGUA FRIA (NBR-5648)</t>
  </si>
  <si>
    <t>VIGA DE MADEIRA NAO APARELHADA 6 X 12 CM, MACARANDUBA, ANGELIM OU EQUIVALENTE DA REGIAO</t>
  </si>
  <si>
    <t>TIJOLO CERAMICO MACICO *5 X 10 X 20* CM</t>
  </si>
  <si>
    <t>CAIXA D'AGUA EM POLIETILENO 1000 LITROS, COM TAMPA</t>
  </si>
  <si>
    <t>ELETRICISTA COM ENCARGOS COMPLEMENTARES</t>
  </si>
  <si>
    <t>FITA ACO INOX PARA CINTAR POSTE, L = 19 MM, E = 0,5 MM (ROLO DE 30M)</t>
  </si>
  <si>
    <t>CINTA CIRCULAR EM ACO GALVANIZADO DE 150 MM DE DIAMETRO PARA FIXACAO DE CAIXA MEDICAO, INCLUI PARAFUSOS E PORCAS</t>
  </si>
  <si>
    <t>CABO DE COBRE NU 16 MM2 MEIO-DURO</t>
  </si>
  <si>
    <t>FIO DE COBRE, SOLIDO, CLASSE 1, ISOLACAO EM PVC/A, ANTICHAMA BWF-B, 450/750V, SECAO NOMINAL 10 MM2</t>
  </si>
  <si>
    <t>ARMACAO VERTICAL COM HASTE E CONTRA-PINO, EM CHAPA DE ACO GALVANIZADO 3/16", COM 4 ESTRIBOS E 4 ISOLADORES</t>
  </si>
  <si>
    <t>CONECTOR METALICO TIPO PARAFUSO FENDIDO (SPLIT BOLT), PARA CABOS ATE 16 MM2</t>
  </si>
  <si>
    <t>LUVA EM PVC RIGIDO ROSCAVEL, DE 1", PARA ELETRODUTO</t>
  </si>
  <si>
    <t>DISJUNTOR TIPO NEMA, TRIPOLAR 10  ATE  50A, TENSAO MAXIMA DE 415 V</t>
  </si>
  <si>
    <t>ELETRODUTO DE PVC RIGIDO ROSCAVEL DE 1 ", SEM LUVA</t>
  </si>
  <si>
    <t>PARAFUSO DE FERRO POLIDO, SEXTAVADO, COM ROSCA PARCIAL, DIAMETRO 5/8", COMPRIMENTO 6", COM PORCA E ARRUELA DE PRESSAO MEDIA</t>
  </si>
  <si>
    <t>ARRUELA REDONDA DE LATAO, DIAMETRO EXTERNO = 34 MM, ESPESSURA = 2,5 MM, DIAMETRO DO FURO = 17 MM</t>
  </si>
  <si>
    <t>CURVA 180 GRAUS, DE PVC RIGIDO ROSCAVEL, DE 3/4", PARA ELETRODUTO</t>
  </si>
  <si>
    <t>BUCHA EM ALUMINIO, COM ROSCA, DE 1", PARA ELETRODUTO</t>
  </si>
  <si>
    <t>ARRUELA EM ALUMINIO, COM ROSCA, DE 1", PARA ELETRODUTO</t>
  </si>
  <si>
    <t>POSTE DE CONCRETO CIRCULAR, 150 KG, H = 10 M (NBR 8451)</t>
  </si>
  <si>
    <t>LANÇAMENTO COM USO DE BOMBA, ADENSAMENTO E ACABAMENTO DE CONCRETO EM ESTRUTURAS. AF_12/2015</t>
  </si>
  <si>
    <t>CONCRETO USINADO BOMBEAVEL, CLASSE DE RESISTENCIA C25, COM BRITA 0 E 1, SLUMP = 100 +/- 20 MM, INCLUI SERVICO DE BOMBEAMENTO (NBR 8953)</t>
  </si>
  <si>
    <t>OPERADOR DE MÁQUINAS E EQUIPAMENTOS COM ENCARGOS COMPLEMENTARES</t>
  </si>
  <si>
    <t>CORTADORA DE PISO COM MOTOR 4 TEMPOS A GASOLINA, POTÊNCIA DE 13 HP, COM DISCO DE CORTE DIAMANTADO SEGMENTADO PARA CONCRETO, DIÂMETRO DE 350 MM, FURO DE 1" (14 X 1") - CHP DIURNO. AF_08/2015</t>
  </si>
  <si>
    <t>CHP</t>
  </si>
  <si>
    <t>CORTADORA DE PISO COM MOTOR 4 TEMPOS A GASOLINA, POTÊNCIA DE 13 HP, COM DISCO DE CORTE DIAMANTADO SEGMENTADO PARA CONCRETO, DIÂMETRO DE 350 MM, FURO DE 1" (14 X 1") - CHI DIURNO. AF_08/2015</t>
  </si>
  <si>
    <t>CHI</t>
  </si>
  <si>
    <t>VIBRADOR DE IMERSÃO, DIÂMETRO DE PONTEIRA 45MM, MOTOR ELÉTRICO TRIFÁSICO POTÊNCIA DE 2 CV - CHP DIURNO. AF_06/2015</t>
  </si>
  <si>
    <t>VIBRADOR DE IMERSÃO, DIÂMETRO DE PONTEIRA 45MM, MOTOR ELÉTRICO TRIFÁSICO POTÊNCIA DE 2 CV - CHI DIURNO. AF_06/2015</t>
  </si>
  <si>
    <t>ARGILA OU BARRO PARA ATERRO/REATERRO (COM TRANSPORTE ATE 10 KM)</t>
  </si>
  <si>
    <t>CONCRETO USINADO BOMBEAVEL, CLASSE DE RESISTENCIA C25, COM BRITA 0 E 1, SLUMP = 100 +/- 20 MM, EXCLUI SERVICO DE BOMBEAMENTO (NBR 8953)</t>
  </si>
  <si>
    <t>PREGO DE ACO POLIDO COM CABECA 18 X 30 (2 3/4 X 10)</t>
  </si>
  <si>
    <t>SERRALHEIRO COM ENCARGOS COMPLEMENTARES</t>
  </si>
  <si>
    <t>AUXILIAR DE SERRALHEIRO COM ENCARGOS COMPLEMENTARES</t>
  </si>
  <si>
    <t>PINTOR COM ENCARGOS COMPLEMENTARES</t>
  </si>
  <si>
    <t>AJUDANTE DE ESTRUTURA METÁLICA COM ENCARGOS COMPLEMENTARES</t>
  </si>
  <si>
    <t>SOLDADOR COM ENCARGOS COMPLEMENTARES</t>
  </si>
  <si>
    <t>BARRA DE FERRO RETANGULAR, BARRA CHATA, 2" X 1/2" (L X E), 5,06 KG/M</t>
  </si>
  <si>
    <t>FUNDO ANTICORROSIVO PARA METAIS FERROSOS (ZARCAO)</t>
  </si>
  <si>
    <t>L</t>
  </si>
  <si>
    <t>ELETRODO REVESTIDO AWS - E7018, DIAMETRO IGUAL A 4,00 MM</t>
  </si>
  <si>
    <t>SOLVENTE DILUENTE A BASE DE AGUARRAS</t>
  </si>
  <si>
    <t>MONTADOR DE ESTRUTURA METÁLICA COM ENCARGOS COMPLEMENTARES</t>
  </si>
  <si>
    <t>GUINDASTE HIDRÁULICO AUTOPROPELIDO, COM LANÇA TELESCÓPICA 28,80 M, CAPACIDADE MÁXIMA 30 T, POTÊNCIA 97 KW, TRAÇÃO 4 X 4 - CHP DIURNO. AF_11/2014</t>
  </si>
  <si>
    <t>CONCRETO FCK = 15MPA, TRAÇO 1:3,4:3,5 (CIMENTO/ AREIA MÉDIA/ BRITA 1)  - PREPARO MANUAL. AF_07/2016</t>
  </si>
  <si>
    <t>ARMAÇÃO DE ESTRUTURAS DE CONCRETO ARMADO, EXCETO VIGAS, PILARES, LAJES E FUNDAÇÕES, UTILIZANDO AÇO CA-50 DE 8,0 MM - MONTAGEM. AF_12/2015</t>
  </si>
  <si>
    <t>ALVENARIA DE VEDAÇÃO DE BLOCOS CERÂMICOS FURADOS NA HORIZONTAL DE 9X14X19CM (ESPESSURA 9CM) DE PAREDES COM ÁREA LÍQUIDA MENOR QUE 6M² COM VÃOS E ARGAMASSA DE ASSENTAMENTO COM PREPARO EM BETONEIRA. AF_06/2014</t>
  </si>
  <si>
    <t>(COMPOSIÇÃO REPRESENTATIVA) DO SERVIÇO DE EMBOÇO/MASSA ÚNICA, APLICADO MANUALMENTE, TRAÇO 1:2:8, EM BETONEIRA DE 400L, PAREDES INTERNAS, COM EXECUÇÃO DE TALISCAS, EDIFICAÇÃO HABITACIONAL UNIFAMILIAR (CASAS) E EDIFICAÇÃO PÚBLICA PADRÃO. AF_12/2014</t>
  </si>
  <si>
    <t>CHAPISCO APLICADO EM ALVENARIA (COM PRESENÇA DE VÃOS) E ESTRUTURAS DE CONCRETO DE FACHADA, COM COLHER DE PEDREIRO.  ARGAMASSA TRAÇO 1:3 COM PREPARO MANUAL. AF_06/2014</t>
  </si>
  <si>
    <t>APLICAÇÃO DE FUNDO SELADOR ACRÍLICO EM PAREDES, UMA DEMÃO. AF_06/2014</t>
  </si>
  <si>
    <t>CIMENTO PORTLAND COMPOSTO CP II-32</t>
  </si>
  <si>
    <t>MARMORISTA/GRANITEIRO COM ENCARGOS COMPLEMENTARES</t>
  </si>
  <si>
    <t>CIMENTO BRANCO</t>
  </si>
  <si>
    <t>AREIA GROSSA - POSTO JAZIDA/FORNECEDOR (RETIRADO NA JAZIDA, SEM TRANSPORTE)</t>
  </si>
  <si>
    <t>PORTAO DE CORRER EM GRADIL FIXO DE BARRA DE FERRO CHATA DE 3 X 1/4" NA VERTICAL, SEM REQUADRO, ACABAMENTO NATURAL, COM TRILHOS E ROLDANAS</t>
  </si>
  <si>
    <t>TELHADISTA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</si>
  <si>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</si>
  <si>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</si>
  <si>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HASTE RETA PARA GANCHO DE FERRO GALVANIZADO, COM ROSCA 1/4 " X 30 CM PARA FIXACAO DE TELHA METALICA, INCLUI PORCA E ARRUELAS DE VEDACAO</t>
  </si>
  <si>
    <t>PREGO DE ACO POLIDO COM CABECA 18 X 27 (2 1/2 X 10)</t>
  </si>
  <si>
    <t>REBITE DE ALUMINIO VAZADO DE REPUXO, 3,2 X 8 MM (1KG = 1025 UNIDADES)</t>
  </si>
  <si>
    <t>TINTA ESMALTE SINTETICO PREMIUM FOSCO</t>
  </si>
  <si>
    <t>SOLDA EM BARRA DE ESTANHO-CHUMBO 50/50</t>
  </si>
  <si>
    <t>CHAPA DE ACO GALVANIZADA BITOLA GSG 14, E = 1,95 MM (15,60 KG/M2)</t>
  </si>
  <si>
    <t>LIXA EM FOLHA PARA FERRO, NUMERO 150</t>
  </si>
  <si>
    <t>SOLEIRA EM GRANITO, POLIDO, TIPO ANDORINHA/ QUARTZ/ CASTELO/ CORUMBA OU OUTROS EQUIVALENTES DA REGIAO, L= *15* CM, E=  *2,0* CM</t>
  </si>
  <si>
    <t>GRANITO PARA BANCADA, POLIDO, TIPO ANDORINHA/ QUARTZ/ CASTELO/ CORUMBA OU OUTROS EQUIVALENTES DA REGIAO, E=  *2,5* CM</t>
  </si>
  <si>
    <t>AJUDANTE ESPECIALIZADO COM ENCARGOS COMPLEMENTARES</t>
  </si>
  <si>
    <t>LIXA EM FOLHA PARA PAREDE OU MADEIRA, NUMERO 120 (COR VERMELHA)</t>
  </si>
  <si>
    <t>LIQUIDO PARA BRILHO PAREDES INTERNAS</t>
  </si>
  <si>
    <t>PISO TATIL ALERTA OU DIRECIONAL, DE BORRACHA, COLORIDO, 25 X 25 CM, E = 5 MM, PARA COLA</t>
  </si>
  <si>
    <t>ADESIVO ACRILICO/COLA DE CONTATO</t>
  </si>
  <si>
    <t>AZULEJISTA OU LADRILHISTA COM ENCARGOS COMPLEMENTARES</t>
  </si>
  <si>
    <t>CAL HIDRATADA CH-I PARA ARGAMASSAS</t>
  </si>
  <si>
    <t>BARRA DE APOIO RETA, EM ACO INOX POLIDO, COMPRIMENTO 80CM, DIAMETRO MINIMO 3 CM</t>
  </si>
  <si>
    <t>CANTONEIRA ALUMINIO ABAS IGUAIS 1 ", E = 1/8 ", 25,40 X 3,17 MM (0,408 KG/M)</t>
  </si>
  <si>
    <t>AJUDANTE DE CARPINTEIRO COM ENCARGOS COMPLEMENTARES</t>
  </si>
  <si>
    <t>ARMADOR COM ENCARGOS COMPLEMENTARES</t>
  </si>
  <si>
    <t>AJUDANTE DE ARMADOR COM ENCARGOS COMPLEMENTARES</t>
  </si>
  <si>
    <t>CHAPA DE MADEIRA COMPENSADA PLASTIFICADA PARA FORMA DE CONCRETO, DE 2,20 X 1,10 M, E = 12 MM</t>
  </si>
  <si>
    <t>ACO CA-50, 10,0 MM, VERGALHAO</t>
  </si>
  <si>
    <t>SARRAFO DE MADEIRA NAO APARELHADA *2,5 X 10 CM, MACARANDUBA, ANGELIM OU EQUIVALENTE DA REGIAO</t>
  </si>
  <si>
    <t>TUBO ACO GALVANIZADO COM COSTURA, CLASSE LEVE, DN 80 MM ( 3"),  E = 3,35 MM, *7,32* KG/M (NBR 5580)</t>
  </si>
  <si>
    <t>DESMOLDANTE PROTETOR PARA FORMAS DE MADEIRA, DE BASE OLEOSA EMULSIONADA EM AGUA</t>
  </si>
  <si>
    <t>CIMENTO PORTLAND DE ALTO FORNO (AF) CP III-32</t>
  </si>
  <si>
    <t>PEDRA BRITADA N. 1 (9,5 a 19 MM) POSTO PEDREIRA/FORNECEDOR, SEM FRETE</t>
  </si>
  <si>
    <t>PEDRA BRITADA N. 0, OU PEDRISCO (4,8 A 9,5 MM) POSTO PEDREIRA/FORNECEDOR, SEM FRETE</t>
  </si>
  <si>
    <t>TUBO ACO GALVANIZADO COM COSTURA, CLASSE MEDIA, DN 2.1/2", E = *3,65* MM, PESO *6,51* KG/M (NBR 5580)</t>
  </si>
  <si>
    <t>ALVENARIA DE VEDAÇÃO DE BLOCOS CERÂMICOS FURADOS NA HORIZONTAL DE 9X14X19CM (ESPESSURA 9CM) DE PAREDES COM ÁREA LÍQUIDA MAIOR OU IGUAL A 6M² COM VÃOS E ARGAMASSA DE ASSENTAMENTO COM PREPARO EM BETONEIRA. AF_06/2014</t>
  </si>
  <si>
    <t>CHAPISCO APLICADO EM ALVENARIAS E ESTRUTURAS DE CONCRETO INTERNAS, COM COLHER DE PEDREIRO.  ARGAMASSA TRAÇO 1:3 COM PREPARO EM BETONEIRA 400L. AF_06/2014</t>
  </si>
  <si>
    <t>EMBOÇO, PARA RECEBIMENTO DE CERÂMICA, EM ARGAMASSA TRAÇO 1:2:8, PREPARO MANUAL, APLICADO MANUALMENTE EM FACES INTERNAS DE PAREDES, PARA AMBIENTE COM ÁREA  MAIOR QUE 10M2, ESPESSURA DE 20MM, COM EXECUÇÃO DE TALISCAS. AF_06/2014</t>
  </si>
  <si>
    <t>AJUDANTE DE PEDREIRO COM ENCARGOS COMPLEMENTARES</t>
  </si>
  <si>
    <t>BETONEIRA CAPACIDADE NOMINAL DE 600 L, CAPACIDADE DE MISTURA 360 L, MOTOR ELÉTRICO TRIFÁSICO POTÊNCIA DE 4 CV, SEM CARREGADOR - CHP DIURNO. AF_11/2014</t>
  </si>
  <si>
    <t>PEDRA BRITADA N. 2 (19 A 38 MM) POSTO PEDREIRA/FORNECEDOR, SEM FRETE</t>
  </si>
  <si>
    <t>TABUA DE MADEIRA APARELHADA *2,5 X 30* CM, MACARANDUBA, ANGELIM OU EQUIVALENTE DA REGIAO</t>
  </si>
  <si>
    <t>ACO CA-50, 8,0 MM, VERGALHAO</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</si>
  <si>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</si>
  <si>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</si>
  <si>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LAJE PRE-MOLD BETA 12 P/3,5KN/M2 VAO 4,1M INCL VIGOTAS TIJOLOS ARMADU-RA NEGATIVA CAPEAMENTO 3CM CONCRETO 15MPA ESCORAMENTO MATERIAIS E MAO DE OBRA.</t>
  </si>
  <si>
    <t>PISO EM CONCRETO 20 MPA PREPARO MECANICO, ESPESSURA 7CM, INCLUSO JUNTAS DE DILATACAO EM MADEIRA</t>
  </si>
  <si>
    <t>(COMPOSIÇÃO REPRESENTATIVA) DO SERVIÇO DE CONTRAPISO EM ARGAMASSA TRAÇO 1:4 (CIM E AREIA), EM BETONEIRA 400 L, ESPESSURA 3 CM ÁREAS SECAS E 3 CM ÁREAS MOLHADAS, PARA EDIFICAÇÃO HABITACIONAL MULTIFAMILIAR (PRÉDIO). AF_11/2014</t>
  </si>
  <si>
    <t>RALO SIFONADO, PVC, DN 100 X 40 MM, JUNTA SOLDÁVEL, FORNECIDO E INSTALADO EM RAMAL DE DESCARGA OU EM RAMAL DE ESGOTO SANITÁRIO. AF_12/2014</t>
  </si>
  <si>
    <t>ADESIVO PLASTICO PARA PVC, FRASCO COM 850 GR</t>
  </si>
  <si>
    <t>BUCHA DE REDUCAO DE PVC, SOLDAVEL, CURTA, COM 60 X 50 MM, PARA AGUA FRIA PREDIAL</t>
  </si>
  <si>
    <t>SOLUCAO LIMPADORA PARA PVC, FRASCO COM 1000 CM3</t>
  </si>
  <si>
    <t>BUCHA DE REDUCAO DE PVC, SOLDAVEL, CURTA, COM 85 X 75 MM, PARA AGUA FRIA PREDIAL</t>
  </si>
  <si>
    <t>BUCHA DE REDUCAO DE PVC, SOLDAVEL, LONGA, COM 50 X 25 MM, PARA AGUA FRIA PREDIAL</t>
  </si>
  <si>
    <t>BUCHA DE REDUCAO DE PVC, SOLDAVEL, LONGA, COM 50 X 20 MM, PARA AGUA FRIA PREDIAL</t>
  </si>
  <si>
    <t>BUCHA DE REDUCAO DE PVC, SOLDAVEL, LONGA, COM 75 X 50 MM, PARA AGUA FRIA PREDIAL</t>
  </si>
  <si>
    <t>BUCHA DE REDUCAO DE PVC, SOLDAVEL, LONGA, COM 85 X 60 MM, PARA AGUA FRIA PREDIAL</t>
  </si>
  <si>
    <t>TE DE REDUCAO, PVC, SOLDAVEL, 90 GRAUS, 50 MM X 20 MM, PARA AGUA FRIA PREDIAL</t>
  </si>
  <si>
    <t>TE DE REDUCAO, PVC, SOLDAVEL, 90 GRAUS, 85 MM X 60 MM, PARA AGUA FRIA PREDIAL</t>
  </si>
  <si>
    <t>LIXA D'AGUA EM FOLHA, GRAO 100</t>
  </si>
  <si>
    <t>FITA VEDA ROSCA EM ROLOS DE 18 MM X 50 M (L X C)</t>
  </si>
  <si>
    <t>JOELHO PVC, SOLDAVEL, COM BUCHA DE LATAO, 90 GRAUS, 20 MM X 1/2", PARA AGUA FRIA PREDIAL</t>
  </si>
  <si>
    <t>ADAPTADOR PVC SOLDAVEL, COM FLANGES LIVRES, 32 MM X 1", PARA CAIXA D' AGUA</t>
  </si>
  <si>
    <t>ADAPTADOR PVC SOLDAVEL, LONGO, COM FLANGE LIVRE,  25 MM X 3/4", PARA CAIXA D' AGUA</t>
  </si>
  <si>
    <t>ADESIVO PLASTICO PARA PVC, BISNAGA COM 75 GR</t>
  </si>
  <si>
    <t>FITA VEDA ROSCA EM ROLOS DE 18 MM X 10 M (L X C)</t>
  </si>
  <si>
    <t>JOELHO PVC, SOLDAVEL, 90 GRAUS, 32 MM, PARA AGUA FRIA PREDIAL</t>
  </si>
  <si>
    <t>TE SOLDAVEL, PVC, 90 GRAUS, 32 MM, PARA AGUA FRIA PREDIAL (NBR 5648)</t>
  </si>
  <si>
    <t>TUBO PVC, SOLDAVEL, DN 32 MM, AGUA FRIA (NBR-5648)</t>
  </si>
  <si>
    <t>REGISTRO DE ESFERA, PVC, COM VOLANTE, VS, SOLDAVEL, DN 32 MM, COM CORPO DIVIDIDO</t>
  </si>
  <si>
    <t>CONCRETO FCK = 25MPA, TRAÇO 1:2,3:2,7 (CIMENTO/ AREIA MÉDIA/ BRITA 1)  - PREPARO MECÂNICO COM BETONEIRA 400 L. AF_07/2016</t>
  </si>
  <si>
    <t>MONTAGEM E DESMONTAGEM DE FÔRMA DE PILARES RETANGULARES E ESTRUTURAS SIMILARES COM ÁREA MÉDIA DAS SEÇÕES MENOR OU IGUAL A 0,25 M², PÉ-DIREITO SIMPLES, EM MADEIRA SERRADA, 2 UTILIZAÇÕES. AF_12/2015</t>
  </si>
  <si>
    <t>LANÇAMENTO COM USO DE BALDES, ADENSAMENTO E ACABAMENTO DE CONCRETO EM ESTRUTURAS. AF_12/2015</t>
  </si>
  <si>
    <t>ASSENTO SANITARIO DE PLASTICO, TIPO CONVENCIONAL</t>
  </si>
  <si>
    <t>ALVENARIA DE VEDAÇÃO DE BLOCOS CERÂMICOS FURADOS NA HORIZONTAL DE 9X19X19CM (ESPESSURA 9CM) DE PAREDES COM ÁREA LÍQUIDA MENOR QUE 6M² SEM VÃOS E ARGAMASSA DE ASSENTAMENTO COM PREPARO EM BETONEIRA. AF_06/2014</t>
  </si>
  <si>
    <t>CHAPISCO APLICADO EM ALVENARIAS E ESTRUTURAS DE CONCRETO INTERNAS, COM COLHER DE PEDREIRO.  ARGAMASSA TRAÇO 1:3 COM PREPARO MANUAL. AF_06/2014</t>
  </si>
  <si>
    <t>EMBOÇO, PARA RECEBIMENTO DE CERÂMICA, EM ARGAMASSA TRAÇO 1:2:8, PREPARO MANUAL, APLICADO MANUALMENTE EM FACES INTERNAS DE PAREDES, PARA AMBIENTE COM ÁREA MENOR QUE 5M2, ESPESSURA DE 20MM, COM EXECUÇÃO DE TALISCAS. AF_06/2014</t>
  </si>
  <si>
    <t>REVESTIMENTO CERÂMICO PARA PAREDES INTERNAS COM PLACAS TIPO ESMALTADA EXTRA DE DIMENSÕES 20X20 CM APLICADAS EM AMBIENTES DE ÁREA MENOR QUE 5 M² NA ALTURA INTEIRA DAS PAREDES. AF_06/2014</t>
  </si>
  <si>
    <t>TORNEIRA CROMADA DE MESA PARA LAVATORIO TEMPORIZADA PRESSAO BICA BAIXA</t>
  </si>
  <si>
    <t>(COMPOSIÇÃO REPRESENTATIVA) DO SERVIÇO DE ALVENARIA DE VEDAÇÃO DE BLOCOS VAZADOS DE CERÂMICA DE 9X19X19CM (ESPESSURA 9CM), PARA EDIFICAÇÃO HABITACIONAL MULTIFAMILIAR (PRÉDIO). AF_11/2014</t>
  </si>
  <si>
    <t>TANQUE DUPLO EM MARMORE SINTETICO COM CUBA LISA E ESFREGADOR, *110 X 60* CM</t>
  </si>
  <si>
    <t>DUCHA HIGIENICA PLASTICA COM REGISTRO METALICO 1/2 "</t>
  </si>
  <si>
    <t>CAIXA SIFONADA PVC, 150 X 150 X 50 MM, COM GRELHA QUADRADA BRANCA (NBR 5688)</t>
  </si>
  <si>
    <t>PASTA LUBRIFICANTE PARA TUBOS E CONEXOES COM JUNTA ELASTICA (USO EM PVC, ACO, POLIETILENO E OUTROS) ( DE *400* G)</t>
  </si>
  <si>
    <t>ANEL BORRACHA PARA TUBO ESGOTO PREDIAL, DN 100 MM (NBR 5688)</t>
  </si>
  <si>
    <t>CURVA PVC LONGA 45 GRAUS, 100 MM, PARA ESGOTO PREDIAL</t>
  </si>
  <si>
    <t>ANEL BORRACHA PARA TUBO ESGOTO PREDIAL DN 50 MM (NBR 5688)</t>
  </si>
  <si>
    <t>JUNCAO DE REDUCAO INVERTIDA, PVC SOLDAVEL, 100 X 50 MM, SERIE NORMAL PARA ESGOTO PREDIAL</t>
  </si>
  <si>
    <t>ANEL BORRACHA PARA TUBO ESGOTO PREDIAL DN 75 MM (NBR 5688)</t>
  </si>
  <si>
    <t>JUNCAO DE REDUCAO INVERTIDA, PVC SOLDAVEL, 75 X 50 MM, SERIE NORMAL PARA ESGOTO PREDIAL</t>
  </si>
  <si>
    <t>REDUCAO EXCENTRICA PVC P/ ESG PREDIAL DN 100 X 50MM</t>
  </si>
  <si>
    <t>REDUCAO EXCENTRICA PVC P/ ESG PREDIAL DN 100 X 75MM</t>
  </si>
  <si>
    <t>TERMINAL DE VENTILACAO, 50 MM, SERIE NORMAL, ESGOTO PREDIAL</t>
  </si>
  <si>
    <t>TERMINAL DE VENTILACAO, 75 MM, SERIE NORMAL, ESGOTO PREDIAL</t>
  </si>
  <si>
    <t>LASTRO COM PREPARO DE FUNDO, LARGURA MAIOR OU IGUAL A 1,5 M, COM CAMADA DE BRITA, LANÇAMENTO MANUAL, EM LOCAL COM NÍVEL BAIXO DE INTERFERÊNCIA. AF_06/2016</t>
  </si>
  <si>
    <t>ATERRO MANUAL DE VALAS COM SOLO ARGILO-ARENOSO E COMPACTAÇÃO MECANIZADA. AF_05/2016</t>
  </si>
  <si>
    <t>LASTRO COM PREPARO DE FUNDO, LARGURA MAIOR OU IGUAL A 1,5 M, COM CAMADA DE BRITA, LANÇAMENTO MANUAL, EM LOCAL COM NÍVEL ALTO DE INTERFERÊNCIA. AF_06/2016</t>
  </si>
  <si>
    <t>FABRICAÇÃO DE FÔRMA PARA LAJES, EM CHAPA DE MADEIRA COMPENSADA PLASTIFICADA, E = 18 MM. AF_12/2015</t>
  </si>
  <si>
    <t>TAMPA EM CONCRETO ARMADO 60X60X5CM P/CX INSPECAO/FOSSA SEPTICA</t>
  </si>
  <si>
    <t>CURVA PVC CURTA 90 GRAUS, 100 MM, PARA ESGOTO PREDIAL</t>
  </si>
  <si>
    <t>RALO FOFO SEMIESFERICO, 100 MM, PARA LAJES/ CALHAS</t>
  </si>
  <si>
    <t>PEDRA BRITADA N. 3 (38 A 50 MM) POSTO PEDREIRA/FORNECEDOR, SEM FRETE</t>
  </si>
  <si>
    <t>GRELHA FOFO SIMPLES COM REQUADRO, CARGA MAXIMA 1,5 T, 200 X 1000 MM, E= *15* MM</t>
  </si>
  <si>
    <t>BUCHA DE NYLON SEM ABA S6, COM PARAFUSO DE 4,20 X 40 MM EM ACO ZINCADO COM ROSCA SOBERBA, CABECA CHATA E FENDA PHILLIPS</t>
  </si>
  <si>
    <t>AUXILIAR DE ELETRICISTA COM ENCARGOS COMPLEMENTARES</t>
  </si>
  <si>
    <t>ABRACADEIRA EM ACO PARA AMARRACAO DE ELETRODUTOS, TIPO D, COM 1" E CUNHA DE FIXACAO</t>
  </si>
  <si>
    <t>MANGUEIRA DE INCENDIO, TIPO 2, DE 1 1/2", COMPRIMENTO = 30 M, TECIDO EM FIO DE POLIESTER E TUBO INTERNO EM BORRACHA SINTETICA, COM UNIOES</t>
  </si>
  <si>
    <t>UNIAO TIPO STORZ, COM EMPATACAO INTERNA TIPO ANEL DE EXPANSAO, ENGATE RAPIDO 1 1/2", PARA MANGUEIRA DE COMBATE A INCENDIO PREDIAL</t>
  </si>
  <si>
    <t>TAMPAO COM CORRENTE, EM LATAO, ENGATE RAPIDO 1 1/2", PARA INSTALACAO PREDIAL DE COMBATE A INCENDIO</t>
  </si>
  <si>
    <t>ESGUICHO TIPO JATO SOLIDO, EM LATAO, ENGATE RAPIDO 1 1/2" X 19 MM, PARA MANGUEIRA EM INSTALACAO PREDIAL COMBATE A INCENDIO</t>
  </si>
  <si>
    <t>CHAVE DUPLA PARA CONEXOES TIPO STORZ, ENGATE RAPIDO 1 1/2" X 2 1/2", EM LATAO, PARA INSTALACAO PREDIAL COMBATE A INCENDIO</t>
  </si>
  <si>
    <t>TAMPAO COM CORRENTE, EM LATAO, ENGATE RAPIDO 2 1/2", PARA INSTALACAO PREDIAL DE COMBATE A INCENDIO</t>
  </si>
  <si>
    <t>UNIAO TIPO STORZ, COM EMPATACAO INTERNA TIPO ANEL DE EXPANSAO, ENGATE RAPIDO 2 1/2", PARA MANGUEIRA DE COMBATE A INCENDIO PREDIAL</t>
  </si>
  <si>
    <t>REGISTRO GAVETA BRUTO EM LATAO FORJADO, BITOLA 2 1/2 " (REF 1509)</t>
  </si>
  <si>
    <t>MONTADOR ELETROMECÃNICO COM ENCARGOS COMPLEMENTARES</t>
  </si>
  <si>
    <t>PEDRA DE MAO OU PEDRA RACHAO PARA ARRIMO/FUNDACAO (POSTO PEDREIRA/FORNECEDOR, SEM FRETE)</t>
  </si>
  <si>
    <t>LUMINARIA DE EMERGENCIA 30 LEDS, POTENCIA 2 W, BATERIA DE LITIO, AUTONOMIA DE 6 HORAS</t>
  </si>
  <si>
    <t>LUMINARIA DE SOBREPOR EM CHAPA DE ACO PARA 2 LAMPADAS FLUORESCENTES DE *18* W, PERFIL COMERCIAL (NAO INCLUI REATOR E LAMPADAS)</t>
  </si>
  <si>
    <t>LAMPADA LED TUBULAR BIVOLT 18/20 W, BASE G13</t>
  </si>
  <si>
    <t>FABRICAÇÃO DE FÔRMA PARA LAJES, EM MADEIRA SERRADA, E=25 MM. AF_12/2015</t>
  </si>
  <si>
    <t>GUINDAUTO HIDRÁULICO, CAPACIDADE MÁXIMA DE CARGA 6200 KG, MOMENTO MÁXIMO DE CARGA 11,7 TM, ALCANCE MÁXIMO HORIZONTAL 9,70 M, INCLUSIVE CAMINHÃO TOCO PBT 16.000 KG, POTÊNCIA DE 189 CV - CHP DIURNO. AF_06/2014</t>
  </si>
  <si>
    <t>PARAFUSO M16 EM ACO GALVANIZADO, COMPRIMENTO = 125 MM, DIAMETRO = 16 MM, ROSCA MAQUINA, CABECA QUADRADA</t>
  </si>
  <si>
    <t>SAPATILHA EM ACO GALVANIZADO PARA CABOS COM DIAMETRO NOMINAL ATE 5/8"</t>
  </si>
  <si>
    <t>PARAFUSO M16 EM ACO GALVANIZADO, COMPRIMENTO = 250 MM, DIAMETRO = 16 MM, ROSCA MAQUINA, CABECA QUADRADA</t>
  </si>
  <si>
    <t>PARAFUSO M16 EM ACO GALVANIZADO, COMPRIMENTO = 300 MM, DIAMETRO = 16 MM, ROSCA MAQUINA, CABECA QUADRADA</t>
  </si>
  <si>
    <t>PARAFUSO M16 EM ACO GALVANIZADO, COMPRIMENTO = 350 MM, DIAMETRO = 16 MM, ROSCA MAQUINA, CABECA QUADRADA</t>
  </si>
  <si>
    <t>CABO DE COBRE NU 35 MM2 MEIO-DURO</t>
  </si>
  <si>
    <t>CABO DE COBRE NU 50 MM2 MEIO-DURO</t>
  </si>
  <si>
    <t>ELETRODUTO PVC FLEXIVEL CORRUGADO, COR AMARELA, DE 16 MM</t>
  </si>
  <si>
    <t>ELETRODUTO DE PVC RIGIDO ROSCAVEL DE 1/2 ", SEM LUVA</t>
  </si>
  <si>
    <t>ARRUELA EM ALUMINIO, COM ROSCA, DE 4", PARA ELETRODUTO</t>
  </si>
  <si>
    <t>BUCHA EM ALUMINIO, COM ROSCA, DE 4", PARA ELETRODUTO</t>
  </si>
  <si>
    <t>TERMINAL A COMPRESSAO EM COBRE ESTANHADO PARA CABO 35 MM2, 1 FURO E 1 COMPRESSAO, PARA PARAFUSO DE FIXACAO M8</t>
  </si>
  <si>
    <t>TERMINAL A COMPRESSAO EM COBRE ESTANHADO PARA CABO 50 MM2, 1 FURO E 1 COMPRESSAO, PARA PARAFUSO DE FIXACAO M8</t>
  </si>
  <si>
    <t>CURVA 90 GRAUS DE FERRO GALVANIZADO, COM ROSCA BSP FEMEA, DE 4"</t>
  </si>
  <si>
    <t>FITA ISOLANTE ADESIVA ANTICHAMA, USO ATE 750 V, EM ROLO DE 19 MM X 20 M</t>
  </si>
  <si>
    <t>CURVA 90 GRAUS DE BARRA CHATA EM ALUMINIO 3/4 " X 1/4 " X 300 MM</t>
  </si>
  <si>
    <t>PARAFUSO ZINCADO, SEXTAVADO, COM ROSCA INTEIRA, DIAMETRO 1/4", COMPRIMENTO 1/2"</t>
  </si>
  <si>
    <t>SUPORTE GUIA SIMPLES COM ROLDANA EM POLIPROPILENO PARA CHUMBAR, H = 20 CM</t>
  </si>
  <si>
    <t>BUCHA DE NYLON SEM ABA S8, COM PARAFUSO DE 4,80 X 50 MM EM ACO ZINCADO COM ROSCA SOBERBA, CABECA CHATA E FENDA PHILLIPS</t>
  </si>
  <si>
    <t>CONCRETO MAGRO PARA LASTRO, TRAÇO 1:4,5:4,5 (CIMENTO/ AREIA MÉDIA/ BRITA 1)  - PREPARO MECÂNICO COM BETONEIRA 400 L. AF_07/2016</t>
  </si>
  <si>
    <t>APLICAÇÃO DE FUNDO SELADOR ACRÍLICO EM TETO, UMA DEMÃO. AF_06/2014</t>
  </si>
  <si>
    <t>APLICAÇÃO MANUAL DE PINTURA COM TINTA LÁTEX ACRÍLICA EM TETO, DUAS DEMÃOS. AF_06/2014</t>
  </si>
  <si>
    <t>REGISTRO OU REGULADOR DE GAS COZINHA, VAZAO DE 2 KG/H, 2,8 KPA</t>
  </si>
  <si>
    <t>VALVULA DE ESFERA BRUTA EM BRONZE, BITOLA 3/4 " (REF 1552-B)</t>
  </si>
  <si>
    <t>CORTE E DOBRA DE AÇO CA-50, DIÂMETRO DE 12,5 MM, UTILIZADO EM ESTRUTURAS DIVERSAS, EXCETO LAJES. AF_12/2015</t>
  </si>
  <si>
    <t>ESPACADOR / DISTANCIADOR CIRCULAR COM ENTRADA LATERAL, EM PLASTICO, PARA VERGALHAO *4,2 A 12,5* MM, COBRIMENTO 20 MM</t>
  </si>
  <si>
    <t>CORTE E DOBRA DE AÇO CA-50, DIÂMETRO DE 16,0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</si>
  <si>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</si>
  <si>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</si>
  <si>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COTOVELO 90 GRAUS DE FERRO GALVANIZADO, COM ROSCA BSP MACHO/FEMEA, DE 2"</t>
  </si>
  <si>
    <t>ASSENTADOR DE TUBOS COM ENCARGOS COMPLEMENTARES</t>
  </si>
  <si>
    <t>ESCAVADEIRA HIDRÁULICA SOBRE ESTEIRAS, CAÇAMBA 0,80 M3, PESO OPERACIONAL 17 T, POTENCIA BRUTA 111 HP - CHP DIURNO. AF_06/2014</t>
  </si>
  <si>
    <t>ESCAVADEIRA HIDRÁULICA SOBRE ESTEIRAS, CAÇAMBA 0,80 M3, PESO OPERACIONAL 17 T, POTENCIA BRUTA 111 HP - CHI DIURNO. AF_06/2014</t>
  </si>
  <si>
    <t>TUBO CONCRETO ARMADO, CLASSE PA-1, PB, DN 2000 MM, PARA AGUAS PLUVIAIS (NBR 8890)</t>
  </si>
  <si>
    <t>VIGIA DIURNO</t>
  </si>
  <si>
    <t>VERGA MOLDADA IN LOCO EM CONCRETO PARA PORTAS COM ATÉ 1,5 M DE VÃO. AF_03/2016</t>
  </si>
  <si>
    <t>VERGA MOLDADA IN LOCO EM CONCRETO PARA JANELAS COM ATÉ 1,5 M DE VÃO. AF_03/2016</t>
  </si>
  <si>
    <t>CONTRAVERGA MOLDADA IN LOCO EM CONCRETO PARA VÃOS DE ATÉ 1,5 M DE COMPRIMENTO. AF_03/2016</t>
  </si>
  <si>
    <t>VERGA MOLDADA IN LOCO EM CONCRETO PARA JANELAS COM MAIS DE 1,5 M DE VÃO. AF_03/2016</t>
  </si>
  <si>
    <t>CONTRAVERGA MOLDADA IN LOCO EM CONCRETO PARA VÃOS DE MAIS DE 1,5 M DE COMPRIMENTO. AF_03/2016</t>
  </si>
  <si>
    <t>CHAPISCO APLICADO EM ALVENARIA (COM PRESENÇA DE VÃOS) E ESTRUTURAS DE CONCRETO DE FACHADA, COM ROLO PARA TEXTURA ACRÍLICA.  ARGAMASSA TRAÇO 1:4 E EMULSÃO POLIMÉRICA (ADESIVO) COM PREPARO EM BETONEIRA 400L. AF_06/2014</t>
  </si>
  <si>
    <t>PINTURA COM TINTA A BASE DE BORRACHA CLORADA , DE FAIXAS DE DEMARCACAO, EM QUADRA POLIESPORTIVA, 5 CM DE LARGURA.</t>
  </si>
  <si>
    <t>ML</t>
  </si>
  <si>
    <t>EXECUÇÃO DE PASSEIO EM PISO INTERTRAVADO, COM BLOCO RETANGULAR COR NATURAL DE 20 X 10 CM, ESPESSURA 6 CM. AF_12/2015</t>
  </si>
  <si>
    <t>REGISTRO DE GAVETA BRUTO, LATÃO, ROSCÁVEL, 1, COM ACABAMENTO E CANOPLA CROMADOS, INSTALADO EM RESERVAÇÃO DE ÁGUA DE EDIFICAÇÃO QUE POSSUA RESERVATÓRIO DE FIBRA/FIBROCIMENTO  FORNECIMENTO E INSTALAÇÃO. AF_06/2016</t>
  </si>
  <si>
    <t>BUCHA DE REDUÇÃO LONGA, PVC, SERIE R, ÁGUA PLUVIAL, DN 50 X 40 MM, JUNTA ELÁSTICA, FORNECIDO E INSTALADO EM RAMAL DE ENCAMINHAMENTO. AF_12/2014</t>
  </si>
  <si>
    <t>LASTRO DE CONCRETO MAGRO, APLICADO EM BLOCOS DE COROAMENTO OU SAPATAS. AF_08/2017</t>
  </si>
  <si>
    <t>HASTE DE ATERRAMENTO 5/8  PARA SPDA - FORNECIMENTO E INSTALAÇÃO. AF_12/2017</t>
  </si>
  <si>
    <t>CAIXA RETANGULAR 4" X 2" BAIXA (0,30 M DO PISO), PVC, INSTALADA EM PAREDE - FORNECIMENTO E INSTALAÇÃO. AF_12/2015</t>
  </si>
  <si>
    <t>INTERRUPTOR PARALELO (1 MÓDULO), 10A/250V, INCLUINDO SUPORTE E PLACA - FORNECIMENTO E INSTALAÇÃO. AF_12/2015</t>
  </si>
  <si>
    <t>INTERRUPTOR SIMPLES (1 MÓDULO) COM 1 TOMADA DE EMBUTIR 2P+T 10 A,  INCLUINDO SUPORTE E PLACA - FORNECIMENTO E INSTALAÇÃO. AF_12/2015</t>
  </si>
  <si>
    <t>QUADRO DE DISTRIBUICAO DE ENERGIA DE EMBUTIR, EM CHAPA METALICA, PARA 32 DISJUNTORES TERMOMAGNETICOS MONOPOLARES, COM BARRAMENTO TRIFASICO E NEUTRO, FORNECIMENTO E INSTALACAO</t>
  </si>
  <si>
    <t>DISJUNTOR BIPOLAR TIPO DIN, CORRENTE NOMINAL DE 16A - FORNECIMENTO E INSTALAÇÃO. AF_04/2016</t>
  </si>
  <si>
    <t>DISJUNTOR TERMOMAGNETICO TRIPOLAR PADRAO NEMA (AMERICANO) 10 A 50A 240V, FORNECIMENTO E INSTALACAO</t>
  </si>
  <si>
    <t>83635</t>
  </si>
  <si>
    <t>EXTINTOR INCENDIO TP PO QUIMICO 6KG - FORNECIMENTO E INSTALACAO</t>
  </si>
  <si>
    <t>ABRACADEIRA EM ACO PARA AMARRACAO DE ELETRODUTOS, TIPO D, COM 3/4" E CUNHA DE FIXACAO</t>
  </si>
  <si>
    <t>MANOMETRO 0 A 200 PSI (0 A 14 KGF/CM2), D = 50MM - FORNECIMENTO E COLOCACAO</t>
  </si>
  <si>
    <t>OBRA/SERVIÇO: ESCOLA ESTADUAL NOVA VILA BELA DA SANTÍSSIMA TRINDADE</t>
  </si>
  <si>
    <t>MUNICIPIO: VILA BELA DA SANTÍSSIMA TRINDADE/MT</t>
  </si>
  <si>
    <t>DATA: 09/03/2018</t>
  </si>
  <si>
    <t>INSTALAÇÃO PROVISÓRIA DE ÁGUA E ENERGIA</t>
  </si>
  <si>
    <t>M/MÊS</t>
  </si>
  <si>
    <t>Ligacão de água</t>
  </si>
  <si>
    <t>Ligação Elétrica</t>
  </si>
  <si>
    <t>ESMATE SINTÉTICO METÁLICA COR 308u</t>
  </si>
  <si>
    <t xml:space="preserve">ALVENARIA DO BLOCO EDUCACIONAL </t>
  </si>
  <si>
    <t>ALVENARIA DO MURO P/ PORTÃO</t>
  </si>
  <si>
    <t xml:space="preserve">TELHA ONDULADA GALVANIZADA </t>
  </si>
  <si>
    <t xml:space="preserve">REVESTIMENTO CERÂMICO 5x5 COR BRANCO </t>
  </si>
  <si>
    <t>DEMARCAÇÃO TINTA EPÓXI</t>
  </si>
  <si>
    <t>PINTURA ACRÍLICA PARA PISO DE QUADRA 3125U</t>
  </si>
  <si>
    <t>PINTURA ACRÍLICA PARA PISO QUADRA 2758C</t>
  </si>
  <si>
    <t>MEIO FIO CURVO</t>
  </si>
  <si>
    <t>BRITA Nº 02</t>
  </si>
  <si>
    <t>PAVER</t>
  </si>
  <si>
    <t>CORRIMÃO TUBULAR DUPLO EM AÇO GALVANIZADO  H=0,90/0,72cm</t>
  </si>
  <si>
    <t xml:space="preserve">MANACÁ DA SERRA </t>
  </si>
  <si>
    <t>JERIVÁ</t>
  </si>
  <si>
    <t>OITI</t>
  </si>
  <si>
    <t>PATA DE VACA</t>
  </si>
  <si>
    <t>GRANITO CINZA ANDORINHA  POLIDO</t>
  </si>
  <si>
    <t>ESPELHO CRISTAL  0,45CMX0,55CM = 0,2475m²</t>
  </si>
  <si>
    <t>VIDRO TEMPERADO 6mm</t>
  </si>
  <si>
    <t>VIDRO TEMPERADO 8mm</t>
  </si>
  <si>
    <t>PLACA EM ACM Quadra</t>
  </si>
  <si>
    <t>CONJUNTO FUTEBOL</t>
  </si>
  <si>
    <t>CONJUNTO VÔLEI</t>
  </si>
  <si>
    <t>TELA DE NYLON PARA PROTEÇÃO DOS OITÕES</t>
  </si>
  <si>
    <t>PICTOGRAMA ACESSIVEL</t>
  </si>
  <si>
    <t>Caixa retangular 4" x 2" media (1,20 m do piso), metálica, instalada em parede - fornecimento e instalação. Af_12/2015</t>
  </si>
  <si>
    <t>Caixa retangular 4" x 2" alta (2,20 m do piso), metálica, instalada em parede - fornecimento e instalação. Af_12/2015</t>
  </si>
  <si>
    <t>uND</t>
  </si>
  <si>
    <t>Caixa octogonal 3"x3", PVC, instalada em laje - fornecimento e instalação</t>
  </si>
  <si>
    <t>Tomada média de embutir (1 módulo), 2p+t 10 a, incluindo suporte e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</si>
  <si>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</si>
  <si>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</si>
  <si>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Interruptor paralelo (1 módulo), 10a/250v, incluindo suporte e placa - fornecimento e instalação. Af_12/2014</t>
  </si>
  <si>
    <t>INTERRUPTOR SIMPLES (1 MÓDULO) COM 1 TOMADA DE EMBUTIR 2P+T 10 A, INCLUINDO SUPORTE E PLACA - FORNECIMENTO E INSTALAÇÃO. AF_12/2015</t>
  </si>
  <si>
    <t>Quadro de distribuicao de energia de embutir, em chapa metalica, para 32 disjuntores termomagneticos monopolares, com barramento trifasico e neutro, fornecimento e instalacao</t>
  </si>
  <si>
    <t>Quadro com barramento trifásico para disjuntor de entrada 400A, incluindo fixação, placa de acrílico sem barramentos secundários e disjuntor de entrada - fornecimento e instalação</t>
  </si>
  <si>
    <t>Disjuntor bipolar tipo din, corrente nominal de 16a - fornecimento e instalação. Af_04/2016</t>
  </si>
  <si>
    <t>Fornecimento e instalação de Protetor de Surto (DPS) 175V - 45KA em quadro de distribuição.</t>
  </si>
  <si>
    <t>Disjuntor termomagnetico tripolar padrao nema (americano) 16A 240v, fornecimento e instalacao</t>
  </si>
  <si>
    <t>Disjuntor termomagnetico tripolar padrao nema (americano) 32A 240v, fornecimento e instalacao</t>
  </si>
  <si>
    <t>Disjuntor termomagnetico tripolar padrao nema (americano) 40A 240v, fornecimento e instalacao</t>
  </si>
  <si>
    <t>Disjuntor termomagnetico tripolar padrao nema (americano) 300A 240v, fornecimento e instalacao</t>
  </si>
  <si>
    <t>Duto espiral flexivel singelo pead (3") revestido com pvc com fio guia de aco galvanizado, lancado direto no solo, incl conexoes</t>
  </si>
  <si>
    <t>Duto espiral flexivel singelo pead (2") revestido com pvc com fio guia de aco galvanizado, lancado direto no solo, incl conexoes</t>
  </si>
  <si>
    <t>Duto espiral flexivel singelo pead (1.1/2") revestido com pvc com fio guia de aco galvanizado, lancado direto no solo, incl conexoes</t>
  </si>
  <si>
    <t>Duto espiral flexivel singelo pead d=75mm(1") revestido com pvc com fio guia de aco galvanizado, lancado direto no solo, incl conexoes</t>
  </si>
  <si>
    <t>Caixa de passagem 60x60x60 fundo brita com tampa</t>
  </si>
  <si>
    <t>Caixa de passagem 40x40x40 fundo brita com tampa</t>
  </si>
  <si>
    <t>Caixa de passagem 30x30x30 fundo brita com tampa</t>
  </si>
  <si>
    <t xml:space="preserve">Projetor Industrial até LED 150W, fluxo luminoso mínimo 15900 lúmens, vida útil mínima de 50.000 horas, LM80- Fornecimento e Instalação. </t>
  </si>
  <si>
    <t>Luminária para iluminação pública - poste</t>
  </si>
  <si>
    <t>Fornecimento de Poste Duplo  de aço  h=9,0m - diam.= 100 mm</t>
  </si>
  <si>
    <t>Escavação manual de vala em solo de 1a categoria, profundidade até 2 m</t>
  </si>
  <si>
    <t>Posto de transformação de 150 KVA - 13.8KV/220-127V</t>
  </si>
  <si>
    <t>Duas unidades de abrigo de gás 02 um de P45: Um abrigo  para atender a cozinha e um abrigo para atender os laboratórios</t>
  </si>
  <si>
    <t>Distância entre as casas de gás e as conexões da cozinha e do abrigo de gas. Cozinha = 30m  x a profundidade da escavação (0,80m) x a largura da escavação (0,40m)</t>
  </si>
  <si>
    <t>Fóruma = 2*3,14*r*comprimento</t>
  </si>
  <si>
    <t xml:space="preserve">Colocar a cada 6 m ( cozinha: 22/6: 4unid.)+ (laboratorios:63,87/6: 11 unid) </t>
  </si>
  <si>
    <t>1.13</t>
  </si>
  <si>
    <t>manometro 3/4</t>
  </si>
  <si>
    <t>colocar na central e no quadro de inspeção</t>
  </si>
  <si>
    <t>1.14</t>
  </si>
  <si>
    <t>quadro de embutir 40x40cm</t>
  </si>
  <si>
    <t>instalar fora da central de glp</t>
  </si>
  <si>
    <t>1.15</t>
  </si>
  <si>
    <t xml:space="preserve">mangueira de borracha nitrica com rosca interna </t>
  </si>
  <si>
    <t>instalar na valvula pol e no tubo galvonizado dentro da central</t>
  </si>
  <si>
    <t>1.17</t>
  </si>
  <si>
    <t>tampão NPT 3/4</t>
  </si>
  <si>
    <t>veda a passagem de gáz dentro do tubo</t>
  </si>
  <si>
    <t>ESCOLA: E.E. VILA BELA DA SANTÍSSIMA TRINDADE NOVA 12 SALAS</t>
  </si>
  <si>
    <t>MUNICÍPIO: VILA BELA DA ST. TRINDADE</t>
  </si>
  <si>
    <t>LUVA COM BUCHA DE LATÃO, PVC, SOLDÁVEL, DN 25MM X 1/2, INSTALADO EM RAMAL DE DISTRIBUIÇÃO DE ÁGUA - FORNECIMENTO E INSTALAÇÃO. AF_12/2015</t>
  </si>
  <si>
    <t>FOSSA SÉPTICA EM ALVENARIA - TIJOLO COMUM MACIÇO, DIMENSOES 4,75X2,40X1,80</t>
  </si>
  <si>
    <t xml:space="preserve">SDC03021 </t>
  </si>
  <si>
    <t>eletroduldo pvc vermelho</t>
  </si>
  <si>
    <t>4.4.1</t>
  </si>
  <si>
    <t>4.4.2</t>
  </si>
  <si>
    <t>4.4.3</t>
  </si>
  <si>
    <t>4.4.4</t>
  </si>
  <si>
    <t>4.4.5</t>
  </si>
  <si>
    <t>4.4.6</t>
  </si>
  <si>
    <t>4.4.7</t>
  </si>
  <si>
    <t>4.4.8</t>
  </si>
  <si>
    <t>4.4.9</t>
  </si>
  <si>
    <t>4.4.10</t>
  </si>
  <si>
    <t>4.4.11</t>
  </si>
  <si>
    <t xml:space="preserve">SDC07017 </t>
  </si>
  <si>
    <t>4.4.12</t>
  </si>
  <si>
    <t>4.4.13</t>
  </si>
  <si>
    <t>4.4.14</t>
  </si>
  <si>
    <t>4.4.15</t>
  </si>
  <si>
    <t>4.4.16</t>
  </si>
  <si>
    <t>4.4.17</t>
  </si>
  <si>
    <t>4.4.18</t>
  </si>
  <si>
    <t xml:space="preserve"> FORNECIMENTO E INSTALAÇÃO DE BOMBA TRIFÁSICA 7,5CV - 220/380V</t>
  </si>
  <si>
    <t>4.4.19</t>
  </si>
  <si>
    <t>4.4.20</t>
  </si>
  <si>
    <t>4.4.21</t>
  </si>
  <si>
    <t>4.4.22</t>
  </si>
  <si>
    <t>4.4.23</t>
  </si>
  <si>
    <t>4.4.24</t>
  </si>
  <si>
    <t>4.4.25</t>
  </si>
  <si>
    <t>4.4.26</t>
  </si>
  <si>
    <t>FORNECIMENTO E INSTALAÇÃO CHAVE DE PARTIDA PARA BOMBA 10,0CV</t>
  </si>
  <si>
    <t>4.4.27</t>
  </si>
  <si>
    <t>4.4.28</t>
  </si>
  <si>
    <t>4.4.29</t>
  </si>
  <si>
    <t>4.4.30</t>
  </si>
  <si>
    <t>4.4.31</t>
  </si>
  <si>
    <t>4.4.32</t>
  </si>
  <si>
    <t>4.4.33</t>
  </si>
  <si>
    <t>4.4.34</t>
  </si>
  <si>
    <t>4.4.35</t>
  </si>
  <si>
    <t>4.4.36</t>
  </si>
  <si>
    <t>4.4.37</t>
  </si>
  <si>
    <t>4.4.38</t>
  </si>
  <si>
    <t>4.4.39</t>
  </si>
  <si>
    <t>4.4.40</t>
  </si>
  <si>
    <t>4.5.1</t>
  </si>
  <si>
    <t>4.5.2</t>
  </si>
  <si>
    <t>EE Nova 12 Salas</t>
  </si>
  <si>
    <t>VILA BELA DA SANTISSIMA TRINDADE</t>
  </si>
  <si>
    <t>SUPORTE DE CONCRETO DE BASQUETE</t>
  </si>
  <si>
    <t>PAR DE TABELA BASQUETE</t>
  </si>
  <si>
    <t>Abraçadeira Eletroduto de aço sem costura - tubo 3/4''</t>
  </si>
  <si>
    <t>CAMINHÃO TOCO, PBT 14.300 KG, CARGA ÚTIL MÁX. 9.710 KG, DIST. ENTRE EIXOS 3,56 M, POTÊNCIA 185 CV, INCLUSIVE CARROCERIA FIXA ABERTA DE MADEIRA P/ TRANSPORTE GERAL DE CARGA SECA, DIMEN. APROX. 2,50 X 6,50 X 0,50 M - CHP DIURNO. AF_06/2014</t>
  </si>
  <si>
    <t>TINTA A BASE DE RESINA ACRILICA, PARA SINALIZACAO HORIZONTAL VIARIA (NBR 11862)</t>
  </si>
  <si>
    <t>LUVA SOLDAVEL COM BUCHA DE LATAO, PVC, 25 MM X 1/2"</t>
  </si>
  <si>
    <t>ESCAVAÇÃO MECANIZADA DE VALA COM PROF. MAIOR QUE 3,0 M ATÉ 4,5 M (MÉDIA ENTRE MONTANTE E JUSANTE/UMA COMPOSIÇÃO POR TRECHO), COM ESCAVADEIRA HIDRÁULICA (1,2 M3/155 HP), LARG. DE 1,5 M A 2,5 M, EM SOLO DE 1A CATEGORIA, LOCAIS COM BAIXO NÍVEL DE INTERFERÊNCIA. AF_01/2015</t>
  </si>
  <si>
    <t>CARGA MANUAL DE ENTULHO EM CAMINHAO BASCULANTE 6 M3</t>
  </si>
  <si>
    <t>PREPARO DE FUNDO DE VALA COM LARGURA MAIOR OU IGUAL A 1,5 M E MENOR QUE 2,5 M, EM LOCAL COM NÍVEL BAIXO DE INTERFERÊNCIA. AF_06/2016</t>
  </si>
  <si>
    <t>MONTAGEM E DESMONTAGEM DE FÔRMA DE PILARES RETANGULARES E ESTRUTURAS SIMILARES COM ÁREA MÉDIA DAS SEÇÕES MAIOR QUE 0,25 M², PÉ-DIREITO SIMPLES, EM MADEIRA SERRADA, 4 UTILIZAÇÕES. AF_12/2015</t>
  </si>
  <si>
    <t>CONCRETO FCK = 25MPA, TRAÇO 1:2,3:2,7 (CIMENTO/ AREIA MÉDIA/ BRITA 1)  - PREPARO MECÂNICO COM BETONEIRA 600 L. AF_07/2016</t>
  </si>
  <si>
    <t>MONTAGEM E DESMONTAGEM DE FÔRMA DE VIGA, ESCORAMENTO COM PONTALETE DE MADEIRA, PÉ-DIREITO SIMPLES, EM MADEIRA SERRADA, 2 UTILIZAÇÕES. AF_12/2015</t>
  </si>
  <si>
    <t>MONTAGEM E DESMONTAGEM DE FÔRMA DE LAJE MACIÇA COM ÁREA MÉDIA MENOR OU IGUAL A 20 M², PÉ-DIREITO SIMPLES, EM MADEIRA SERRADA, 4 UTILIZAÇÕES. AF_12/2015</t>
  </si>
  <si>
    <t>TE DE REDUCAO, PVC PBA, BBB, JE, DN 75 X 50 / DE 85 X 60 MM, PARA REDE AGUA (NBR 10351)</t>
  </si>
  <si>
    <t>DISPOSITIVO DPS CLASSE II, 1 POLO, TENSAO MAXIMA DE 175 V, CORRENTE MAXIMA DE *45* KA (TIPO AC)</t>
  </si>
  <si>
    <t>PARAFUSO ZINCADO, SEXTAVADO, COM ROSCA INTEIRA, DIAMETRO 5/8", COMPRIMENTO 2 1/4"</t>
  </si>
  <si>
    <t>DISJUNTOR TERMOMAGNETICO TRIPOLAR 400 A / 600 V, TIPO JXD / ICC - 40 KA</t>
  </si>
  <si>
    <t>TERMINAL METALICO A PRESSAO PARA 1 CABO DE 120 MM2, COM 1 FURO DE FIXACAO</t>
  </si>
  <si>
    <t>TRANSFORMADOR TRIFASICO DE DISTRIBUICAO, POTENCIA DE 150 KVA, TENSAO NOMINAL DE 15 KV, TENSAO SECUNDARIA DE 220/127V, EM OLEO ISOLANTE TIPO MINERAL</t>
  </si>
  <si>
    <t>MANGUEIRA CRISTAL TRANCADA, PVC COM REFORCO, COM PRESSAO DE TRABALHO (PT) 250 LBS/POL2, DE 3/4" X *2,8* MM</t>
  </si>
  <si>
    <t>PLUG OU BUJAO DE FERRO GALVANIZADO, DE 3/4"</t>
  </si>
  <si>
    <t>CORTE E DOBRA DE AÇO CA-50, DIÂMETRO DE 10,0 MM, UTILIZADO EM ESTRUTURAS DIVERSAS, EXCETO LAJES. AF_12/2015</t>
  </si>
  <si>
    <t>CORTE E DOBRA DE AÇO CA-60, DIÂMETRO DE 5,0 MM, UTILIZADO EM ESTRUTURAS DIVERSAS, EXCETO LAJES. AF_12/2015</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</si>
  <si>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</si>
  <si>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</si>
  <si>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</si>
  <si>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</si>
  <si>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</si>
  <si>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</si>
  <si>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</si>
  <si>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</si>
  <si>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</si>
  <si>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</si>
  <si>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</si>
  <si>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</si>
  <si>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</si>
  <si>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</si>
  <si>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</si>
  <si>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</si>
  <si>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</si>
  <si>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</si>
  <si>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</si>
  <si>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</si>
  <si>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</si>
  <si>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</si>
  <si>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</si>
  <si>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</si>
  <si>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</si>
  <si>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</si>
  <si>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</si>
  <si>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</si>
  <si>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</si>
  <si>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</si>
  <si>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</si>
  <si>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</si>
  <si>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</si>
  <si>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</si>
  <si>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</si>
  <si>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</si>
  <si>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</si>
  <si>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</si>
  <si>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</si>
  <si>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</si>
  <si>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</si>
  <si>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</si>
  <si>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</si>
  <si>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</si>
  <si>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</si>
  <si>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</si>
  <si>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</si>
  <si>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</si>
  <si>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</si>
  <si>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</si>
  <si>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</si>
  <si>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</si>
  <si>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</si>
  <si>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</si>
  <si>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</si>
  <si>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</si>
  <si>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</si>
  <si>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</si>
  <si>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</si>
  <si>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</si>
  <si>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</si>
  <si>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</si>
  <si>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</si>
  <si>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</si>
  <si>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</si>
  <si>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</si>
  <si>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</si>
  <si>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</si>
  <si>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</si>
  <si>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</si>
  <si>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</si>
  <si>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</si>
  <si>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</si>
  <si>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</si>
  <si>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</si>
  <si>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</si>
  <si>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</si>
  <si>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</si>
  <si>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</si>
  <si>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</si>
  <si>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</si>
  <si>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</si>
  <si>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</si>
  <si>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</si>
  <si>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</si>
  <si>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</si>
  <si>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</si>
  <si>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</si>
  <si>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</si>
  <si>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</si>
  <si>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</si>
  <si>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</si>
  <si>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</si>
  <si>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</si>
  <si>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</si>
  <si>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</si>
  <si>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</si>
  <si>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</si>
  <si>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</si>
  <si>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</si>
  <si>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</si>
  <si>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</si>
  <si>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</si>
  <si>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</si>
  <si>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</si>
  <si>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</si>
  <si>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</si>
  <si>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</si>
  <si>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</si>
  <si>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</si>
  <si>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</si>
  <si>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</si>
  <si>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</si>
  <si>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</si>
  <si>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</si>
  <si>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</si>
  <si>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</si>
  <si>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</si>
  <si>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</si>
  <si>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</si>
  <si>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</si>
  <si>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</si>
  <si>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</si>
  <si>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</si>
  <si>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</si>
  <si>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</si>
  <si>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</si>
  <si>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</si>
  <si>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</si>
  <si>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</si>
  <si>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</si>
  <si>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</si>
  <si>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</si>
  <si>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</si>
  <si>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</si>
  <si>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</si>
  <si>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</si>
  <si>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</si>
  <si>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</si>
  <si>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</si>
  <si>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</si>
  <si>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</si>
  <si>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</si>
  <si>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</si>
  <si>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</si>
  <si>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</si>
  <si>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</si>
  <si>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</si>
  <si>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</si>
  <si>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</si>
  <si>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</si>
  <si>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</si>
  <si>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</si>
  <si>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</si>
  <si>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</si>
  <si>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</si>
  <si>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</si>
  <si>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</si>
  <si>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</si>
  <si>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</si>
  <si>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</si>
  <si>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</si>
  <si>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</si>
  <si>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</si>
  <si>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</si>
  <si>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</si>
  <si>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</si>
  <si>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</si>
  <si>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</si>
  <si>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</si>
  <si>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</si>
  <si>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</si>
  <si>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</si>
  <si>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</si>
  <si>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</si>
  <si>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</si>
  <si>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</si>
  <si>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</si>
  <si>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</si>
  <si>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</si>
  <si>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</si>
  <si>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</si>
  <si>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</si>
  <si>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</si>
  <si>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</si>
  <si>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</si>
  <si>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</si>
  <si>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</si>
  <si>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</si>
  <si>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</si>
  <si>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</si>
  <si>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</si>
  <si>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</si>
  <si>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</si>
  <si>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</si>
  <si>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</si>
  <si>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</si>
  <si>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</si>
  <si>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</si>
  <si>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</si>
  <si>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</si>
  <si>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</si>
  <si>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</si>
  <si>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</si>
  <si>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</si>
  <si>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</si>
  <si>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</si>
  <si>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</si>
  <si>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</si>
  <si>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</si>
  <si>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</si>
  <si>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</si>
  <si>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</si>
  <si>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</si>
  <si>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</si>
  <si>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</si>
  <si>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</si>
  <si>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</si>
  <si>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</si>
  <si>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</si>
  <si>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</si>
  <si>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</si>
  <si>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</si>
  <si>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</si>
  <si>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</si>
  <si>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</si>
  <si>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</si>
  <si>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</si>
  <si>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</si>
  <si>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</si>
  <si>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</si>
  <si>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</si>
  <si>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</si>
  <si>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</si>
  <si>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</si>
  <si>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</si>
  <si>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</si>
  <si>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</si>
  <si>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</si>
  <si>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</si>
  <si>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</si>
  <si>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</si>
  <si>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</si>
  <si>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</si>
  <si>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</si>
  <si>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</si>
  <si>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</si>
  <si>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</si>
  <si>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</si>
  <si>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</si>
  <si>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</si>
  <si>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</si>
  <si>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</si>
  <si>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</si>
  <si>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</si>
  <si>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</si>
  <si>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</si>
  <si>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</si>
  <si>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</si>
  <si>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</si>
  <si>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</si>
  <si>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</si>
  <si>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</si>
  <si>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</si>
  <si>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</si>
  <si>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</si>
  <si>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</si>
  <si>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</si>
  <si>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</si>
  <si>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</si>
  <si>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</si>
  <si>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</si>
  <si>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</si>
  <si>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</si>
  <si>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</si>
  <si>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</si>
  <si>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</si>
  <si>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</si>
  <si>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</si>
  <si>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</si>
  <si>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</si>
  <si>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</si>
  <si>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</si>
  <si>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</si>
  <si>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</si>
  <si>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</si>
  <si>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</si>
  <si>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</si>
  <si>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</si>
  <si>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</si>
  <si>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</si>
  <si>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</si>
  <si>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</si>
  <si>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</si>
  <si>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</si>
  <si>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</si>
  <si>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</si>
  <si>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</si>
  <si>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</si>
  <si>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</si>
  <si>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</si>
  <si>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</si>
  <si>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</si>
  <si>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</si>
  <si>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</si>
  <si>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</si>
  <si>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</si>
  <si>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</si>
  <si>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</si>
  <si>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</si>
  <si>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</si>
  <si>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</si>
  <si>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</si>
  <si>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</si>
  <si>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</si>
  <si>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</si>
  <si>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</si>
  <si>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</si>
  <si>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</si>
  <si>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</si>
  <si>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</si>
  <si>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</si>
  <si>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</si>
  <si>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</si>
  <si>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</si>
  <si>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</si>
  <si>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</si>
  <si>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</si>
  <si>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</si>
  <si>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</si>
  <si>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</si>
  <si>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</si>
  <si>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</si>
  <si>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</si>
  <si>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</si>
  <si>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</si>
  <si>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</si>
  <si>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</si>
  <si>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</si>
  <si>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</si>
  <si>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</si>
  <si>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</si>
  <si>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</si>
  <si>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</si>
  <si>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</si>
  <si>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</si>
  <si>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</si>
  <si>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</si>
  <si>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</si>
  <si>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</si>
  <si>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</si>
  <si>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</si>
  <si>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</si>
  <si>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</si>
  <si>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</si>
  <si>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</si>
  <si>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</si>
  <si>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</si>
  <si>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</si>
  <si>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</si>
  <si>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</si>
  <si>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</si>
  <si>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</si>
  <si>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</si>
  <si>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</si>
  <si>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</si>
  <si>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</si>
  <si>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</si>
  <si>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</si>
  <si>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</si>
  <si>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</si>
  <si>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</si>
  <si>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</si>
  <si>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</si>
  <si>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</si>
  <si>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</si>
  <si>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</si>
  <si>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</si>
  <si>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</si>
  <si>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</si>
  <si>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</si>
  <si>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</si>
  <si>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</si>
  <si>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</si>
  <si>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</si>
  <si>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</si>
  <si>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</si>
  <si>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</si>
  <si>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</si>
  <si>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</si>
  <si>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</si>
  <si>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</si>
  <si>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</si>
  <si>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</si>
  <si>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</si>
  <si>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</si>
  <si>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</si>
  <si>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</si>
  <si>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</si>
  <si>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</si>
  <si>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</si>
  <si>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</si>
  <si>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</si>
  <si>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</si>
  <si>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</si>
  <si>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</si>
  <si>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</si>
  <si>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</si>
  <si>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</si>
  <si>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</si>
  <si>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</si>
  <si>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</si>
  <si>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</si>
  <si>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</si>
  <si>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</si>
  <si>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</si>
  <si>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</si>
  <si>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</si>
  <si>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</si>
  <si>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</si>
  <si>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</si>
  <si>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</si>
  <si>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</si>
  <si>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</si>
  <si>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</si>
  <si>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</si>
  <si>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</si>
  <si>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</si>
  <si>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</si>
  <si>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</si>
  <si>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</si>
  <si>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</si>
  <si>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</si>
  <si>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</si>
  <si>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</si>
  <si>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</si>
  <si>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</si>
  <si>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</si>
  <si>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</si>
  <si>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</si>
  <si>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</si>
  <si>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</si>
  <si>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</si>
  <si>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</si>
  <si>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</si>
  <si>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</si>
  <si>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</si>
  <si>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</si>
  <si>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</si>
  <si>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</si>
  <si>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</si>
  <si>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</si>
  <si>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</si>
  <si>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</si>
  <si>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</si>
  <si>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</si>
  <si>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</si>
  <si>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</si>
  <si>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</si>
  <si>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</si>
  <si>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</si>
  <si>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</si>
  <si>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</si>
  <si>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</si>
  <si>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</si>
  <si>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</si>
  <si>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</si>
  <si>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</si>
  <si>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</si>
  <si>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</si>
  <si>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</si>
  <si>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</si>
  <si>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</si>
  <si>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</si>
  <si>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</si>
  <si>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</si>
  <si>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</si>
  <si>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</si>
  <si>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</si>
  <si>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</si>
  <si>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</si>
  <si>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</si>
  <si>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</si>
  <si>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</si>
  <si>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</si>
  <si>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</si>
  <si>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</si>
  <si>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</si>
  <si>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</si>
  <si>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</si>
  <si>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</si>
  <si>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</si>
  <si>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</si>
  <si>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</si>
  <si>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</si>
  <si>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</si>
  <si>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</si>
  <si>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</si>
  <si>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</si>
  <si>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</si>
  <si>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</si>
  <si>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</si>
  <si>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</si>
  <si>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</si>
  <si>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</si>
  <si>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</si>
  <si>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</si>
  <si>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</si>
  <si>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</si>
  <si>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</si>
  <si>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</si>
  <si>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</si>
  <si>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</si>
  <si>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</si>
  <si>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</si>
  <si>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</si>
  <si>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</si>
  <si>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</si>
  <si>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</si>
  <si>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</si>
  <si>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</si>
  <si>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</si>
  <si>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</si>
  <si>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</si>
  <si>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</si>
  <si>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</si>
  <si>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</si>
  <si>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</si>
  <si>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</si>
  <si>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</si>
  <si>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</si>
  <si>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</si>
  <si>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</si>
  <si>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</si>
  <si>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</si>
  <si>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</si>
  <si>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</si>
  <si>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</si>
  <si>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</si>
  <si>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</si>
  <si>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</si>
  <si>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</si>
  <si>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</si>
  <si>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</si>
  <si>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</si>
  <si>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</si>
  <si>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</si>
  <si>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</si>
  <si>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</si>
  <si>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</si>
  <si>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</si>
  <si>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</si>
  <si>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</si>
  <si>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</si>
  <si>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</si>
  <si>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</si>
  <si>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</si>
  <si>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</si>
  <si>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</si>
  <si>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</si>
  <si>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</si>
  <si>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</si>
  <si>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</si>
  <si>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</si>
  <si>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</si>
  <si>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</si>
  <si>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</si>
  <si>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</si>
  <si>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</si>
  <si>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</si>
  <si>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</si>
  <si>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</si>
  <si>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</si>
  <si>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</si>
  <si>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</si>
  <si>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</si>
  <si>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</si>
  <si>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</si>
  <si>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</si>
  <si>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</si>
  <si>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</si>
  <si>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</si>
  <si>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</si>
  <si>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</si>
  <si>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</si>
  <si>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</si>
  <si>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</si>
  <si>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</si>
  <si>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</si>
  <si>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</si>
  <si>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</si>
  <si>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</si>
  <si>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</si>
  <si>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</si>
  <si>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</si>
  <si>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</si>
  <si>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</si>
  <si>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</si>
  <si>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</si>
  <si>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</si>
  <si>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</si>
  <si>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</si>
  <si>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</si>
  <si>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</si>
  <si>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</si>
  <si>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</si>
  <si>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</si>
  <si>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</si>
  <si>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</si>
  <si>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</si>
  <si>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</si>
  <si>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</si>
  <si>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</si>
  <si>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</si>
  <si>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</si>
  <si>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</si>
  <si>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</si>
  <si>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</si>
  <si>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</si>
  <si>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</si>
  <si>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</si>
  <si>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</si>
  <si>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</si>
  <si>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</si>
  <si>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</si>
  <si>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</si>
  <si>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</si>
  <si>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</si>
  <si>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</si>
  <si>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</si>
  <si>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</si>
  <si>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</si>
  <si>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</si>
  <si>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</si>
  <si>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</si>
  <si>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</si>
  <si>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</si>
  <si>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</si>
  <si>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</si>
  <si>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</si>
  <si>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</si>
  <si>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</si>
  <si>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</si>
  <si>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</si>
  <si>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</si>
  <si>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</si>
  <si>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</si>
  <si>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</si>
  <si>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</si>
  <si>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</si>
  <si>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</si>
  <si>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</si>
  <si>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</si>
  <si>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</si>
  <si>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</si>
  <si>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</si>
  <si>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</si>
  <si>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</si>
  <si>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</si>
  <si>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</si>
  <si>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</si>
  <si>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</si>
  <si>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</si>
  <si>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</si>
  <si>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</si>
  <si>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</si>
  <si>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</si>
  <si>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</si>
  <si>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</si>
  <si>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</si>
  <si>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</si>
  <si>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</si>
  <si>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</si>
  <si>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</si>
  <si>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</si>
  <si>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</si>
  <si>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</si>
  <si>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</si>
  <si>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</si>
  <si>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</si>
  <si>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</si>
  <si>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</si>
  <si>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</si>
  <si>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</si>
  <si>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</si>
  <si>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</si>
  <si>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</si>
  <si>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</si>
  <si>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</si>
  <si>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</si>
  <si>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</si>
  <si>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</si>
  <si>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</si>
  <si>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</si>
  <si>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</si>
  <si>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</si>
  <si>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</si>
  <si>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</si>
  <si>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</si>
  <si>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</si>
  <si>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</si>
  <si>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</si>
  <si>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</si>
  <si>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</si>
  <si>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</si>
  <si>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</si>
  <si>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</si>
  <si>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</si>
  <si>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</si>
  <si>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</si>
  <si>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</si>
  <si>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</si>
  <si>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</si>
  <si>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</si>
  <si>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</si>
  <si>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</si>
  <si>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</si>
  <si>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</si>
  <si>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</si>
  <si>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</si>
  <si>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</si>
  <si>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</si>
  <si>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</si>
  <si>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</si>
  <si>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</si>
  <si>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</si>
  <si>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</si>
  <si>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</si>
  <si>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</si>
  <si>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</si>
  <si>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</si>
  <si>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</si>
  <si>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</si>
  <si>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</si>
  <si>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</si>
  <si>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</si>
  <si>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</si>
  <si>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</si>
  <si>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</si>
  <si>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</si>
  <si>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</si>
  <si>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</si>
  <si>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</si>
  <si>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</si>
  <si>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</si>
  <si>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</si>
  <si>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</si>
  <si>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</si>
  <si>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</si>
  <si>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</si>
  <si>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</si>
  <si>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</si>
  <si>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</si>
  <si>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</si>
  <si>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</si>
  <si>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</si>
  <si>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</si>
  <si>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</si>
  <si>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</si>
  <si>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</si>
  <si>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</si>
  <si>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</si>
  <si>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</si>
  <si>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</si>
  <si>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</si>
  <si>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</si>
  <si>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</si>
  <si>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</si>
  <si>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</si>
  <si>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</si>
  <si>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</si>
  <si>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</si>
  <si>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</si>
  <si>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</si>
  <si>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</si>
  <si>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</si>
  <si>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</si>
  <si>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</si>
  <si>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</si>
  <si>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</si>
  <si>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</si>
  <si>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</si>
  <si>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</si>
  <si>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</si>
  <si>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</si>
  <si>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</si>
  <si>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</si>
  <si>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</si>
  <si>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</si>
  <si>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</si>
  <si>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</si>
  <si>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</si>
  <si>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</si>
  <si>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</si>
  <si>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</si>
  <si>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</si>
  <si>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</si>
  <si>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</si>
  <si>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</si>
  <si>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</si>
  <si>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</si>
  <si>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</si>
  <si>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</si>
  <si>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</si>
  <si>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</si>
  <si>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</si>
  <si>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</si>
  <si>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</si>
  <si>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</si>
  <si>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</si>
  <si>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</si>
  <si>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</si>
  <si>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</si>
  <si>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</si>
  <si>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</si>
  <si>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</si>
  <si>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</si>
  <si>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</si>
  <si>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</si>
  <si>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</si>
  <si>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</si>
  <si>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</si>
  <si>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</si>
  <si>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</si>
  <si>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</si>
  <si>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</si>
  <si>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</si>
  <si>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</si>
  <si>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</si>
  <si>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</si>
  <si>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</si>
  <si>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</si>
  <si>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</si>
  <si>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</si>
  <si>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</si>
  <si>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</si>
  <si>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</si>
  <si>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</si>
  <si>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</si>
  <si>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</si>
  <si>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</si>
  <si>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</si>
  <si>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</si>
  <si>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</si>
  <si>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</si>
  <si>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</si>
  <si>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</si>
  <si>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</si>
  <si>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</si>
  <si>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</si>
  <si>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</si>
  <si>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</si>
  <si>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</si>
  <si>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</si>
  <si>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</si>
  <si>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</si>
  <si>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</si>
  <si>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</si>
  <si>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</si>
  <si>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</si>
  <si>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</si>
  <si>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</si>
  <si>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</si>
  <si>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</si>
  <si>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</si>
  <si>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</si>
  <si>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</si>
  <si>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</si>
  <si>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</si>
  <si>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</si>
  <si>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</si>
  <si>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</si>
  <si>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</si>
  <si>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</si>
  <si>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</si>
  <si>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</si>
  <si>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</si>
  <si>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</si>
  <si>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</si>
  <si>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</si>
  <si>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</si>
  <si>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</si>
  <si>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</si>
  <si>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</si>
  <si>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</si>
  <si>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</si>
  <si>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</si>
  <si>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</si>
  <si>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</si>
  <si>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</si>
  <si>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</si>
  <si>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</si>
  <si>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</si>
  <si>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</si>
  <si>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</si>
  <si>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</si>
  <si>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</si>
  <si>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</si>
  <si>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</si>
  <si>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</si>
  <si>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</si>
  <si>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</si>
  <si>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</si>
  <si>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</si>
  <si>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</si>
  <si>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</si>
  <si>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</si>
  <si>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</si>
  <si>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</si>
  <si>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</si>
  <si>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</si>
  <si>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</si>
  <si>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</si>
  <si>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</si>
  <si>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</si>
  <si>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</si>
  <si>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</si>
  <si>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</si>
  <si>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</si>
  <si>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</si>
  <si>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</si>
  <si>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</si>
  <si>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</si>
  <si>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</si>
  <si>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</si>
  <si>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</si>
  <si>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</si>
  <si>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</si>
  <si>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</si>
  <si>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</si>
  <si>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</si>
  <si>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</si>
  <si>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</si>
  <si>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</si>
  <si>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</si>
  <si>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</si>
  <si>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</si>
  <si>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</si>
  <si>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</si>
  <si>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</si>
  <si>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</si>
  <si>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</si>
  <si>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</si>
  <si>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</si>
  <si>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</si>
  <si>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</si>
  <si>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</si>
  <si>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</si>
  <si>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</si>
  <si>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</si>
  <si>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</si>
  <si>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</si>
  <si>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</si>
  <si>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</si>
  <si>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</si>
  <si>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</si>
  <si>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</si>
  <si>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</si>
  <si>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</si>
  <si>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</si>
  <si>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</si>
  <si>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</si>
  <si>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</si>
  <si>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</si>
  <si>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</si>
  <si>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</si>
  <si>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</si>
  <si>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</si>
  <si>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</si>
  <si>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</si>
  <si>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</si>
  <si>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</si>
  <si>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</si>
  <si>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</si>
  <si>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</si>
  <si>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</si>
  <si>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</si>
  <si>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</si>
  <si>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</si>
  <si>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</si>
  <si>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</si>
  <si>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</si>
  <si>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</si>
  <si>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</si>
  <si>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</si>
  <si>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</si>
  <si>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</si>
  <si>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</si>
  <si>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</si>
  <si>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</si>
  <si>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</si>
  <si>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</si>
  <si>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</si>
  <si>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</si>
  <si>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</si>
  <si>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</si>
  <si>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</si>
  <si>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</si>
  <si>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</si>
  <si>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</si>
  <si>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</si>
  <si>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</si>
  <si>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</si>
  <si>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</si>
  <si>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</si>
  <si>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</si>
  <si>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</si>
  <si>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</si>
  <si>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</si>
  <si>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</si>
  <si>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</si>
  <si>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</si>
  <si>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</si>
  <si>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</si>
  <si>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</si>
  <si>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</si>
  <si>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</si>
  <si>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</si>
  <si>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</si>
  <si>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</si>
  <si>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</si>
  <si>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</si>
  <si>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</si>
  <si>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</si>
  <si>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</si>
  <si>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</si>
  <si>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</si>
  <si>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</si>
  <si>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</si>
  <si>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</si>
  <si>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</si>
  <si>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</si>
  <si>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</si>
  <si>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</si>
  <si>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</si>
  <si>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</si>
  <si>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</si>
  <si>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</si>
  <si>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</si>
  <si>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</si>
  <si>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</si>
  <si>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</si>
  <si>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</si>
  <si>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</si>
  <si>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</si>
  <si>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</si>
  <si>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</si>
  <si>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</si>
  <si>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</si>
  <si>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</si>
  <si>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</si>
  <si>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</si>
  <si>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</si>
  <si>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</si>
  <si>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</si>
  <si>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</si>
  <si>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</si>
  <si>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</si>
  <si>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</si>
  <si>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</si>
  <si>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</si>
  <si>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</si>
  <si>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</si>
  <si>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</si>
  <si>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</si>
  <si>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</si>
  <si>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</si>
  <si>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</si>
  <si>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</si>
  <si>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</si>
  <si>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</si>
  <si>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</si>
  <si>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</si>
  <si>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</si>
  <si>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</si>
  <si>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</si>
  <si>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</si>
  <si>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</si>
  <si>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</si>
  <si>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</si>
  <si>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</si>
  <si>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</si>
  <si>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</si>
  <si>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</si>
  <si>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</si>
  <si>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</si>
  <si>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</si>
  <si>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</si>
  <si>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</si>
  <si>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</si>
  <si>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</si>
  <si>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</si>
  <si>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</si>
  <si>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</si>
  <si>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</si>
  <si>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</si>
  <si>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</si>
  <si>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</si>
  <si>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</si>
  <si>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</si>
  <si>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</si>
  <si>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</si>
  <si>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</si>
  <si>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</si>
  <si>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</si>
  <si>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</si>
  <si>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</si>
  <si>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</si>
  <si>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</si>
  <si>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</si>
  <si>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</si>
  <si>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</si>
  <si>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</si>
  <si>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</si>
  <si>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</si>
  <si>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</si>
  <si>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</si>
  <si>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</si>
  <si>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</si>
  <si>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</si>
  <si>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</si>
  <si>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</si>
  <si>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</si>
  <si>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</si>
  <si>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</si>
  <si>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</si>
  <si>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</si>
  <si>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</si>
  <si>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</si>
  <si>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</si>
  <si>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</si>
  <si>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</si>
  <si>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</si>
  <si>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</si>
  <si>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</si>
  <si>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</si>
  <si>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</si>
  <si>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</si>
  <si>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</si>
  <si>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</si>
  <si>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</si>
  <si>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</si>
  <si>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</si>
  <si>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</si>
  <si>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</si>
  <si>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</si>
  <si>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</si>
  <si>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</si>
  <si>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</si>
  <si>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</si>
  <si>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</si>
  <si>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</si>
  <si>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</si>
  <si>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</si>
  <si>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</si>
  <si>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</si>
  <si>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</si>
  <si>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</si>
  <si>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</si>
  <si>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</si>
  <si>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</si>
  <si>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</si>
  <si>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</si>
  <si>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</si>
  <si>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</si>
  <si>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</si>
  <si>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</si>
  <si>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</si>
  <si>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</si>
  <si>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</si>
  <si>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</si>
  <si>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</si>
  <si>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</si>
  <si>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</si>
  <si>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</si>
  <si>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</si>
  <si>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</si>
  <si>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</si>
  <si>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</si>
  <si>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</si>
  <si>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</si>
  <si>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</si>
  <si>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</si>
  <si>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</si>
  <si>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</si>
  <si>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</si>
  <si>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</si>
  <si>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</si>
  <si>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</si>
  <si>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</si>
  <si>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</si>
  <si>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</si>
  <si>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</si>
  <si>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</si>
  <si>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</si>
  <si>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</si>
  <si>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</si>
  <si>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</si>
  <si>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</si>
  <si>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</si>
  <si>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</si>
  <si>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</si>
  <si>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</si>
  <si>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</si>
  <si>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</si>
  <si>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</si>
  <si>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</si>
  <si>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</si>
  <si>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</si>
  <si>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</si>
  <si>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</si>
  <si>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</si>
  <si>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</si>
  <si>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</si>
  <si>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</si>
  <si>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</si>
  <si>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</si>
  <si>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</si>
  <si>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</si>
  <si>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</si>
  <si>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</si>
  <si>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</si>
  <si>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</si>
  <si>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</si>
  <si>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</si>
  <si>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</si>
  <si>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</si>
  <si>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</si>
  <si>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</si>
  <si>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</si>
  <si>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</si>
  <si>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</si>
  <si>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</si>
  <si>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</si>
  <si>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</si>
  <si>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</si>
  <si>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</si>
  <si>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</si>
  <si>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</si>
  <si>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</si>
  <si>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</si>
  <si>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</si>
  <si>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</si>
  <si>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</si>
  <si>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</si>
  <si>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</si>
  <si>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</si>
  <si>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</si>
  <si>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</si>
  <si>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</si>
  <si>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</si>
  <si>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</si>
  <si>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</si>
  <si>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</si>
  <si>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</si>
  <si>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</si>
  <si>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</si>
  <si>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</si>
  <si>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</si>
  <si>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</si>
  <si>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</si>
  <si>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</si>
  <si>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</si>
  <si>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</si>
  <si>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</si>
  <si>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</si>
  <si>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</si>
  <si>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</si>
  <si>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</si>
  <si>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</si>
  <si>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</si>
  <si>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</si>
  <si>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</si>
  <si>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</si>
  <si>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</si>
  <si>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</si>
  <si>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</si>
  <si>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</si>
  <si>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</si>
  <si>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</si>
  <si>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</si>
  <si>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</si>
  <si>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</si>
  <si>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</si>
  <si>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</si>
  <si>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</si>
  <si>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</si>
  <si>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</si>
  <si>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</si>
  <si>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</si>
  <si>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</si>
  <si>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</si>
  <si>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</si>
  <si>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</si>
  <si>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</si>
  <si>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</si>
  <si>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</si>
  <si>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</si>
  <si>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</si>
  <si>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</si>
  <si>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</si>
  <si>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</si>
  <si>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</si>
  <si>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</si>
  <si>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</si>
  <si>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</si>
  <si>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</si>
  <si>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</si>
  <si>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</si>
  <si>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</si>
  <si>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</si>
  <si>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</si>
  <si>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</si>
  <si>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</si>
  <si>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</si>
  <si>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</si>
  <si>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</si>
  <si>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</si>
  <si>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</si>
  <si>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</si>
  <si>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</si>
  <si>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</si>
  <si>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</si>
  <si>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</si>
  <si>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</si>
  <si>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</si>
  <si>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</si>
  <si>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</si>
  <si>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</si>
  <si>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</si>
  <si>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</si>
  <si>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</si>
  <si>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</si>
  <si>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</si>
  <si>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</si>
  <si>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</si>
  <si>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</si>
  <si>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</si>
  <si>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</si>
  <si>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</si>
  <si>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</si>
  <si>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</si>
  <si>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</si>
  <si>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</si>
  <si>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</si>
  <si>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</si>
  <si>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</si>
  <si>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</si>
  <si>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</si>
  <si>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</si>
  <si>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</si>
  <si>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</si>
  <si>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</si>
  <si>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</si>
  <si>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</si>
  <si>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</si>
  <si>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</si>
  <si>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</si>
  <si>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</si>
  <si>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</si>
  <si>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</si>
  <si>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</si>
  <si>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</si>
  <si>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</si>
  <si>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</si>
  <si>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</si>
  <si>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</si>
  <si>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</si>
  <si>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</si>
  <si>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</si>
  <si>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</si>
  <si>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</si>
  <si>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</si>
  <si>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</si>
  <si>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</si>
  <si>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</si>
  <si>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</si>
  <si>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</si>
  <si>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</si>
  <si>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</si>
  <si>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</si>
  <si>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</si>
  <si>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</si>
  <si>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</si>
  <si>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</si>
  <si>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</si>
  <si>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</si>
  <si>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</si>
  <si>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</si>
  <si>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</si>
  <si>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</si>
  <si>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</si>
  <si>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</si>
  <si>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</si>
  <si>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</si>
  <si>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</si>
  <si>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</si>
  <si>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</si>
  <si>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</si>
  <si>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</si>
  <si>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</si>
  <si>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</si>
  <si>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</si>
  <si>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</si>
  <si>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</si>
  <si>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</si>
  <si>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</si>
  <si>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</si>
  <si>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</si>
  <si>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</si>
  <si>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</si>
  <si>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</si>
  <si>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</si>
  <si>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</si>
  <si>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</si>
  <si>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</si>
  <si>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</si>
  <si>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</si>
  <si>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</si>
  <si>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</si>
  <si>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</si>
  <si>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</si>
  <si>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</si>
  <si>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</si>
  <si>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</si>
  <si>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</si>
  <si>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</si>
  <si>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</si>
  <si>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</si>
  <si>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</si>
  <si>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</si>
  <si>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</si>
  <si>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</si>
  <si>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</si>
  <si>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</si>
  <si>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</si>
  <si>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</si>
  <si>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</si>
  <si>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</si>
  <si>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</si>
  <si>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</si>
  <si>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</si>
  <si>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</si>
  <si>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</si>
  <si>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</si>
  <si>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</si>
  <si>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</si>
  <si>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</si>
  <si>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</si>
  <si>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</si>
  <si>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</si>
  <si>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</si>
  <si>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</si>
  <si>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</si>
  <si>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</si>
  <si>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</si>
  <si>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</si>
  <si>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</si>
  <si>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</si>
  <si>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</si>
  <si>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</si>
  <si>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</si>
  <si>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</si>
  <si>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</si>
  <si>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</si>
  <si>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</si>
  <si>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</si>
  <si>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</si>
  <si>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</si>
  <si>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</si>
  <si>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</si>
  <si>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</si>
  <si>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</si>
  <si>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</si>
  <si>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</si>
  <si>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</si>
  <si>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</si>
  <si>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</si>
  <si>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</si>
  <si>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</si>
  <si>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</si>
  <si>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</si>
  <si>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</si>
  <si>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</si>
  <si>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</si>
  <si>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</si>
  <si>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</si>
  <si>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</si>
  <si>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</si>
  <si>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</si>
  <si>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</si>
  <si>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</si>
  <si>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</si>
  <si>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</si>
  <si>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</si>
  <si>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</si>
  <si>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</si>
  <si>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</si>
  <si>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</si>
  <si>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</si>
  <si>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</si>
  <si>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</si>
  <si>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</si>
  <si>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</si>
  <si>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</si>
  <si>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</si>
  <si>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</si>
  <si>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</si>
  <si>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</si>
  <si>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</si>
  <si>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</si>
  <si>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</si>
  <si>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</si>
  <si>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</si>
  <si>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</si>
  <si>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</si>
  <si>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</si>
  <si>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</si>
  <si>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</si>
  <si>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</si>
  <si>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</si>
  <si>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</si>
  <si>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</si>
  <si>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</si>
  <si>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</si>
  <si>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</si>
  <si>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</si>
  <si>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</si>
  <si>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</si>
  <si>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</si>
  <si>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</si>
  <si>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</si>
  <si>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</si>
  <si>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</si>
  <si>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</si>
  <si>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</si>
  <si>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</si>
  <si>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</si>
  <si>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</si>
  <si>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</si>
  <si>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</si>
  <si>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</si>
  <si>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</si>
  <si>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</si>
  <si>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</si>
  <si>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</si>
  <si>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</si>
  <si>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</si>
  <si>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</si>
  <si>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</si>
  <si>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</si>
  <si>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</si>
  <si>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</si>
  <si>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</si>
  <si>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</si>
  <si>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</si>
  <si>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</si>
  <si>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</si>
  <si>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</si>
  <si>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</si>
  <si>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</si>
  <si>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</si>
  <si>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</si>
  <si>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</si>
  <si>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</si>
  <si>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</si>
  <si>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</si>
  <si>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</si>
  <si>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</si>
  <si>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</si>
  <si>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</si>
  <si>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</si>
  <si>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</si>
  <si>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</si>
  <si>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</si>
  <si>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</si>
  <si>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</si>
  <si>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</si>
  <si>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</si>
  <si>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</si>
  <si>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</si>
  <si>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</si>
  <si>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</si>
  <si>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</si>
  <si>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</si>
  <si>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</si>
  <si>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</si>
  <si>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</si>
  <si>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</si>
  <si>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</si>
  <si>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</si>
  <si>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</si>
  <si>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</si>
  <si>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</si>
  <si>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</si>
  <si>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</si>
  <si>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</si>
  <si>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</si>
  <si>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</si>
  <si>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</si>
  <si>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</si>
  <si>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</si>
  <si>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</si>
  <si>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</si>
  <si>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</si>
  <si>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</si>
  <si>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</si>
  <si>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</si>
  <si>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</si>
  <si>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</si>
  <si>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</si>
  <si>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</si>
  <si>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</si>
  <si>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</si>
  <si>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</si>
  <si>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</si>
  <si>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</si>
  <si>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</si>
  <si>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</si>
  <si>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</si>
  <si>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</si>
  <si>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</si>
  <si>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</si>
  <si>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</si>
  <si>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</si>
  <si>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</si>
  <si>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</si>
  <si>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</si>
  <si>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</si>
  <si>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</si>
  <si>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</si>
  <si>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</si>
  <si>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</si>
  <si>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</si>
  <si>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</si>
  <si>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</si>
  <si>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</si>
  <si>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</si>
  <si>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</si>
  <si>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</si>
  <si>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</si>
  <si>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</si>
  <si>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</si>
  <si>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</si>
  <si>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</si>
  <si>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</si>
  <si>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</si>
  <si>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</si>
  <si>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</si>
  <si>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</si>
  <si>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</si>
  <si>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</si>
  <si>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</si>
  <si>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</si>
  <si>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</si>
  <si>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74046/2</t>
  </si>
  <si>
    <t>VIDRO LISO COMUM TRANSPARENTE, ESPESSURA 3MM</t>
  </si>
  <si>
    <t>VIDRO LISO COMUM TRANSPARENTE, ESPESSURA 4MM</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</si>
  <si>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</si>
  <si>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</si>
  <si>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</si>
  <si>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</si>
  <si>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</si>
  <si>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</si>
  <si>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</si>
  <si>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</si>
  <si>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</si>
  <si>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</si>
  <si>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</si>
  <si>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</si>
  <si>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</si>
  <si>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</si>
  <si>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</si>
  <si>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</si>
  <si>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</si>
  <si>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</si>
  <si>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</si>
  <si>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</si>
  <si>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</si>
  <si>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</si>
  <si>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</si>
  <si>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</si>
  <si>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</si>
  <si>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</si>
  <si>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</si>
  <si>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</si>
  <si>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</si>
  <si>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</si>
  <si>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</si>
  <si>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</si>
  <si>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</si>
  <si>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</si>
  <si>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</si>
  <si>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</si>
  <si>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</si>
  <si>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</si>
  <si>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</si>
  <si>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</si>
  <si>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</si>
  <si>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</si>
  <si>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</si>
  <si>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</si>
  <si>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</si>
  <si>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</si>
  <si>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</si>
  <si>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</si>
  <si>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</si>
  <si>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</si>
  <si>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</si>
  <si>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</si>
  <si>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</si>
  <si>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</si>
  <si>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</si>
  <si>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</si>
  <si>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</si>
  <si>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</si>
  <si>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</si>
  <si>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</si>
  <si>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</si>
  <si>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</si>
  <si>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</si>
  <si>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</si>
  <si>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</si>
  <si>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</si>
  <si>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</si>
  <si>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</si>
  <si>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</si>
  <si>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</si>
  <si>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</si>
  <si>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</si>
  <si>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</si>
  <si>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</si>
  <si>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</si>
  <si>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</si>
  <si>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</si>
  <si>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</si>
  <si>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</si>
  <si>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</si>
  <si>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</si>
  <si>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</si>
  <si>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</si>
  <si>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</si>
  <si>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</si>
  <si>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</si>
  <si>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</si>
  <si>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</si>
  <si>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</si>
  <si>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</si>
  <si>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</si>
  <si>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</si>
  <si>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</si>
  <si>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</si>
  <si>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</si>
  <si>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</si>
  <si>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</si>
  <si>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</si>
  <si>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</si>
  <si>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</si>
  <si>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</si>
  <si>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LASTRO DE CONCRETO MAGRO, APLICADO EM BLOCOS DE COROAMENTO OU SAPATAS, ESPESSURA DE 3 CM.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</si>
  <si>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</si>
  <si>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</si>
  <si>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</si>
  <si>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</si>
  <si>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</si>
  <si>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</si>
  <si>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</si>
  <si>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</si>
  <si>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</si>
  <si>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</si>
  <si>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</si>
  <si>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</si>
  <si>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</si>
  <si>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</si>
  <si>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</si>
  <si>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</si>
  <si>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</si>
  <si>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</si>
  <si>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</si>
  <si>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</si>
  <si>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</si>
  <si>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</si>
  <si>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</si>
  <si>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</si>
  <si>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</si>
  <si>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</si>
  <si>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</si>
  <si>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</si>
  <si>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</si>
  <si>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PILARES E ESTRUTURAS SIMILARES, EM MADEIRA SERRADA, E=25 MM. AF_12/2015</t>
  </si>
  <si>
    <t>FABRICAÇÃO DE FÔRMA PARA VIGAS, COM MADEIRA SERRADA, E = 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</si>
  <si>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</si>
  <si>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</si>
  <si>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</si>
  <si>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</si>
  <si>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</si>
  <si>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</si>
  <si>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</si>
  <si>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</si>
  <si>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</si>
  <si>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</si>
  <si>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</si>
  <si>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</si>
  <si>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</si>
  <si>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</si>
  <si>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</si>
  <si>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</si>
  <si>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</si>
  <si>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</si>
  <si>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</si>
  <si>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</si>
  <si>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</si>
  <si>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</si>
  <si>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</si>
  <si>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</si>
  <si>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</si>
  <si>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</si>
  <si>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</si>
  <si>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</si>
  <si>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</si>
  <si>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</si>
  <si>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</si>
  <si>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</si>
  <si>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</si>
  <si>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</si>
  <si>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</si>
  <si>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</si>
  <si>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</si>
  <si>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</si>
  <si>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</si>
  <si>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</si>
  <si>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</si>
  <si>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</si>
  <si>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</si>
  <si>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</si>
  <si>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</si>
  <si>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</si>
  <si>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</si>
  <si>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</si>
  <si>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</si>
  <si>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</si>
  <si>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</si>
  <si>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</si>
  <si>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</si>
  <si>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</si>
  <si>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</si>
  <si>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</si>
  <si>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</si>
  <si>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</si>
  <si>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</si>
  <si>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</si>
  <si>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</si>
  <si>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</si>
  <si>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</si>
  <si>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</si>
  <si>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</si>
  <si>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</si>
  <si>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</si>
  <si>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</si>
  <si>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</si>
  <si>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</si>
  <si>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</si>
  <si>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</si>
  <si>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</si>
  <si>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</si>
  <si>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</si>
  <si>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</si>
  <si>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</si>
  <si>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</si>
  <si>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</si>
  <si>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</si>
  <si>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</si>
  <si>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</si>
  <si>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</si>
  <si>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</si>
  <si>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</si>
  <si>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</si>
  <si>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</si>
  <si>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</si>
  <si>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</si>
  <si>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</si>
  <si>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</si>
  <si>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</si>
  <si>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</si>
  <si>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</si>
  <si>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</si>
  <si>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</si>
  <si>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</si>
  <si>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</si>
  <si>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</si>
  <si>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</si>
  <si>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</si>
  <si>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</si>
  <si>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</si>
  <si>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</si>
  <si>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</si>
  <si>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</si>
  <si>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</si>
  <si>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</si>
  <si>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</si>
  <si>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</si>
  <si>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</si>
  <si>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</si>
  <si>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</si>
  <si>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</si>
  <si>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</si>
  <si>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</si>
  <si>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</si>
  <si>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</si>
  <si>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</si>
  <si>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</si>
  <si>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</si>
  <si>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</si>
  <si>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</si>
  <si>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</si>
  <si>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</si>
  <si>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</si>
  <si>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</si>
  <si>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</si>
  <si>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</si>
  <si>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</si>
  <si>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</si>
  <si>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</si>
  <si>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</si>
  <si>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</si>
  <si>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</si>
  <si>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</si>
  <si>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</si>
  <si>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</si>
  <si>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</si>
  <si>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</si>
  <si>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</si>
  <si>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</si>
  <si>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</si>
  <si>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</si>
  <si>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</si>
  <si>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</si>
  <si>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</si>
  <si>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</si>
  <si>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</si>
  <si>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</si>
  <si>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</si>
  <si>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</si>
  <si>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</si>
  <si>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</si>
  <si>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</si>
  <si>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</si>
  <si>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</si>
  <si>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</si>
  <si>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</si>
  <si>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</si>
  <si>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</si>
  <si>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</si>
  <si>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</si>
  <si>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</si>
  <si>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</si>
  <si>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</si>
  <si>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</si>
  <si>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</si>
  <si>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</si>
  <si>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</si>
  <si>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</si>
  <si>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</si>
  <si>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</si>
  <si>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</si>
  <si>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</si>
  <si>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</si>
  <si>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</si>
  <si>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</si>
  <si>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</si>
  <si>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</si>
  <si>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</si>
  <si>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</si>
  <si>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</si>
  <si>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</si>
  <si>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</si>
  <si>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</si>
  <si>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</si>
  <si>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</si>
  <si>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</si>
  <si>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</si>
  <si>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</si>
  <si>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</si>
  <si>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</si>
  <si>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</si>
  <si>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</si>
  <si>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</si>
  <si>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</si>
  <si>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</si>
  <si>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</si>
  <si>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</si>
  <si>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</si>
  <si>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</si>
  <si>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</si>
  <si>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</si>
  <si>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</si>
  <si>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</si>
  <si>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</si>
  <si>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</si>
  <si>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</si>
  <si>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</si>
  <si>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</si>
  <si>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</si>
  <si>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</si>
  <si>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</si>
  <si>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</si>
  <si>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</si>
  <si>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</si>
  <si>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</si>
  <si>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</si>
  <si>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</si>
  <si>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</si>
  <si>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</si>
  <si>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</si>
  <si>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</si>
  <si>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</si>
  <si>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</si>
  <si>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</si>
  <si>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</si>
  <si>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</si>
  <si>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</si>
  <si>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</si>
  <si>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</si>
  <si>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</si>
  <si>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</si>
  <si>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</si>
  <si>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</si>
  <si>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</si>
  <si>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</si>
  <si>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</si>
  <si>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</si>
  <si>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</si>
  <si>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</si>
  <si>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</si>
  <si>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</si>
  <si>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</si>
  <si>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74157/4</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</si>
  <si>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</si>
  <si>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</si>
  <si>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</si>
  <si>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</si>
  <si>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</si>
  <si>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</si>
  <si>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</si>
  <si>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</si>
  <si>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</si>
  <si>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</si>
  <si>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</si>
  <si>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</si>
  <si>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</si>
  <si>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</si>
  <si>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</si>
  <si>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</si>
  <si>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</si>
  <si>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</si>
  <si>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</si>
  <si>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</si>
  <si>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</si>
  <si>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</si>
  <si>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</si>
  <si>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</si>
  <si>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</si>
  <si>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</si>
  <si>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</si>
  <si>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</si>
  <si>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</si>
  <si>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</si>
  <si>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</si>
  <si>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</si>
  <si>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</si>
  <si>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</si>
  <si>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</si>
  <si>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</si>
  <si>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</si>
  <si>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</si>
  <si>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</si>
  <si>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</si>
  <si>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</si>
  <si>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</si>
  <si>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</si>
  <si>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CONCRETO FCK = 15MPA, TRAÇO 1:3,4:3,5 (CIMENTO/ AREIA MÉDIA/ BRITA 1)  - PREPARO MECÂNICO COM BETONEIRA 400 L. AF_07/2016</t>
  </si>
  <si>
    <t>CONCRETO FCK = 20MPA, TRAÇO 1:2,7:3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</si>
  <si>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</si>
  <si>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</si>
  <si>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</si>
  <si>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</si>
  <si>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</si>
  <si>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</si>
  <si>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</si>
  <si>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</si>
  <si>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</si>
  <si>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</si>
  <si>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</si>
  <si>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</si>
  <si>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</si>
  <si>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</si>
  <si>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</si>
  <si>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</si>
  <si>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</si>
  <si>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</si>
  <si>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</si>
  <si>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</si>
  <si>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</si>
  <si>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</si>
  <si>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</si>
  <si>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</si>
  <si>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</si>
  <si>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</si>
  <si>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</si>
  <si>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</si>
  <si>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</si>
  <si>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</si>
  <si>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</si>
  <si>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</si>
  <si>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</si>
  <si>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</si>
  <si>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</si>
  <si>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</si>
  <si>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</si>
  <si>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</si>
  <si>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</si>
  <si>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</si>
  <si>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</si>
  <si>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</si>
  <si>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</si>
  <si>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</si>
  <si>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</si>
  <si>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</si>
  <si>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</si>
  <si>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</si>
  <si>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</si>
  <si>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</si>
  <si>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</si>
  <si>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</si>
  <si>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</si>
  <si>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</si>
  <si>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</si>
  <si>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</si>
  <si>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</si>
  <si>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</si>
  <si>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</si>
  <si>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</si>
  <si>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</si>
  <si>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</si>
  <si>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</si>
  <si>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</si>
  <si>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</si>
  <si>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</si>
  <si>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</si>
  <si>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</si>
  <si>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</si>
  <si>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</si>
  <si>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</si>
  <si>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</si>
  <si>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</si>
  <si>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</si>
  <si>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</si>
  <si>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</si>
  <si>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</si>
  <si>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</si>
  <si>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</si>
  <si>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</si>
  <si>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</si>
  <si>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</si>
  <si>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</si>
  <si>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</si>
  <si>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</si>
  <si>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</si>
  <si>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</si>
  <si>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</si>
  <si>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</si>
  <si>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</si>
  <si>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</si>
  <si>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</si>
  <si>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</si>
  <si>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</si>
  <si>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</si>
  <si>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</si>
  <si>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</si>
  <si>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</si>
  <si>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</si>
  <si>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</si>
  <si>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</si>
  <si>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</si>
  <si>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74106/1</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</si>
  <si>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</si>
  <si>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</si>
  <si>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</si>
  <si>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</si>
  <si>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</si>
  <si>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</si>
  <si>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</si>
  <si>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</si>
  <si>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</si>
  <si>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</si>
  <si>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</si>
  <si>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</si>
  <si>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</si>
  <si>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</si>
  <si>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</si>
  <si>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</si>
  <si>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</si>
  <si>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</si>
  <si>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</si>
  <si>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</si>
  <si>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</si>
  <si>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</si>
  <si>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</si>
  <si>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</si>
  <si>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</si>
  <si>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</si>
  <si>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</si>
  <si>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</si>
  <si>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</si>
  <si>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</si>
  <si>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</si>
  <si>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</si>
  <si>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</si>
  <si>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</si>
  <si>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</si>
  <si>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</si>
  <si>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</si>
  <si>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</si>
  <si>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</si>
  <si>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</si>
  <si>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</si>
  <si>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</si>
  <si>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</si>
  <si>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</si>
  <si>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</si>
  <si>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</si>
  <si>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</si>
  <si>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</si>
  <si>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</si>
  <si>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</si>
  <si>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</si>
  <si>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</si>
  <si>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</si>
  <si>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</si>
  <si>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</si>
  <si>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</si>
  <si>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</si>
  <si>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</si>
  <si>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</si>
  <si>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</si>
  <si>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</si>
  <si>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</si>
  <si>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</si>
  <si>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</si>
  <si>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</si>
  <si>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</si>
  <si>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</si>
  <si>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</si>
  <si>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</si>
  <si>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</si>
  <si>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</si>
  <si>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</si>
  <si>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</si>
  <si>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</si>
  <si>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</si>
  <si>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</si>
  <si>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</si>
  <si>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</si>
  <si>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</si>
  <si>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</si>
  <si>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</si>
  <si>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</si>
  <si>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</si>
  <si>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</si>
  <si>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</si>
  <si>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</si>
  <si>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</si>
  <si>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</si>
  <si>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</si>
  <si>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</si>
  <si>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</si>
  <si>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</si>
  <si>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</si>
  <si>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</si>
  <si>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</si>
  <si>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</si>
  <si>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</si>
  <si>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</si>
  <si>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</si>
  <si>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</si>
  <si>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</si>
  <si>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</si>
  <si>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</si>
  <si>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</si>
  <si>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</si>
  <si>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</si>
  <si>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</si>
  <si>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</si>
  <si>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</si>
  <si>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</si>
  <si>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</si>
  <si>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</si>
  <si>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</si>
  <si>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</si>
  <si>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</si>
  <si>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</si>
  <si>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</si>
  <si>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</si>
  <si>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</si>
  <si>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</si>
  <si>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</si>
  <si>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</si>
  <si>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</si>
  <si>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</si>
  <si>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</si>
  <si>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</si>
  <si>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</si>
  <si>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</si>
  <si>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</si>
  <si>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</si>
  <si>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</si>
  <si>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</si>
  <si>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</si>
  <si>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</si>
  <si>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</si>
  <si>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</si>
  <si>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</si>
  <si>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</si>
  <si>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</si>
  <si>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</si>
  <si>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</si>
  <si>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</si>
  <si>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</si>
  <si>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</si>
  <si>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</si>
  <si>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</si>
  <si>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</si>
  <si>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</si>
  <si>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</si>
  <si>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</si>
  <si>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</si>
  <si>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</si>
  <si>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</si>
  <si>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</si>
  <si>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</si>
  <si>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</si>
  <si>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</si>
  <si>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</si>
  <si>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</si>
  <si>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</si>
  <si>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</si>
  <si>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</si>
  <si>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</si>
  <si>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</si>
  <si>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</si>
  <si>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</si>
  <si>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</si>
  <si>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</si>
  <si>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</si>
  <si>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</si>
  <si>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</si>
  <si>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</si>
  <si>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</si>
  <si>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</si>
  <si>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</si>
  <si>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</si>
  <si>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</si>
  <si>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</si>
  <si>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</si>
  <si>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</si>
  <si>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</si>
  <si>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</si>
  <si>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</si>
  <si>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</si>
  <si>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</si>
  <si>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</si>
  <si>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</si>
  <si>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</si>
  <si>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</si>
  <si>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</si>
  <si>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</si>
  <si>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</si>
  <si>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</si>
  <si>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</si>
  <si>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</si>
  <si>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</si>
  <si>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</si>
  <si>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</si>
  <si>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</si>
  <si>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</si>
  <si>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</si>
  <si>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</si>
  <si>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</si>
  <si>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</si>
  <si>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</si>
  <si>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</si>
  <si>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</si>
  <si>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</si>
  <si>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</si>
  <si>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</si>
  <si>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</si>
  <si>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</si>
  <si>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</si>
  <si>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</si>
  <si>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</si>
  <si>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</si>
  <si>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</si>
  <si>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</si>
  <si>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</si>
  <si>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</si>
  <si>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</si>
  <si>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</si>
  <si>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</si>
  <si>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</si>
  <si>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</si>
  <si>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</si>
  <si>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</si>
  <si>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</si>
  <si>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</si>
  <si>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74130/5</t>
  </si>
  <si>
    <t>74130/6</t>
  </si>
  <si>
    <t>DISJUNTOR TERMOMAGNETICO TRIPOLAR PADRAO NEMA (AMERICANO) 125 A 150A 240V, FORNECIMENTO E INSTALACAO</t>
  </si>
  <si>
    <t>74130/7</t>
  </si>
  <si>
    <t>DISJUNTOR TERMOMAGNETICO TRIPOLAR EM CAIXA MOLDADA 250A 600V, FORNECIMENTO E INSTALACAO</t>
  </si>
  <si>
    <t>74130/8</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</si>
  <si>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</si>
  <si>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</si>
  <si>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</si>
  <si>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</si>
  <si>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</si>
  <si>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</si>
  <si>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</si>
  <si>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</si>
  <si>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</si>
  <si>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74131/6</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</si>
  <si>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</si>
  <si>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</si>
  <si>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</si>
  <si>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</si>
  <si>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</si>
  <si>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</si>
  <si>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</si>
  <si>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</si>
  <si>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</si>
  <si>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</si>
  <si>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</si>
  <si>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</si>
  <si>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</si>
  <si>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</si>
  <si>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</si>
  <si>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</si>
  <si>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</si>
  <si>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</si>
  <si>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32A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</si>
  <si>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</si>
  <si>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</si>
  <si>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</si>
  <si>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</si>
  <si>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</si>
  <si>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</si>
  <si>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</si>
  <si>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</si>
  <si>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</si>
  <si>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</si>
  <si>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</si>
  <si>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</si>
  <si>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</si>
  <si>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</si>
  <si>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</si>
  <si>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</si>
  <si>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</si>
  <si>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</si>
  <si>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</si>
  <si>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</si>
  <si>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</si>
  <si>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</si>
  <si>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</si>
  <si>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</si>
  <si>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</si>
  <si>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</si>
  <si>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</si>
  <si>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</si>
  <si>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</si>
  <si>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</si>
  <si>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</si>
  <si>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</si>
  <si>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</si>
  <si>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</si>
  <si>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</si>
  <si>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</si>
  <si>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</si>
  <si>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</si>
  <si>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</si>
  <si>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</si>
  <si>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</si>
  <si>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</si>
  <si>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</si>
  <si>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</si>
  <si>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</si>
  <si>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</si>
  <si>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</si>
  <si>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</si>
  <si>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</si>
  <si>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</si>
  <si>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</si>
  <si>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</si>
  <si>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</si>
  <si>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</si>
  <si>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</si>
  <si>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</si>
  <si>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</si>
  <si>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</si>
  <si>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</si>
  <si>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</si>
  <si>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</si>
  <si>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</si>
  <si>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</si>
  <si>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</si>
  <si>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</si>
  <si>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</si>
  <si>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</si>
  <si>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</si>
  <si>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</si>
  <si>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</si>
  <si>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</si>
  <si>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</si>
  <si>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</si>
  <si>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</si>
  <si>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</si>
  <si>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</si>
  <si>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</si>
  <si>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</si>
  <si>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</si>
  <si>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</si>
  <si>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</si>
  <si>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</si>
  <si>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</si>
  <si>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</si>
  <si>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</si>
  <si>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</si>
  <si>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</si>
  <si>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</si>
  <si>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</si>
  <si>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</si>
  <si>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</si>
  <si>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</si>
  <si>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</si>
  <si>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</si>
  <si>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</si>
  <si>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</si>
  <si>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</si>
  <si>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</si>
  <si>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</si>
  <si>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</si>
  <si>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</si>
  <si>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</si>
  <si>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</si>
  <si>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</si>
  <si>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</si>
  <si>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</si>
  <si>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</si>
  <si>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</si>
  <si>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</si>
  <si>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</si>
  <si>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</si>
  <si>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</si>
  <si>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</si>
  <si>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</si>
  <si>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</si>
  <si>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</si>
  <si>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</si>
  <si>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</si>
  <si>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</si>
  <si>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</si>
  <si>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</si>
  <si>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</si>
  <si>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</si>
  <si>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</si>
  <si>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</si>
  <si>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</si>
  <si>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</si>
  <si>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</si>
  <si>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</si>
  <si>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</si>
  <si>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</si>
  <si>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</si>
  <si>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</si>
  <si>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</si>
  <si>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</si>
  <si>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</si>
  <si>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</si>
  <si>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</si>
  <si>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</si>
  <si>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</si>
  <si>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</si>
  <si>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</si>
  <si>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</si>
  <si>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</si>
  <si>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</si>
  <si>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</si>
  <si>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</si>
  <si>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</si>
  <si>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</si>
  <si>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</si>
  <si>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</si>
  <si>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</si>
  <si>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</si>
  <si>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</si>
  <si>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</si>
  <si>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</si>
  <si>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</si>
  <si>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</si>
  <si>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</si>
  <si>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</si>
  <si>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</si>
  <si>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</si>
  <si>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</si>
  <si>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</si>
  <si>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</si>
  <si>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</si>
  <si>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</si>
  <si>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</si>
  <si>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</si>
  <si>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</si>
  <si>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</si>
  <si>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</si>
  <si>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</si>
  <si>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</si>
  <si>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</si>
  <si>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</si>
  <si>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</si>
  <si>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</si>
  <si>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</si>
  <si>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</si>
  <si>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</si>
  <si>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75X45X17CM, COM REGISTRO GLOBO ANGULAR 45º 2.1/2", ADAPTADOR STORZ 2.1/2", MANGUEIRA DE INCÊNDIO 15M, REDUÇÃO 2.1/2X1.1/2" E ESGUICHO EM LATÃO 1.1/2"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</si>
  <si>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</si>
  <si>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</si>
  <si>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</si>
  <si>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</si>
  <si>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</si>
  <si>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</si>
  <si>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</si>
  <si>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</si>
  <si>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</si>
  <si>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</si>
  <si>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</si>
  <si>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</si>
  <si>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</si>
  <si>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</si>
  <si>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</si>
  <si>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</si>
  <si>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</si>
  <si>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</si>
  <si>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</si>
  <si>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</si>
  <si>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</si>
  <si>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</si>
  <si>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</si>
  <si>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</si>
  <si>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</si>
  <si>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</si>
  <si>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</si>
  <si>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</si>
  <si>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</si>
  <si>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</si>
  <si>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</si>
  <si>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PRUMADA DE ÁGUA - FORNECIMENTO E INSTALAÇÃO. AF_12/2014</t>
  </si>
  <si>
    <t>TUBO,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</si>
  <si>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</si>
  <si>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</si>
  <si>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</si>
  <si>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</si>
  <si>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</si>
  <si>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</si>
  <si>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</si>
  <si>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</si>
  <si>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</si>
  <si>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</si>
  <si>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</si>
  <si>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</si>
  <si>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</si>
  <si>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</si>
  <si>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</si>
  <si>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</si>
  <si>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</si>
  <si>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</si>
  <si>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</si>
  <si>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</si>
  <si>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</si>
  <si>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</si>
  <si>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</si>
  <si>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</si>
  <si>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</si>
  <si>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</si>
  <si>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</si>
  <si>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</si>
  <si>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</si>
  <si>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</si>
  <si>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</si>
  <si>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</si>
  <si>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</si>
  <si>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</si>
  <si>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</si>
  <si>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</si>
  <si>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</si>
  <si>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</si>
  <si>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</si>
  <si>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</si>
  <si>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</si>
  <si>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</si>
  <si>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</si>
  <si>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</si>
  <si>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</si>
  <si>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</si>
  <si>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</si>
  <si>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</si>
  <si>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</si>
  <si>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</si>
  <si>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</si>
  <si>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</si>
  <si>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</si>
  <si>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</si>
  <si>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</si>
  <si>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</si>
  <si>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</si>
  <si>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</si>
  <si>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</si>
  <si>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</si>
  <si>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</si>
  <si>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</si>
  <si>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</si>
  <si>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</si>
  <si>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</si>
  <si>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</si>
  <si>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</si>
  <si>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</si>
  <si>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</si>
  <si>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</si>
  <si>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</si>
  <si>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</si>
  <si>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</si>
  <si>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</si>
  <si>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</si>
  <si>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</si>
  <si>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</si>
  <si>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</si>
  <si>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</si>
  <si>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</si>
  <si>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</si>
  <si>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</si>
  <si>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</si>
  <si>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</si>
  <si>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</si>
  <si>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</si>
  <si>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</si>
  <si>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</si>
  <si>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</si>
  <si>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</si>
  <si>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</si>
  <si>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</si>
  <si>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</si>
  <si>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</si>
  <si>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</si>
  <si>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</si>
  <si>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</si>
  <si>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</si>
  <si>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</si>
  <si>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</si>
  <si>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</si>
  <si>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</si>
  <si>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</si>
  <si>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</si>
  <si>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</si>
  <si>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</si>
  <si>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</si>
  <si>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</si>
  <si>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</si>
  <si>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</si>
  <si>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</si>
  <si>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</si>
  <si>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</si>
  <si>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</si>
  <si>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</si>
  <si>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</si>
  <si>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</si>
  <si>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</si>
  <si>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</si>
  <si>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</si>
  <si>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</si>
  <si>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</si>
  <si>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</si>
  <si>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</si>
  <si>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</si>
  <si>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</si>
  <si>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</si>
  <si>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</si>
  <si>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</si>
  <si>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</si>
  <si>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</si>
  <si>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</si>
  <si>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</si>
  <si>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</si>
  <si>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</si>
  <si>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</si>
  <si>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</si>
  <si>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</si>
  <si>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</si>
  <si>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</si>
  <si>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</si>
  <si>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</si>
  <si>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</si>
  <si>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</si>
  <si>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</si>
  <si>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</si>
  <si>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</si>
  <si>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</si>
  <si>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</si>
  <si>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</si>
  <si>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</si>
  <si>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</si>
  <si>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</si>
  <si>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</si>
  <si>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</si>
  <si>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</si>
  <si>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</si>
  <si>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</si>
  <si>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</si>
  <si>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</si>
  <si>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</si>
  <si>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</si>
  <si>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</si>
  <si>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</si>
  <si>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</si>
  <si>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</si>
  <si>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</si>
  <si>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</si>
  <si>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</si>
  <si>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</si>
  <si>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</si>
  <si>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</si>
  <si>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</si>
  <si>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</si>
  <si>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</si>
  <si>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</si>
  <si>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</si>
  <si>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</si>
  <si>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</si>
  <si>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</si>
  <si>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</si>
  <si>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</si>
  <si>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</si>
  <si>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</si>
  <si>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</si>
  <si>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</si>
  <si>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</si>
  <si>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</si>
  <si>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</si>
  <si>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</si>
  <si>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</si>
  <si>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</si>
  <si>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</si>
  <si>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</si>
  <si>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</si>
  <si>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</si>
  <si>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</si>
  <si>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</si>
  <si>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</si>
  <si>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</si>
  <si>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</si>
  <si>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</si>
  <si>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</si>
  <si>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</si>
  <si>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</si>
  <si>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</si>
  <si>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</si>
  <si>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</si>
  <si>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</si>
  <si>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</si>
  <si>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</si>
  <si>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</si>
  <si>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</si>
  <si>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</si>
  <si>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</si>
  <si>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</si>
  <si>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</si>
  <si>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</si>
  <si>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</si>
  <si>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</si>
  <si>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</si>
  <si>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</si>
  <si>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</si>
  <si>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</si>
  <si>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</si>
  <si>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</si>
  <si>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</si>
  <si>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</si>
  <si>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</si>
  <si>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</si>
  <si>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</si>
  <si>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</si>
  <si>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</si>
  <si>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</si>
  <si>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</si>
  <si>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</si>
  <si>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</si>
  <si>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</si>
  <si>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</si>
  <si>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</si>
  <si>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</si>
  <si>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</si>
  <si>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</si>
  <si>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</si>
  <si>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</si>
  <si>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</si>
  <si>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</si>
  <si>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</si>
  <si>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</si>
  <si>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</si>
  <si>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</si>
  <si>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</si>
  <si>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</si>
  <si>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</si>
  <si>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</si>
  <si>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</si>
  <si>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</si>
  <si>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</si>
  <si>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</si>
  <si>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</si>
  <si>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</si>
  <si>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</si>
  <si>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</si>
  <si>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</si>
  <si>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</si>
  <si>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</si>
  <si>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</si>
  <si>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</si>
  <si>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</si>
  <si>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</si>
  <si>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</si>
  <si>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</si>
  <si>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</si>
  <si>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</si>
  <si>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</si>
  <si>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</si>
  <si>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</si>
  <si>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</si>
  <si>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</si>
  <si>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</si>
  <si>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</si>
  <si>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</si>
  <si>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</si>
  <si>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</si>
  <si>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</si>
  <si>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</si>
  <si>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</si>
  <si>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</si>
  <si>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</si>
  <si>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</si>
  <si>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</si>
  <si>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</si>
  <si>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</si>
  <si>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</si>
  <si>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</si>
  <si>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</si>
  <si>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</si>
  <si>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</si>
  <si>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</si>
  <si>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</si>
  <si>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</si>
  <si>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</si>
  <si>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</si>
  <si>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</si>
  <si>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</si>
  <si>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</si>
  <si>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</si>
  <si>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</si>
  <si>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</si>
  <si>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</si>
  <si>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</si>
  <si>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</si>
  <si>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</si>
  <si>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</si>
  <si>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</si>
  <si>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</si>
  <si>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</si>
  <si>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</si>
  <si>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</si>
  <si>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</si>
  <si>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</si>
  <si>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</si>
  <si>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</si>
  <si>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</si>
  <si>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</si>
  <si>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</si>
  <si>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</si>
  <si>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</si>
  <si>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</si>
  <si>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</si>
  <si>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</si>
  <si>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</si>
  <si>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</si>
  <si>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</si>
  <si>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</si>
  <si>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</si>
  <si>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</si>
  <si>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</si>
  <si>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</si>
  <si>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</si>
  <si>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</si>
  <si>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</si>
  <si>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</si>
  <si>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</si>
  <si>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</si>
  <si>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</si>
  <si>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</si>
  <si>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</si>
  <si>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</si>
  <si>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</si>
  <si>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</si>
  <si>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</si>
  <si>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</si>
  <si>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</si>
  <si>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</si>
  <si>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</si>
  <si>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</si>
  <si>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</si>
  <si>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</si>
  <si>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</si>
  <si>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</si>
  <si>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</si>
  <si>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</si>
  <si>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</si>
  <si>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</si>
  <si>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</si>
  <si>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</si>
  <si>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</si>
  <si>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</si>
  <si>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</si>
  <si>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</si>
  <si>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</si>
  <si>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</si>
  <si>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</si>
  <si>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LUVA, PVC, SOLDÁVEL, DN 85MM,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</si>
  <si>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</si>
  <si>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</si>
  <si>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</si>
  <si>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</si>
  <si>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</si>
  <si>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</si>
  <si>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</si>
  <si>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TE, PVC, SOLDÁVEL, DN 60MM,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</si>
  <si>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</si>
  <si>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</si>
  <si>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</si>
  <si>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</si>
  <si>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</si>
  <si>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</si>
  <si>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</si>
  <si>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</si>
  <si>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</si>
  <si>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</si>
  <si>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</si>
  <si>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</si>
  <si>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</si>
  <si>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</si>
  <si>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</si>
  <si>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</si>
  <si>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</si>
  <si>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</si>
  <si>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</si>
  <si>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</si>
  <si>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</si>
  <si>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</si>
  <si>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</si>
  <si>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</si>
  <si>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</si>
  <si>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</si>
  <si>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</si>
  <si>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</si>
  <si>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</si>
  <si>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</si>
  <si>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</si>
  <si>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</si>
  <si>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</si>
  <si>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</si>
  <si>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</si>
  <si>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</si>
  <si>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</si>
  <si>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</si>
  <si>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</si>
  <si>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</si>
  <si>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</si>
  <si>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</si>
  <si>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</si>
  <si>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</si>
  <si>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</si>
  <si>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</si>
  <si>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</si>
  <si>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</si>
  <si>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</si>
  <si>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</si>
  <si>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</si>
  <si>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</si>
  <si>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</si>
  <si>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</si>
  <si>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</si>
  <si>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</si>
  <si>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</si>
  <si>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</si>
  <si>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</si>
  <si>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</si>
  <si>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</si>
  <si>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</si>
  <si>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</si>
  <si>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</si>
  <si>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</si>
  <si>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</si>
  <si>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</si>
  <si>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</si>
  <si>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</si>
  <si>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</si>
  <si>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</si>
  <si>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</si>
  <si>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</si>
  <si>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</si>
  <si>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</si>
  <si>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</si>
  <si>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</si>
  <si>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</si>
  <si>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</si>
  <si>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</si>
  <si>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</si>
  <si>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</si>
  <si>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</si>
  <si>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</si>
  <si>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</si>
  <si>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</si>
  <si>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</si>
  <si>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</si>
  <si>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</si>
  <si>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</si>
  <si>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</si>
  <si>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</si>
  <si>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</si>
  <si>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</si>
  <si>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</si>
  <si>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</si>
  <si>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</si>
  <si>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</si>
  <si>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</si>
  <si>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</si>
  <si>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</si>
  <si>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</si>
  <si>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</si>
  <si>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</si>
  <si>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</si>
  <si>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</si>
  <si>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</si>
  <si>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</si>
  <si>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</si>
  <si>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</si>
  <si>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</si>
  <si>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</si>
  <si>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</si>
  <si>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</si>
  <si>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</si>
  <si>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</si>
  <si>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</si>
  <si>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</si>
  <si>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</si>
  <si>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</si>
  <si>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</si>
  <si>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</si>
  <si>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</si>
  <si>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</si>
  <si>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</si>
  <si>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</si>
  <si>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</si>
  <si>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</si>
  <si>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</si>
  <si>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</si>
  <si>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</si>
  <si>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</si>
  <si>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</si>
  <si>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</si>
  <si>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</si>
  <si>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</si>
  <si>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</si>
  <si>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</si>
  <si>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</si>
  <si>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</si>
  <si>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</si>
  <si>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</si>
  <si>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</si>
  <si>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</si>
  <si>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</si>
  <si>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</si>
  <si>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</si>
  <si>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</si>
  <si>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</si>
  <si>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</si>
  <si>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</si>
  <si>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</si>
  <si>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</si>
  <si>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</si>
  <si>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</si>
  <si>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</si>
  <si>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</si>
  <si>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</si>
  <si>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</si>
  <si>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</si>
  <si>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</si>
  <si>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</si>
  <si>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</si>
  <si>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</si>
  <si>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</si>
  <si>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</si>
  <si>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</si>
  <si>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</si>
  <si>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</si>
  <si>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</si>
  <si>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</si>
  <si>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</si>
  <si>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</si>
  <si>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</si>
  <si>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</si>
  <si>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</si>
  <si>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</si>
  <si>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</si>
  <si>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</si>
  <si>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</si>
  <si>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</si>
  <si>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</si>
  <si>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</si>
  <si>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</si>
  <si>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</si>
  <si>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</si>
  <si>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</si>
  <si>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</si>
  <si>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</si>
  <si>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</si>
  <si>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</si>
  <si>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</si>
  <si>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</si>
  <si>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</si>
  <si>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</si>
  <si>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</si>
  <si>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</si>
  <si>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</si>
  <si>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</si>
  <si>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</si>
  <si>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</si>
  <si>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</si>
  <si>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</si>
  <si>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</si>
  <si>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</si>
  <si>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</si>
  <si>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</si>
  <si>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</si>
  <si>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</si>
  <si>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</si>
  <si>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</si>
  <si>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</si>
  <si>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</si>
  <si>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</si>
  <si>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</si>
  <si>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</si>
  <si>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</si>
  <si>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</si>
  <si>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</si>
  <si>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</si>
  <si>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</si>
  <si>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</si>
  <si>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</si>
  <si>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</si>
  <si>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</si>
  <si>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</si>
  <si>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</si>
  <si>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</si>
  <si>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</si>
  <si>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</si>
  <si>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</si>
  <si>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</si>
  <si>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</si>
  <si>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</si>
  <si>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</si>
  <si>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</si>
  <si>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</si>
  <si>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</si>
  <si>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</si>
  <si>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</si>
  <si>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</si>
  <si>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</si>
  <si>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</si>
  <si>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</si>
  <si>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</si>
  <si>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</si>
  <si>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</si>
  <si>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</si>
  <si>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</si>
  <si>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</si>
  <si>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</si>
  <si>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</si>
  <si>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</si>
  <si>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</si>
  <si>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</si>
  <si>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</si>
  <si>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</si>
  <si>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</si>
  <si>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</si>
  <si>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</si>
  <si>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</si>
  <si>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</si>
  <si>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</si>
  <si>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</si>
  <si>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</si>
  <si>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</si>
  <si>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</si>
  <si>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</si>
  <si>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</si>
  <si>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</si>
  <si>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</si>
  <si>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</si>
  <si>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</si>
  <si>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</si>
  <si>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</si>
  <si>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</si>
  <si>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</si>
  <si>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</si>
  <si>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</si>
  <si>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</si>
  <si>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</si>
  <si>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</si>
  <si>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</si>
  <si>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</si>
  <si>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</si>
  <si>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</si>
  <si>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</si>
  <si>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</si>
  <si>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</si>
  <si>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</si>
  <si>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</si>
  <si>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</si>
  <si>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</si>
  <si>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</si>
  <si>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</si>
  <si>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</si>
  <si>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</si>
  <si>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</si>
  <si>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</si>
  <si>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</si>
  <si>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</si>
  <si>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</si>
  <si>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</si>
  <si>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</si>
  <si>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</si>
  <si>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</si>
  <si>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</si>
  <si>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</si>
  <si>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</si>
  <si>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</si>
  <si>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</si>
  <si>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</si>
  <si>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</si>
  <si>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</si>
  <si>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</si>
  <si>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</si>
  <si>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</si>
  <si>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</si>
  <si>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</si>
  <si>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</si>
  <si>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</si>
  <si>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</si>
  <si>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</si>
  <si>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</si>
  <si>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</si>
  <si>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</si>
  <si>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</si>
  <si>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</si>
  <si>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</si>
  <si>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</si>
  <si>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</si>
  <si>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</si>
  <si>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</si>
  <si>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</si>
  <si>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</si>
  <si>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</si>
  <si>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</si>
  <si>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</si>
  <si>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</si>
  <si>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</si>
  <si>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</si>
  <si>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</si>
  <si>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</si>
  <si>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</si>
  <si>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</si>
  <si>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</si>
  <si>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</si>
  <si>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</si>
  <si>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</si>
  <si>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</si>
  <si>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</si>
  <si>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</si>
  <si>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</si>
  <si>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</si>
  <si>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</si>
  <si>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</si>
  <si>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</si>
  <si>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</si>
  <si>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</si>
  <si>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</si>
  <si>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</si>
  <si>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</si>
  <si>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</si>
  <si>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</si>
  <si>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</si>
  <si>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</si>
  <si>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</si>
  <si>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</si>
  <si>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</si>
  <si>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</si>
  <si>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</si>
  <si>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</si>
  <si>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</si>
  <si>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</si>
  <si>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</si>
  <si>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</si>
  <si>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</si>
  <si>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</si>
  <si>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</si>
  <si>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</si>
  <si>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</si>
  <si>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</si>
  <si>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</si>
  <si>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</si>
  <si>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</si>
  <si>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</si>
  <si>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</si>
  <si>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</si>
  <si>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</si>
  <si>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</si>
  <si>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</si>
  <si>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</si>
  <si>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</si>
  <si>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</si>
  <si>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</si>
  <si>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</si>
  <si>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</si>
  <si>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</si>
  <si>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</si>
  <si>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</si>
  <si>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</si>
  <si>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</si>
  <si>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</si>
  <si>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</si>
  <si>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</si>
  <si>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</si>
  <si>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</si>
  <si>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</si>
  <si>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</si>
  <si>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</si>
  <si>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</si>
  <si>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</si>
  <si>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</si>
  <si>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</si>
  <si>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</si>
  <si>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</si>
  <si>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</si>
  <si>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</si>
  <si>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</si>
  <si>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</si>
  <si>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</si>
  <si>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</si>
  <si>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</si>
  <si>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</si>
  <si>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</si>
  <si>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</si>
  <si>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</si>
  <si>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</si>
  <si>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</si>
  <si>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</si>
  <si>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</si>
  <si>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</si>
  <si>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</si>
  <si>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</si>
  <si>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</si>
  <si>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</si>
  <si>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</si>
  <si>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</si>
  <si>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</si>
  <si>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</si>
  <si>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</si>
  <si>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</si>
  <si>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</si>
  <si>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</si>
  <si>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</si>
  <si>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</si>
  <si>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</si>
  <si>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</si>
  <si>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</si>
  <si>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</si>
  <si>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</si>
  <si>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</si>
  <si>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</si>
  <si>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</si>
  <si>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</si>
  <si>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</si>
  <si>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</si>
  <si>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</si>
  <si>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</si>
  <si>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</si>
  <si>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</si>
  <si>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</si>
  <si>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</si>
  <si>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</si>
  <si>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</si>
  <si>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</si>
  <si>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</si>
  <si>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</si>
  <si>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</si>
  <si>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</si>
  <si>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</si>
  <si>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</si>
  <si>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</si>
  <si>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</si>
  <si>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</si>
  <si>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</si>
  <si>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</si>
  <si>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</si>
  <si>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</si>
  <si>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</si>
  <si>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</si>
  <si>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</si>
  <si>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</si>
  <si>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</si>
  <si>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</si>
  <si>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</si>
  <si>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</si>
  <si>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</si>
  <si>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</si>
  <si>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</si>
  <si>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</si>
  <si>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</si>
  <si>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</si>
  <si>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</si>
  <si>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</si>
  <si>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</si>
  <si>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</si>
  <si>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</si>
  <si>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</si>
  <si>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</si>
  <si>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</si>
  <si>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</si>
  <si>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</si>
  <si>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</si>
  <si>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</si>
  <si>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</si>
  <si>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</si>
  <si>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</si>
  <si>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</si>
  <si>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</si>
  <si>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</si>
  <si>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</si>
  <si>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</si>
  <si>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</si>
  <si>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</si>
  <si>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</si>
  <si>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</si>
  <si>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</si>
  <si>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</si>
  <si>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</si>
  <si>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</si>
  <si>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</si>
  <si>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</si>
  <si>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</si>
  <si>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</si>
  <si>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</si>
  <si>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</si>
  <si>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</si>
  <si>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</si>
  <si>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</si>
  <si>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</si>
  <si>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</si>
  <si>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</si>
  <si>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</si>
  <si>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</si>
  <si>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</si>
  <si>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</si>
  <si>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</si>
  <si>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</si>
  <si>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</si>
  <si>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</si>
  <si>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</si>
  <si>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</si>
  <si>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</si>
  <si>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</si>
  <si>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</si>
  <si>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</si>
  <si>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</si>
  <si>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</si>
  <si>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</si>
  <si>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</si>
  <si>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</si>
  <si>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</si>
  <si>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</si>
  <si>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</si>
  <si>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</si>
  <si>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</si>
  <si>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</si>
  <si>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</si>
  <si>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</si>
  <si>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</si>
  <si>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</si>
  <si>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</si>
  <si>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</si>
  <si>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</si>
  <si>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</si>
  <si>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</si>
  <si>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</si>
  <si>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</si>
  <si>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</si>
  <si>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</si>
  <si>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</si>
  <si>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</si>
  <si>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</si>
  <si>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</si>
  <si>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</si>
  <si>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</si>
  <si>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</si>
  <si>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</si>
  <si>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</si>
  <si>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</si>
  <si>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</si>
  <si>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</si>
  <si>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</si>
  <si>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</si>
  <si>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</si>
  <si>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</si>
  <si>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</si>
  <si>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</si>
  <si>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</si>
  <si>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</si>
  <si>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</si>
  <si>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</si>
  <si>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</si>
  <si>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</si>
  <si>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</si>
  <si>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</si>
  <si>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</si>
  <si>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</si>
  <si>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</si>
  <si>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</si>
  <si>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</si>
  <si>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</si>
  <si>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</si>
  <si>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</si>
  <si>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</si>
  <si>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</si>
  <si>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</si>
  <si>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</si>
  <si>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</si>
  <si>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</si>
  <si>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</si>
  <si>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</si>
  <si>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</si>
  <si>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</si>
  <si>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</si>
  <si>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</si>
  <si>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</si>
  <si>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</si>
  <si>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</si>
  <si>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</si>
  <si>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</si>
  <si>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</si>
  <si>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</si>
  <si>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</si>
  <si>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</si>
  <si>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</si>
  <si>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</si>
  <si>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</si>
  <si>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</si>
  <si>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</si>
  <si>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</si>
  <si>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</si>
  <si>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</si>
  <si>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</si>
  <si>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</si>
  <si>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</si>
  <si>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</si>
  <si>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</si>
  <si>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</si>
  <si>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</si>
  <si>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</si>
  <si>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</si>
  <si>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</si>
  <si>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</si>
  <si>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</si>
  <si>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</si>
  <si>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</si>
  <si>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</si>
  <si>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</si>
  <si>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</si>
  <si>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</si>
  <si>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</si>
  <si>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</si>
  <si>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</si>
  <si>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</si>
  <si>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</si>
  <si>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</si>
  <si>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</si>
  <si>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</si>
  <si>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</si>
  <si>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</si>
  <si>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</si>
  <si>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</si>
  <si>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</si>
  <si>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</si>
  <si>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</si>
  <si>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</si>
  <si>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</si>
  <si>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</si>
  <si>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</si>
  <si>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</si>
  <si>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</si>
  <si>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</si>
  <si>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</si>
  <si>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</si>
  <si>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</si>
  <si>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</si>
  <si>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</si>
  <si>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</si>
  <si>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</si>
  <si>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</si>
  <si>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</si>
  <si>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</si>
  <si>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</si>
  <si>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</si>
  <si>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</si>
  <si>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</si>
  <si>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</si>
  <si>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</si>
  <si>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</si>
  <si>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</si>
  <si>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</si>
  <si>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</si>
  <si>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</si>
  <si>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</si>
  <si>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</si>
  <si>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</si>
  <si>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</si>
  <si>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</si>
  <si>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</si>
  <si>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</si>
  <si>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</si>
  <si>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</si>
  <si>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</si>
  <si>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</si>
  <si>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</si>
  <si>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</si>
  <si>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</si>
  <si>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</si>
  <si>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</si>
  <si>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</si>
  <si>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</si>
  <si>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</si>
  <si>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</si>
  <si>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</si>
  <si>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</si>
  <si>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</si>
  <si>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</si>
  <si>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</si>
  <si>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</si>
  <si>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</si>
  <si>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</si>
  <si>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</si>
  <si>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</si>
  <si>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</si>
  <si>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</si>
  <si>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</si>
  <si>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</si>
  <si>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</si>
  <si>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</si>
  <si>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</si>
  <si>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</si>
  <si>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</si>
  <si>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</si>
  <si>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</si>
  <si>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</si>
  <si>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</si>
  <si>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</si>
  <si>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</si>
  <si>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</si>
  <si>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</si>
  <si>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</si>
  <si>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</si>
  <si>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</si>
  <si>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</si>
  <si>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</si>
  <si>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</si>
  <si>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</si>
  <si>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</si>
  <si>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</si>
  <si>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</si>
  <si>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</si>
  <si>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</si>
  <si>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</si>
  <si>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</si>
  <si>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</si>
  <si>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</si>
  <si>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</si>
  <si>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</si>
  <si>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</si>
  <si>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</si>
  <si>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</si>
  <si>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</si>
  <si>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</si>
  <si>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</si>
  <si>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</si>
  <si>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</si>
  <si>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</si>
  <si>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</si>
  <si>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</si>
  <si>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</si>
  <si>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</si>
  <si>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</si>
  <si>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</si>
  <si>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</si>
  <si>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</si>
  <si>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</si>
  <si>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</si>
  <si>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</si>
  <si>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</si>
  <si>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</si>
  <si>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</si>
  <si>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</si>
  <si>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</si>
  <si>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</si>
  <si>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</si>
  <si>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</si>
  <si>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</si>
  <si>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</si>
  <si>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</si>
  <si>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</si>
  <si>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</si>
  <si>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</si>
  <si>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</si>
  <si>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</si>
  <si>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</si>
  <si>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</si>
  <si>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</si>
  <si>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</si>
  <si>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</si>
  <si>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</si>
  <si>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</si>
  <si>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</si>
  <si>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</si>
  <si>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</si>
  <si>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</si>
  <si>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</si>
  <si>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</si>
  <si>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</si>
  <si>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</si>
  <si>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</si>
  <si>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</si>
  <si>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</si>
  <si>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</si>
  <si>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</si>
  <si>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</si>
  <si>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</si>
  <si>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</si>
  <si>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</si>
  <si>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</si>
  <si>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</si>
  <si>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</si>
  <si>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</si>
  <si>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</si>
  <si>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</si>
  <si>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</si>
  <si>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</si>
  <si>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</si>
  <si>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</si>
  <si>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</si>
  <si>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</si>
  <si>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</si>
  <si>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</si>
  <si>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</si>
  <si>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</si>
  <si>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</si>
  <si>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</si>
  <si>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</si>
  <si>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</si>
  <si>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</si>
  <si>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</si>
  <si>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</si>
  <si>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</si>
  <si>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</si>
  <si>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</si>
  <si>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</si>
  <si>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</si>
  <si>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</si>
  <si>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</si>
  <si>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</si>
  <si>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</si>
  <si>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</si>
  <si>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</si>
  <si>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</si>
  <si>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</si>
  <si>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</si>
  <si>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</si>
  <si>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</si>
  <si>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</si>
  <si>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</si>
  <si>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</si>
  <si>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</si>
  <si>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</si>
  <si>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</si>
  <si>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</si>
  <si>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</si>
  <si>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</si>
  <si>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</si>
  <si>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</si>
  <si>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</si>
  <si>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</si>
  <si>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</si>
  <si>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</si>
  <si>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</si>
  <si>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</si>
  <si>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</si>
  <si>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</si>
  <si>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</si>
  <si>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</si>
  <si>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</si>
  <si>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</si>
  <si>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</si>
  <si>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</si>
  <si>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</si>
  <si>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</si>
  <si>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</si>
  <si>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</si>
  <si>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</si>
  <si>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</si>
  <si>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</si>
  <si>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</si>
  <si>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</si>
  <si>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</si>
  <si>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</si>
  <si>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</si>
  <si>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</si>
  <si>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</si>
  <si>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</si>
  <si>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</si>
  <si>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</si>
  <si>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</si>
  <si>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</si>
  <si>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</si>
  <si>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</si>
  <si>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</si>
  <si>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</si>
  <si>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</si>
  <si>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</si>
  <si>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</si>
  <si>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</si>
  <si>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</si>
  <si>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</si>
  <si>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</si>
  <si>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</si>
  <si>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</si>
  <si>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</si>
  <si>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</si>
  <si>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</si>
  <si>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</si>
  <si>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</si>
  <si>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</si>
  <si>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</si>
  <si>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</si>
  <si>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</si>
  <si>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</si>
  <si>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</si>
  <si>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</si>
  <si>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</si>
  <si>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</si>
  <si>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</si>
  <si>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</si>
  <si>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</si>
  <si>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</si>
  <si>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</si>
  <si>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</si>
  <si>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</si>
  <si>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</si>
  <si>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</si>
  <si>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</si>
  <si>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</si>
  <si>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</si>
  <si>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</si>
  <si>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</si>
  <si>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</si>
  <si>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</si>
  <si>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</si>
  <si>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</si>
  <si>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</si>
  <si>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</si>
  <si>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</si>
  <si>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</si>
  <si>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</si>
  <si>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</si>
  <si>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</si>
  <si>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</si>
  <si>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</si>
  <si>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</si>
  <si>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</si>
  <si>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</si>
  <si>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</si>
  <si>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</si>
  <si>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</si>
  <si>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</si>
  <si>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</si>
  <si>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</si>
  <si>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</si>
  <si>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</si>
  <si>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</si>
  <si>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</si>
  <si>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</si>
  <si>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</si>
  <si>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</si>
  <si>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</si>
  <si>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</si>
  <si>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</si>
  <si>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</si>
  <si>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</si>
  <si>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</si>
  <si>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</si>
  <si>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</si>
  <si>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</si>
  <si>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</si>
  <si>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</si>
  <si>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</si>
  <si>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</si>
  <si>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</si>
  <si>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</si>
  <si>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</si>
  <si>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</si>
  <si>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</si>
  <si>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</si>
  <si>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</si>
  <si>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</si>
  <si>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</si>
  <si>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</si>
  <si>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</si>
  <si>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</si>
  <si>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</si>
  <si>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</si>
  <si>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</si>
  <si>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</si>
  <si>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</si>
  <si>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</si>
  <si>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</si>
  <si>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</si>
  <si>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</si>
  <si>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</si>
  <si>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</si>
  <si>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</si>
  <si>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</si>
  <si>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</si>
  <si>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</si>
  <si>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</si>
  <si>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</si>
  <si>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</si>
  <si>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</si>
  <si>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</si>
  <si>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</si>
  <si>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</si>
  <si>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</si>
  <si>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</si>
  <si>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</si>
  <si>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</si>
  <si>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</si>
  <si>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</si>
  <si>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</si>
  <si>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</si>
  <si>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</si>
  <si>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</si>
  <si>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</si>
  <si>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</si>
  <si>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</si>
  <si>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</si>
  <si>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</si>
  <si>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</si>
  <si>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</si>
  <si>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</si>
  <si>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</si>
  <si>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</si>
  <si>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</si>
  <si>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</si>
  <si>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</si>
  <si>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</si>
  <si>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</si>
  <si>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</si>
  <si>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</si>
  <si>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</si>
  <si>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</si>
  <si>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</si>
  <si>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</si>
  <si>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</si>
  <si>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</si>
  <si>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</si>
  <si>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</si>
  <si>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</si>
  <si>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</si>
  <si>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</si>
  <si>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</si>
  <si>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</si>
  <si>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</si>
  <si>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</si>
  <si>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</si>
  <si>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</si>
  <si>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</si>
  <si>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</si>
  <si>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</si>
  <si>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</si>
  <si>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</si>
  <si>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</si>
  <si>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</si>
  <si>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</si>
  <si>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</si>
  <si>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</si>
  <si>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</si>
  <si>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</si>
  <si>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</si>
  <si>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</si>
  <si>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</si>
  <si>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</si>
  <si>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</si>
  <si>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</si>
  <si>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</si>
  <si>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</si>
  <si>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</si>
  <si>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</si>
  <si>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</si>
  <si>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</si>
  <si>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</si>
  <si>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</si>
  <si>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</si>
  <si>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</si>
  <si>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</si>
  <si>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</si>
  <si>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</si>
  <si>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</si>
  <si>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</si>
  <si>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</si>
  <si>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</si>
  <si>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</si>
  <si>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</si>
  <si>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</si>
  <si>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</si>
  <si>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</si>
  <si>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</si>
  <si>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</si>
  <si>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</si>
  <si>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</si>
  <si>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</si>
  <si>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</si>
  <si>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</si>
  <si>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</si>
  <si>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</si>
  <si>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</si>
  <si>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</si>
  <si>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</si>
  <si>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</si>
  <si>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</si>
  <si>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</si>
  <si>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</si>
  <si>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</si>
  <si>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</si>
  <si>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</si>
  <si>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</si>
  <si>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</si>
  <si>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</si>
  <si>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</si>
  <si>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</si>
  <si>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</si>
  <si>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</si>
  <si>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</si>
  <si>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</si>
  <si>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</si>
  <si>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</si>
  <si>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</si>
  <si>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</si>
  <si>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</si>
  <si>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</si>
  <si>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</si>
  <si>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</si>
  <si>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</si>
  <si>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</si>
  <si>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</si>
  <si>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</si>
  <si>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</si>
  <si>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</si>
  <si>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</si>
  <si>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</si>
  <si>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</si>
  <si>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</si>
  <si>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</si>
  <si>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</si>
  <si>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</si>
  <si>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</si>
  <si>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</si>
  <si>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</si>
  <si>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</si>
  <si>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</si>
  <si>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</si>
  <si>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</si>
  <si>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</si>
  <si>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</si>
  <si>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</si>
  <si>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</si>
  <si>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</si>
  <si>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</si>
  <si>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</si>
  <si>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</si>
  <si>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</si>
  <si>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</si>
  <si>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</si>
  <si>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</si>
  <si>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</si>
  <si>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</si>
  <si>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</si>
  <si>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</si>
  <si>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</si>
  <si>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</si>
  <si>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</si>
  <si>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</si>
  <si>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</si>
  <si>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</si>
  <si>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</si>
  <si>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</si>
  <si>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</si>
  <si>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</si>
  <si>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</si>
  <si>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</si>
  <si>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</si>
  <si>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</si>
  <si>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</si>
  <si>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</si>
  <si>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</si>
  <si>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</si>
  <si>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</si>
  <si>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</si>
  <si>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</si>
  <si>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</si>
  <si>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</si>
  <si>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</si>
  <si>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</si>
  <si>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</si>
  <si>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</si>
  <si>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</si>
  <si>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</si>
  <si>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</si>
  <si>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</si>
  <si>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</si>
  <si>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</si>
  <si>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</si>
  <si>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</si>
  <si>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</si>
  <si>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</si>
  <si>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</si>
  <si>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</si>
  <si>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</si>
  <si>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</si>
  <si>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</si>
  <si>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</si>
  <si>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</si>
  <si>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</si>
  <si>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</si>
  <si>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</si>
  <si>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</si>
  <si>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</si>
  <si>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</si>
  <si>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</si>
  <si>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</si>
  <si>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</si>
  <si>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</si>
  <si>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</si>
  <si>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</si>
  <si>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</si>
  <si>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</si>
  <si>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</si>
  <si>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</si>
  <si>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</si>
  <si>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</si>
  <si>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</si>
  <si>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</si>
  <si>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</si>
  <si>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</si>
  <si>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</si>
  <si>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</si>
  <si>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</si>
  <si>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</si>
  <si>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</si>
  <si>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</si>
  <si>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</si>
  <si>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</si>
  <si>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</si>
  <si>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</si>
  <si>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</si>
  <si>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</si>
  <si>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</si>
  <si>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</si>
  <si>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</si>
  <si>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</si>
  <si>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</si>
  <si>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</si>
  <si>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</si>
  <si>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</si>
  <si>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</si>
  <si>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</si>
  <si>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</si>
  <si>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</si>
  <si>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</si>
  <si>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</si>
  <si>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</si>
  <si>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</si>
  <si>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</si>
  <si>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</si>
  <si>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</si>
  <si>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</si>
  <si>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</si>
  <si>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</si>
  <si>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</si>
  <si>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</si>
  <si>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</si>
  <si>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</si>
  <si>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</si>
  <si>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</si>
  <si>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</si>
  <si>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</si>
  <si>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AREIA,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</si>
  <si>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</si>
  <si>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</si>
  <si>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</si>
  <si>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</si>
  <si>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</si>
  <si>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</si>
  <si>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</si>
  <si>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</si>
  <si>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74005/1</t>
  </si>
  <si>
    <t>UMIDIFICAÇÃO DE MATERIAL PARA VALAS COM CAMINHÃO PIPA 10000L. AF_11/2016</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</si>
  <si>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</si>
  <si>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</si>
  <si>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</si>
  <si>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</si>
  <si>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</si>
  <si>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</si>
  <si>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</si>
  <si>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</si>
  <si>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</si>
  <si>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</si>
  <si>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</si>
  <si>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</si>
  <si>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</si>
  <si>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</si>
  <si>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</si>
  <si>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</si>
  <si>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</si>
  <si>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</si>
  <si>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</si>
  <si>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</si>
  <si>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</si>
  <si>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</si>
  <si>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</si>
  <si>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</si>
  <si>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</si>
  <si>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</si>
  <si>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</si>
  <si>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</si>
  <si>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</si>
  <si>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</si>
  <si>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</si>
  <si>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</si>
  <si>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</si>
  <si>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</si>
  <si>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</si>
  <si>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</si>
  <si>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</si>
  <si>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</si>
  <si>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</si>
  <si>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</si>
  <si>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</si>
  <si>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</si>
  <si>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</si>
  <si>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</si>
  <si>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</si>
  <si>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</si>
  <si>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</si>
  <si>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</si>
  <si>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</si>
  <si>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</si>
  <si>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</si>
  <si>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</si>
  <si>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</si>
  <si>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</si>
  <si>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</si>
  <si>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</si>
  <si>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</si>
  <si>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</si>
  <si>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</si>
  <si>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</si>
  <si>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</si>
  <si>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</si>
  <si>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</si>
  <si>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</si>
  <si>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</si>
  <si>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</si>
  <si>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</si>
  <si>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</si>
  <si>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</si>
  <si>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</si>
  <si>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</si>
  <si>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</si>
  <si>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</si>
  <si>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</si>
  <si>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</si>
  <si>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</si>
  <si>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</si>
  <si>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</si>
  <si>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</si>
  <si>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</si>
  <si>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</si>
  <si>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</si>
  <si>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</si>
  <si>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</si>
  <si>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</si>
  <si>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</si>
  <si>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</si>
  <si>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</si>
  <si>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</si>
  <si>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</si>
  <si>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</si>
  <si>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</si>
  <si>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</si>
  <si>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</si>
  <si>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</si>
  <si>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</si>
  <si>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</si>
  <si>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</si>
  <si>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</si>
  <si>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</si>
  <si>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</si>
  <si>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</si>
  <si>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</si>
  <si>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</si>
  <si>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</si>
  <si>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</si>
  <si>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</si>
  <si>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</si>
  <si>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</si>
  <si>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</si>
  <si>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</si>
  <si>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</si>
  <si>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</si>
  <si>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</si>
  <si>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</si>
  <si>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</si>
  <si>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</si>
  <si>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</si>
  <si>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</si>
  <si>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</si>
  <si>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</si>
  <si>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</si>
  <si>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</si>
  <si>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</si>
  <si>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</si>
  <si>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</si>
  <si>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</si>
  <si>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</si>
  <si>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</si>
  <si>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</si>
  <si>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</si>
  <si>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</si>
  <si>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</si>
  <si>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</si>
  <si>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</si>
  <si>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</si>
  <si>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</si>
  <si>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</si>
  <si>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</si>
  <si>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</si>
  <si>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</si>
  <si>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</si>
  <si>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</si>
  <si>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</si>
  <si>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</si>
  <si>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</si>
  <si>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</si>
  <si>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</si>
  <si>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</si>
  <si>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</si>
  <si>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</si>
  <si>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</si>
  <si>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</si>
  <si>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</si>
  <si>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</si>
  <si>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</si>
  <si>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</si>
  <si>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</si>
  <si>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</si>
  <si>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</si>
  <si>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</si>
  <si>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</si>
  <si>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</si>
  <si>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</si>
  <si>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</si>
  <si>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</si>
  <si>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</si>
  <si>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</si>
  <si>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</si>
  <si>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</si>
  <si>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</si>
  <si>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</si>
  <si>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</si>
  <si>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</si>
  <si>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</si>
  <si>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</si>
  <si>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</si>
  <si>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</si>
  <si>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</si>
  <si>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</si>
  <si>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</si>
  <si>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</si>
  <si>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</si>
  <si>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</si>
  <si>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</si>
  <si>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</si>
  <si>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</si>
  <si>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</si>
  <si>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</si>
  <si>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</si>
  <si>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</si>
  <si>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</si>
  <si>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</si>
  <si>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</si>
  <si>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</si>
  <si>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</si>
  <si>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</si>
  <si>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</si>
  <si>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</si>
  <si>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</si>
  <si>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</si>
  <si>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</si>
  <si>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</si>
  <si>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</si>
  <si>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</si>
  <si>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</si>
  <si>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</si>
  <si>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</si>
  <si>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</si>
  <si>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</si>
  <si>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</si>
  <si>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</si>
  <si>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</si>
  <si>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</si>
  <si>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</si>
  <si>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</si>
  <si>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</si>
  <si>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</si>
  <si>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</si>
  <si>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</si>
  <si>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</si>
  <si>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</si>
  <si>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</si>
  <si>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</si>
  <si>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</si>
  <si>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</si>
  <si>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</si>
  <si>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</si>
  <si>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</si>
  <si>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</si>
  <si>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</si>
  <si>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</si>
  <si>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</si>
  <si>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</si>
  <si>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</si>
  <si>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</si>
  <si>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</si>
  <si>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</si>
  <si>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</si>
  <si>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</si>
  <si>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</si>
  <si>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</si>
  <si>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</si>
  <si>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</si>
  <si>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</si>
  <si>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</si>
  <si>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</si>
  <si>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</si>
  <si>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</si>
  <si>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</si>
  <si>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</si>
  <si>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</si>
  <si>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</si>
  <si>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</si>
  <si>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</si>
  <si>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</si>
  <si>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</si>
  <si>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</si>
  <si>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</si>
  <si>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</si>
  <si>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</si>
  <si>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</si>
  <si>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</si>
  <si>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</si>
  <si>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</si>
  <si>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</si>
  <si>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</si>
  <si>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</si>
  <si>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</si>
  <si>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</si>
  <si>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</si>
  <si>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</si>
  <si>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</si>
  <si>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</si>
  <si>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</si>
  <si>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</si>
  <si>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</si>
  <si>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</si>
  <si>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</si>
  <si>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</si>
  <si>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</si>
  <si>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</si>
  <si>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</si>
  <si>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</si>
  <si>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</si>
  <si>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</si>
  <si>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</si>
  <si>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</si>
  <si>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</si>
  <si>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PRIMER EPOXI</t>
  </si>
  <si>
    <t>PINTURA ACRILICA DE FAIXAS DE DEMARCACAO EM QUADRA POLIESPORTIVA, 5 CM DE LARGURA</t>
  </si>
  <si>
    <t>73978/1</t>
  </si>
  <si>
    <t>PINTURA HIDROFUGANTE COM SILICONE SOBRE PISO CIMENTADO, UMA DEMAO</t>
  </si>
  <si>
    <t>PINTURA ACRILICA EM PISO CIMENTADO DUAS DEMAOS</t>
  </si>
  <si>
    <t>74245/1</t>
  </si>
  <si>
    <t>79500/2</t>
  </si>
  <si>
    <t>PINTURA ACRILICA EM PISO CIMENTADO, TRES DEMAOS</t>
  </si>
  <si>
    <t>APLICACAO DE VERNIZ POLIURETANO FOSCO SOBRE PISO DE PEDRAS DECORATIVAS, 3 DEMAOS</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</si>
  <si>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</si>
  <si>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</si>
  <si>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</si>
  <si>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</si>
  <si>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</si>
  <si>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</si>
  <si>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</si>
  <si>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</si>
  <si>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</si>
  <si>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</si>
  <si>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</si>
  <si>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</si>
  <si>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</si>
  <si>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</si>
  <si>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</si>
  <si>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</si>
  <si>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</si>
  <si>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</si>
  <si>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</si>
  <si>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</si>
  <si>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</si>
  <si>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</si>
  <si>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</si>
  <si>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</si>
  <si>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</si>
  <si>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</si>
  <si>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</si>
  <si>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</si>
  <si>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</si>
  <si>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</si>
  <si>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</si>
  <si>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</si>
  <si>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</si>
  <si>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</si>
  <si>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</si>
  <si>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</si>
  <si>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</si>
  <si>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</si>
  <si>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</si>
  <si>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</si>
  <si>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</si>
  <si>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</si>
  <si>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</si>
  <si>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</si>
  <si>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</si>
  <si>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</si>
  <si>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</si>
  <si>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</si>
  <si>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</si>
  <si>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</si>
  <si>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</si>
  <si>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</si>
  <si>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</si>
  <si>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</si>
  <si>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</si>
  <si>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</si>
  <si>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</si>
  <si>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</si>
  <si>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</si>
  <si>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</si>
  <si>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</si>
  <si>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</si>
  <si>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</si>
  <si>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</si>
  <si>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</si>
  <si>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</si>
  <si>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</si>
  <si>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</si>
  <si>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</si>
  <si>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</si>
  <si>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</si>
  <si>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</si>
  <si>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</si>
  <si>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</si>
  <si>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</si>
  <si>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</si>
  <si>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</si>
  <si>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</si>
  <si>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</si>
  <si>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</si>
  <si>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</si>
  <si>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</si>
  <si>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</si>
  <si>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</si>
  <si>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</si>
  <si>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</si>
  <si>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</si>
  <si>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</si>
  <si>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</si>
  <si>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</si>
  <si>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</si>
  <si>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</si>
  <si>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</si>
  <si>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</si>
  <si>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</si>
  <si>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</si>
  <si>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</si>
  <si>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</si>
  <si>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</si>
  <si>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</si>
  <si>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</si>
  <si>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</si>
  <si>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</si>
  <si>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</si>
  <si>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</si>
  <si>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</si>
  <si>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</si>
  <si>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</si>
  <si>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</si>
  <si>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</si>
  <si>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</si>
  <si>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</si>
  <si>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</si>
  <si>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</si>
  <si>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</si>
  <si>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</si>
  <si>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</si>
  <si>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</si>
  <si>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</si>
  <si>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</si>
  <si>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</si>
  <si>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</si>
  <si>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</si>
  <si>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</si>
  <si>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</si>
  <si>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</si>
  <si>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</si>
  <si>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</si>
  <si>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</si>
  <si>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</si>
  <si>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</si>
  <si>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</si>
  <si>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</si>
  <si>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</si>
  <si>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</si>
  <si>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</si>
  <si>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</si>
  <si>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</si>
  <si>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</si>
  <si>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</si>
  <si>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</si>
  <si>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</si>
  <si>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</si>
  <si>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</si>
  <si>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</si>
  <si>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</si>
  <si>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</si>
  <si>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</si>
  <si>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</si>
  <si>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</si>
  <si>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</si>
  <si>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</si>
  <si>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</si>
  <si>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</si>
  <si>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</si>
  <si>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</si>
  <si>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</si>
  <si>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</si>
  <si>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</si>
  <si>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</si>
  <si>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</si>
  <si>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</si>
  <si>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</si>
  <si>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</si>
  <si>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</si>
  <si>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</si>
  <si>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</si>
  <si>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</si>
  <si>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</si>
  <si>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</si>
  <si>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</si>
  <si>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</si>
  <si>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</si>
  <si>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</si>
  <si>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</si>
  <si>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</si>
  <si>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</si>
  <si>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</si>
  <si>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</si>
  <si>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</si>
  <si>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</si>
  <si>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</si>
  <si>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</si>
  <si>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</si>
  <si>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</si>
  <si>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</si>
  <si>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</si>
  <si>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</si>
  <si>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</si>
  <si>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</si>
  <si>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</si>
  <si>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</si>
  <si>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</si>
  <si>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</si>
  <si>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</si>
  <si>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</si>
  <si>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</si>
  <si>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</si>
  <si>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</si>
  <si>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</si>
  <si>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</si>
  <si>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</si>
  <si>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</si>
  <si>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</si>
  <si>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</si>
  <si>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</si>
  <si>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</si>
  <si>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</si>
  <si>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</si>
  <si>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</si>
  <si>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</si>
  <si>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</si>
  <si>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</si>
  <si>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</si>
  <si>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</si>
  <si>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</si>
  <si>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</si>
  <si>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</si>
  <si>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</si>
  <si>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</si>
  <si>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</si>
  <si>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</si>
  <si>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</si>
  <si>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</si>
  <si>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</si>
  <si>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</si>
  <si>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</si>
  <si>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</si>
  <si>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</si>
  <si>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</si>
  <si>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</si>
  <si>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</si>
  <si>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</si>
  <si>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</si>
  <si>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</si>
  <si>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</si>
  <si>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</si>
  <si>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</si>
  <si>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</si>
  <si>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</si>
  <si>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</si>
  <si>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</si>
  <si>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</si>
  <si>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</si>
  <si>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</si>
  <si>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</si>
  <si>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</si>
  <si>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</si>
  <si>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</si>
  <si>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</si>
  <si>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</si>
  <si>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</si>
  <si>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</si>
  <si>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</si>
  <si>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</si>
  <si>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</si>
  <si>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</si>
  <si>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</si>
  <si>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</si>
  <si>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</si>
  <si>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</si>
  <si>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</si>
  <si>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</si>
  <si>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</si>
  <si>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</si>
  <si>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</si>
  <si>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</si>
  <si>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</si>
  <si>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</si>
  <si>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</si>
  <si>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</si>
  <si>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</si>
  <si>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</si>
  <si>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</si>
  <si>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</si>
  <si>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</si>
  <si>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</si>
  <si>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</si>
  <si>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</si>
  <si>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</si>
  <si>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</si>
  <si>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</si>
  <si>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</si>
  <si>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</si>
  <si>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</si>
  <si>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</si>
  <si>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</si>
  <si>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</si>
  <si>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</si>
  <si>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</si>
  <si>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</si>
  <si>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</si>
  <si>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</si>
  <si>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</si>
  <si>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</si>
  <si>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</si>
  <si>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</si>
  <si>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</si>
  <si>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</si>
  <si>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</si>
  <si>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</si>
  <si>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</si>
  <si>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</si>
  <si>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</si>
  <si>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</si>
  <si>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</si>
  <si>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</si>
  <si>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</si>
  <si>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</si>
  <si>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</si>
  <si>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</si>
  <si>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</si>
  <si>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</si>
  <si>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</si>
  <si>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</si>
  <si>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</si>
  <si>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</si>
  <si>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</si>
  <si>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</si>
  <si>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</si>
  <si>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</si>
  <si>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</si>
  <si>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</si>
  <si>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</si>
  <si>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</si>
  <si>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</si>
  <si>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</si>
  <si>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</si>
  <si>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</si>
  <si>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</si>
  <si>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</si>
  <si>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</si>
  <si>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</si>
  <si>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</si>
  <si>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</si>
  <si>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</si>
  <si>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</si>
  <si>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</si>
  <si>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</si>
  <si>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</si>
  <si>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</si>
  <si>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</si>
  <si>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</si>
  <si>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</si>
  <si>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</si>
  <si>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</si>
  <si>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</si>
  <si>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</si>
  <si>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</si>
  <si>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</si>
  <si>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</si>
  <si>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</si>
  <si>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</si>
  <si>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</si>
  <si>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</si>
  <si>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</si>
  <si>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</si>
  <si>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</si>
  <si>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</si>
  <si>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</si>
  <si>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</si>
  <si>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</si>
  <si>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</si>
  <si>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</si>
  <si>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</si>
  <si>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</si>
  <si>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</si>
  <si>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</si>
  <si>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</si>
  <si>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</si>
  <si>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</si>
  <si>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</si>
  <si>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</si>
  <si>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</si>
  <si>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</si>
  <si>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</si>
  <si>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</si>
  <si>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</si>
  <si>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</si>
  <si>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</si>
  <si>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</si>
  <si>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</si>
  <si>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</si>
  <si>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</si>
  <si>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</si>
  <si>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</si>
  <si>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</si>
  <si>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</si>
  <si>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</si>
  <si>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</si>
  <si>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</si>
  <si>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</si>
  <si>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</si>
  <si>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</si>
  <si>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</si>
  <si>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</si>
  <si>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</si>
  <si>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</si>
  <si>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</si>
  <si>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</si>
  <si>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</si>
  <si>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</si>
  <si>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</si>
  <si>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</si>
  <si>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</si>
  <si>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</si>
  <si>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</si>
  <si>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</si>
  <si>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</si>
  <si>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</si>
  <si>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</si>
  <si>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</si>
  <si>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</si>
  <si>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</si>
  <si>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</si>
  <si>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</si>
  <si>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</si>
  <si>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</si>
  <si>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</si>
  <si>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</si>
  <si>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</si>
  <si>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</si>
  <si>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</si>
  <si>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</si>
  <si>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</si>
  <si>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</si>
  <si>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</si>
  <si>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</si>
  <si>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</si>
  <si>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</si>
  <si>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</si>
  <si>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</si>
  <si>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</si>
  <si>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</si>
  <si>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</si>
  <si>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</si>
  <si>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</si>
  <si>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</si>
  <si>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</si>
  <si>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</si>
  <si>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</si>
  <si>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</si>
  <si>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</si>
  <si>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</si>
  <si>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</si>
  <si>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</si>
  <si>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</si>
  <si>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</si>
  <si>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</si>
  <si>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</si>
  <si>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</si>
  <si>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</si>
  <si>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</si>
  <si>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</si>
  <si>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</si>
  <si>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</si>
  <si>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</si>
  <si>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</si>
  <si>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</si>
  <si>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</si>
  <si>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</si>
  <si>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</si>
  <si>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</si>
  <si>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</si>
  <si>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</si>
  <si>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</si>
  <si>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</si>
  <si>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</si>
  <si>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</si>
  <si>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</si>
  <si>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</si>
  <si>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</si>
  <si>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</si>
  <si>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</si>
  <si>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</si>
  <si>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</si>
  <si>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</si>
  <si>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</si>
  <si>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</si>
  <si>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</si>
  <si>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</si>
  <si>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</si>
  <si>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</si>
  <si>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</si>
  <si>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</si>
  <si>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</si>
  <si>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</si>
  <si>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</si>
  <si>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</si>
  <si>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</si>
  <si>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</si>
  <si>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</si>
  <si>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</si>
  <si>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</si>
  <si>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</si>
  <si>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</si>
  <si>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</si>
  <si>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</si>
  <si>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</si>
  <si>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</si>
  <si>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</si>
  <si>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</si>
  <si>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</si>
  <si>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</si>
  <si>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</si>
  <si>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</si>
  <si>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</si>
  <si>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</si>
  <si>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</si>
  <si>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</si>
  <si>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</si>
  <si>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</si>
  <si>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</si>
  <si>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</si>
  <si>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</si>
  <si>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</si>
  <si>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</si>
  <si>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</si>
  <si>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</si>
  <si>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</si>
  <si>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</si>
  <si>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</si>
  <si>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</si>
  <si>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</si>
  <si>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</si>
  <si>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</si>
  <si>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</si>
  <si>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</si>
  <si>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</si>
  <si>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</si>
  <si>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</si>
  <si>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</si>
  <si>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</si>
  <si>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</si>
  <si>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</si>
  <si>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</si>
  <si>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</si>
  <si>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</si>
  <si>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</si>
  <si>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</si>
  <si>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</si>
  <si>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</si>
  <si>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</si>
  <si>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</si>
  <si>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</si>
  <si>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</si>
  <si>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</si>
  <si>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</si>
  <si>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</si>
  <si>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</si>
  <si>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</si>
  <si>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</si>
  <si>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</si>
  <si>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</si>
  <si>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</si>
  <si>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</si>
  <si>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</si>
  <si>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</si>
  <si>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</si>
  <si>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</si>
  <si>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</si>
  <si>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</si>
  <si>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</si>
  <si>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</si>
  <si>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</si>
  <si>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</si>
  <si>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</si>
  <si>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</si>
  <si>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</si>
  <si>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</si>
  <si>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</si>
  <si>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</si>
  <si>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</si>
  <si>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</si>
  <si>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</si>
  <si>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</si>
  <si>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</si>
  <si>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</si>
  <si>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</si>
  <si>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</si>
  <si>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</si>
  <si>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</si>
  <si>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</si>
  <si>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</si>
  <si>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</si>
  <si>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</si>
  <si>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</si>
  <si>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</si>
  <si>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</si>
  <si>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</si>
  <si>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</si>
  <si>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</si>
  <si>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</si>
  <si>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</si>
  <si>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</si>
  <si>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</si>
  <si>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</si>
  <si>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</si>
  <si>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</si>
  <si>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</si>
  <si>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</si>
  <si>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</si>
  <si>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</si>
  <si>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</si>
  <si>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</si>
  <si>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</si>
  <si>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</si>
  <si>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</si>
  <si>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</si>
  <si>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</si>
  <si>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</si>
  <si>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</si>
  <si>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</si>
  <si>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</si>
  <si>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</si>
  <si>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</si>
  <si>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</si>
  <si>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</si>
  <si>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</si>
  <si>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</si>
  <si>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</si>
  <si>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</si>
  <si>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</si>
  <si>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OPERAÇÃO EM GERAL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</si>
  <si>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</si>
  <si>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</si>
  <si>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</si>
  <si>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</si>
  <si>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</si>
  <si>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</si>
  <si>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</si>
  <si>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</si>
  <si>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</si>
  <si>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</si>
  <si>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</si>
  <si>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</si>
  <si>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</si>
  <si>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</si>
  <si>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</si>
  <si>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</si>
  <si>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</si>
  <si>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</si>
  <si>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</si>
  <si>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</si>
  <si>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</si>
  <si>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</si>
  <si>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</si>
  <si>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</si>
  <si>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</si>
  <si>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</si>
  <si>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</si>
  <si>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</si>
  <si>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</si>
  <si>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</si>
  <si>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</si>
  <si>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</si>
  <si>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</si>
  <si>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</si>
  <si>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</si>
  <si>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</si>
  <si>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</si>
  <si>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</si>
  <si>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</si>
  <si>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</si>
  <si>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</si>
  <si>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</si>
  <si>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</si>
  <si>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</si>
  <si>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</si>
  <si>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</si>
  <si>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</si>
  <si>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</si>
  <si>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</si>
  <si>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</si>
  <si>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</si>
  <si>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</si>
  <si>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</si>
  <si>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</si>
  <si>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</si>
  <si>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</si>
  <si>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</si>
  <si>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</si>
  <si>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</si>
  <si>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</si>
  <si>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</si>
  <si>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</si>
  <si>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</si>
  <si>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</si>
  <si>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</si>
  <si>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</si>
  <si>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</si>
  <si>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</si>
  <si>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</si>
  <si>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</si>
  <si>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</si>
  <si>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</si>
  <si>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</si>
  <si>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</si>
  <si>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</si>
  <si>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</si>
  <si>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</si>
  <si>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</si>
  <si>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</si>
  <si>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</si>
  <si>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</si>
  <si>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</si>
  <si>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</si>
  <si>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</si>
  <si>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</si>
  <si>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</si>
  <si>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</si>
  <si>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</si>
  <si>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</si>
  <si>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</si>
  <si>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</si>
  <si>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</si>
  <si>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</si>
  <si>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</si>
  <si>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</si>
  <si>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</si>
  <si>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</si>
  <si>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</si>
  <si>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</si>
  <si>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</si>
  <si>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</si>
  <si>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</si>
  <si>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</si>
  <si>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</si>
  <si>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</si>
  <si>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</si>
  <si>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</si>
  <si>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</si>
  <si>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</si>
  <si>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</si>
  <si>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</si>
  <si>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</si>
  <si>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</si>
  <si>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</si>
  <si>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</si>
  <si>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</si>
  <si>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</si>
  <si>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</si>
  <si>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</si>
  <si>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</si>
  <si>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</si>
  <si>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</si>
  <si>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</si>
  <si>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</si>
  <si>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</si>
  <si>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</si>
  <si>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</si>
  <si>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</si>
  <si>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</si>
  <si>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</si>
  <si>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</si>
  <si>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</si>
  <si>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</si>
  <si>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</si>
  <si>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</si>
  <si>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</si>
  <si>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</si>
  <si>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</si>
  <si>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</si>
  <si>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</si>
  <si>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</si>
  <si>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</si>
  <si>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</si>
  <si>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</si>
  <si>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</si>
  <si>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</si>
  <si>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</si>
  <si>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</si>
  <si>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</si>
  <si>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</si>
  <si>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</si>
  <si>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</si>
  <si>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</si>
  <si>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</si>
  <si>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</si>
  <si>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</si>
  <si>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</si>
  <si>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</si>
  <si>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</si>
  <si>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</si>
  <si>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</si>
  <si>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</si>
  <si>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</si>
  <si>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</si>
  <si>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</si>
  <si>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</si>
  <si>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</si>
  <si>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</si>
  <si>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</si>
  <si>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</si>
  <si>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</si>
  <si>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</si>
  <si>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</si>
  <si>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</si>
  <si>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</si>
  <si>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</si>
  <si>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</si>
  <si>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</si>
  <si>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</si>
  <si>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</si>
  <si>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</si>
  <si>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</si>
  <si>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</si>
  <si>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</si>
  <si>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</si>
  <si>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</si>
  <si>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</si>
  <si>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</si>
  <si>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</si>
  <si>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</si>
  <si>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</si>
  <si>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</si>
  <si>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</si>
  <si>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</si>
  <si>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</si>
  <si>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</si>
  <si>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</si>
  <si>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</si>
  <si>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</si>
  <si>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</si>
  <si>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</si>
  <si>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</si>
  <si>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</si>
  <si>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</si>
  <si>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</si>
  <si>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</si>
  <si>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</si>
  <si>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</si>
  <si>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</si>
  <si>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</si>
  <si>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</si>
  <si>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</si>
  <si>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</si>
  <si>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</si>
  <si>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</si>
  <si>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</si>
  <si>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</si>
  <si>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</si>
  <si>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</si>
  <si>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</si>
  <si>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UN    </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</si>
  <si>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</si>
  <si>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</si>
  <si>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</si>
  <si>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</si>
  <si>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</si>
  <si>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</si>
  <si>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</si>
  <si>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</si>
  <si>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</si>
  <si>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</si>
  <si>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</si>
  <si>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</si>
  <si>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</si>
  <si>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</si>
  <si>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</si>
  <si>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</si>
  <si>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</si>
  <si>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</si>
  <si>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</si>
  <si>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</si>
  <si>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</si>
  <si>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</si>
  <si>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</si>
  <si>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</si>
  <si>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</si>
  <si>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</si>
  <si>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</si>
  <si>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</si>
  <si>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</si>
  <si>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</si>
  <si>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</si>
  <si>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</si>
  <si>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</si>
  <si>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</si>
  <si>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</si>
  <si>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</si>
  <si>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</si>
  <si>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</si>
  <si>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</si>
  <si>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</si>
  <si>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</si>
  <si>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</si>
  <si>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</si>
  <si>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</si>
  <si>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</si>
  <si>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</si>
  <si>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</si>
  <si>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</si>
  <si>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</si>
  <si>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</si>
  <si>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</si>
  <si>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</si>
  <si>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</si>
  <si>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</si>
  <si>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</si>
  <si>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</si>
  <si>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</si>
  <si>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</si>
  <si>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</si>
  <si>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</si>
  <si>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</si>
  <si>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</si>
  <si>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</si>
  <si>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</si>
  <si>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</si>
  <si>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</si>
  <si>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</si>
  <si>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</si>
  <si>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</si>
  <si>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</si>
  <si>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</si>
  <si>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</si>
  <si>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</si>
  <si>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</si>
  <si>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</si>
  <si>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</si>
  <si>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</si>
  <si>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</si>
  <si>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</si>
  <si>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</si>
  <si>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</si>
  <si>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</si>
  <si>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</si>
  <si>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</si>
  <si>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</si>
  <si>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</si>
  <si>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</si>
  <si>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</si>
  <si>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</si>
  <si>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</si>
  <si>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</si>
  <si>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</si>
  <si>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</si>
  <si>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</si>
  <si>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</si>
  <si>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</si>
  <si>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</si>
  <si>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</si>
  <si>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</si>
  <si>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</si>
  <si>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</si>
  <si>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</si>
  <si>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</si>
  <si>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</si>
  <si>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</si>
  <si>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</si>
  <si>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</si>
  <si>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</si>
  <si>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</si>
  <si>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</si>
  <si>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</si>
  <si>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</si>
  <si>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</si>
  <si>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</si>
  <si>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</si>
  <si>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</si>
  <si>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</si>
  <si>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</si>
  <si>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</si>
  <si>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</si>
  <si>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</si>
  <si>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</si>
  <si>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</si>
  <si>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</si>
  <si>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</si>
  <si>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</si>
  <si>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</si>
  <si>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</si>
  <si>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</si>
  <si>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</si>
  <si>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</si>
  <si>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</si>
  <si>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</si>
  <si>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</si>
  <si>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FRASCO COM 175 GR</t>
  </si>
  <si>
    <t>ADESIVO/COLA PARA EPS (ISOPOR) E OUTROS MATERIAIS</t>
  </si>
  <si>
    <t>ADITIVO ADESIVO LIQUIDO PARA ARGAMASSAS DE REVESTIMENTOS CIMENTICIOS</t>
  </si>
  <si>
    <t xml:space="preserve">18L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</si>
  <si>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</si>
  <si>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</si>
  <si>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</si>
  <si>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</si>
  <si>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</si>
  <si>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</si>
  <si>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</si>
  <si>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</si>
  <si>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</si>
  <si>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</si>
  <si>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</si>
  <si>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</si>
  <si>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</si>
  <si>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</si>
  <si>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</si>
  <si>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</si>
  <si>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</si>
  <si>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</si>
  <si>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</si>
  <si>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</si>
  <si>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</si>
  <si>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</si>
  <si>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</si>
  <si>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</si>
  <si>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</si>
  <si>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</si>
  <si>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</si>
  <si>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</si>
  <si>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</si>
  <si>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</si>
  <si>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</si>
  <si>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</si>
  <si>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</si>
  <si>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</si>
  <si>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</si>
  <si>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</si>
  <si>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</si>
  <si>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</si>
  <si>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</si>
  <si>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</si>
  <si>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</si>
  <si>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</si>
  <si>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</si>
  <si>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</si>
  <si>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</si>
  <si>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</si>
  <si>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</si>
  <si>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</si>
  <si>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</si>
  <si>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</si>
  <si>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</si>
  <si>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</si>
  <si>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</si>
  <si>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</si>
  <si>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</si>
  <si>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</si>
  <si>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</si>
  <si>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</si>
  <si>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</si>
  <si>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</si>
  <si>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</si>
  <si>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</si>
  <si>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</si>
  <si>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</si>
  <si>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</si>
  <si>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</si>
  <si>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</si>
  <si>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</si>
  <si>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</si>
  <si>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</si>
  <si>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</si>
  <si>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</si>
  <si>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</si>
  <si>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</si>
  <si>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</si>
  <si>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</si>
  <si>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</si>
  <si>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</si>
  <si>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</si>
  <si>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</si>
  <si>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</si>
  <si>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</si>
  <si>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</si>
  <si>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</si>
  <si>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</si>
  <si>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</si>
  <si>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</si>
  <si>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</si>
  <si>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</si>
  <si>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</si>
  <si>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</si>
  <si>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</si>
  <si>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</si>
  <si>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</si>
  <si>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</si>
  <si>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</si>
  <si>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</si>
  <si>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</si>
  <si>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</si>
  <si>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</si>
  <si>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</si>
  <si>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</si>
  <si>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</si>
  <si>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</si>
  <si>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</si>
  <si>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</si>
  <si>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</si>
  <si>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</si>
  <si>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</si>
  <si>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</si>
  <si>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</si>
  <si>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</si>
  <si>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</si>
  <si>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</si>
  <si>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</si>
  <si>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</si>
  <si>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</si>
  <si>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</si>
  <si>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</si>
  <si>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</si>
  <si>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</si>
  <si>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</si>
  <si>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</si>
  <si>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</si>
  <si>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</si>
  <si>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</si>
  <si>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</si>
  <si>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</si>
  <si>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</si>
  <si>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</si>
  <si>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</si>
  <si>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</si>
  <si>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</si>
  <si>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</si>
  <si>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</si>
  <si>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</si>
  <si>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</si>
  <si>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</si>
  <si>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</si>
  <si>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</si>
  <si>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</si>
  <si>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</si>
  <si>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</si>
  <si>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</si>
  <si>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GALVANIZADO 14 BWG, D = 2,11 MM (0,026 KG/M)</t>
  </si>
  <si>
    <t>ARAME PROTEGIDO COM POLIMERO PARA GABIAO, DIAMETRO 2,2 MM</t>
  </si>
  <si>
    <t>AREIA AMARELA, AREIA BARRADA OU ARENOSO (RETIRADA NO AREAL, SEM TRANSPORTE)</t>
  </si>
  <si>
    <t>AREIA FINA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</si>
  <si>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</si>
  <si>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</si>
  <si>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</si>
  <si>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</si>
  <si>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</si>
  <si>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</si>
  <si>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</si>
  <si>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</si>
  <si>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</si>
  <si>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</si>
  <si>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</si>
  <si>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</si>
  <si>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</si>
  <si>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</si>
  <si>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</si>
  <si>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</si>
  <si>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</si>
  <si>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</si>
  <si>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</si>
  <si>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</si>
  <si>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</si>
  <si>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</si>
  <si>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</si>
  <si>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</si>
  <si>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</si>
  <si>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</si>
  <si>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</si>
  <si>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</si>
  <si>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</si>
  <si>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</si>
  <si>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</si>
  <si>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</si>
  <si>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</si>
  <si>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</si>
  <si>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</si>
  <si>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</si>
  <si>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</si>
  <si>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</si>
  <si>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</si>
  <si>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</si>
  <si>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</si>
  <si>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</si>
  <si>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</si>
  <si>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</si>
  <si>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</si>
  <si>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</si>
  <si>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</si>
  <si>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</si>
  <si>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</si>
  <si>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</si>
  <si>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</si>
  <si>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</si>
  <si>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</si>
  <si>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</si>
  <si>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</si>
  <si>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</si>
  <si>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</si>
  <si>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</si>
  <si>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</si>
  <si>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</si>
  <si>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</si>
  <si>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</si>
  <si>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</si>
  <si>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</si>
  <si>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</si>
  <si>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</si>
  <si>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</si>
  <si>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</si>
  <si>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</si>
  <si>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</si>
  <si>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</si>
  <si>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</si>
  <si>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</si>
  <si>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</si>
  <si>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</si>
  <si>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</si>
  <si>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</si>
  <si>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</si>
  <si>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</si>
  <si>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</si>
  <si>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</si>
  <si>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</si>
  <si>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</si>
  <si>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</si>
  <si>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</si>
  <si>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</si>
  <si>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</si>
  <si>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</si>
  <si>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</si>
  <si>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</si>
  <si>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</si>
  <si>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</si>
  <si>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</si>
  <si>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</si>
  <si>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</si>
  <si>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</si>
  <si>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</si>
  <si>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</si>
  <si>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</si>
  <si>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</si>
  <si>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</si>
  <si>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</si>
  <si>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</si>
  <si>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</si>
  <si>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</si>
  <si>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</si>
  <si>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</si>
  <si>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</si>
  <si>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</si>
  <si>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</si>
  <si>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</si>
  <si>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</si>
  <si>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</si>
  <si>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</si>
  <si>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</si>
  <si>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</si>
  <si>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</si>
  <si>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</si>
  <si>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</si>
  <si>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</si>
  <si>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</si>
  <si>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</si>
  <si>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</si>
  <si>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</si>
  <si>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</si>
  <si>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</si>
  <si>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</si>
  <si>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</si>
  <si>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</si>
  <si>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</si>
  <si>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</si>
  <si>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</si>
  <si>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</si>
  <si>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</si>
  <si>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</si>
  <si>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</si>
  <si>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</si>
  <si>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</si>
  <si>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</si>
  <si>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</si>
  <si>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</si>
  <si>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</si>
  <si>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</si>
  <si>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</si>
  <si>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</si>
  <si>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</si>
  <si>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</si>
  <si>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</si>
  <si>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</si>
  <si>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</si>
  <si>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</si>
  <si>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</si>
  <si>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</si>
  <si>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</si>
  <si>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</si>
  <si>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</si>
  <si>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</si>
  <si>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</si>
  <si>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</si>
  <si>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</si>
  <si>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</si>
  <si>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</si>
  <si>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</si>
  <si>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</si>
  <si>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</si>
  <si>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</si>
  <si>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</si>
  <si>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</si>
  <si>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</si>
  <si>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</si>
  <si>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</si>
  <si>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</si>
  <si>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</si>
  <si>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</si>
  <si>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</si>
  <si>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</si>
  <si>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</si>
  <si>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</si>
  <si>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</si>
  <si>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</si>
  <si>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</si>
  <si>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</si>
  <si>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</si>
  <si>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</si>
  <si>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</si>
  <si>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</si>
  <si>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</si>
  <si>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</si>
  <si>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</si>
  <si>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</si>
  <si>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</si>
  <si>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</si>
  <si>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</si>
  <si>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</si>
  <si>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</si>
  <si>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</si>
  <si>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</si>
  <si>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</si>
  <si>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</si>
  <si>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</si>
  <si>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</si>
  <si>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</si>
  <si>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</si>
  <si>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</si>
  <si>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</si>
  <si>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</si>
  <si>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</si>
  <si>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</si>
  <si>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</si>
  <si>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</si>
  <si>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</si>
  <si>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</si>
  <si>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</si>
  <si>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</si>
  <si>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</si>
  <si>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</si>
  <si>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</si>
  <si>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</si>
  <si>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</si>
  <si>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</si>
  <si>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</si>
  <si>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</si>
  <si>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</si>
  <si>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</si>
  <si>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</si>
  <si>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</si>
  <si>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</si>
  <si>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</si>
  <si>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</si>
  <si>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</si>
  <si>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</si>
  <si>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</si>
  <si>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</si>
  <si>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</si>
  <si>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</si>
  <si>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</si>
  <si>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</si>
  <si>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</si>
  <si>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</si>
  <si>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</si>
  <si>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</si>
  <si>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</si>
  <si>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</si>
  <si>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</si>
  <si>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</si>
  <si>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</si>
  <si>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</si>
  <si>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</si>
  <si>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</si>
  <si>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</si>
  <si>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</si>
  <si>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</si>
  <si>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</si>
  <si>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</si>
  <si>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</si>
  <si>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</si>
  <si>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</si>
  <si>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</si>
  <si>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</si>
  <si>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</si>
  <si>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</si>
  <si>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</si>
  <si>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</si>
  <si>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</si>
  <si>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</si>
  <si>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</si>
  <si>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</si>
  <si>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</si>
  <si>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</si>
  <si>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</si>
  <si>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</si>
  <si>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</si>
  <si>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</si>
  <si>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</si>
  <si>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</si>
  <si>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</si>
  <si>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</si>
  <si>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</si>
  <si>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</si>
  <si>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</si>
  <si>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</si>
  <si>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</si>
  <si>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</si>
  <si>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</si>
  <si>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</si>
  <si>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</si>
  <si>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</si>
  <si>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</si>
  <si>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</si>
  <si>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</si>
  <si>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</si>
  <si>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</si>
  <si>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</si>
  <si>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</si>
  <si>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</si>
  <si>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</si>
  <si>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</si>
  <si>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</si>
  <si>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</si>
  <si>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</si>
  <si>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</si>
  <si>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</si>
  <si>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</si>
  <si>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</si>
  <si>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</si>
  <si>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</si>
  <si>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</si>
  <si>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</si>
  <si>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</si>
  <si>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</si>
  <si>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</si>
  <si>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75 X 60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</si>
  <si>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</si>
  <si>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</si>
  <si>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</si>
  <si>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</si>
  <si>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</si>
  <si>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</si>
  <si>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</si>
  <si>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</si>
  <si>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</si>
  <si>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</si>
  <si>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</si>
  <si>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</si>
  <si>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</si>
  <si>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</si>
  <si>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</si>
  <si>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</si>
  <si>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</si>
  <si>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</si>
  <si>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</si>
  <si>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</si>
  <si>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</si>
  <si>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</si>
  <si>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</si>
  <si>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</si>
  <si>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</si>
  <si>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</si>
  <si>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</si>
  <si>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</si>
  <si>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</si>
  <si>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</si>
  <si>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</si>
  <si>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</si>
  <si>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</si>
  <si>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</si>
  <si>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</si>
  <si>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</si>
  <si>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</si>
  <si>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</si>
  <si>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</si>
  <si>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</si>
  <si>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</si>
  <si>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</si>
  <si>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</si>
  <si>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</si>
  <si>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</si>
  <si>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</si>
  <si>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</si>
  <si>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</si>
  <si>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</si>
  <si>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</si>
  <si>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</si>
  <si>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</si>
  <si>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</si>
  <si>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</si>
  <si>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</si>
  <si>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</si>
  <si>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</si>
  <si>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</si>
  <si>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</si>
  <si>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</si>
  <si>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</si>
  <si>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</si>
  <si>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</si>
  <si>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</si>
  <si>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</si>
  <si>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</si>
  <si>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</si>
  <si>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</si>
  <si>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</si>
  <si>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</si>
  <si>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</si>
  <si>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</si>
  <si>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</si>
  <si>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</si>
  <si>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</si>
  <si>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</si>
  <si>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</si>
  <si>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</si>
  <si>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</si>
  <si>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</si>
  <si>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</si>
  <si>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</si>
  <si>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</si>
  <si>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</si>
  <si>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</si>
  <si>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</si>
  <si>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</si>
  <si>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</si>
  <si>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</si>
  <si>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</si>
  <si>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</si>
  <si>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</si>
  <si>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</si>
  <si>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</si>
  <si>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</si>
  <si>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</si>
  <si>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</si>
  <si>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</si>
  <si>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</si>
  <si>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</si>
  <si>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</si>
  <si>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</si>
  <si>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</si>
  <si>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</si>
  <si>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</si>
  <si>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</si>
  <si>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</si>
  <si>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</si>
  <si>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</si>
  <si>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</si>
  <si>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</si>
  <si>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</si>
  <si>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</si>
  <si>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</si>
  <si>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</si>
  <si>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</si>
  <si>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</si>
  <si>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</si>
  <si>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</si>
  <si>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</si>
  <si>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</si>
  <si>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</si>
  <si>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</si>
  <si>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</si>
  <si>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</si>
  <si>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</si>
  <si>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</si>
  <si>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</si>
  <si>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</si>
  <si>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</si>
  <si>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</si>
  <si>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</si>
  <si>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</si>
  <si>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</si>
  <si>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</si>
  <si>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</si>
  <si>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</si>
  <si>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</si>
  <si>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</si>
  <si>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</si>
  <si>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</si>
  <si>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</si>
  <si>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</si>
  <si>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</si>
  <si>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</si>
  <si>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</si>
  <si>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</si>
  <si>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</si>
  <si>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</si>
  <si>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</si>
  <si>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</si>
  <si>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</si>
  <si>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</si>
  <si>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</si>
  <si>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</si>
  <si>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</si>
  <si>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</si>
  <si>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</si>
  <si>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</si>
  <si>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</si>
  <si>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</si>
  <si>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</si>
  <si>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</si>
  <si>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</si>
  <si>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</si>
  <si>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</si>
  <si>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</si>
  <si>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</si>
  <si>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</si>
  <si>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</si>
  <si>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</si>
  <si>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</si>
  <si>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</si>
  <si>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</si>
  <si>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</si>
  <si>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</si>
  <si>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</si>
  <si>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</si>
  <si>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</si>
  <si>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</si>
  <si>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</si>
  <si>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</si>
  <si>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</si>
  <si>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</si>
  <si>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</si>
  <si>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</si>
  <si>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</si>
  <si>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</si>
  <si>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</si>
  <si>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</si>
  <si>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</si>
  <si>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</si>
  <si>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</si>
  <si>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</si>
  <si>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</si>
  <si>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</si>
  <si>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</si>
  <si>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</si>
  <si>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</si>
  <si>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</si>
  <si>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</si>
  <si>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</si>
  <si>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</si>
  <si>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</si>
  <si>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</si>
  <si>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</si>
  <si>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</si>
  <si>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</si>
  <si>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</si>
  <si>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</si>
  <si>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</si>
  <si>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</si>
  <si>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</si>
  <si>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</si>
  <si>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</si>
  <si>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</si>
  <si>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</si>
  <si>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</si>
  <si>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</si>
  <si>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</si>
  <si>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</si>
  <si>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</si>
  <si>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</si>
  <si>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</si>
  <si>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</si>
  <si>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</si>
  <si>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</si>
  <si>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</si>
  <si>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</si>
  <si>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</si>
  <si>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</si>
  <si>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</si>
  <si>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</si>
  <si>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</si>
  <si>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</si>
  <si>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</si>
  <si>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</si>
  <si>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</si>
  <si>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</si>
  <si>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</si>
  <si>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</si>
  <si>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</si>
  <si>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</si>
  <si>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</si>
  <si>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</si>
  <si>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</si>
  <si>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</si>
  <si>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</si>
  <si>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</si>
  <si>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</si>
  <si>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</si>
  <si>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</si>
  <si>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</si>
  <si>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</si>
  <si>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</si>
  <si>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</si>
  <si>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</si>
  <si>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</si>
  <si>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</si>
  <si>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</si>
  <si>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</si>
  <si>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</si>
  <si>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</si>
  <si>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</si>
  <si>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</si>
  <si>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</si>
  <si>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</si>
  <si>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</si>
  <si>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</si>
  <si>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</si>
  <si>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</si>
  <si>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</si>
  <si>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</si>
  <si>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</si>
  <si>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</si>
  <si>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</si>
  <si>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</si>
  <si>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</si>
  <si>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</si>
  <si>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</si>
  <si>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</si>
  <si>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</si>
  <si>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</si>
  <si>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</si>
  <si>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</si>
  <si>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</si>
  <si>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</si>
  <si>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</si>
  <si>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</si>
  <si>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</si>
  <si>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</si>
  <si>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</si>
  <si>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</si>
  <si>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</si>
  <si>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</si>
  <si>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</si>
  <si>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</si>
  <si>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</si>
  <si>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</si>
  <si>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</si>
  <si>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</si>
  <si>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</si>
  <si>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</si>
  <si>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</si>
  <si>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</si>
  <si>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</si>
  <si>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</si>
  <si>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</si>
  <si>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</si>
  <si>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</si>
  <si>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</si>
  <si>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</si>
  <si>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</si>
  <si>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</si>
  <si>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</si>
  <si>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</si>
  <si>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</si>
  <si>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</si>
  <si>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</si>
  <si>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</si>
  <si>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</si>
  <si>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</si>
  <si>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</si>
  <si>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</si>
  <si>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</si>
  <si>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</si>
  <si>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</si>
  <si>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</si>
  <si>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</si>
  <si>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</si>
  <si>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</si>
  <si>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</si>
  <si>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</si>
  <si>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</si>
  <si>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</si>
  <si>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</si>
  <si>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</si>
  <si>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</si>
  <si>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</si>
  <si>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</si>
  <si>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</si>
  <si>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</si>
  <si>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</si>
  <si>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</si>
  <si>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</si>
  <si>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</si>
  <si>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</si>
  <si>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</si>
  <si>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</si>
  <si>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</si>
  <si>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</si>
  <si>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</si>
  <si>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</si>
  <si>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</si>
  <si>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</si>
  <si>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</si>
  <si>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</si>
  <si>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</si>
  <si>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</si>
  <si>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</si>
  <si>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</si>
  <si>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</si>
  <si>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</si>
  <si>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</si>
  <si>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</si>
  <si>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</si>
  <si>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</si>
  <si>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</si>
  <si>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</si>
  <si>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</si>
  <si>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</si>
  <si>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</si>
  <si>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</si>
  <si>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</si>
  <si>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</si>
  <si>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</si>
  <si>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</si>
  <si>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</si>
  <si>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</si>
  <si>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</si>
  <si>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</si>
  <si>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</si>
  <si>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</si>
  <si>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</si>
  <si>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</si>
  <si>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</si>
  <si>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</si>
  <si>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</si>
  <si>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</si>
  <si>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</si>
  <si>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</si>
  <si>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</si>
  <si>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</si>
  <si>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</si>
  <si>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</si>
  <si>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</si>
  <si>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</si>
  <si>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</si>
  <si>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</si>
  <si>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</si>
  <si>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</si>
  <si>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</si>
  <si>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</si>
  <si>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</si>
  <si>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</si>
  <si>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</si>
  <si>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</si>
  <si>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</si>
  <si>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</si>
  <si>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</si>
  <si>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</si>
  <si>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</si>
  <si>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</si>
  <si>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</si>
  <si>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</si>
  <si>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</si>
  <si>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</si>
  <si>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</si>
  <si>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</si>
  <si>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</si>
  <si>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</si>
  <si>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</si>
  <si>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</si>
  <si>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</si>
  <si>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</si>
  <si>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</si>
  <si>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</si>
  <si>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</si>
  <si>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</si>
  <si>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</si>
  <si>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</si>
  <si>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</si>
  <si>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</si>
  <si>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</si>
  <si>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</si>
  <si>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</si>
  <si>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</si>
  <si>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</si>
  <si>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</si>
  <si>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</si>
  <si>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</si>
  <si>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</si>
  <si>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</si>
  <si>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</si>
  <si>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</si>
  <si>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</si>
  <si>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</si>
  <si>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</si>
  <si>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</si>
  <si>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</si>
  <si>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</si>
  <si>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</si>
  <si>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</si>
  <si>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</si>
  <si>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</si>
  <si>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</si>
  <si>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</si>
  <si>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</si>
  <si>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</si>
  <si>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</si>
  <si>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</si>
  <si>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</si>
  <si>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</si>
  <si>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</si>
  <si>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</si>
  <si>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</si>
  <si>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</si>
  <si>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</si>
  <si>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</si>
  <si>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</si>
  <si>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</si>
  <si>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</si>
  <si>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</si>
  <si>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</si>
  <si>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</si>
  <si>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</si>
  <si>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</si>
  <si>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</si>
  <si>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</si>
  <si>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</si>
  <si>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</si>
  <si>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</si>
  <si>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</si>
  <si>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</si>
  <si>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</si>
  <si>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</si>
  <si>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</si>
  <si>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</si>
  <si>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</si>
  <si>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</si>
  <si>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</si>
  <si>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</si>
  <si>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</si>
  <si>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</si>
  <si>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</si>
  <si>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</si>
  <si>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</si>
  <si>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</si>
  <si>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</si>
  <si>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</si>
  <si>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</si>
  <si>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</si>
  <si>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</si>
  <si>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</si>
  <si>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</si>
  <si>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</si>
  <si>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</si>
  <si>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</si>
  <si>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</si>
  <si>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</si>
  <si>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</si>
  <si>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</si>
  <si>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</si>
  <si>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</si>
  <si>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</si>
  <si>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</si>
  <si>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</si>
  <si>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IMPERMEABILIZANTE DE PEGA ULTRARRAPIDA PARA TAMPONAMENTOS</t>
  </si>
  <si>
    <t>CIMENTO PORTLAND COMPOSTO CP II-32 (SACO DE 50 KG)</t>
  </si>
  <si>
    <t xml:space="preserve">50KG  </t>
  </si>
  <si>
    <t>CIMENTO PORTLAND ESTRUTURAL BRANCO CPB-32</t>
  </si>
  <si>
    <t>CIMENTO PORTLAND POZOLANICO CP IV- 32</t>
  </si>
  <si>
    <t>CIMENTO PORTLAND POZOLANICO CP IV-32</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</si>
  <si>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</si>
  <si>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</si>
  <si>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</si>
  <si>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</si>
  <si>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</si>
  <si>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</si>
  <si>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</si>
  <si>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</si>
  <si>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</si>
  <si>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</si>
  <si>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</si>
  <si>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</si>
  <si>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</si>
  <si>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</si>
  <si>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</si>
  <si>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</si>
  <si>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</si>
  <si>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</si>
  <si>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</si>
  <si>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</si>
  <si>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</si>
  <si>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</si>
  <si>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</si>
  <si>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</si>
  <si>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</si>
  <si>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</si>
  <si>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</si>
  <si>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</si>
  <si>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</si>
  <si>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</si>
  <si>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</si>
  <si>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</si>
  <si>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</si>
  <si>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</si>
  <si>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</si>
  <si>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</si>
  <si>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</si>
  <si>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</si>
  <si>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</si>
  <si>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</si>
  <si>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</si>
  <si>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</si>
  <si>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</si>
  <si>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</si>
  <si>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</si>
  <si>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</si>
  <si>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</si>
  <si>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</si>
  <si>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</si>
  <si>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</si>
  <si>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</si>
  <si>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</si>
  <si>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</si>
  <si>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</si>
  <si>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</si>
  <si>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</si>
  <si>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</si>
  <si>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</si>
  <si>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</si>
  <si>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</si>
  <si>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</si>
  <si>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</si>
  <si>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</si>
  <si>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</si>
  <si>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</si>
  <si>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</si>
  <si>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</si>
  <si>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</si>
  <si>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</si>
  <si>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</si>
  <si>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</si>
  <si>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</si>
  <si>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</si>
  <si>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</si>
  <si>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</si>
  <si>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</si>
  <si>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</si>
  <si>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</si>
  <si>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</si>
  <si>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</si>
  <si>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</si>
  <si>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</si>
  <si>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</si>
  <si>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</si>
  <si>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</si>
  <si>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</si>
  <si>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</si>
  <si>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</si>
  <si>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</si>
  <si>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</si>
  <si>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</si>
  <si>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</si>
  <si>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</si>
  <si>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</si>
  <si>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</si>
  <si>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</si>
  <si>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</si>
  <si>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</si>
  <si>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</si>
  <si>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</si>
  <si>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</si>
  <si>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</si>
  <si>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</si>
  <si>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</si>
  <si>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</si>
  <si>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</si>
  <si>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</si>
  <si>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</si>
  <si>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</si>
  <si>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</si>
  <si>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</si>
  <si>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</si>
  <si>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</si>
  <si>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</si>
  <si>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</si>
  <si>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</si>
  <si>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</si>
  <si>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</si>
  <si>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</si>
  <si>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</si>
  <si>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</si>
  <si>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</si>
  <si>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</si>
  <si>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</si>
  <si>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</si>
  <si>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</si>
  <si>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</si>
  <si>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</si>
  <si>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</si>
  <si>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</si>
  <si>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</si>
  <si>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</si>
  <si>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</si>
  <si>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</si>
  <si>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</si>
  <si>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</si>
  <si>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</si>
  <si>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</si>
  <si>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</si>
  <si>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</si>
  <si>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</si>
  <si>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</si>
  <si>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</si>
  <si>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</si>
  <si>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</si>
  <si>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</si>
  <si>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</si>
  <si>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</si>
  <si>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</si>
  <si>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</si>
  <si>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</si>
  <si>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</si>
  <si>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</si>
  <si>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</si>
  <si>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</si>
  <si>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</si>
  <si>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</si>
  <si>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</si>
  <si>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</si>
  <si>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</si>
  <si>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</si>
  <si>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</si>
  <si>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</si>
  <si>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</si>
  <si>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</si>
  <si>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</si>
  <si>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</si>
  <si>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</si>
  <si>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</si>
  <si>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</si>
  <si>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</si>
  <si>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</si>
  <si>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</si>
  <si>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</si>
  <si>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</si>
  <si>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</si>
  <si>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</si>
  <si>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</si>
  <si>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</si>
  <si>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</si>
  <si>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</si>
  <si>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</si>
  <si>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</si>
  <si>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</si>
  <si>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</si>
  <si>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</si>
  <si>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</si>
  <si>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</si>
  <si>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</si>
  <si>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</si>
  <si>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</si>
  <si>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</si>
  <si>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</si>
  <si>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</si>
  <si>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</si>
  <si>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</si>
  <si>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</si>
  <si>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</si>
  <si>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</si>
  <si>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</si>
  <si>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</si>
  <si>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</si>
  <si>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</si>
  <si>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</si>
  <si>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</si>
  <si>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</si>
  <si>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</si>
  <si>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</si>
  <si>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</si>
  <si>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</si>
  <si>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</si>
  <si>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</si>
  <si>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</si>
  <si>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</si>
  <si>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</si>
  <si>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</si>
  <si>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</si>
  <si>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</si>
  <si>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</si>
  <si>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</si>
  <si>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</si>
  <si>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</si>
  <si>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</si>
  <si>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</si>
  <si>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</si>
  <si>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</si>
  <si>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</si>
  <si>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</si>
  <si>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</si>
  <si>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</si>
  <si>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</si>
  <si>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</si>
  <si>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</si>
  <si>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</si>
  <si>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</si>
  <si>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</si>
  <si>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</si>
  <si>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</si>
  <si>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</si>
  <si>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</si>
  <si>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</si>
  <si>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</si>
  <si>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</si>
  <si>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</si>
  <si>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</si>
  <si>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</si>
  <si>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</si>
  <si>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</si>
  <si>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</si>
  <si>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</si>
  <si>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</si>
  <si>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</si>
  <si>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</si>
  <si>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</si>
  <si>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</si>
  <si>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</si>
  <si>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</si>
  <si>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</si>
  <si>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</si>
  <si>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</si>
  <si>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</si>
  <si>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</si>
  <si>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</si>
  <si>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</si>
  <si>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</si>
  <si>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</si>
  <si>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</si>
  <si>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</si>
  <si>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</si>
  <si>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</si>
  <si>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</si>
  <si>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</si>
  <si>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</si>
  <si>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</si>
  <si>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</si>
  <si>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</si>
  <si>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</si>
  <si>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</si>
  <si>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</si>
  <si>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</si>
  <si>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</si>
  <si>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</si>
  <si>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</si>
  <si>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</si>
  <si>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</si>
  <si>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</si>
  <si>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</si>
  <si>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</si>
  <si>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</si>
  <si>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</si>
  <si>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</si>
  <si>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</si>
  <si>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</si>
  <si>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</si>
  <si>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</si>
  <si>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</si>
  <si>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</si>
  <si>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</si>
  <si>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</si>
  <si>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</si>
  <si>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</si>
  <si>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</si>
  <si>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</si>
  <si>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</si>
  <si>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</si>
  <si>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</si>
  <si>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</si>
  <si>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</si>
  <si>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</si>
  <si>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</si>
  <si>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</si>
  <si>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</si>
  <si>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</si>
  <si>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</si>
  <si>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</si>
  <si>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</si>
  <si>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</si>
  <si>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</si>
  <si>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</si>
  <si>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</si>
  <si>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</si>
  <si>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</si>
  <si>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</si>
  <si>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</si>
  <si>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</si>
  <si>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</si>
  <si>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</si>
  <si>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</si>
  <si>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</si>
  <si>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</si>
  <si>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</si>
  <si>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</si>
  <si>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</si>
  <si>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</si>
  <si>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</si>
  <si>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</si>
  <si>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</si>
  <si>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</si>
  <si>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</si>
  <si>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</si>
  <si>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</si>
  <si>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</si>
  <si>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</si>
  <si>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</si>
  <si>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</si>
  <si>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</si>
  <si>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</si>
  <si>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</si>
  <si>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</si>
  <si>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</si>
  <si>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</si>
  <si>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</si>
  <si>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</si>
  <si>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</si>
  <si>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</si>
  <si>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</si>
  <si>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</si>
  <si>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</si>
  <si>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</si>
  <si>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</si>
  <si>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</si>
  <si>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</si>
  <si>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</si>
  <si>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</si>
  <si>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</si>
  <si>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</si>
  <si>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</si>
  <si>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</si>
  <si>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</si>
  <si>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</si>
  <si>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</si>
  <si>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</si>
  <si>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</si>
  <si>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</si>
  <si>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</si>
  <si>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</si>
  <si>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</si>
  <si>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</si>
  <si>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</si>
  <si>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</si>
  <si>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</si>
  <si>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</si>
  <si>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</si>
  <si>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</si>
  <si>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</si>
  <si>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</si>
  <si>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</si>
  <si>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</si>
  <si>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</si>
  <si>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</si>
  <si>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</si>
  <si>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</si>
  <si>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</si>
  <si>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</si>
  <si>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</si>
  <si>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</si>
  <si>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</si>
  <si>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</si>
  <si>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</si>
  <si>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</si>
  <si>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</si>
  <si>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</si>
  <si>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</si>
  <si>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</si>
  <si>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</si>
  <si>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</si>
  <si>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</si>
  <si>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</si>
  <si>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</si>
  <si>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</si>
  <si>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</si>
  <si>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</si>
  <si>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</si>
  <si>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</si>
  <si>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</si>
  <si>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</si>
  <si>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</si>
  <si>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</si>
  <si>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</si>
  <si>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</si>
  <si>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</si>
  <si>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</si>
  <si>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</si>
  <si>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</si>
  <si>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</si>
  <si>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</si>
  <si>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</si>
  <si>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</si>
  <si>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</si>
  <si>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</si>
  <si>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</si>
  <si>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</si>
  <si>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</si>
  <si>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</si>
  <si>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</si>
  <si>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</si>
  <si>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</si>
  <si>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</si>
  <si>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</si>
  <si>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</si>
  <si>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</si>
  <si>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</si>
  <si>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</si>
  <si>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</si>
  <si>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</si>
  <si>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</si>
  <si>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</si>
  <si>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</si>
  <si>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</si>
  <si>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</si>
  <si>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</si>
  <si>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</si>
  <si>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</si>
  <si>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</si>
  <si>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</si>
  <si>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</si>
  <si>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</si>
  <si>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</si>
  <si>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</si>
  <si>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</si>
  <si>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</si>
  <si>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</si>
  <si>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</si>
  <si>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</si>
  <si>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</si>
  <si>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</si>
  <si>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</si>
  <si>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</si>
  <si>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</si>
  <si>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</si>
  <si>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</si>
  <si>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</si>
  <si>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</si>
  <si>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</si>
  <si>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</si>
  <si>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</si>
  <si>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</si>
  <si>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</si>
  <si>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</si>
  <si>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</si>
  <si>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</si>
  <si>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</si>
  <si>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</si>
  <si>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</si>
  <si>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</si>
  <si>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</si>
  <si>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</si>
  <si>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</si>
  <si>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</si>
  <si>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</si>
  <si>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</si>
  <si>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</si>
  <si>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</si>
  <si>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</si>
  <si>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</si>
  <si>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</si>
  <si>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</si>
  <si>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</si>
  <si>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</si>
  <si>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</si>
  <si>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</si>
  <si>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</si>
  <si>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</si>
  <si>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</si>
  <si>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</si>
  <si>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</si>
  <si>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</si>
  <si>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</si>
  <si>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</si>
  <si>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</si>
  <si>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</si>
  <si>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</si>
  <si>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</si>
  <si>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</si>
  <si>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</si>
  <si>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</si>
  <si>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</si>
  <si>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</si>
  <si>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</si>
  <si>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</si>
  <si>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</si>
  <si>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</si>
  <si>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</si>
  <si>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</si>
  <si>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</si>
  <si>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</si>
  <si>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</si>
  <si>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</si>
  <si>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</si>
  <si>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</si>
  <si>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</si>
  <si>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</si>
  <si>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</si>
  <si>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</si>
  <si>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</si>
  <si>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</si>
  <si>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</si>
  <si>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</si>
  <si>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</si>
  <si>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</si>
  <si>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</si>
  <si>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</si>
  <si>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</si>
  <si>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</si>
  <si>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</si>
  <si>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</si>
  <si>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</si>
  <si>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</si>
  <si>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</si>
  <si>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</si>
  <si>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</si>
  <si>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</si>
  <si>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</si>
  <si>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</si>
  <si>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</si>
  <si>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</si>
  <si>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</si>
  <si>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</si>
  <si>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</si>
  <si>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</si>
  <si>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</si>
  <si>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</si>
  <si>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</si>
  <si>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</si>
  <si>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</si>
  <si>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</si>
  <si>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</si>
  <si>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</si>
  <si>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</si>
  <si>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</si>
  <si>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</si>
  <si>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</si>
  <si>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</si>
  <si>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</si>
  <si>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</si>
  <si>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</si>
  <si>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</si>
  <si>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</si>
  <si>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</si>
  <si>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</si>
  <si>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</si>
  <si>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</si>
  <si>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</si>
  <si>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</si>
  <si>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</si>
  <si>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</si>
  <si>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</si>
  <si>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</si>
  <si>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</si>
  <si>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</si>
  <si>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</si>
  <si>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</si>
  <si>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</si>
  <si>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</si>
  <si>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</si>
  <si>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</si>
  <si>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</si>
  <si>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</si>
  <si>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</si>
  <si>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</si>
  <si>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</si>
  <si>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</si>
  <si>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</si>
  <si>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</si>
  <si>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</si>
  <si>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</si>
  <si>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</si>
  <si>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</si>
  <si>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</si>
  <si>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</si>
  <si>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</si>
  <si>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</si>
  <si>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</si>
  <si>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</si>
  <si>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</si>
  <si>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</si>
  <si>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</si>
  <si>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</si>
  <si>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</si>
  <si>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</si>
  <si>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</si>
  <si>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</si>
  <si>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</si>
  <si>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</si>
  <si>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</si>
  <si>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</si>
  <si>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</si>
  <si>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</si>
  <si>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</si>
  <si>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</si>
  <si>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</si>
  <si>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</si>
  <si>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</si>
  <si>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</si>
  <si>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</si>
  <si>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</si>
  <si>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</si>
  <si>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</si>
  <si>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</si>
  <si>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</si>
  <si>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</si>
  <si>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</si>
  <si>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</si>
  <si>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</si>
  <si>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</si>
  <si>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</si>
  <si>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</si>
  <si>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</si>
  <si>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</si>
  <si>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</si>
  <si>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</si>
  <si>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</si>
  <si>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</si>
  <si>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</si>
  <si>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</si>
  <si>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</si>
  <si>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</si>
  <si>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</si>
  <si>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</si>
  <si>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</si>
  <si>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</si>
  <si>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</si>
  <si>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</si>
  <si>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</si>
  <si>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</si>
  <si>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</si>
  <si>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</si>
  <si>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</si>
  <si>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</si>
  <si>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</si>
  <si>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</si>
  <si>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</si>
  <si>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</si>
  <si>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</si>
  <si>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</si>
  <si>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</si>
  <si>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</si>
  <si>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</si>
  <si>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ELETRODUTO DE PVC RIGIDO ROSCAVEL DE 1 1/2 ", SEM LUVA</t>
  </si>
  <si>
    <t>ELETRODUTO DE PVC RIGIDO ROSCAVEL DE 1 1/4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</si>
  <si>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</si>
  <si>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</si>
  <si>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</si>
  <si>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</si>
  <si>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</si>
  <si>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</si>
  <si>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</si>
  <si>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</si>
  <si>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</si>
  <si>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</si>
  <si>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</si>
  <si>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</si>
  <si>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</si>
  <si>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</si>
  <si>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</si>
  <si>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</si>
  <si>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</si>
  <si>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</si>
  <si>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</si>
  <si>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</si>
  <si>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</si>
  <si>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</si>
  <si>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</si>
  <si>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</si>
  <si>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</si>
  <si>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</si>
  <si>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</si>
  <si>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</si>
  <si>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</si>
  <si>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</si>
  <si>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</si>
  <si>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</si>
  <si>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</si>
  <si>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</si>
  <si>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</si>
  <si>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</si>
  <si>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</si>
  <si>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</si>
  <si>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</si>
  <si>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</si>
  <si>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</si>
  <si>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</si>
  <si>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</si>
  <si>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</si>
  <si>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</si>
  <si>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</si>
  <si>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</si>
  <si>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</si>
  <si>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</si>
  <si>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</si>
  <si>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</si>
  <si>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</si>
  <si>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</si>
  <si>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</si>
  <si>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</si>
  <si>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</si>
  <si>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</si>
  <si>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</si>
  <si>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</si>
  <si>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</si>
  <si>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</si>
  <si>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</si>
  <si>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</si>
  <si>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</si>
  <si>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</si>
  <si>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</si>
  <si>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</si>
  <si>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</si>
  <si>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</si>
  <si>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</si>
  <si>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</si>
  <si>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</si>
  <si>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</si>
  <si>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</si>
  <si>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</si>
  <si>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</si>
  <si>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</si>
  <si>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</si>
  <si>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</si>
  <si>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</si>
  <si>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</si>
  <si>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</si>
  <si>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</si>
  <si>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</si>
  <si>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</si>
  <si>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</si>
  <si>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</si>
  <si>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</si>
  <si>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</si>
  <si>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</si>
  <si>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</si>
  <si>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</si>
  <si>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</si>
  <si>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</si>
  <si>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</si>
  <si>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</si>
  <si>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</si>
  <si>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</si>
  <si>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</si>
  <si>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</si>
  <si>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</si>
  <si>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</si>
  <si>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</si>
  <si>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</si>
  <si>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</si>
  <si>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</si>
  <si>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</si>
  <si>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</si>
  <si>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</si>
  <si>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</si>
  <si>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</si>
  <si>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</si>
  <si>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</si>
  <si>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</si>
  <si>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</si>
  <si>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</si>
  <si>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</si>
  <si>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</si>
  <si>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</si>
  <si>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</si>
  <si>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</si>
  <si>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</si>
  <si>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</si>
  <si>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</si>
  <si>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</si>
  <si>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</si>
  <si>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</si>
  <si>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</si>
  <si>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</si>
  <si>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</si>
  <si>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</si>
  <si>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</si>
  <si>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</si>
  <si>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</si>
  <si>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</si>
  <si>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</si>
  <si>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</si>
  <si>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</si>
  <si>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</si>
  <si>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</si>
  <si>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</si>
  <si>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</si>
  <si>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</si>
  <si>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</si>
  <si>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</si>
  <si>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</si>
  <si>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</si>
  <si>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</si>
  <si>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</si>
  <si>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</si>
  <si>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</si>
  <si>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</si>
  <si>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</si>
  <si>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</si>
  <si>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</si>
  <si>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</si>
  <si>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</si>
  <si>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</si>
  <si>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</si>
  <si>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</si>
  <si>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</si>
  <si>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</si>
  <si>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</si>
  <si>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</si>
  <si>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</si>
  <si>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</si>
  <si>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</si>
  <si>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</si>
  <si>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</si>
  <si>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</si>
  <si>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</si>
  <si>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</si>
  <si>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</si>
  <si>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</si>
  <si>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</si>
  <si>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</si>
  <si>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</si>
  <si>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</si>
  <si>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</si>
  <si>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</si>
  <si>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</si>
  <si>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</si>
  <si>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</si>
  <si>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</si>
  <si>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</si>
  <si>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</si>
  <si>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</si>
  <si>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</si>
  <si>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</si>
  <si>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</si>
  <si>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</si>
  <si>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</si>
  <si>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</si>
  <si>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</si>
  <si>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</si>
  <si>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</si>
  <si>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</si>
  <si>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</si>
  <si>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</si>
  <si>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</si>
  <si>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</si>
  <si>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</si>
  <si>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</si>
  <si>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</si>
  <si>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</si>
  <si>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</si>
  <si>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</si>
  <si>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</si>
  <si>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</si>
  <si>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</si>
  <si>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</si>
  <si>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</si>
  <si>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</si>
  <si>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</si>
  <si>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</si>
  <si>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</si>
  <si>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</si>
  <si>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</si>
  <si>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</si>
  <si>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</si>
  <si>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</si>
  <si>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</si>
  <si>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</si>
  <si>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</si>
  <si>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</si>
  <si>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</si>
  <si>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</si>
  <si>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</si>
  <si>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</si>
  <si>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</si>
  <si>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</si>
  <si>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</si>
  <si>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</si>
  <si>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</si>
  <si>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</si>
  <si>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</si>
  <si>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</si>
  <si>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</si>
  <si>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</si>
  <si>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</si>
  <si>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</si>
  <si>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</si>
  <si>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</si>
  <si>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</si>
  <si>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</si>
  <si>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</si>
  <si>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</si>
  <si>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</si>
  <si>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</si>
  <si>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</si>
  <si>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</si>
  <si>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</si>
  <si>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</si>
  <si>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</si>
  <si>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</si>
  <si>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</si>
  <si>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</si>
  <si>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</si>
  <si>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</si>
  <si>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</si>
  <si>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</si>
  <si>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</si>
  <si>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</si>
  <si>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</si>
  <si>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</si>
  <si>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</si>
  <si>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</si>
  <si>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</si>
  <si>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</si>
  <si>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</si>
  <si>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</si>
  <si>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</si>
  <si>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</si>
  <si>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</si>
  <si>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</si>
  <si>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</si>
  <si>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</si>
  <si>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</si>
  <si>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</si>
  <si>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</si>
  <si>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</si>
  <si>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</si>
  <si>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</si>
  <si>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</si>
  <si>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</si>
  <si>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</si>
  <si>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</si>
  <si>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</si>
  <si>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</si>
  <si>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</si>
  <si>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</si>
  <si>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</si>
  <si>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</si>
  <si>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</si>
  <si>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</si>
  <si>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</si>
  <si>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</si>
  <si>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</si>
  <si>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</si>
  <si>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</si>
  <si>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</si>
  <si>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</si>
  <si>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</si>
  <si>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</si>
  <si>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</si>
  <si>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</si>
  <si>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</si>
  <si>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</si>
  <si>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</si>
  <si>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</si>
  <si>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</si>
  <si>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</si>
  <si>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</si>
  <si>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</si>
  <si>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</si>
  <si>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</si>
  <si>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</si>
  <si>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</si>
  <si>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</si>
  <si>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</si>
  <si>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</si>
  <si>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</si>
  <si>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</si>
  <si>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</si>
  <si>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</si>
  <si>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</si>
  <si>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</si>
  <si>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</si>
  <si>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</si>
  <si>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</si>
  <si>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</si>
  <si>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</si>
  <si>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</si>
  <si>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</si>
  <si>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</si>
  <si>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</si>
  <si>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</si>
  <si>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</si>
  <si>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</si>
  <si>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</si>
  <si>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</si>
  <si>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</si>
  <si>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</si>
  <si>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</si>
  <si>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</si>
  <si>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</si>
  <si>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</si>
  <si>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</si>
  <si>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</si>
  <si>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</si>
  <si>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</si>
  <si>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</si>
  <si>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</si>
  <si>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</si>
  <si>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</si>
  <si>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</si>
  <si>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</si>
  <si>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</si>
  <si>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</si>
  <si>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</si>
  <si>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</si>
  <si>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</si>
  <si>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</si>
  <si>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</si>
  <si>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</si>
  <si>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</si>
  <si>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</si>
  <si>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</si>
  <si>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</si>
  <si>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</si>
  <si>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</si>
  <si>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</si>
  <si>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</si>
  <si>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</si>
  <si>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</si>
  <si>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</si>
  <si>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</si>
  <si>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</si>
  <si>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</si>
  <si>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</si>
  <si>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</si>
  <si>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</si>
  <si>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</si>
  <si>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</si>
  <si>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</si>
  <si>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</si>
  <si>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</si>
  <si>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</si>
  <si>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</si>
  <si>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</si>
  <si>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</si>
  <si>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</si>
  <si>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</si>
  <si>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</si>
  <si>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</si>
  <si>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</si>
  <si>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</si>
  <si>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</si>
  <si>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</si>
  <si>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</si>
  <si>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</si>
  <si>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</si>
  <si>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</si>
  <si>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</si>
  <si>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</si>
  <si>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</si>
  <si>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</si>
  <si>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</si>
  <si>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</si>
  <si>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</si>
  <si>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</si>
  <si>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</si>
  <si>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</si>
  <si>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</si>
  <si>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</si>
  <si>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</si>
  <si>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</si>
  <si>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</si>
  <si>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</si>
  <si>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</si>
  <si>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</si>
  <si>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</si>
  <si>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</si>
  <si>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</si>
  <si>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</si>
  <si>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</si>
  <si>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</si>
  <si>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</si>
  <si>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</si>
  <si>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</si>
  <si>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</si>
  <si>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</si>
  <si>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</si>
  <si>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</si>
  <si>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</si>
  <si>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</si>
  <si>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</si>
  <si>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</si>
  <si>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</si>
  <si>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</si>
  <si>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</si>
  <si>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</si>
  <si>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</si>
  <si>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</si>
  <si>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</si>
  <si>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</si>
  <si>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</si>
  <si>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</si>
  <si>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</si>
  <si>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</si>
  <si>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</si>
  <si>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</si>
  <si>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</si>
  <si>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</si>
  <si>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</si>
  <si>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</si>
  <si>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</si>
  <si>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</si>
  <si>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</si>
  <si>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</si>
  <si>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</si>
  <si>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</si>
  <si>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</si>
  <si>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</si>
  <si>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</si>
  <si>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</si>
  <si>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</si>
  <si>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</si>
  <si>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</si>
  <si>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</si>
  <si>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</si>
  <si>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</si>
  <si>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</si>
  <si>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</si>
  <si>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</si>
  <si>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</si>
  <si>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</si>
  <si>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</si>
  <si>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</si>
  <si>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</si>
  <si>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</si>
  <si>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</si>
  <si>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</si>
  <si>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</si>
  <si>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</si>
  <si>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</si>
  <si>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</si>
  <si>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</si>
  <si>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</si>
  <si>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</si>
  <si>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</si>
  <si>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</si>
  <si>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</si>
  <si>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</si>
  <si>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</si>
  <si>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</si>
  <si>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</si>
  <si>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</si>
  <si>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</si>
  <si>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</si>
  <si>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</si>
  <si>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</si>
  <si>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</si>
  <si>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</si>
  <si>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</si>
  <si>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</si>
  <si>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</si>
  <si>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</si>
  <si>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</si>
  <si>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</si>
  <si>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</si>
  <si>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</si>
  <si>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</si>
  <si>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</si>
  <si>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</si>
  <si>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</si>
  <si>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</si>
  <si>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</si>
  <si>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</si>
  <si>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</si>
  <si>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</si>
  <si>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</si>
  <si>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</si>
  <si>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</si>
  <si>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</si>
  <si>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</si>
  <si>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</si>
  <si>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</si>
  <si>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</si>
  <si>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</si>
  <si>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</si>
  <si>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</si>
  <si>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</si>
  <si>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</si>
  <si>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</si>
  <si>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</si>
  <si>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</si>
  <si>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</si>
  <si>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</si>
  <si>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</si>
  <si>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</si>
  <si>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</si>
  <si>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</si>
  <si>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</si>
  <si>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</si>
  <si>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</si>
  <si>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</si>
  <si>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</si>
  <si>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</si>
  <si>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</si>
  <si>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</si>
  <si>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</si>
  <si>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</si>
  <si>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</si>
  <si>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</si>
  <si>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</si>
  <si>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</si>
  <si>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</si>
  <si>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</si>
  <si>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</si>
  <si>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</si>
  <si>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</si>
  <si>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</si>
  <si>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</si>
  <si>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</si>
  <si>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</si>
  <si>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</si>
  <si>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</si>
  <si>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</si>
  <si>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</si>
  <si>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</si>
  <si>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</si>
  <si>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</si>
  <si>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</si>
  <si>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</si>
  <si>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</si>
  <si>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</si>
  <si>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</si>
  <si>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</si>
  <si>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</si>
  <si>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</si>
  <si>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</si>
  <si>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</si>
  <si>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</si>
  <si>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</si>
  <si>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</si>
  <si>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</si>
  <si>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</si>
  <si>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</si>
  <si>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</si>
  <si>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</si>
  <si>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</si>
  <si>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</si>
  <si>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</si>
  <si>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</si>
  <si>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</si>
  <si>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</si>
  <si>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</si>
  <si>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</si>
  <si>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</si>
  <si>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</si>
  <si>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</si>
  <si>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</si>
  <si>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</si>
  <si>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</si>
  <si>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</si>
  <si>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</si>
  <si>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</si>
  <si>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</si>
  <si>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</si>
  <si>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</si>
  <si>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</si>
  <si>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</si>
  <si>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</si>
  <si>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</si>
  <si>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</si>
  <si>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</si>
  <si>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</si>
  <si>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</si>
  <si>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</si>
  <si>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</si>
  <si>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</si>
  <si>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</si>
  <si>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</si>
  <si>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</si>
  <si>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</si>
  <si>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</si>
  <si>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</si>
  <si>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</si>
  <si>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</si>
  <si>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</si>
  <si>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</si>
  <si>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</si>
  <si>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</si>
  <si>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</si>
  <si>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</si>
  <si>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</si>
  <si>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</si>
  <si>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</si>
  <si>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</si>
  <si>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</si>
  <si>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</si>
  <si>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</si>
  <si>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</si>
  <si>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</si>
  <si>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</si>
  <si>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</si>
  <si>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</si>
  <si>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</si>
  <si>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</si>
  <si>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</si>
  <si>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</si>
  <si>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</si>
  <si>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</si>
  <si>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</si>
  <si>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</si>
  <si>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</si>
  <si>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</si>
  <si>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</si>
  <si>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</si>
  <si>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</si>
  <si>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</si>
  <si>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</si>
  <si>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</si>
  <si>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</si>
  <si>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</si>
  <si>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</si>
  <si>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</si>
  <si>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</si>
  <si>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</si>
  <si>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</si>
  <si>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</si>
  <si>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</si>
  <si>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</si>
  <si>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</si>
  <si>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</si>
  <si>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</si>
  <si>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</si>
  <si>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</si>
  <si>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</si>
  <si>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</si>
  <si>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</si>
  <si>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</si>
  <si>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</si>
  <si>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</si>
  <si>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</si>
  <si>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</si>
  <si>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</si>
  <si>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</si>
  <si>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</si>
  <si>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</si>
  <si>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</si>
  <si>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</si>
  <si>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</si>
  <si>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</si>
  <si>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</si>
  <si>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</si>
  <si>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</si>
  <si>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</si>
  <si>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</si>
  <si>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</si>
  <si>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75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</si>
  <si>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</si>
  <si>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</si>
  <si>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</si>
  <si>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</si>
  <si>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</si>
  <si>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</si>
  <si>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</si>
  <si>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</si>
  <si>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</si>
  <si>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</si>
  <si>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</si>
  <si>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</si>
  <si>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</si>
  <si>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</si>
  <si>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</si>
  <si>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</si>
  <si>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</si>
  <si>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</si>
  <si>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</si>
  <si>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</si>
  <si>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</si>
  <si>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</si>
  <si>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</si>
  <si>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</si>
  <si>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</si>
  <si>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</si>
  <si>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</si>
  <si>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</si>
  <si>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</si>
  <si>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</si>
  <si>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</si>
  <si>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</si>
  <si>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</si>
  <si>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</si>
  <si>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</si>
  <si>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</si>
  <si>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</si>
  <si>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</si>
  <si>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</si>
  <si>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</si>
  <si>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</si>
  <si>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</si>
  <si>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</si>
  <si>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</si>
  <si>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</si>
  <si>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</si>
  <si>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</si>
  <si>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</si>
  <si>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</si>
  <si>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</si>
  <si>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</si>
  <si>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</si>
  <si>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</si>
  <si>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</si>
  <si>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</si>
  <si>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</si>
  <si>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</si>
  <si>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</si>
  <si>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</si>
  <si>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</si>
  <si>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</si>
  <si>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</si>
  <si>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</si>
  <si>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</si>
  <si>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</si>
  <si>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</si>
  <si>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</si>
  <si>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</si>
  <si>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</si>
  <si>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</si>
  <si>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</si>
  <si>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</si>
  <si>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</si>
  <si>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</si>
  <si>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</si>
  <si>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</si>
  <si>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</si>
  <si>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</si>
  <si>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</si>
  <si>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</si>
  <si>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</si>
  <si>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</si>
  <si>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</si>
  <si>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</si>
  <si>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</si>
  <si>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</si>
  <si>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</si>
  <si>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</si>
  <si>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</si>
  <si>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</si>
  <si>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</si>
  <si>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</si>
  <si>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</si>
  <si>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</si>
  <si>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</si>
  <si>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</si>
  <si>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</si>
  <si>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</si>
  <si>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</si>
  <si>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</si>
  <si>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</si>
  <si>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</si>
  <si>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</si>
  <si>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</si>
  <si>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</si>
  <si>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</si>
  <si>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</si>
  <si>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</si>
  <si>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</si>
  <si>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</si>
  <si>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</si>
  <si>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</si>
  <si>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</si>
  <si>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</si>
  <si>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</si>
  <si>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</si>
  <si>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</si>
  <si>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</si>
  <si>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</si>
  <si>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</si>
  <si>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</si>
  <si>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</si>
  <si>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</si>
  <si>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</si>
  <si>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</si>
  <si>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</si>
  <si>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</si>
  <si>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</si>
  <si>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</si>
  <si>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</si>
  <si>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</si>
  <si>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</si>
  <si>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</si>
  <si>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</si>
  <si>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</si>
  <si>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</si>
  <si>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</si>
  <si>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</si>
  <si>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</si>
  <si>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</si>
  <si>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</si>
  <si>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</si>
  <si>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</si>
  <si>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</si>
  <si>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</si>
  <si>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</si>
  <si>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</si>
  <si>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</si>
  <si>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</si>
  <si>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</si>
  <si>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</si>
  <si>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</si>
  <si>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</si>
  <si>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</si>
  <si>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</si>
  <si>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</si>
  <si>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</si>
  <si>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</si>
  <si>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</si>
  <si>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</si>
  <si>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</si>
  <si>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</si>
  <si>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</si>
  <si>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</si>
  <si>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</si>
  <si>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</si>
  <si>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</si>
  <si>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</si>
  <si>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</si>
  <si>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</si>
  <si>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</si>
  <si>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</si>
  <si>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</si>
  <si>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</si>
  <si>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</si>
  <si>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</si>
  <si>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</si>
  <si>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</si>
  <si>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</si>
  <si>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</si>
  <si>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</si>
  <si>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</si>
  <si>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</si>
  <si>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</si>
  <si>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</si>
  <si>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</si>
  <si>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</si>
  <si>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</si>
  <si>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</si>
  <si>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</si>
  <si>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</si>
  <si>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</si>
  <si>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</si>
  <si>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</si>
  <si>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</si>
  <si>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</si>
  <si>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</si>
  <si>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</si>
  <si>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</si>
  <si>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</si>
  <si>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</si>
  <si>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</si>
  <si>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</si>
  <si>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</si>
  <si>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</si>
  <si>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</si>
  <si>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</si>
  <si>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</si>
  <si>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</si>
  <si>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</si>
  <si>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</si>
  <si>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</si>
  <si>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</si>
  <si>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</si>
  <si>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</si>
  <si>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</si>
  <si>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</si>
  <si>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</si>
  <si>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</si>
  <si>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</si>
  <si>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</si>
  <si>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</si>
  <si>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</si>
  <si>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</si>
  <si>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</si>
  <si>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</si>
  <si>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</si>
  <si>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</si>
  <si>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</si>
  <si>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</si>
  <si>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</si>
  <si>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</si>
  <si>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</si>
  <si>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</si>
  <si>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</si>
  <si>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</si>
  <si>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</si>
  <si>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</si>
  <si>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</si>
  <si>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</si>
  <si>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</si>
  <si>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</si>
  <si>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</si>
  <si>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</si>
  <si>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</si>
  <si>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</si>
  <si>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</si>
  <si>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</si>
  <si>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</si>
  <si>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</si>
  <si>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</si>
  <si>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</si>
  <si>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</si>
  <si>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</si>
  <si>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</si>
  <si>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</si>
  <si>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</si>
  <si>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</si>
  <si>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</si>
  <si>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</si>
  <si>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</si>
  <si>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</si>
  <si>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</si>
  <si>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</si>
  <si>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</si>
  <si>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</si>
  <si>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</si>
  <si>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</si>
  <si>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</si>
  <si>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</si>
  <si>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</si>
  <si>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</si>
  <si>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</si>
  <si>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</si>
  <si>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</si>
  <si>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</si>
  <si>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</si>
  <si>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</si>
  <si>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</si>
  <si>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</si>
  <si>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</si>
  <si>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</si>
  <si>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</si>
  <si>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</si>
  <si>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</si>
  <si>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</si>
  <si>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</si>
  <si>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</si>
  <si>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</si>
  <si>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</si>
  <si>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</si>
  <si>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</si>
  <si>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</si>
  <si>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</si>
  <si>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</si>
  <si>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</si>
  <si>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</si>
  <si>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</si>
  <si>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</si>
  <si>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</si>
  <si>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</si>
  <si>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</si>
  <si>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</si>
  <si>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</si>
  <si>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</si>
  <si>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</si>
  <si>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</si>
  <si>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</si>
  <si>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</si>
  <si>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</si>
  <si>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</si>
  <si>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</si>
  <si>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</si>
  <si>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</si>
  <si>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</si>
  <si>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</si>
  <si>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</si>
  <si>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</si>
  <si>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</si>
  <si>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</si>
  <si>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</si>
  <si>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</si>
  <si>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</si>
  <si>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</si>
  <si>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</si>
  <si>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</si>
  <si>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</si>
  <si>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</si>
  <si>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</si>
  <si>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</si>
  <si>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</si>
  <si>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</si>
  <si>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</si>
  <si>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</si>
  <si>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</si>
  <si>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</si>
  <si>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</si>
  <si>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</si>
  <si>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</si>
  <si>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</si>
  <si>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</si>
  <si>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</si>
  <si>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</si>
  <si>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</si>
  <si>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</si>
  <si>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</si>
  <si>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</si>
  <si>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</si>
  <si>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</si>
  <si>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</si>
  <si>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</si>
  <si>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</si>
  <si>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</si>
  <si>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</si>
  <si>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</si>
  <si>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</si>
  <si>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</si>
  <si>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</si>
  <si>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</si>
  <si>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</si>
  <si>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</si>
  <si>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</si>
  <si>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</si>
  <si>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</si>
  <si>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</si>
  <si>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</si>
  <si>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</si>
  <si>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</si>
  <si>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</si>
  <si>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</si>
  <si>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</si>
  <si>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</si>
  <si>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</si>
  <si>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</si>
  <si>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</si>
  <si>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</si>
  <si>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</si>
  <si>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</si>
  <si>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</si>
  <si>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</si>
  <si>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</si>
  <si>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</si>
  <si>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</si>
  <si>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</si>
  <si>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</si>
  <si>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</si>
  <si>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</si>
  <si>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</si>
  <si>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</si>
  <si>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</si>
  <si>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</si>
  <si>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</si>
  <si>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</si>
  <si>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</si>
  <si>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</si>
  <si>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</si>
  <si>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</si>
  <si>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</si>
  <si>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</si>
  <si>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</si>
  <si>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</si>
  <si>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</si>
  <si>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</si>
  <si>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</si>
  <si>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</si>
  <si>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</si>
  <si>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</si>
  <si>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</si>
  <si>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</si>
  <si>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</si>
  <si>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</si>
  <si>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</si>
  <si>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</si>
  <si>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</si>
  <si>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</si>
  <si>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</si>
  <si>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</si>
  <si>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</si>
  <si>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</si>
  <si>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</si>
  <si>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</si>
  <si>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</si>
  <si>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</si>
  <si>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</si>
  <si>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</si>
  <si>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</si>
  <si>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</si>
  <si>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</si>
  <si>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</si>
  <si>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</si>
  <si>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</si>
  <si>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</si>
  <si>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</si>
  <si>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</si>
  <si>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</si>
  <si>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</si>
  <si>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</si>
  <si>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</si>
  <si>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</si>
  <si>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</si>
  <si>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</si>
  <si>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</si>
  <si>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</si>
  <si>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</si>
  <si>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</si>
  <si>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</si>
  <si>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</si>
  <si>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</si>
  <si>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</si>
  <si>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</si>
  <si>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</si>
  <si>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</si>
  <si>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</si>
  <si>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</si>
  <si>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</si>
  <si>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</si>
  <si>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</si>
  <si>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</si>
  <si>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</si>
  <si>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</si>
  <si>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</si>
  <si>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</si>
  <si>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</si>
  <si>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</si>
  <si>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</si>
  <si>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</si>
  <si>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</si>
  <si>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</si>
  <si>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</si>
  <si>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</si>
  <si>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</si>
  <si>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</si>
  <si>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</si>
  <si>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</si>
  <si>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</si>
  <si>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</si>
  <si>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</si>
  <si>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</si>
  <si>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</si>
  <si>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</si>
  <si>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</si>
  <si>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</si>
  <si>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</si>
  <si>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</si>
  <si>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</si>
  <si>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</si>
  <si>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</si>
  <si>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</si>
  <si>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</si>
  <si>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</si>
  <si>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</si>
  <si>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</si>
  <si>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</si>
  <si>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</si>
  <si>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</si>
  <si>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</si>
  <si>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</si>
  <si>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</si>
  <si>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</si>
  <si>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</si>
  <si>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</si>
  <si>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</si>
  <si>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</si>
  <si>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</si>
  <si>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</si>
  <si>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</si>
  <si>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</si>
  <si>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</si>
  <si>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</si>
  <si>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</si>
  <si>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</si>
  <si>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</si>
  <si>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</si>
  <si>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</si>
  <si>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</si>
  <si>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</si>
  <si>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</si>
  <si>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</si>
  <si>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</si>
  <si>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</si>
  <si>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</si>
  <si>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</si>
  <si>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</si>
  <si>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</si>
  <si>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</si>
  <si>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</si>
  <si>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</si>
  <si>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</si>
  <si>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</si>
  <si>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</si>
  <si>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</si>
  <si>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</si>
  <si>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</si>
  <si>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</si>
  <si>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</si>
  <si>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</si>
  <si>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</si>
  <si>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</si>
  <si>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</si>
  <si>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</si>
  <si>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</si>
  <si>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</si>
  <si>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</si>
  <si>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</si>
  <si>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</si>
  <si>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</si>
  <si>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</si>
  <si>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</si>
  <si>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</si>
  <si>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</si>
  <si>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</si>
  <si>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</si>
  <si>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</si>
  <si>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</si>
  <si>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</si>
  <si>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</si>
  <si>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</si>
  <si>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</si>
  <si>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</si>
  <si>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</si>
  <si>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</si>
  <si>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</si>
  <si>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</si>
  <si>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</si>
  <si>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</si>
  <si>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</si>
  <si>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</si>
  <si>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</si>
  <si>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</si>
  <si>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</si>
  <si>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</si>
  <si>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</si>
  <si>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</si>
  <si>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</si>
  <si>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</si>
  <si>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</si>
  <si>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</si>
  <si>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</si>
  <si>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</si>
  <si>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</si>
  <si>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</si>
  <si>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</si>
  <si>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</si>
  <si>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</si>
  <si>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</si>
  <si>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</si>
  <si>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</si>
  <si>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</si>
  <si>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</si>
  <si>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</si>
  <si>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</si>
  <si>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</si>
  <si>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</si>
  <si>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</si>
  <si>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</si>
  <si>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</si>
  <si>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</si>
  <si>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</si>
  <si>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</si>
  <si>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</si>
  <si>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</si>
  <si>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</si>
  <si>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</si>
  <si>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</si>
  <si>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</si>
  <si>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</si>
  <si>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</si>
  <si>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</si>
  <si>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</si>
  <si>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</si>
  <si>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</si>
  <si>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</si>
  <si>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</si>
  <si>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</si>
  <si>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</si>
  <si>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</si>
  <si>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</si>
  <si>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</si>
  <si>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</si>
  <si>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</si>
  <si>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</si>
  <si>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</si>
  <si>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</si>
  <si>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</si>
  <si>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</si>
  <si>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</si>
  <si>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</si>
  <si>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</si>
  <si>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</si>
  <si>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</si>
  <si>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</si>
  <si>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</si>
  <si>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</si>
  <si>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</si>
  <si>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</si>
  <si>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</si>
  <si>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</si>
  <si>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</si>
  <si>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</si>
  <si>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</si>
  <si>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</si>
  <si>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</si>
  <si>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</si>
  <si>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</si>
  <si>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</si>
  <si>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</si>
  <si>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</si>
  <si>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</si>
  <si>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</si>
  <si>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</si>
  <si>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</si>
  <si>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</si>
  <si>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</si>
  <si>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</si>
  <si>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</si>
  <si>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</si>
  <si>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</si>
  <si>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</si>
  <si>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</si>
  <si>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</si>
  <si>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</si>
  <si>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</si>
  <si>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</si>
  <si>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</si>
  <si>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</si>
  <si>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</si>
  <si>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</si>
  <si>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</si>
  <si>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</si>
  <si>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</si>
  <si>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</si>
  <si>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</si>
  <si>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</si>
  <si>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</si>
  <si>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</si>
  <si>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</si>
  <si>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</si>
  <si>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</si>
  <si>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</si>
  <si>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</si>
  <si>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</si>
  <si>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</si>
  <si>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</si>
  <si>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</si>
  <si>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</si>
  <si>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</si>
  <si>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</si>
  <si>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</si>
  <si>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</si>
  <si>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</si>
  <si>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</si>
  <si>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</si>
  <si>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</si>
  <si>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</si>
  <si>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</si>
  <si>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</si>
  <si>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</si>
  <si>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</si>
  <si>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</si>
  <si>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</si>
  <si>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</si>
  <si>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</si>
  <si>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</si>
  <si>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</si>
  <si>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</si>
  <si>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</si>
  <si>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</si>
  <si>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</si>
  <si>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</si>
  <si>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</si>
  <si>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</si>
  <si>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</si>
  <si>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</si>
  <si>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</si>
  <si>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</si>
  <si>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</si>
  <si>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</si>
  <si>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</si>
  <si>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</si>
  <si>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</si>
  <si>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</si>
  <si>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</si>
  <si>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</si>
  <si>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</si>
  <si>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</si>
  <si>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</si>
  <si>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</si>
  <si>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</si>
  <si>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</si>
  <si>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</si>
  <si>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</si>
  <si>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</si>
  <si>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</si>
  <si>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</si>
  <si>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</si>
  <si>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</si>
  <si>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</si>
  <si>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</si>
  <si>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</si>
  <si>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</si>
  <si>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</si>
  <si>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</si>
  <si>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</si>
  <si>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</si>
  <si>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</si>
  <si>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</si>
  <si>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</si>
  <si>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</si>
  <si>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</si>
  <si>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</si>
  <si>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</si>
  <si>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</si>
  <si>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</si>
  <si>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</si>
  <si>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</si>
  <si>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</si>
  <si>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</si>
  <si>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150 MM, DIAMETRO = 16 MM, ROSCA MAQUINA, CABECA QUADRADA</t>
  </si>
  <si>
    <t>PARAFUSO M16 EM ACO GALVANIZADO, COMPRIMENTO = 200 MM, DIAMETRO = 16 MM, ROSCA MAQUINA, CABECA QUADRADA</t>
  </si>
  <si>
    <t>PARAFUSO M16 EM ACO GALVANIZADO, COMPRIMENTO = 300 MM, DIAMETRO = 16 MM, ROSCA DUPLA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</si>
  <si>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</si>
  <si>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</si>
  <si>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</si>
  <si>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</si>
  <si>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</si>
  <si>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</si>
  <si>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</si>
  <si>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</si>
  <si>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</si>
  <si>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</si>
  <si>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</si>
  <si>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</si>
  <si>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</si>
  <si>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</si>
  <si>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</si>
  <si>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</si>
  <si>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</si>
  <si>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</si>
  <si>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</si>
  <si>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</si>
  <si>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</si>
  <si>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</si>
  <si>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</si>
  <si>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3/8", COMPRIMENTO 2"</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</si>
  <si>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</si>
  <si>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</si>
  <si>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</si>
  <si>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</si>
  <si>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</si>
  <si>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</si>
  <si>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</si>
  <si>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</si>
  <si>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</si>
  <si>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</si>
  <si>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</si>
  <si>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</si>
  <si>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</si>
  <si>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</si>
  <si>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</si>
  <si>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</si>
  <si>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</si>
  <si>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</si>
  <si>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</si>
  <si>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</si>
  <si>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</si>
  <si>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</si>
  <si>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</si>
  <si>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</si>
  <si>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</si>
  <si>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</si>
  <si>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</si>
  <si>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</si>
  <si>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</si>
  <si>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</si>
  <si>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</si>
  <si>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</si>
  <si>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</si>
  <si>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</si>
  <si>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</si>
  <si>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</si>
  <si>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</si>
  <si>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</si>
  <si>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</si>
  <si>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</si>
  <si>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</si>
  <si>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</si>
  <si>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</si>
  <si>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</si>
  <si>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</si>
  <si>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</si>
  <si>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</si>
  <si>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</si>
  <si>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</si>
  <si>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</si>
  <si>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</si>
  <si>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</si>
  <si>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</si>
  <si>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</si>
  <si>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</si>
  <si>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</si>
  <si>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W 250 X 38,50</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</si>
  <si>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</si>
  <si>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</si>
  <si>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</si>
  <si>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</si>
  <si>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</si>
  <si>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</si>
  <si>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</si>
  <si>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</si>
  <si>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</si>
  <si>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</si>
  <si>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</si>
  <si>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</si>
  <si>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</si>
  <si>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</si>
  <si>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</si>
  <si>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</si>
  <si>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</si>
  <si>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</si>
  <si>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</si>
  <si>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</si>
  <si>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</si>
  <si>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</si>
  <si>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</si>
  <si>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</si>
  <si>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</si>
  <si>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</si>
  <si>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</si>
  <si>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</si>
  <si>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</si>
  <si>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</si>
  <si>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</si>
  <si>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</si>
  <si>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</si>
  <si>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</si>
  <si>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</si>
  <si>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</si>
  <si>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</si>
  <si>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</si>
  <si>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</si>
  <si>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</si>
  <si>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</si>
  <si>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</si>
  <si>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</si>
  <si>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</si>
  <si>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</si>
  <si>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</si>
  <si>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</si>
  <si>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</si>
  <si>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</si>
  <si>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</si>
  <si>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</si>
  <si>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</si>
  <si>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</si>
  <si>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</si>
  <si>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</si>
  <si>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</si>
  <si>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</si>
  <si>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</si>
  <si>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</si>
  <si>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</si>
  <si>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</si>
  <si>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</si>
  <si>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</si>
  <si>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</si>
  <si>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</si>
  <si>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</si>
  <si>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</si>
  <si>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</si>
  <si>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</si>
  <si>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</si>
  <si>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</si>
  <si>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</si>
  <si>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</si>
  <si>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</si>
  <si>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</si>
  <si>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</si>
  <si>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</si>
  <si>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</si>
  <si>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</si>
  <si>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</si>
  <si>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</si>
  <si>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</si>
  <si>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</si>
  <si>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</si>
  <si>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</si>
  <si>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</si>
  <si>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</si>
  <si>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</si>
  <si>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</si>
  <si>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</si>
  <si>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</si>
  <si>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</si>
  <si>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</si>
  <si>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</si>
  <si>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</si>
  <si>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</si>
  <si>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</si>
  <si>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</si>
  <si>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</si>
  <si>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</si>
  <si>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</si>
  <si>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</si>
  <si>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</si>
  <si>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</si>
  <si>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</si>
  <si>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</si>
  <si>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</si>
  <si>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</si>
  <si>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</si>
  <si>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</si>
  <si>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</si>
  <si>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</si>
  <si>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</si>
  <si>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</si>
  <si>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</si>
  <si>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</si>
  <si>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</si>
  <si>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</si>
  <si>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</si>
  <si>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</si>
  <si>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</si>
  <si>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</si>
  <si>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</si>
  <si>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</si>
  <si>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</si>
  <si>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</si>
  <si>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</si>
  <si>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</si>
  <si>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</si>
  <si>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</si>
  <si>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</si>
  <si>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</si>
  <si>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</si>
  <si>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</si>
  <si>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</si>
  <si>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</si>
  <si>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</si>
  <si>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</si>
  <si>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</si>
  <si>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</si>
  <si>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</si>
  <si>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</si>
  <si>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</si>
  <si>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</si>
  <si>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</si>
  <si>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</si>
  <si>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</si>
  <si>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</si>
  <si>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</si>
  <si>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</si>
  <si>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</si>
  <si>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</si>
  <si>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</si>
  <si>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</si>
  <si>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</si>
  <si>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</si>
  <si>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</si>
  <si>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</si>
  <si>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</si>
  <si>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</si>
  <si>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</si>
  <si>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</si>
  <si>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</si>
  <si>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</si>
  <si>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</si>
  <si>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</si>
  <si>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</si>
  <si>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</si>
  <si>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</si>
  <si>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</si>
  <si>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</si>
  <si>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</si>
  <si>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</si>
  <si>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</si>
  <si>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</si>
  <si>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</si>
  <si>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</si>
  <si>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</si>
  <si>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</si>
  <si>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</si>
  <si>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</si>
  <si>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</si>
  <si>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</si>
  <si>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</si>
  <si>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</si>
  <si>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</si>
  <si>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</si>
  <si>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</si>
  <si>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</si>
  <si>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</si>
  <si>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</si>
  <si>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</si>
  <si>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</si>
  <si>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</si>
  <si>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</si>
  <si>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</si>
  <si>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</si>
  <si>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</si>
  <si>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</si>
  <si>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</si>
  <si>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</si>
  <si>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</si>
  <si>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</si>
  <si>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</si>
  <si>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</si>
  <si>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</si>
  <si>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</si>
  <si>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</si>
  <si>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</si>
  <si>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</si>
  <si>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</si>
  <si>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</si>
  <si>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</si>
  <si>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</si>
  <si>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</si>
  <si>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</si>
  <si>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</si>
  <si>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</si>
  <si>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</si>
  <si>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</si>
  <si>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</si>
  <si>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</si>
  <si>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</si>
  <si>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</si>
  <si>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</si>
  <si>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</si>
  <si>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</si>
  <si>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</si>
  <si>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</si>
  <si>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</si>
  <si>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</si>
  <si>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</si>
  <si>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</si>
  <si>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</si>
  <si>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</si>
  <si>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</si>
  <si>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</si>
  <si>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</si>
  <si>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</si>
  <si>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</si>
  <si>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</si>
  <si>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</si>
  <si>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</si>
  <si>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</si>
  <si>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</si>
  <si>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</si>
  <si>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</si>
  <si>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</si>
  <si>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</si>
  <si>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</si>
  <si>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</si>
  <si>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</si>
  <si>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</si>
  <si>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</si>
  <si>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</si>
  <si>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</si>
  <si>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</si>
  <si>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</si>
  <si>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</si>
  <si>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</si>
  <si>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</si>
  <si>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</si>
  <si>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</si>
  <si>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</si>
  <si>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</si>
  <si>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</si>
  <si>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</si>
  <si>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</si>
  <si>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</si>
  <si>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</si>
  <si>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</si>
  <si>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</si>
  <si>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</si>
  <si>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</si>
  <si>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</si>
  <si>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</si>
  <si>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</si>
  <si>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</si>
  <si>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</si>
  <si>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</si>
  <si>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</si>
  <si>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</si>
  <si>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</si>
  <si>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</si>
  <si>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</si>
  <si>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</si>
  <si>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</si>
  <si>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</si>
  <si>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</si>
  <si>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</si>
  <si>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</si>
  <si>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</si>
  <si>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</si>
  <si>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</si>
  <si>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</si>
  <si>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</si>
  <si>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</si>
  <si>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</si>
  <si>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</si>
  <si>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</si>
  <si>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</si>
  <si>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</si>
  <si>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</si>
  <si>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</si>
  <si>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</si>
  <si>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</si>
  <si>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</si>
  <si>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</si>
  <si>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</si>
  <si>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</si>
  <si>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</si>
  <si>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</si>
  <si>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</si>
  <si>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</si>
  <si>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</si>
  <si>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</si>
  <si>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</si>
  <si>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</si>
  <si>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</si>
  <si>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</si>
  <si>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</si>
  <si>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</si>
  <si>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</si>
  <si>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</si>
  <si>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</si>
  <si>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</si>
  <si>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</si>
  <si>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</si>
  <si>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</si>
  <si>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</si>
  <si>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</si>
  <si>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</si>
  <si>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</si>
  <si>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</si>
  <si>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</si>
  <si>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</si>
  <si>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</si>
  <si>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</si>
  <si>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</si>
  <si>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</si>
  <si>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</si>
  <si>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</si>
  <si>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</si>
  <si>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</si>
  <si>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</si>
  <si>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</si>
  <si>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</si>
  <si>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</si>
  <si>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</si>
  <si>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</si>
  <si>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</si>
  <si>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</si>
  <si>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</si>
  <si>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</si>
  <si>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</si>
  <si>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</si>
  <si>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</si>
  <si>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</si>
  <si>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</si>
  <si>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</si>
  <si>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</si>
  <si>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</si>
  <si>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</si>
  <si>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</si>
  <si>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</si>
  <si>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</si>
  <si>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</si>
  <si>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</si>
  <si>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</si>
  <si>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</si>
  <si>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</si>
  <si>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</si>
  <si>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</si>
  <si>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</si>
  <si>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</si>
  <si>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</si>
  <si>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</si>
  <si>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</si>
  <si>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</si>
  <si>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</si>
  <si>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</si>
  <si>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</si>
  <si>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</si>
  <si>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</si>
  <si>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</si>
  <si>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</si>
  <si>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</si>
  <si>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</si>
  <si>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</si>
  <si>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</si>
  <si>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</si>
  <si>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</si>
  <si>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</si>
  <si>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</si>
  <si>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</si>
  <si>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</si>
  <si>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</si>
  <si>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</si>
  <si>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</si>
  <si>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</si>
  <si>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</si>
  <si>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</si>
  <si>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</si>
  <si>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</si>
  <si>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</si>
  <si>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</si>
  <si>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</si>
  <si>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</si>
  <si>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</si>
  <si>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</si>
  <si>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</si>
  <si>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</si>
  <si>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</si>
  <si>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</si>
  <si>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</si>
  <si>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</si>
  <si>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</si>
  <si>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</si>
  <si>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</si>
  <si>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</si>
  <si>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</si>
  <si>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</si>
  <si>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</si>
  <si>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</si>
  <si>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</si>
  <si>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</si>
  <si>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</si>
  <si>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</si>
  <si>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</si>
  <si>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</si>
  <si>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</si>
  <si>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</si>
  <si>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</si>
  <si>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</si>
  <si>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</si>
  <si>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</si>
  <si>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</si>
  <si>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</si>
  <si>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</si>
  <si>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</si>
  <si>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</si>
  <si>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</si>
  <si>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</si>
  <si>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</si>
  <si>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</si>
  <si>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</si>
  <si>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</si>
  <si>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</si>
  <si>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</si>
  <si>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</si>
  <si>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</si>
  <si>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</si>
  <si>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</si>
  <si>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</si>
  <si>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</si>
  <si>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</si>
  <si>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</si>
  <si>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</si>
  <si>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</si>
  <si>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</si>
  <si>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</si>
  <si>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</si>
  <si>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</si>
  <si>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</si>
  <si>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</si>
  <si>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</si>
  <si>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</si>
  <si>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SARRAFO DE MADEIRA APARELHADA *2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</si>
  <si>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</si>
  <si>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</si>
  <si>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</si>
  <si>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</si>
  <si>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</si>
  <si>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</si>
  <si>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</si>
  <si>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</si>
  <si>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</si>
  <si>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</si>
  <si>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</si>
  <si>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</si>
  <si>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</si>
  <si>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</si>
  <si>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</si>
  <si>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</si>
  <si>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</si>
  <si>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</si>
  <si>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</si>
  <si>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</si>
  <si>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</si>
  <si>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</si>
  <si>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</si>
  <si>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</si>
  <si>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</si>
  <si>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</si>
  <si>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</si>
  <si>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</si>
  <si>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</si>
  <si>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</si>
  <si>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</si>
  <si>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</si>
  <si>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</si>
  <si>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</si>
  <si>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</si>
  <si>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</si>
  <si>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</si>
  <si>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</si>
  <si>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</si>
  <si>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</si>
  <si>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</si>
  <si>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</si>
  <si>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</si>
  <si>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</si>
  <si>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</si>
  <si>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</si>
  <si>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</si>
  <si>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</si>
  <si>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</si>
  <si>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</si>
  <si>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</si>
  <si>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</si>
  <si>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</si>
  <si>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</si>
  <si>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</si>
  <si>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</si>
  <si>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</si>
  <si>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</si>
  <si>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</si>
  <si>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</si>
  <si>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</si>
  <si>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</si>
  <si>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</si>
  <si>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</si>
  <si>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</si>
  <si>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</si>
  <si>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</si>
  <si>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</si>
  <si>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</si>
  <si>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</si>
  <si>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</si>
  <si>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</si>
  <si>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</si>
  <si>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</si>
  <si>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</si>
  <si>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</si>
  <si>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</si>
  <si>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</si>
  <si>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</si>
  <si>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</si>
  <si>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</si>
  <si>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</si>
  <si>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</si>
  <si>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</si>
  <si>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</si>
  <si>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</si>
  <si>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</si>
  <si>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</si>
  <si>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</si>
  <si>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</si>
  <si>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</si>
  <si>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</si>
  <si>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</si>
  <si>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</si>
  <si>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</si>
  <si>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</si>
  <si>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</si>
  <si>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</si>
  <si>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</si>
  <si>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</si>
  <si>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</si>
  <si>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</si>
  <si>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</si>
  <si>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</si>
  <si>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</si>
  <si>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</si>
  <si>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</si>
  <si>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</si>
  <si>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</si>
  <si>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</si>
  <si>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</si>
  <si>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</si>
  <si>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</si>
  <si>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</si>
  <si>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</si>
  <si>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</si>
  <si>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</si>
  <si>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</si>
  <si>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</si>
  <si>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</si>
  <si>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</si>
  <si>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</si>
  <si>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</si>
  <si>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</si>
  <si>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</si>
  <si>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</si>
  <si>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</si>
  <si>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</si>
  <si>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</si>
  <si>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</si>
  <si>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</si>
  <si>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</si>
  <si>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</si>
  <si>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</si>
  <si>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</si>
  <si>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</si>
  <si>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</si>
  <si>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</si>
  <si>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</si>
  <si>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</si>
  <si>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</si>
  <si>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</si>
  <si>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</si>
  <si>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</si>
  <si>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</si>
  <si>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</si>
  <si>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</si>
  <si>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</si>
  <si>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</si>
  <si>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</si>
  <si>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</si>
  <si>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</si>
  <si>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</si>
  <si>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</si>
  <si>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</si>
  <si>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</si>
  <si>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</si>
  <si>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</si>
  <si>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</si>
  <si>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</si>
  <si>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</si>
  <si>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</si>
  <si>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</si>
  <si>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</si>
  <si>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</si>
  <si>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</si>
  <si>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</si>
  <si>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</si>
  <si>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</si>
  <si>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</si>
  <si>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</si>
  <si>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</si>
  <si>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</si>
  <si>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</si>
  <si>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</si>
  <si>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</si>
  <si>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</si>
  <si>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</si>
  <si>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</si>
  <si>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</si>
  <si>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</si>
  <si>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</si>
  <si>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</si>
  <si>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</si>
  <si>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</si>
  <si>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</si>
  <si>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</si>
  <si>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</si>
  <si>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</si>
  <si>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</si>
  <si>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</si>
  <si>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</si>
  <si>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</si>
  <si>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</si>
  <si>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</si>
  <si>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</si>
  <si>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</si>
  <si>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</si>
  <si>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</si>
  <si>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</si>
  <si>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</si>
  <si>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</si>
  <si>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</si>
  <si>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</si>
  <si>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</si>
  <si>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</si>
  <si>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</si>
  <si>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</si>
  <si>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</si>
  <si>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</si>
  <si>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</si>
  <si>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</si>
  <si>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</si>
  <si>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</si>
  <si>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</si>
  <si>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</si>
  <si>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</si>
  <si>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</si>
  <si>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</si>
  <si>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</si>
  <si>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</si>
  <si>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</si>
  <si>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</si>
  <si>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</si>
  <si>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</si>
  <si>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</si>
  <si>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</si>
  <si>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</si>
  <si>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</si>
  <si>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</si>
  <si>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</si>
  <si>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</si>
  <si>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</si>
  <si>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</si>
  <si>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</si>
  <si>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</si>
  <si>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</si>
  <si>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</si>
  <si>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</si>
  <si>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</si>
  <si>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</si>
  <si>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</si>
  <si>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</si>
  <si>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</si>
  <si>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</si>
  <si>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</si>
  <si>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</si>
  <si>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</si>
  <si>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</si>
  <si>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</si>
  <si>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</si>
  <si>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</si>
  <si>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</si>
  <si>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</si>
  <si>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</si>
  <si>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</si>
  <si>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</si>
  <si>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</si>
  <si>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</si>
  <si>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</si>
  <si>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</si>
  <si>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</si>
  <si>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</si>
  <si>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</si>
  <si>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</si>
  <si>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</si>
  <si>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</si>
  <si>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</si>
  <si>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</si>
  <si>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</si>
  <si>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</si>
  <si>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</si>
  <si>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</si>
  <si>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</si>
  <si>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</si>
  <si>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</si>
  <si>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</si>
  <si>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</si>
  <si>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</si>
  <si>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</si>
  <si>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</si>
  <si>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</si>
  <si>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</si>
  <si>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</si>
  <si>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</si>
  <si>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</si>
  <si>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</si>
  <si>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</si>
  <si>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</si>
  <si>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</si>
  <si>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</si>
  <si>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</si>
  <si>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</si>
  <si>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</si>
  <si>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</si>
  <si>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</si>
  <si>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</si>
  <si>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</si>
  <si>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</si>
  <si>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</si>
  <si>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</si>
  <si>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</si>
  <si>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</si>
  <si>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</si>
  <si>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</si>
  <si>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</si>
  <si>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</si>
  <si>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</si>
  <si>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</si>
  <si>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</si>
  <si>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</si>
  <si>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</si>
  <si>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</si>
  <si>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</si>
  <si>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</si>
  <si>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</si>
  <si>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</si>
  <si>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</si>
  <si>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</si>
  <si>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</si>
  <si>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</si>
  <si>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</si>
  <si>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</si>
  <si>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</si>
  <si>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</si>
  <si>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</si>
  <si>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</si>
  <si>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</si>
  <si>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</si>
  <si>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</si>
  <si>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</si>
  <si>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</si>
  <si>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</si>
  <si>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</si>
  <si>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</si>
  <si>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</si>
  <si>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</si>
  <si>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</si>
  <si>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</si>
  <si>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</si>
  <si>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</si>
  <si>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</si>
  <si>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</si>
  <si>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</si>
  <si>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</si>
  <si>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</si>
  <si>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</si>
  <si>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</si>
  <si>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</si>
  <si>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</si>
  <si>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</si>
  <si>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</si>
  <si>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</si>
  <si>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</si>
  <si>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</si>
  <si>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</si>
  <si>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</si>
  <si>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</si>
  <si>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</si>
  <si>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</si>
  <si>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</si>
  <si>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</si>
  <si>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</si>
  <si>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</si>
  <si>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</si>
  <si>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</si>
  <si>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</si>
  <si>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</si>
  <si>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</si>
  <si>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</si>
  <si>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</si>
  <si>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</si>
  <si>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</si>
  <si>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</si>
  <si>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</si>
  <si>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</si>
  <si>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</si>
  <si>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</si>
  <si>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</si>
  <si>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</si>
  <si>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</si>
  <si>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</si>
  <si>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</si>
  <si>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</si>
  <si>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</si>
  <si>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</si>
  <si>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</si>
  <si>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</si>
  <si>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</si>
  <si>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</si>
  <si>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</si>
  <si>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</si>
  <si>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</si>
  <si>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</si>
  <si>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</si>
  <si>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</si>
  <si>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</si>
  <si>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</si>
  <si>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</si>
  <si>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</si>
  <si>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</si>
  <si>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</si>
  <si>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</si>
  <si>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</si>
  <si>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</si>
  <si>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</si>
  <si>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</si>
  <si>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</si>
  <si>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</si>
  <si>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</si>
  <si>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</si>
  <si>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</si>
  <si>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</si>
  <si>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</si>
  <si>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</si>
  <si>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</si>
  <si>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</si>
  <si>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</si>
  <si>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</si>
  <si>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</si>
  <si>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</si>
  <si>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</si>
  <si>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</si>
  <si>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</si>
  <si>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</si>
  <si>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</si>
  <si>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</si>
  <si>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</si>
  <si>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</si>
  <si>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</si>
  <si>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</si>
  <si>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</si>
  <si>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</si>
  <si>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</si>
  <si>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</si>
  <si>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</si>
  <si>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</si>
  <si>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</si>
  <si>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</si>
  <si>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</si>
  <si>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</si>
  <si>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</si>
  <si>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</si>
  <si>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</si>
  <si>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</si>
  <si>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</si>
  <si>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</si>
  <si>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</si>
  <si>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</si>
  <si>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</si>
  <si>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</si>
  <si>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</si>
  <si>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</si>
  <si>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</si>
  <si>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</si>
  <si>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</si>
  <si>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</si>
  <si>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</si>
  <si>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</si>
  <si>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</si>
  <si>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</si>
  <si>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</si>
  <si>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</si>
  <si>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</si>
  <si>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</si>
  <si>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</si>
  <si>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</si>
  <si>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</si>
  <si>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</si>
  <si>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</si>
  <si>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</si>
  <si>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</si>
  <si>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</si>
  <si>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</si>
  <si>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</si>
  <si>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</si>
  <si>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</si>
  <si>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</si>
  <si>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</si>
  <si>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</si>
  <si>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</si>
  <si>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</si>
  <si>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</si>
  <si>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</si>
  <si>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</si>
  <si>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</si>
  <si>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</si>
  <si>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</si>
  <si>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</si>
  <si>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</si>
  <si>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</si>
  <si>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</si>
  <si>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</si>
  <si>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</si>
  <si>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</si>
  <si>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</si>
  <si>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</si>
  <si>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</si>
  <si>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</si>
  <si>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</si>
  <si>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</si>
  <si>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</si>
  <si>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</si>
  <si>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</si>
  <si>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</si>
  <si>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</si>
  <si>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</si>
  <si>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</si>
  <si>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</si>
  <si>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</si>
  <si>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</si>
  <si>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</si>
  <si>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</si>
  <si>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</si>
  <si>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</si>
  <si>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</si>
  <si>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</si>
  <si>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</si>
  <si>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</si>
  <si>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</si>
  <si>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</si>
  <si>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</si>
  <si>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</si>
  <si>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</si>
  <si>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</si>
  <si>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</si>
  <si>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</si>
  <si>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</si>
  <si>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</si>
  <si>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</si>
  <si>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</si>
  <si>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</si>
  <si>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</si>
  <si>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</si>
  <si>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</si>
  <si>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</si>
  <si>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</si>
  <si>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</si>
  <si>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</si>
  <si>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</si>
  <si>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</si>
  <si>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</si>
  <si>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</si>
  <si>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</si>
  <si>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</si>
  <si>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</si>
  <si>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</si>
  <si>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</si>
  <si>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</si>
  <si>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</si>
  <si>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</si>
  <si>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</si>
  <si>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</si>
  <si>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</si>
  <si>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</si>
  <si>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</si>
  <si>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</si>
  <si>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</si>
  <si>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</si>
  <si>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</si>
  <si>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</si>
  <si>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</si>
  <si>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</si>
  <si>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</si>
  <si>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</si>
  <si>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</si>
  <si>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</si>
  <si>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</si>
  <si>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</si>
  <si>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</si>
  <si>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</si>
  <si>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</si>
  <si>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</si>
  <si>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</si>
  <si>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</si>
  <si>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</si>
  <si>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</si>
  <si>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</si>
  <si>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</si>
  <si>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</si>
  <si>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</si>
  <si>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</si>
  <si>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</si>
  <si>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</si>
  <si>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</si>
  <si>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</si>
  <si>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</si>
  <si>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</si>
  <si>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</si>
  <si>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</si>
  <si>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</si>
  <si>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</si>
  <si>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</si>
  <si>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</si>
  <si>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</si>
  <si>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</si>
  <si>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</si>
  <si>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</si>
  <si>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</si>
  <si>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</si>
  <si>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</si>
  <si>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</si>
  <si>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</si>
  <si>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</si>
  <si>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</si>
  <si>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</si>
  <si>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</si>
  <si>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</si>
  <si>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</si>
  <si>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</si>
  <si>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</si>
  <si>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</si>
  <si>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</si>
  <si>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</si>
  <si>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</si>
  <si>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</si>
  <si>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</si>
  <si>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</si>
  <si>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</si>
  <si>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</si>
  <si>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</si>
  <si>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</si>
  <si>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</si>
  <si>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</si>
  <si>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</si>
  <si>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</si>
  <si>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</si>
  <si>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</si>
  <si>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</si>
  <si>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</si>
  <si>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</si>
  <si>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</si>
  <si>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</si>
  <si>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</si>
  <si>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</si>
  <si>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</si>
  <si>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</si>
  <si>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</si>
  <si>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</si>
  <si>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</si>
  <si>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</si>
  <si>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</si>
  <si>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</si>
  <si>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</si>
  <si>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</si>
  <si>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</si>
  <si>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</si>
  <si>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</si>
  <si>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</si>
  <si>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</si>
  <si>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</si>
  <si>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</si>
  <si>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</si>
  <si>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</si>
  <si>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</si>
  <si>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</si>
  <si>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</si>
  <si>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</si>
  <si>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</si>
  <si>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</si>
  <si>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</si>
  <si>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</si>
  <si>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</si>
  <si>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</si>
  <si>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</si>
  <si>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</si>
  <si>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</si>
  <si>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</si>
  <si>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</si>
  <si>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</si>
  <si>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</si>
  <si>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</si>
  <si>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</si>
  <si>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</si>
  <si>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</si>
  <si>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</si>
  <si>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</si>
  <si>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</si>
  <si>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</si>
  <si>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</si>
  <si>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</si>
  <si>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</si>
  <si>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</si>
  <si>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</si>
  <si>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</si>
  <si>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</si>
  <si>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</si>
  <si>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</si>
  <si>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</si>
  <si>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</si>
  <si>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</si>
  <si>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</si>
  <si>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</si>
  <si>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</si>
  <si>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</si>
  <si>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</si>
  <si>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</si>
  <si>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</si>
  <si>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</si>
  <si>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</si>
  <si>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</si>
  <si>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</si>
  <si>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</si>
  <si>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</si>
  <si>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</si>
  <si>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</si>
  <si>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</si>
  <si>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</si>
  <si>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</si>
  <si>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</si>
  <si>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</si>
  <si>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</si>
  <si>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</si>
  <si>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</si>
  <si>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</si>
  <si>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</si>
  <si>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</si>
  <si>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</si>
  <si>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</si>
  <si>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</si>
  <si>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</si>
  <si>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</si>
  <si>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</si>
  <si>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</si>
  <si>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</si>
  <si>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</si>
  <si>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</si>
  <si>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</si>
  <si>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</si>
  <si>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</si>
  <si>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</si>
  <si>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</si>
  <si>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</si>
  <si>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</si>
  <si>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</si>
  <si>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</si>
  <si>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</si>
  <si>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</si>
  <si>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</si>
  <si>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</si>
  <si>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</si>
  <si>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</si>
  <si>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</si>
  <si>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</si>
  <si>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</si>
  <si>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</si>
  <si>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</si>
  <si>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</si>
  <si>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</si>
  <si>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</si>
  <si>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</si>
  <si>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</si>
  <si>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</si>
  <si>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</si>
  <si>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</si>
  <si>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</si>
  <si>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</si>
  <si>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</si>
  <si>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</si>
  <si>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</si>
  <si>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</si>
  <si>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</si>
  <si>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</si>
  <si>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</si>
  <si>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</si>
  <si>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</si>
  <si>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</si>
  <si>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</si>
  <si>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</si>
  <si>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</si>
  <si>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</si>
  <si>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</si>
  <si>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</si>
  <si>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</si>
  <si>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</si>
  <si>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</si>
  <si>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</si>
  <si>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</si>
  <si>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</si>
  <si>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</si>
  <si>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</si>
  <si>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</si>
  <si>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</si>
  <si>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</si>
  <si>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</si>
  <si>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</si>
  <si>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</si>
  <si>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</si>
  <si>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</si>
  <si>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</si>
  <si>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</si>
  <si>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</si>
  <si>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</si>
  <si>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</si>
  <si>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</si>
  <si>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</si>
  <si>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</si>
  <si>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</si>
  <si>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</si>
  <si>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</si>
  <si>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</si>
  <si>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</si>
  <si>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</si>
  <si>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</si>
  <si>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</si>
  <si>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</si>
  <si>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</si>
  <si>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</si>
  <si>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</si>
  <si>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</si>
  <si>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</si>
  <si>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</si>
  <si>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</si>
  <si>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</si>
  <si>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</si>
  <si>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</si>
  <si>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</si>
  <si>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</si>
  <si>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</si>
  <si>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</si>
  <si>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</si>
  <si>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</si>
  <si>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</si>
  <si>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</si>
  <si>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</si>
  <si>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</si>
  <si>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</si>
  <si>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</si>
  <si>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</si>
  <si>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</si>
  <si>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</si>
  <si>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</si>
  <si>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</si>
  <si>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</si>
  <si>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</si>
  <si>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</si>
  <si>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</si>
  <si>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</si>
  <si>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</si>
  <si>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</si>
  <si>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</si>
  <si>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</si>
  <si>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</si>
  <si>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</si>
  <si>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</si>
  <si>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</si>
  <si>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</si>
  <si>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</si>
  <si>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</si>
  <si>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</si>
  <si>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</si>
  <si>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</si>
  <si>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</si>
  <si>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</si>
  <si>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</si>
  <si>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</si>
  <si>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</si>
  <si>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</si>
  <si>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</si>
  <si>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</si>
  <si>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</si>
  <si>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</si>
  <si>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</si>
  <si>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</si>
  <si>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</si>
  <si>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</si>
  <si>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</si>
  <si>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</si>
  <si>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</si>
  <si>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</si>
  <si>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</si>
  <si>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</si>
  <si>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</si>
  <si>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</si>
  <si>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</si>
  <si>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</si>
  <si>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</si>
  <si>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</si>
  <si>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</si>
  <si>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</si>
  <si>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</si>
  <si>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</si>
  <si>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</si>
  <si>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</si>
  <si>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</si>
  <si>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</si>
  <si>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</si>
  <si>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</si>
  <si>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</si>
  <si>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</si>
  <si>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</si>
  <si>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</si>
  <si>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</si>
  <si>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</si>
  <si>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</si>
  <si>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</si>
  <si>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</si>
  <si>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</si>
  <si>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</si>
  <si>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</si>
  <si>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</si>
  <si>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</si>
  <si>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</si>
  <si>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</si>
  <si>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</si>
  <si>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</si>
  <si>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</si>
  <si>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</si>
  <si>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</si>
  <si>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</si>
  <si>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</si>
  <si>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</si>
  <si>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</si>
  <si>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</si>
  <si>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</si>
  <si>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</si>
  <si>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</si>
  <si>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</si>
  <si>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</si>
  <si>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</si>
  <si>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</si>
  <si>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</si>
  <si>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</si>
  <si>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</si>
  <si>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</si>
  <si>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</si>
  <si>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</si>
  <si>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</si>
  <si>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</si>
  <si>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</si>
  <si>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</si>
  <si>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</si>
  <si>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</si>
  <si>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</si>
  <si>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</si>
  <si>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</si>
  <si>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</si>
  <si>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</si>
  <si>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</si>
  <si>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</si>
  <si>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</si>
  <si>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</si>
  <si>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</si>
  <si>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</si>
  <si>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</si>
  <si>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</si>
  <si>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</si>
  <si>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</si>
  <si>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</si>
  <si>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</si>
  <si>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</si>
  <si>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</si>
  <si>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</si>
  <si>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</si>
  <si>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</si>
  <si>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</si>
  <si>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</si>
  <si>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</si>
  <si>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</si>
  <si>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</si>
  <si>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</si>
  <si>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</si>
  <si>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</si>
  <si>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</si>
  <si>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</si>
  <si>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</si>
  <si>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</si>
  <si>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</si>
  <si>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</si>
  <si>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</si>
  <si>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</si>
  <si>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</si>
  <si>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</si>
  <si>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</si>
  <si>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</si>
  <si>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</si>
  <si>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</si>
  <si>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</si>
  <si>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</si>
  <si>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</si>
  <si>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</si>
  <si>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</si>
  <si>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</si>
  <si>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</si>
  <si>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</si>
  <si>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</si>
  <si>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</si>
  <si>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</si>
  <si>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</si>
  <si>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</si>
  <si>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</si>
  <si>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</si>
  <si>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</si>
  <si>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</si>
  <si>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</si>
  <si>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</si>
  <si>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</si>
  <si>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</si>
  <si>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</si>
  <si>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</si>
  <si>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</si>
  <si>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</si>
  <si>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</si>
  <si>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</si>
  <si>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</si>
  <si>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</si>
  <si>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</si>
  <si>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</si>
  <si>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</si>
  <si>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</si>
  <si>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</si>
  <si>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</si>
  <si>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</si>
  <si>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</si>
  <si>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</si>
  <si>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</si>
  <si>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</si>
  <si>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</si>
  <si>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</si>
  <si>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</si>
  <si>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</si>
  <si>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</si>
  <si>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</si>
  <si>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</si>
  <si>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</si>
  <si>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</si>
  <si>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</si>
  <si>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</si>
  <si>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</si>
  <si>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</si>
  <si>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</si>
  <si>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</si>
  <si>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</si>
  <si>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</si>
  <si>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</si>
  <si>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</si>
  <si>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</si>
  <si>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</si>
  <si>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</si>
  <si>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</si>
  <si>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</si>
  <si>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</si>
  <si>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</si>
  <si>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</si>
  <si>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</si>
  <si>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</si>
  <si>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</si>
  <si>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</si>
  <si>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</si>
  <si>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</si>
  <si>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</si>
  <si>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</si>
  <si>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</si>
  <si>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</si>
  <si>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</si>
  <si>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</si>
  <si>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</si>
  <si>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</si>
  <si>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</si>
  <si>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</si>
  <si>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</si>
  <si>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</si>
  <si>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</si>
  <si>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</si>
  <si>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</si>
  <si>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</si>
  <si>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</si>
  <si>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</si>
  <si>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</si>
  <si>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</si>
  <si>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</si>
  <si>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</si>
  <si>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8 X 16 CM, MACARANDUBA, ANGELIM OU EQUIVALENTE DA REGIAO</t>
  </si>
  <si>
    <t>VIGIA DIURNO (MENSALISTA)</t>
  </si>
  <si>
    <t>VIGIA NOTURNO, HORA EFETIVAMENTE TRABALHADA DE 22 H AS 5 H (COM ADICIONAL NOTURNO)</t>
  </si>
  <si>
    <t>WASH PRIMER PARA TINTA AUTOMOTIVA</t>
  </si>
  <si>
    <t xml:space="preserve">UN </t>
  </si>
  <si>
    <t>30 DIAS</t>
  </si>
  <si>
    <t>60 DIAS</t>
  </si>
  <si>
    <t>90 DIAS</t>
  </si>
  <si>
    <t>120 DIAS</t>
  </si>
  <si>
    <t>150 DIAS</t>
  </si>
  <si>
    <t>180 DIAS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</si>
  <si>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</si>
  <si>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</si>
  <si>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</si>
  <si>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</si>
  <si>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</si>
  <si>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</si>
  <si>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</si>
  <si>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</si>
  <si>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</si>
  <si>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</si>
  <si>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</si>
  <si>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</si>
  <si>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</si>
  <si>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</si>
  <si>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</si>
  <si>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</si>
  <si>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</si>
  <si>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</si>
  <si>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</si>
  <si>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</si>
  <si>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</si>
  <si>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</si>
  <si>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</si>
  <si>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</si>
  <si>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</si>
  <si>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</si>
  <si>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</si>
  <si>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</si>
  <si>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</si>
  <si>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</si>
  <si>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</si>
  <si>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</si>
  <si>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</si>
  <si>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</si>
  <si>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</si>
  <si>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</si>
  <si>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</si>
  <si>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</si>
  <si>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</si>
  <si>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</si>
  <si>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</si>
  <si>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</si>
  <si>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</si>
  <si>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</si>
  <si>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</si>
  <si>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</si>
  <si>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</si>
  <si>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</si>
  <si>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</si>
  <si>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</si>
  <si>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</si>
  <si>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</si>
  <si>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</si>
  <si>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</si>
  <si>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</si>
  <si>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</si>
  <si>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</si>
  <si>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</si>
  <si>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</si>
  <si>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</si>
  <si>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</si>
  <si>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</si>
  <si>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</si>
  <si>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</si>
  <si>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</si>
  <si>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</si>
  <si>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</si>
  <si>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</si>
  <si>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</si>
  <si>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</si>
  <si>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</si>
  <si>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</si>
  <si>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</si>
  <si>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</si>
  <si>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</si>
  <si>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</si>
  <si>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</si>
  <si>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</si>
  <si>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</si>
  <si>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</si>
  <si>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</si>
  <si>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</si>
  <si>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</si>
  <si>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</si>
  <si>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</si>
  <si>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</si>
  <si>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</si>
  <si>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</si>
  <si>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</si>
  <si>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</si>
  <si>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</si>
  <si>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</si>
  <si>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</si>
  <si>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</si>
  <si>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</si>
  <si>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</si>
  <si>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</si>
  <si>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</si>
  <si>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</si>
  <si>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</si>
  <si>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</si>
  <si>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</si>
  <si>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</si>
  <si>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</si>
  <si>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</si>
  <si>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</si>
  <si>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</si>
  <si>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</si>
  <si>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</si>
  <si>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</si>
  <si>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</si>
  <si>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</si>
  <si>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</si>
  <si>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</si>
  <si>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</si>
  <si>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</si>
  <si>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</si>
  <si>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</si>
  <si>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</si>
  <si>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</si>
  <si>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</si>
  <si>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</si>
  <si>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</si>
  <si>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</si>
  <si>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</si>
  <si>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</si>
  <si>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</si>
  <si>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</si>
  <si>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</si>
  <si>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</si>
  <si>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</si>
  <si>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</si>
  <si>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</si>
  <si>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</si>
  <si>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</si>
  <si>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</si>
  <si>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</si>
  <si>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</si>
  <si>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</si>
  <si>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</si>
  <si>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</si>
  <si>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</si>
  <si>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</si>
  <si>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</si>
  <si>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</si>
  <si>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</si>
  <si>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</si>
  <si>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</si>
  <si>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LUMINARIA TIPO TARTARUGA A PROVA DE TEMPO, GASES, VAPOR E PO, EM ALUMINIO, COM GRADE, BASE E27, POTENCIA MAXIMA 100 W - REF Y 25/1 (NAO INCLUI LAMPADA)</t>
  </si>
  <si>
    <t>COMPACTACAO MECANICA, SEM CONTROLE DO GC (C/COMPACTADOR PLACA 400 KG), INCLUSIVE AQUISIÇÃO DE ATERRO</t>
  </si>
  <si>
    <t>ADMINISTRAÇÃO LOCAL DE OBRA</t>
  </si>
  <si>
    <t>AMPLIAÇÃO</t>
  </si>
  <si>
    <t>SUBTOTAL</t>
  </si>
  <si>
    <t>ESQUADRIAS</t>
  </si>
  <si>
    <t>Sinapi</t>
  </si>
  <si>
    <t>código</t>
  </si>
  <si>
    <t>Descrição</t>
  </si>
  <si>
    <t xml:space="preserve">Unid           </t>
  </si>
  <si>
    <t xml:space="preserve">Qtde           </t>
  </si>
  <si>
    <t>Custo Unitário</t>
  </si>
  <si>
    <t xml:space="preserve">Custo Total    </t>
  </si>
  <si>
    <t>0,5903000</t>
  </si>
  <si>
    <t>24,4000000</t>
  </si>
  <si>
    <t>2,9490000</t>
  </si>
  <si>
    <t>1,4740000</t>
  </si>
  <si>
    <t>PREÇO DE CUSTO</t>
  </si>
  <si>
    <t>4,1500000</t>
  </si>
  <si>
    <t>0,1080000</t>
  </si>
  <si>
    <t>0,0950000</t>
  </si>
  <si>
    <t>0,0018000</t>
  </si>
  <si>
    <t>0,0026000</t>
  </si>
  <si>
    <t>CUMEEIRA ALUMINIO ONDULADA, INCLUSIVE IÇAMENTO</t>
  </si>
  <si>
    <t>FECHAMENTO LATERAL DO TELHADO COM TELHA AÇO GALVANIZADO</t>
  </si>
  <si>
    <t>REFERÊNCIA PARA ADOÇÃO DOS COEFICIENTES DE CONSUMO: AGETOP CIVIL 11/2017 CÓDIGO 160909 E SINAPI JUN/19, CÓDIGO 94223 ( GUINCHO )</t>
  </si>
  <si>
    <t>C4</t>
  </si>
  <si>
    <t>C5</t>
  </si>
  <si>
    <t>REFERÊNCIA PARA ADOÇÃO DE COEFICIENTES DE CONSUMO: SINAPI AGO/19, CÓDIGO 89170</t>
  </si>
  <si>
    <t>C6</t>
  </si>
  <si>
    <t>C7</t>
  </si>
  <si>
    <t>RODAPÉ PRE-MOLDADO DE GRANILITE H= 10cm</t>
  </si>
  <si>
    <t>REFERÊNCIA PARA ADOÇÃO DE COEFICIENTES DE CONSUMO: SEINFRA 026 CÓDIGO C2246</t>
  </si>
  <si>
    <t>REFERÊNCIA PARA ADOÇÃO DOS COEFICIENTES DE CONSUMO: AGETOP-GO DES/18, CÓDIGO 200501</t>
  </si>
  <si>
    <t>Como na composição de referência o insumo de código "amônia" apresenta coeficiente de consumo de 0,0597kg/m², para o insumo de código 6 teremos  0,0774litros / m²</t>
  </si>
  <si>
    <t>C8</t>
  </si>
  <si>
    <t xml:space="preserve">un </t>
  </si>
  <si>
    <t>ADM</t>
  </si>
  <si>
    <t>Barra do Bugres - MT</t>
  </si>
  <si>
    <t>Composições Analíticas com Preço Unitário de Projeto Arquitetônico</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</si>
  <si>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</si>
  <si>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</si>
  <si>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</si>
  <si>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</si>
  <si>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</si>
  <si>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</si>
  <si>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</si>
  <si>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</si>
  <si>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</si>
  <si>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</si>
  <si>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</si>
  <si>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</si>
  <si>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</si>
  <si>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</si>
  <si>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</si>
  <si>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</si>
  <si>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</si>
  <si>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</si>
  <si>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</si>
  <si>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</si>
  <si>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</si>
  <si>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</si>
  <si>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</si>
  <si>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</si>
  <si>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</si>
  <si>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</si>
  <si>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</si>
  <si>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</si>
  <si>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</si>
  <si>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</si>
  <si>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</si>
  <si>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</si>
  <si>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</si>
  <si>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</si>
  <si>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</si>
  <si>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</si>
  <si>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</si>
  <si>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</si>
  <si>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</si>
  <si>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</si>
  <si>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</si>
  <si>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</si>
  <si>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</si>
  <si>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</si>
  <si>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</si>
  <si>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</si>
  <si>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</si>
  <si>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</si>
  <si>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</si>
  <si>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</si>
  <si>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</si>
  <si>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</si>
  <si>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</si>
  <si>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</si>
  <si>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</si>
  <si>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</si>
  <si>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</si>
  <si>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</si>
  <si>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</si>
  <si>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</si>
  <si>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</si>
  <si>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</si>
  <si>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</si>
  <si>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</si>
  <si>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</si>
  <si>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</si>
  <si>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</si>
  <si>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</si>
  <si>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</si>
  <si>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</si>
  <si>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</si>
  <si>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</si>
  <si>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</si>
  <si>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</si>
  <si>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</si>
  <si>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</si>
  <si>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</si>
  <si>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</si>
  <si>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</si>
  <si>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</si>
  <si>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</si>
  <si>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</si>
  <si>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</si>
  <si>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</si>
  <si>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</si>
  <si>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</si>
  <si>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</si>
  <si>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</si>
  <si>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</si>
  <si>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</si>
  <si>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</si>
  <si>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</si>
  <si>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</si>
  <si>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</si>
  <si>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</si>
  <si>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</si>
  <si>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</si>
  <si>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</si>
  <si>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</si>
  <si>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</si>
  <si>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</si>
  <si>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</si>
  <si>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</si>
  <si>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</si>
  <si>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</si>
  <si>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</si>
  <si>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</si>
  <si>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</si>
  <si>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</si>
  <si>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</si>
  <si>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</si>
  <si>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</si>
  <si>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</si>
  <si>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</si>
  <si>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</si>
  <si>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</si>
  <si>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</si>
  <si>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</si>
  <si>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</si>
  <si>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</si>
  <si>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</si>
  <si>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</si>
  <si>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</si>
  <si>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</si>
  <si>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</si>
  <si>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</si>
  <si>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</si>
  <si>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</si>
  <si>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</si>
  <si>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</si>
  <si>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</si>
  <si>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</si>
  <si>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</si>
  <si>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</si>
  <si>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</si>
  <si>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</si>
  <si>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</si>
  <si>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</si>
  <si>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</si>
  <si>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</si>
  <si>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</si>
  <si>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</si>
  <si>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</si>
  <si>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</si>
  <si>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</si>
  <si>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</si>
  <si>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</si>
  <si>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</si>
  <si>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</si>
  <si>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</si>
  <si>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</si>
  <si>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</si>
  <si>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</si>
  <si>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</si>
  <si>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</si>
  <si>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</si>
  <si>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</si>
  <si>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</si>
  <si>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</si>
  <si>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</si>
  <si>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</si>
  <si>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</si>
  <si>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</si>
  <si>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</si>
  <si>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</si>
  <si>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</si>
  <si>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</si>
  <si>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</si>
  <si>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</si>
  <si>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</si>
  <si>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</si>
  <si>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</si>
  <si>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</si>
  <si>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</si>
  <si>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</si>
  <si>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</si>
  <si>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</si>
  <si>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</si>
  <si>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</si>
  <si>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</si>
  <si>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</si>
  <si>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</si>
  <si>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</si>
  <si>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</si>
  <si>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</si>
  <si>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</si>
  <si>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</si>
  <si>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</si>
  <si>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</si>
  <si>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</si>
  <si>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</si>
  <si>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</si>
  <si>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</si>
  <si>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</si>
  <si>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</si>
  <si>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</si>
  <si>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</si>
  <si>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</si>
  <si>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</si>
  <si>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</si>
  <si>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</si>
  <si>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</si>
  <si>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</si>
  <si>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</si>
  <si>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</si>
  <si>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</si>
  <si>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</si>
  <si>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</si>
  <si>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</si>
  <si>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</si>
  <si>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</si>
  <si>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</si>
  <si>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</si>
  <si>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</si>
  <si>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</si>
  <si>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</si>
  <si>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</si>
  <si>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</si>
  <si>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</si>
  <si>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</si>
  <si>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</si>
  <si>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</si>
  <si>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</si>
  <si>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</si>
  <si>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</si>
  <si>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</si>
  <si>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</si>
  <si>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</si>
  <si>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</si>
  <si>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</si>
  <si>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</si>
  <si>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</si>
  <si>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</si>
  <si>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</si>
  <si>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</si>
  <si>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</si>
  <si>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</si>
  <si>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</si>
  <si>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</si>
  <si>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</si>
  <si>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</si>
  <si>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</si>
  <si>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</si>
  <si>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</si>
  <si>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</si>
  <si>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</si>
  <si>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</si>
  <si>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</si>
  <si>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</si>
  <si>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</si>
  <si>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</si>
  <si>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</si>
  <si>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</si>
  <si>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</si>
  <si>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</si>
  <si>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</si>
  <si>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</si>
  <si>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</si>
  <si>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</si>
  <si>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</si>
  <si>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</si>
  <si>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</si>
  <si>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</si>
  <si>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</si>
  <si>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</si>
  <si>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</si>
  <si>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</si>
  <si>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</si>
  <si>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</si>
  <si>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</si>
  <si>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</si>
  <si>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</si>
  <si>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</si>
  <si>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</si>
  <si>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</si>
  <si>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</si>
  <si>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</si>
  <si>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</si>
  <si>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</si>
  <si>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</si>
  <si>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</si>
  <si>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</si>
  <si>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</si>
  <si>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</si>
  <si>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</si>
  <si>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</si>
  <si>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</si>
  <si>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</si>
  <si>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</si>
  <si>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</si>
  <si>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</si>
  <si>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</si>
  <si>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</si>
  <si>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</si>
  <si>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</si>
  <si>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</si>
  <si>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</si>
  <si>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</si>
  <si>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</si>
  <si>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</si>
  <si>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</si>
  <si>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</si>
  <si>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</si>
  <si>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</si>
  <si>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</si>
  <si>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</si>
  <si>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</si>
  <si>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</si>
  <si>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</si>
  <si>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</si>
  <si>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</si>
  <si>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</si>
  <si>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</si>
  <si>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PARA PIA DE COZINHA 1,50 X 0,60 M - FORNECIMENTO E INSTALAÇÃO. AF_01/2020</t>
  </si>
  <si>
    <t>BANCADA DE MÁRMORE BRANCO POLIDO PARA PIA DE COZINHA 1,50 X 0,60 M - FORNECIMENTO E INSTALAÇÃO. AF_01/2020</t>
  </si>
  <si>
    <t>BANCADA DE MÁRMORE SINTÉTICO 120 X 60CM, COM CUBA INTEGRADA - FORNECIMENTO E INSTALAÇÃO. AF_01/2020</t>
  </si>
  <si>
    <t>BANCADA DE GRANITO CINZA POLIDO PARA LAVATÓRIO 0,50 X 0,60 M - FORNECIMENTO E INSTALAÇÃO. AF_01/2020</t>
  </si>
  <si>
    <t>BANCADA DE MÁRMORE BRANCO POLIDO PARA LAVATÓRIO 0,50 X 0,60 M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</si>
  <si>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</si>
  <si>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</si>
  <si>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</si>
  <si>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</si>
  <si>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</si>
  <si>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</si>
  <si>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</si>
  <si>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</si>
  <si>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</si>
  <si>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</si>
  <si>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</si>
  <si>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</si>
  <si>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</si>
  <si>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</si>
  <si>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</si>
  <si>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</si>
  <si>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</si>
  <si>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</si>
  <si>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</si>
  <si>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</si>
  <si>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</si>
  <si>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</si>
  <si>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</si>
  <si>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</si>
  <si>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</si>
  <si>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</si>
  <si>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</si>
  <si>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</si>
  <si>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</si>
  <si>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</si>
  <si>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</si>
  <si>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</si>
  <si>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</si>
  <si>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</si>
  <si>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</si>
  <si>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</si>
  <si>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</si>
  <si>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</si>
  <si>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</si>
  <si>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</si>
  <si>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</si>
  <si>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</si>
  <si>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</si>
  <si>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</si>
  <si>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</si>
  <si>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</si>
  <si>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</si>
  <si>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</si>
  <si>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</si>
  <si>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</si>
  <si>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</si>
  <si>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</si>
  <si>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</si>
  <si>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</si>
  <si>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</si>
  <si>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</si>
  <si>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</si>
  <si>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</si>
  <si>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</si>
  <si>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</si>
  <si>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</si>
  <si>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</si>
  <si>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</si>
  <si>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</si>
  <si>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</si>
  <si>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</si>
  <si>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</si>
  <si>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</si>
  <si>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</si>
  <si>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</si>
  <si>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</si>
  <si>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</si>
  <si>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</si>
  <si>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</si>
  <si>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</si>
  <si>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</si>
  <si>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</si>
  <si>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</si>
  <si>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</si>
  <si>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</si>
  <si>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</si>
  <si>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</si>
  <si>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</si>
  <si>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</si>
  <si>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</si>
  <si>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</si>
  <si>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</si>
  <si>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</si>
  <si>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</si>
  <si>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</si>
  <si>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</si>
  <si>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</si>
  <si>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</si>
  <si>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</si>
  <si>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</si>
  <si>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</si>
  <si>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</si>
  <si>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</si>
  <si>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</si>
  <si>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</si>
  <si>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</si>
  <si>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</si>
  <si>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</si>
  <si>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</si>
  <si>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</si>
  <si>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</si>
  <si>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</si>
  <si>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</si>
  <si>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</si>
  <si>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</si>
  <si>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</si>
  <si>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</si>
  <si>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</si>
  <si>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</si>
  <si>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</si>
  <si>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</si>
  <si>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</si>
  <si>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</si>
  <si>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</si>
  <si>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</si>
  <si>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</si>
  <si>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</si>
  <si>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</si>
  <si>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</si>
  <si>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</si>
  <si>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</si>
  <si>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</si>
  <si>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</si>
  <si>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</si>
  <si>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</si>
  <si>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</si>
  <si>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</si>
  <si>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</si>
  <si>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</si>
  <si>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</si>
  <si>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</si>
  <si>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</si>
  <si>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</si>
  <si>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</si>
  <si>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</si>
  <si>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</si>
  <si>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</si>
  <si>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</si>
  <si>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</si>
  <si>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</si>
  <si>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</si>
  <si>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</si>
  <si>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</si>
  <si>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</si>
  <si>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</si>
  <si>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</si>
  <si>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</si>
  <si>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</si>
  <si>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</si>
  <si>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</si>
  <si>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</si>
  <si>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</si>
  <si>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</si>
  <si>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</si>
  <si>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</si>
  <si>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</si>
  <si>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</si>
  <si>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</si>
  <si>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</si>
  <si>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</si>
  <si>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</si>
  <si>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</si>
  <si>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</si>
  <si>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</si>
  <si>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</si>
  <si>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</si>
  <si>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</si>
  <si>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</si>
  <si>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</si>
  <si>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</si>
  <si>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</si>
  <si>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</si>
  <si>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</si>
  <si>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</si>
  <si>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</si>
  <si>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</si>
  <si>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</si>
  <si>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</si>
  <si>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</si>
  <si>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</si>
  <si>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</si>
  <si>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</si>
  <si>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</si>
  <si>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</si>
  <si>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</si>
  <si>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</si>
  <si>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</si>
  <si>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</si>
  <si>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</si>
  <si>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</si>
  <si>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</si>
  <si>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</si>
  <si>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</si>
  <si>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</si>
  <si>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</si>
  <si>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</si>
  <si>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</si>
  <si>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</si>
  <si>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</si>
  <si>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</si>
  <si>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</si>
  <si>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</si>
  <si>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</si>
  <si>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</si>
  <si>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</si>
  <si>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</si>
  <si>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</si>
  <si>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</si>
  <si>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</si>
  <si>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</si>
  <si>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</si>
  <si>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</si>
  <si>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</si>
  <si>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</si>
  <si>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</si>
  <si>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</si>
  <si>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</si>
  <si>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</si>
  <si>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</si>
  <si>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</si>
  <si>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</si>
  <si>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</si>
  <si>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</si>
  <si>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</si>
  <si>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</si>
  <si>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</si>
  <si>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</si>
  <si>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</si>
  <si>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</si>
  <si>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</si>
  <si>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</si>
  <si>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</si>
  <si>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</si>
  <si>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</si>
  <si>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</si>
  <si>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</si>
  <si>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</si>
  <si>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</si>
  <si>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</si>
  <si>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</si>
  <si>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</si>
  <si>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</si>
  <si>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</si>
  <si>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</si>
  <si>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</si>
  <si>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</si>
  <si>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</si>
  <si>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</si>
  <si>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</si>
  <si>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</si>
  <si>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</si>
  <si>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</si>
  <si>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</si>
  <si>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</si>
  <si>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</si>
  <si>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</si>
  <si>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</si>
  <si>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</si>
  <si>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</si>
  <si>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</si>
  <si>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</si>
  <si>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</si>
  <si>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</si>
  <si>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</si>
  <si>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</si>
  <si>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</si>
  <si>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</si>
  <si>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</si>
  <si>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</si>
  <si>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</si>
  <si>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</si>
  <si>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</si>
  <si>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</si>
  <si>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</si>
  <si>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</si>
  <si>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</si>
  <si>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</si>
  <si>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</si>
  <si>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</si>
  <si>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</si>
  <si>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</si>
  <si>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</si>
  <si>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</si>
  <si>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</si>
  <si>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</si>
  <si>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</si>
  <si>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</si>
  <si>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</si>
  <si>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</si>
  <si>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</si>
  <si>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</si>
  <si>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</si>
  <si>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</si>
  <si>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</si>
  <si>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</si>
  <si>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</si>
  <si>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</si>
  <si>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</si>
  <si>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</si>
  <si>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</si>
  <si>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</si>
  <si>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</si>
  <si>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</si>
  <si>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</si>
  <si>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</si>
  <si>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</si>
  <si>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</si>
  <si>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</si>
  <si>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</si>
  <si>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</si>
  <si>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</si>
  <si>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</si>
  <si>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</si>
  <si>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</si>
  <si>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</si>
  <si>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</si>
  <si>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</si>
  <si>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</si>
  <si>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</si>
  <si>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</si>
  <si>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</si>
  <si>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</si>
  <si>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</si>
  <si>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</si>
  <si>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</si>
  <si>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</si>
  <si>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</si>
  <si>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</si>
  <si>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</si>
  <si>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</si>
  <si>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</si>
  <si>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</si>
  <si>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</si>
  <si>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</si>
  <si>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</si>
  <si>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</si>
  <si>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</si>
  <si>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</si>
  <si>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</si>
  <si>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</si>
  <si>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</si>
  <si>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</si>
  <si>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</si>
  <si>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</si>
  <si>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</si>
  <si>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</si>
  <si>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</si>
  <si>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</si>
  <si>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</si>
  <si>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</si>
  <si>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</si>
  <si>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</si>
  <si>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</si>
  <si>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</si>
  <si>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PLACA DE OBRA EM CHAPA DE ACO GALVANIZADO</t>
  </si>
  <si>
    <t>73882/1</t>
  </si>
  <si>
    <t>CALHA EM CONCRETO SIMPLES, EM MEIA CANA, DIAMETRO 200 MM</t>
  </si>
  <si>
    <t>73882/5</t>
  </si>
  <si>
    <t>CALHA EM CONCRETO SIMPLES, EM MEIA CANA DE CONCRETO, DIAMETRO 600 MM</t>
  </si>
  <si>
    <t>73816/2</t>
  </si>
  <si>
    <t>EXECUCAO DE DRENO VERTICAL COM PEDRISCO, DIAMETRO 200MM</t>
  </si>
  <si>
    <t>FORNECIMENTO E INSTALACAO DE MANTA BIDIM RT - 14</t>
  </si>
  <si>
    <t>FORNECIMENTO/INSTALACAO MANTA BIDIM RT-16</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</si>
  <si>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</si>
  <si>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</si>
  <si>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</si>
  <si>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</si>
  <si>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</si>
  <si>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</si>
  <si>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</si>
  <si>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</si>
  <si>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</si>
  <si>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</si>
  <si>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</si>
  <si>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ESCORAMENTO CONTINUO DE VALAS, MISTO, COM PERFIL I DE 8"</t>
  </si>
  <si>
    <t>BANDEIRA PARA PORTA EM MADEIRA. AF_12/2019</t>
  </si>
  <si>
    <t>TARJETA TIPO LIVRE/OCUPADO PARA PORTA DE BANHEIRO</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</si>
  <si>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</si>
  <si>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</si>
  <si>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</si>
  <si>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</si>
  <si>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</si>
  <si>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</si>
  <si>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LASTRO DE CONCRETO, PREPARO MECÂNICO, INCLUSOS ADITIVO IMPERMEABILIZANTE, LANÇAMENTO E ADENSAMENTO</t>
  </si>
  <si>
    <t>73771/1</t>
  </si>
  <si>
    <t>PROTENSAO DE TIRANTES DE BARRA DE ACO CA-50 EXCL MATERIAIS</t>
  </si>
  <si>
    <t>73990/1</t>
  </si>
  <si>
    <t>ARMACAO ACO CA-50 P/1,0M3 DE CONCRETO</t>
  </si>
  <si>
    <t>ARMACAO EM TELA DE ACO SOLDADA NERVURADA Q-92, ACO CA-60, 4,2MM, MALHA 15X15CM</t>
  </si>
  <si>
    <t>REGULARIZAÇÃO DE SUPERFICIE DE CONCRETO APARENTE</t>
  </si>
  <si>
    <t>LANCAMENTO/APLICACAO MANUAL DE CONCRETO EM FUNDACOES</t>
  </si>
  <si>
    <t>73817/1</t>
  </si>
  <si>
    <t>EMBASAMENTO DE MATERIAL GRANULAR - PO DE PEDRA</t>
  </si>
  <si>
    <t>73817/2</t>
  </si>
  <si>
    <t>EMBASAMENTO DE MATERIAL GRANULAR - RACHAO</t>
  </si>
  <si>
    <t>74078/1</t>
  </si>
  <si>
    <t>AGULHAMENTO FUNDO DE VALAS C/MACO 30KG PEDRA-DE-MAO H=10CM</t>
  </si>
  <si>
    <t>EMBASAMENTO C/PEDRA ARGAMASSADA UTILIZANDO ARG.CIM/AREIA 1:4</t>
  </si>
  <si>
    <t>JUNTA DE DILATACAO COM ISOPOR 10 MM</t>
  </si>
  <si>
    <t>73898/1</t>
  </si>
  <si>
    <t>JUNTA DE DILATACAO ELASTICA (PVC) O-220/6 PRESSAO ATE 30 MCA</t>
  </si>
  <si>
    <t>PINTURA ADESIVA P/ CONCRETO, A BASE DE RESINA EPOXI ( SIKADUR 32 )</t>
  </si>
  <si>
    <t>CHAPIM DE CONCRETO APARENTE COM ACABAMENTO DESEMPENADO, FORMA DE COMPENSADO PLASTIFICADO (MADEIRIT) DE 14 X 10 CM, FUNDIDO NO LOCAL.</t>
  </si>
  <si>
    <t>74144/2</t>
  </si>
  <si>
    <t>SUPORTE APOIO CAIXA D AGUA BARROTES MADEIRA DE 1</t>
  </si>
  <si>
    <t>APARELHO DE APOIO NEOPRENE NAO FRETADO (1,4KG/DM3)</t>
  </si>
  <si>
    <t>APARELHO APOIO NEOPRENE FRETADO</t>
  </si>
  <si>
    <t>DM3</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</si>
  <si>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</si>
  <si>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</si>
  <si>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</si>
  <si>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</si>
  <si>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</si>
  <si>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</si>
  <si>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</si>
  <si>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</si>
  <si>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</si>
  <si>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</si>
  <si>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</si>
  <si>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</si>
  <si>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</si>
  <si>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</si>
  <si>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</si>
  <si>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</si>
  <si>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</si>
  <si>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</si>
  <si>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</si>
  <si>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</si>
  <si>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</si>
  <si>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</si>
  <si>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CONECTOR PARAFUSO FENDIDO SPLIT-BOLT - PARA CABO DE 16MM2 - FORNECIMENTO E INSTALACAO</t>
  </si>
  <si>
    <t>CONECTOR PARAFUSO FENDIDO SPLIT-BOLT - PARA CABO DE 35MM2 - FORNECIMENTO E INSTALACAO</t>
  </si>
  <si>
    <t>TOMADA 3P+T 30A/440V SEM PLACA - FORNECIMENTO E INSTALACAO</t>
  </si>
  <si>
    <t>INTERRUPTOR PULSADOR DE CAMPAINHA OU MINUTERIA 2A/250V C/ CAIXA - FORNECIMENTO E INSTALACAO</t>
  </si>
  <si>
    <t>INTERRUPTOR INTERMEDIARIO (FOUR-WAY) - FORNECIMENTO E INSTALACAO</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</si>
  <si>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</si>
  <si>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</si>
  <si>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</si>
  <si>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</si>
  <si>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</si>
  <si>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</si>
  <si>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</si>
  <si>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</si>
  <si>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</si>
  <si>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</si>
  <si>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</si>
  <si>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</si>
  <si>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</si>
  <si>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</si>
  <si>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</si>
  <si>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</si>
  <si>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</si>
  <si>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</si>
  <si>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</si>
  <si>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</si>
  <si>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</si>
  <si>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</si>
  <si>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</si>
  <si>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</si>
  <si>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</si>
  <si>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</si>
  <si>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</si>
  <si>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</si>
  <si>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</si>
  <si>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</si>
  <si>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</si>
  <si>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</si>
  <si>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</si>
  <si>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</si>
  <si>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</si>
  <si>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</si>
  <si>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</si>
  <si>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</si>
  <si>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</si>
  <si>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</si>
  <si>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</si>
  <si>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</si>
  <si>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</si>
  <si>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</si>
  <si>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</si>
  <si>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</si>
  <si>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</si>
  <si>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INSTALACAO PARA-RAIOS P/RESERVATORIO</t>
  </si>
  <si>
    <t>CAIXA DE PASSAGEM PARA TELEFONE 150X150X15CM (SOBREPOR) FORNECIMENTO E INSTALACAO. AF_11/2019</t>
  </si>
  <si>
    <t>CAP PVC ESGOTO 50MM (TAMPÃO) - FORNECIMENTO E INSTALAÇÃO</t>
  </si>
  <si>
    <t>74093/1</t>
  </si>
  <si>
    <t>VALVULA PE COM CRIVO BRONZE 1.1/4" - FORNECIMENTO E INSTALACAO</t>
  </si>
  <si>
    <t>74169/1</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</si>
  <si>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</si>
  <si>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</si>
  <si>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</si>
  <si>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</si>
  <si>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</si>
  <si>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</si>
  <si>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</si>
  <si>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</si>
  <si>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</si>
  <si>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</si>
  <si>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</si>
  <si>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</si>
  <si>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</si>
  <si>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</si>
  <si>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</si>
  <si>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</si>
  <si>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</si>
  <si>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</si>
  <si>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</si>
  <si>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</si>
  <si>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</si>
  <si>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</si>
  <si>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</si>
  <si>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</si>
  <si>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</si>
  <si>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</si>
  <si>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</si>
  <si>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</si>
  <si>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ESCAVACAO SUBMERSA COM DRAGA DE MANDIBULA</t>
  </si>
  <si>
    <t>DRAGAGEM (C/ ESCAVADEIRA DRAG LINE DE ARRASTE 140HP)</t>
  </si>
  <si>
    <t>73903/1</t>
  </si>
  <si>
    <t>LIMPEZA SUPERFICIAL DA CAMADA VEGETAL EM JAZIDA</t>
  </si>
  <si>
    <t>UMEDECIMENTO DE MATERIAL PARA FECHAMENTO DE VALAS.</t>
  </si>
  <si>
    <t>FORNECIMENTO E LANCAMENTO DE BRITA N. 4</t>
  </si>
  <si>
    <t>FORNECIMENTO E ASSENTAMENTO DE BRITA 2-DRENOS E FILTROS   MM</t>
  </si>
  <si>
    <t>COMPACTACAO MECANICA, SEM CONTROLE DO GC (C/COMPACTADOR PLACA 400 KG)</t>
  </si>
  <si>
    <t>DEMOLIÇÃO DE PAVIMENTAÇÃO ASFÁLTICA COM UTILIZAÇÃO DE MARTELO PERFURADOR, ESPESSURA ATÉ 15 CM, EXCLUSIVE CARGA E TRANSPORTE</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</si>
  <si>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</si>
  <si>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</si>
  <si>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</si>
  <si>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</si>
  <si>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</si>
  <si>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</si>
  <si>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</si>
  <si>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</si>
  <si>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</si>
  <si>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</si>
  <si>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</si>
  <si>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</si>
  <si>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</si>
  <si>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</si>
  <si>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</si>
  <si>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</si>
  <si>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73759/2</t>
  </si>
  <si>
    <t>PRE-MISTURADO A FRIO COM EMULSAO RL-1C, INCLUSO USINAGEM E APLICACAO, EXCLUSIVE TRANSPORTE</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</si>
  <si>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</si>
  <si>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</si>
  <si>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</si>
  <si>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</si>
  <si>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</si>
  <si>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</si>
  <si>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</si>
  <si>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</si>
  <si>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</si>
  <si>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</si>
  <si>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PINTURA EPOXI, DUAS DEMAOS</t>
  </si>
  <si>
    <t>PINTURA COM TINTA A BASE DE BORRACHA CLORADA, 2 DEMAOS</t>
  </si>
  <si>
    <t>79514/1</t>
  </si>
  <si>
    <t>PINTURA EPOXI, TRES DEMAOS</t>
  </si>
  <si>
    <t>PINTURA EPOXI INCLUSO EMASSAMENTO E FUNDO PREPARADOR</t>
  </si>
  <si>
    <t>TRATAMENTO EM  CONCRETO COM ESTUQUE E LIXAMENTO</t>
  </si>
  <si>
    <t>PINTURA PARA TELHAS DE ALUMINIO COM TINTA ESMALTE AUTOMOTIVA</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</si>
  <si>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</si>
  <si>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</si>
  <si>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</si>
  <si>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</si>
  <si>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</si>
  <si>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</si>
  <si>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</si>
  <si>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</si>
  <si>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</si>
  <si>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</si>
  <si>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</si>
  <si>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</si>
  <si>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</si>
  <si>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</si>
  <si>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</si>
  <si>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</si>
  <si>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74163/1</t>
  </si>
  <si>
    <t>PERFURACAO DE POCO COM PERFURATRIZ PNEUMATICA</t>
  </si>
  <si>
    <t>74163/2</t>
  </si>
  <si>
    <t>PERFURACAO DE POCO COM PERFURATRIZ A PERCUSSAO</t>
  </si>
  <si>
    <t>REVESTIMENTO DE POCOS C/ TUBOS DE CONCRETO</t>
  </si>
  <si>
    <t>ABRACADEIRA P/POCOS PROFUNDOS</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</si>
  <si>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</si>
  <si>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</si>
  <si>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</si>
  <si>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</si>
  <si>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</si>
  <si>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</si>
  <si>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</si>
  <si>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</si>
  <si>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</si>
  <si>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</si>
  <si>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</si>
  <si>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</si>
  <si>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</si>
  <si>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</si>
  <si>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</si>
  <si>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</si>
  <si>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</si>
  <si>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</si>
  <si>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</si>
  <si>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ISOLAMENTO DE OBRA COM TELA PLASTICA COM MALHA DE 5MM</t>
  </si>
  <si>
    <t>ISOLAMENTO DE OBRA COM TELA PLASTICA COM MALHA DE 5MM E ESTRUTURA DE MADEIRA PONTALETEADA</t>
  </si>
  <si>
    <t>SERVICOS TOPOGRAFICOS PARA PAVIMENTACAO, INCLUSIVE NOTA DE SERVICOS, ACOMPANHAMENTO E GREIDE</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</si>
  <si>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</si>
  <si>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</si>
  <si>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</si>
  <si>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</si>
  <si>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PLANTIO DE GRAMA SAO CARLOS EM LEIVAS</t>
  </si>
  <si>
    <t>PLANTIO DE GRAMA ESMERALDA EM ROLO</t>
  </si>
  <si>
    <t>RETIRADA DE GRAMA EM PLACAS</t>
  </si>
  <si>
    <t>PODA E LIMPEZA DE ARBUSTO TIPO CERCA VIVA</t>
  </si>
  <si>
    <t>CADEADO EM ACO INOX, LARGURA DE *50* MM, COM HASTE EM ACO TEMPERADO, SEM MOLA - CHAVES INCLUIDAS</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</si>
  <si>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</si>
  <si>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</si>
  <si>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</si>
  <si>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</si>
  <si>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</si>
  <si>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</si>
  <si>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</si>
  <si>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</si>
  <si>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</si>
  <si>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</si>
  <si>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</si>
  <si>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</si>
  <si>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20 MM</t>
  </si>
  <si>
    <t>CHAPA DE MADEIRA COMPENSADA RESINADA PARA FORMA DE CONCRETO, DE *2,2 X 1,1* M, E = 6 MM</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</si>
  <si>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</si>
  <si>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</si>
  <si>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</si>
  <si>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DOBRADICA EM ACO/FERRO, 3" X 2 1/2", E= 1,2 A 1,8 MM, SEM ANEL,  CROMADO OU ZINCADO, TAMPA BOLA, COM PARAFUSOS</t>
  </si>
  <si>
    <t>DOBRADICA EM ACO/FERRO, 4" X 3", E= 2,2 A 3,0 MM, COM ANEL, CROMADO OU ZINCADO,TAMPA BOLA, COM PARAFUSOS</t>
  </si>
  <si>
    <t>DOBRADICA EM LATAO, 4" X 3", E= 2,2 A 3,0 MM, COM ANEL,  TAMPA BOLA, COM PARAFUSOS</t>
  </si>
  <si>
    <t>DOBRADICA TIPO PIANO EM ACO/FERRO, 1'' X 3 M, GALVANIZADO, COM PARAFUSOS</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</si>
  <si>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</si>
  <si>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</si>
  <si>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</si>
  <si>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</si>
  <si>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</si>
  <si>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SOBREPOR EM FERRO PINTADO, COM MACANETA ALAVANCA, CHAVE GRANDE - COMPLETA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</si>
  <si>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</si>
  <si>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</si>
  <si>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CONCHA COM ALAVANCA / TRAVA, DE EMBUTIR, PARA PORTA OU JANELA DE CORRER EM LATAO OU ACO INOX - COMPLETO</t>
  </si>
  <si>
    <t>FECHO DE EMBUTIR, TIPO UNHA, COMANDO COM ALAVANCA, EM ACO CROMADO, 22 CM, PARA PORTAS E JANELAS - INCLUI PARAFUSOS</t>
  </si>
  <si>
    <t>FUNDO SINTETICO NIVELADOR BRANCO FOSCO PARA MADEIRA</t>
  </si>
  <si>
    <t>GRADIL *1320 X 2170* MM (A X L) EM BARRA DE ACO CHATA *25 MM X 2* MM, ENTRELACADA COM BARRA ACO REDONDA *5* MM, MALHA *65 X 132* MM, GALVANIZADO E PINTURA ELETROSTATICA, COR PRETO</t>
  </si>
  <si>
    <t>JANELA BASCULANTE, ACO, COM BATENTE/REQUADRO, 100 X 100 CM (SEM VIDROS)</t>
  </si>
  <si>
    <t>JANELA BASCULANTE, ACO, COM BATENTE/REQUADRO, 60 X 80 CM (SEM VIDROS)</t>
  </si>
  <si>
    <t>JANELA BASCULANTE, ACO, COM BATENTE/REQUADRO, 80 X 80 CM (SEM VIDROS)</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</si>
  <si>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</si>
  <si>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</si>
  <si>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</si>
  <si>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</si>
  <si>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</si>
  <si>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</si>
  <si>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</si>
  <si>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</si>
  <si>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</si>
  <si>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</si>
  <si>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</si>
  <si>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</si>
  <si>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BATENTE/REQUADRO DE 6 A 14 CM, PINT ANTICORROSIVA, SEM VIDRO, COM GRADE, 1 FL, 60  X 80 CM (A X L)</t>
  </si>
  <si>
    <t>JANELA MAXIMO AR, ACO, BATENTE/REQUADRO DE 6 A 14 CM, PINT ANTICORROSIVA, SEM VIDRO, SEM GRADE, 1 FL, 60  X 80 CM (A X L)</t>
  </si>
  <si>
    <t>LONA PLASTICA PRETA, E= 200 MICRA (COLETADO CAIXA)</t>
  </si>
  <si>
    <t>LONA PLASTICA, PRETA, LARGURA  8 M, E= 150 MICRA</t>
  </si>
  <si>
    <t>MASSA A OLEO PARA MADEIRA</t>
  </si>
  <si>
    <t>MASSA ACRILICA</t>
  </si>
  <si>
    <t>MASSA ACRILICA PARA PAREDES INTERIOR/EXTERIOR</t>
  </si>
  <si>
    <t>MASSA CORRIDA PVA PARA PAREDES INTERNAS</t>
  </si>
  <si>
    <t>MOLA AEREA FECHA PORTA, PARA PORTAS COM LARGURA ACIMA DE 110 CM</t>
  </si>
  <si>
    <t>MONTANTE EM BARRA CHATA ACO GALVANIZADO, *65 X 8* MM, ALTURA *1420* MM, PINTURA ELETROSTATICA, COR PRETA</t>
  </si>
  <si>
    <t>PINO GUIA, RETO, COM CHAPA DE LATAO CROMADO, 3/4", PARA PORTA / JANELA DE CORRER</t>
  </si>
  <si>
    <t>PORTA DE MADEIRA, FOLHA LEVE (NBR 15930), E = *35* MM, NUCLEO COLMEIA, CAPA LISA EM HDF, ACABAMENTO MELAMINICO EM PADRAO MADEIRA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</si>
  <si>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</si>
  <si>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</si>
  <si>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SARRAFO DE MADEIRA NAO APARELHADA *2,5 X 15* CM, MACARANDUBA, ANGELIM OU EQUIVALENTE DA REGIAO</t>
  </si>
  <si>
    <t>TINTA A OLEO BRILHANTE PARA MADEIRA E METAIS</t>
  </si>
  <si>
    <t>TINTA ACRILICA PREMIUM, COR BRANCO  FOSCO</t>
  </si>
  <si>
    <t>TINTA LATEX PVA PREMIUM,  COR BRANCA</t>
  </si>
  <si>
    <t>TINTA LATEX PVA PREMIUM, COR BRANCA</t>
  </si>
  <si>
    <t>TINTA LATEX PVA STANDARD, COR BRANCA</t>
  </si>
  <si>
    <t>VARA / PERFIL PARA CREMONA, EM FERRO CROMADO, COMPRIMENTO DE 120 CM</t>
  </si>
  <si>
    <t>VARA / PERFIL PARA CREMONA, EM FERRO CROMADO, COMPRIMENTO DE 150 CM</t>
  </si>
  <si>
    <t>VARA/ PERFIL PARA CREMONA, EM LATAO CROMADO, COMPRIMENTO DE 120 CM</t>
  </si>
  <si>
    <t>VERNIZ POLIURETANO BRILHANTE PARA MADEIRA, SEM FILTRO SOLAR, USO INTERNO E EXTERNO</t>
  </si>
  <si>
    <t>VIGOTA DE MADEIRA NAO APARELHADA *5 X 10* CM, MACARANDUBA, ANGELIM OU EQUIVALENTE DA REGIAO</t>
  </si>
  <si>
    <t>TOTAL DE INSUMOS : 5304</t>
  </si>
  <si>
    <t>LAVANDERIA / ABRIGO RESÍDUOS SÓLIDOS</t>
  </si>
  <si>
    <t xml:space="preserve">LIMPEZA FINAL DA OBRA </t>
  </si>
  <si>
    <t>INSTALAÇÕES HIDROSSANITÁRIAS / DRENAGEM PLUVIAL</t>
  </si>
  <si>
    <t>INCÊNDIO</t>
  </si>
  <si>
    <t>MOVIMENTO DE SOLOS</t>
  </si>
  <si>
    <t>INFRAESTRUTURA</t>
  </si>
  <si>
    <t>ESTRUTURA</t>
  </si>
  <si>
    <t>e baldr ( 15cm para cada lado )</t>
  </si>
  <si>
    <t xml:space="preserve">sapatas ( 30cm para cada lado </t>
  </si>
  <si>
    <t>área de intervenção + 2,00m</t>
  </si>
  <si>
    <t>perímetro + 1,00 para cada lado</t>
  </si>
  <si>
    <t>5 km</t>
  </si>
  <si>
    <t>C28</t>
  </si>
  <si>
    <t>REFERÊNCIA PARA ADOÇÃO DOS COEFICIENTES DE CONSUMO:  SINAPI SET/2019 CÓDIGO 74145/1</t>
  </si>
  <si>
    <t>CONFORME MEMORIAL</t>
  </si>
  <si>
    <t>PORTA DE VIDRO TEMPERADO, 1,20X2,10M, ESPESSURA 10MM, INCLUSIVE ACESSORIOS</t>
  </si>
  <si>
    <t>REFERÊNCIA PARA ADOÇÃO DOS COEFICIENTES DE CONSUMO:  SINAPI JAN/2019 CÓDIGO 73838/001</t>
  </si>
  <si>
    <t>PORTA DE 1,20*2,10</t>
  </si>
  <si>
    <t>C29</t>
  </si>
  <si>
    <t>C30</t>
  </si>
  <si>
    <t>REFERÊNCIA PARA ADOÇÃO DOS COEFICIENTES DE CONSUMO:  SINAPI JAN/2019 CÓDIGO 100685</t>
  </si>
  <si>
    <t>alisar: ( 2,10*2+1,00)*2</t>
  </si>
  <si>
    <t>C31</t>
  </si>
  <si>
    <t>PORTA DE MADEIRA PARA VERNIZ, SEMI-OCA (LEVE OU MÉDIA), 100X210CM, ESPESSURA DE 3,5CM, INCLUSO DOBRADIÇAS - FORNECIMENTO E INSTALAÇÃO</t>
  </si>
  <si>
    <t>C32</t>
  </si>
  <si>
    <t>REFERÊNCIA PARA ADOÇÃO DOS COEFICIENTES DE CONSUMO:  SINAPI AGO/2016 CÓDIGO 84875</t>
  </si>
  <si>
    <t>PORTA DE MADEIRA MACICA REGIONAL 1A, DE CORRER, COMPLETA FORNECIMENTO E INSTALAÇÃO</t>
  </si>
  <si>
    <t>2 PORTAS</t>
  </si>
  <si>
    <t>C33</t>
  </si>
  <si>
    <t xml:space="preserve">REFERÊNCIA PARA ADOÇÃO DOS COEFICIENTES DE CONSUMO:  SINAPI JUN/2019, CÓD 94575 </t>
  </si>
  <si>
    <t>JANELA FIXA EM ALUMÍNIO</t>
  </si>
  <si>
    <t>TRANSPASSE DE 30CM</t>
  </si>
  <si>
    <t>VEDAÇAO</t>
  </si>
  <si>
    <t>PISOS</t>
  </si>
  <si>
    <t>PINTURAS</t>
  </si>
  <si>
    <t>TOTAL PAR - ( CERAMICA+PINT IMPERMEAB)</t>
  </si>
  <si>
    <t>TOTAL PAR - ( CERAMICA)</t>
  </si>
  <si>
    <t>BEIRAL</t>
  </si>
  <si>
    <t>KIT DE PORTA DE MADEIRA PARA VERNIZ, SEMI-OCA (LEVE OU MÉDIA), PADRÃO MÉDIO, 100X210CM, ESPESSURA DE 3,5CM, ITENS INCLUSOS: DOBRADIÇAS, MONTAGEM E INSTALAÇÃO DE BATENTE, FECHADURA COM EXECUÇÃO DO FURO - FORNECIMENTO E INSTALAÇÃO</t>
  </si>
  <si>
    <t>BOX BANHEIROS</t>
  </si>
  <si>
    <t>ÁREA ABRIGO E TRANSF</t>
  </si>
  <si>
    <t>ABRIGO</t>
  </si>
  <si>
    <t>ABRIGO POSTO TRANSF</t>
  </si>
  <si>
    <t>POSTO TRANSF</t>
  </si>
  <si>
    <t>EXCETO PAR EXTERNA + CERAMICA</t>
  </si>
  <si>
    <t>EXCETO IMPERMEABILIZ PAREDE</t>
  </si>
  <si>
    <t>1002,46-(202,48+144,71)</t>
  </si>
  <si>
    <t>POSTO TRANS</t>
  </si>
  <si>
    <t>LAJE</t>
  </si>
  <si>
    <t xml:space="preserve"> POSTO TRANSF</t>
  </si>
  <si>
    <t xml:space="preserve">ABRIGO </t>
  </si>
  <si>
    <t>80 KG/M³ CONCR</t>
  </si>
  <si>
    <t>ABRIOGO POSTO TRANSF</t>
  </si>
  <si>
    <t>80KG/M3</t>
  </si>
  <si>
    <t xml:space="preserve">REVESTIMENTO </t>
  </si>
  <si>
    <t>12,35*4,85</t>
  </si>
  <si>
    <t>3*3</t>
  </si>
  <si>
    <t>356,08*0,3</t>
  </si>
  <si>
    <t>356,08*0,3*5</t>
  </si>
  <si>
    <t>((6,51+6,51+7,51+7,51+4+4,16+4,16+3,83*3+8,2+1,51+1,71*2+2,62+4,21+17,55+4,21*2+3,81*4+1,91*2+3,97+5,71+2,31*3+5,47)*0,44)</t>
  </si>
  <si>
    <t>((6,51+6,51+7,51+7,51+4+4,16+4,16+3,83*3+8,2+1,51+1,71*2+2,62+4,21+17,55+4,21*2+3,81*4+1,91*2+3,97+5,71+2,31*3+5,47)*0,44*0,3)</t>
  </si>
  <si>
    <t>(4*1,1*1,25+4*1,15*1,35*4*1,15*1+6*0,9*1,05+1*1,4*1,2+2*1,05*1,15+1*1,35*1,2+1,7*1,55)*1</t>
  </si>
  <si>
    <t>(1,7*6+2,35*6+2,3*2+2,05*2)*(0,72*0,3)</t>
  </si>
  <si>
    <t>(4*1,1*1,25+4*1,15*1,35*4*1,15*1+6*0,9*1,05+1*1,4*1,2+2*1,05*1,15+1*1,35*1,2+1,7*1,55)</t>
  </si>
  <si>
    <t>(1,7*6+2,35*6+2,3*2+2,05*2)*(0,72)</t>
  </si>
  <si>
    <t>(4*1,1*1,25+4*1,15*1,35*4*1,15*1+6*0,9*1,05+1*1,4*1,2+2*1,05*1,15+1*1,35*1,2+1,7*1,55)*0,05</t>
  </si>
  <si>
    <t>((6,51+6,51+7,51+7,51+4+4,16+4,16+3,83*3+8,2+1,51+1,71*2+2,62+4,21+17,55+4,21*2+3,81*4+1,91*2+3,97+5,71+2,31*3+5,47)*0,44*0,05)</t>
  </si>
  <si>
    <t>(48,08+25,46)-(5,45+5,81)</t>
  </si>
  <si>
    <t>(1,7*6+2,35*6+2,3*2+2,05*2)*(0,12*2)</t>
  </si>
  <si>
    <t>(1,7*6+2,35*6+2,3*2+2,05*2)*(0,12*0,3)</t>
  </si>
  <si>
    <t>CONCRETO*80</t>
  </si>
  <si>
    <t>8*(0,12*2+0,3*2)*2,85</t>
  </si>
  <si>
    <t>8*(0,12*0,3)*2,85</t>
  </si>
  <si>
    <t>(1,7*6+2,35*6+2,3*2+2,05*2)*(0,12*2+0,3)</t>
  </si>
  <si>
    <t>5,7*2,65+2,35*2,65</t>
  </si>
  <si>
    <t>17,55/2,5</t>
  </si>
  <si>
    <t>14,85*16,36</t>
  </si>
  <si>
    <t>14,85*2</t>
  </si>
  <si>
    <t>17,55*2</t>
  </si>
  <si>
    <t>(0,55)*14,85*2</t>
  </si>
  <si>
    <t>((6,5*2+4,15*2+3,9*2+2*2+3,9+6,5+5,28+2,82+1,5+1,7*2+7,5+7,2+17,55*2+4,2*2+3,8*3+1,9*2+2,3*3+5,7)*3,15)-(11*0,8*2,1+1,2*2,1+0,9*2,1+4,2+10,08+12,24+7,2)+(17,55*1,52/2*2)</t>
  </si>
  <si>
    <t>(1,7*6+2,35*6+2,3*2+2,05*2)*2,85-(7*0,8*2,1)</t>
  </si>
  <si>
    <t>((6,5*2+4,15*2+3,9*2+2*2+3,9+6,5+5,28+2,82+1,5+1,7*2+7,5+7,2+17,55*2+4,2*2+3,8*3+1,9*2+2,3*3+5,7))</t>
  </si>
  <si>
    <t>(1,7*6+2,35*6+2,3*2+2,05*2)</t>
  </si>
  <si>
    <t>11*1,4+1*1,8+1*1,6+2*1,6+6*1,4</t>
  </si>
  <si>
    <t>17*1,8+1*1,6</t>
  </si>
  <si>
    <t>1*5,6</t>
  </si>
  <si>
    <t>7*1,4</t>
  </si>
  <si>
    <t>5,6*1,8</t>
  </si>
  <si>
    <t>6*0,8*2,1</t>
  </si>
  <si>
    <t>17*0,6*1,2</t>
  </si>
  <si>
    <t>1*1,2*5+1*1*1,2</t>
  </si>
  <si>
    <t>2*0,6*1,6</t>
  </si>
  <si>
    <t>17*1,2+1*5+1*1</t>
  </si>
  <si>
    <t>((15,15+1,2)*2+(17,55*2))*3,15+(17,55*1,52/2)-(17*1,2*0,6+2*1*2,1+1*1,2*2,1)-67,8</t>
  </si>
  <si>
    <t>(5,7*2+2,65*2+2,3*2+2,35*2)*2,85-(7*0,8*2,1)</t>
  </si>
  <si>
    <t>(3,99*3+4,72)</t>
  </si>
  <si>
    <t>((15,15+1,2)*2+(17,55*2))*1</t>
  </si>
  <si>
    <t>(1,5*2+2,3*2+(2*2+3,8*2)*2+1,7)*2,8-(1*2,1+2*0,8*2,1)</t>
  </si>
  <si>
    <t>(1,7*6+2,35*6)*2,85-(6*0,8*2,1)</t>
  </si>
  <si>
    <t>(13,98+51,35+17,43+16,36+7,6*2+14,8+9,98+5,31+42,75+3,45+3,91*2+27,9)*0,05</t>
  </si>
  <si>
    <t>(13,98+51,35+17,43+16,36+7,6*2+14,8+9,98+5,31+42,75+3,45+3,91*2+27,9)</t>
  </si>
  <si>
    <t>(3,99*3)</t>
  </si>
  <si>
    <t>((6,5*2+2,15*2+6,5*2+7,9*2+4,15*2+4,2*2+3,9*2+4,2*2+3,9*2+3,8*2+5,28*2+1,9*2+2,82*2+1,9*2+9,15*2+5,7*2+2,3*5+1,7*3+1,85+5,35+3,25+7,2+4,6)-(20*0,8+1,2))</t>
  </si>
  <si>
    <t>(3,99*3+4,72)*0,3</t>
  </si>
  <si>
    <t>(3,99*3+4,72)*0,05</t>
  </si>
  <si>
    <t>(2,3*2+2,05*2)-0,8</t>
  </si>
  <si>
    <t>(1002,46)-144,71</t>
  </si>
  <si>
    <t>((15,15+1,2)*2+(17,55*2))*2</t>
  </si>
  <si>
    <t>(1002,46)-(144,71+135,6)</t>
  </si>
  <si>
    <t>11*0,8*2,1*3+1*0,9*2,1*3+4,2*3</t>
  </si>
  <si>
    <t>0,6*14,85*2+0,6*17,55*2</t>
  </si>
  <si>
    <t>14,85*2*2+17,55*2*2+0,6*4</t>
  </si>
  <si>
    <t>((6,5*2+2,15*2+6,5*2+7,9*2+4,15*2+4,2*2+3,9*2+4,2*2+3,9*2+3,8*2+5,28*2+1,9*2+2,82*2+1,9*2+9,15*2+5,7*2+2,3*5+1,7*3+1,85+5,35+3,25+7,2+4,6))</t>
  </si>
  <si>
    <t>2,50*5,00</t>
  </si>
  <si>
    <t>15,15*19,55</t>
  </si>
  <si>
    <t>(15,15+2)*2+(17,55+2)*2</t>
  </si>
  <si>
    <t>(7,7*2+4,65*2+4,6*2+4,35*2)</t>
  </si>
  <si>
    <t>1*0,8*2,1</t>
  </si>
  <si>
    <t>418,94*2</t>
  </si>
  <si>
    <t>82,29*2</t>
  </si>
  <si>
    <t>(13,98+51,35+17,43+16,36+7,6*2+14,8+9,98+5,31+42,75+3,45+3,91*2+27,9)*0,3</t>
  </si>
  <si>
    <t>REFERÊNCIA PARA ADOÇÃO DOS COEFICIENTES DE CONSUMO: SINAPI JUN/19, CÓDIGO 94223 alterando o coeficiente da chapa para confecção da cumeeira conforme peso da chapa/m²</t>
  </si>
  <si>
    <t>CUMEEIRA EM AÇO GALVANIZADA, INCLUSIVE IÇAMENTO</t>
  </si>
  <si>
    <t>2.3</t>
  </si>
  <si>
    <t>2.4</t>
  </si>
  <si>
    <t>2.5</t>
  </si>
  <si>
    <t>2.6</t>
  </si>
  <si>
    <t>3.3</t>
  </si>
  <si>
    <t>3.4</t>
  </si>
  <si>
    <t>3.5</t>
  </si>
  <si>
    <t>QUANTITATIVOS PROJETO ARQUITETÔNICO</t>
  </si>
  <si>
    <t>ORGPLAN ENGENHARIA LTDA.</t>
  </si>
  <si>
    <t>Eng. Jean Martins e Silva Nunes</t>
  </si>
  <si>
    <t>CREA - 9398-VD/MT</t>
  </si>
  <si>
    <t>COMP ELE 002</t>
  </si>
  <si>
    <t>FORNECIMENTO E INSTALAÇÃO DE PLACA DE SINALIZAÇÃO DE ENERGIA (20X20CM)</t>
  </si>
  <si>
    <t>COMP ELE 001</t>
  </si>
  <si>
    <t>FORNECIMENTO E INSTALAÇÃO DE DISPOSITIVO DPS CLASSE II, 1 POLO, TENSAO MAXIMA DE 175 V, CORRENTE MAXIMA DE *45* KA (TIPO AC)</t>
  </si>
  <si>
    <t>COMP ELE 0102</t>
  </si>
  <si>
    <t>FORNECIMENTO E INSTALAÇÃO DE DISPOSITIVO DR, 4 POLOS, SENSIBILIDADE DE 30 MA, CORRENTE DE 63 A, TIPO AC</t>
  </si>
  <si>
    <t>COMP ELE 017</t>
  </si>
  <si>
    <t>FORNECIMENTO E INSTALAÇÃO DE ABRACADEIRA TIPO D 3/4" C/ PARAFUSO"</t>
  </si>
  <si>
    <t>COMP ELE 018</t>
  </si>
  <si>
    <t>FORNECIMENTO E INSTALAÇÃO DE ABRACADEIRA EM ACO PARA AMARRACAO DE ELETRODUTOS, TIPO D, COM 1" E PARAFUSO DE FIXACAO</t>
  </si>
  <si>
    <t>COMP ELE 082</t>
  </si>
  <si>
    <t>FORNECIMENTO E INSTALAÇÃO DE ABRACADEIRA EM ACO PARA AMARRACAO DE ELETRODUTOS, TIPO D, COM 1 1/4" E PARAFUSO DE FIXACAO</t>
  </si>
  <si>
    <t>COMP ELE 030</t>
  </si>
  <si>
    <t>FORNECIMENTO E INSTALAÇÃO DE ARAME GALVANIZADO 12 BWG, D = 2,76 MM (0,048 KG/M) OU 14 BWG, D = 2,11 MM (0,026 KG/M)</t>
  </si>
  <si>
    <t>COMP ELE 056</t>
  </si>
  <si>
    <t>FORNECIMENTO E INSTALAÇÃO DE LUMINÁRIA PLAFON DE  LED QUADRADA SOBREPOR , BRANCO FRIO,POTÊNCIA 24W ; BIVOLT;FLUXO LUMINOSO (lm) 3360lm;TEMPERATURA DA COR Branco Frio 3000K - 6000K;ÍNDICE DE REPRODUÇÃO DE COR (IRC)&gt;70;BIVOLT</t>
  </si>
  <si>
    <t>COMP HID 006</t>
  </si>
  <si>
    <t>BUCHA DE REDUCAO DE PVC, SOLDAVEL, LONGA, COM 60 X 25 MM, PARA AGUA FRIA PREDIAL - FORNECIMENTO E INSTALAÇÃO</t>
  </si>
  <si>
    <t>COMP HID 009</t>
  </si>
  <si>
    <t>BUCHA DE REDUCAO DE PVC, SOLDAVEL, LONGA, COM 75 X 50 MM, PARA AGUA FRIA PREDIAL - FORNECIMENTO E INSTALAÇÃO</t>
  </si>
  <si>
    <t>COMP HID 002</t>
  </si>
  <si>
    <t>BUCHA DE REDUCAO DE PVC, SOLDAVEL, CURTA, COM 75 X 60 MM, PARA AGUA FRIA PREDIAL - FORNECIMENTO E INSTALAÇÃO</t>
  </si>
  <si>
    <t>COMP HID 003</t>
  </si>
  <si>
    <t>BUCHA DE REDUCAO DE PVC, SOLDAVEL, CURTA, COM 85 X 75 MM, PARA AGUA FRIA PREDIAL - FORNECIMENTO E INSTALAÇÃO</t>
  </si>
  <si>
    <t>COMP HID 060</t>
  </si>
  <si>
    <t>DUCHA HIGIENICA PLASTICA COM REGISTRO METALICO 1/2 " - FORNECIMENTO E INSTALAÇÃO</t>
  </si>
  <si>
    <t>COMP HID 019</t>
  </si>
  <si>
    <t>ASSENTO SANITARIO DE PLASTICO, TIPO CONVENCIONAL - FORNECIMENTO E INSTALAÇÃO</t>
  </si>
  <si>
    <t>COMP HID 021</t>
  </si>
  <si>
    <t>GRANITO CINZA POLIDO P/BANCADA E=2,5 CM (MÃO FRANCESA NÃO INCLUSA) - FORNECIMENTO E INSTALAÇÃO</t>
  </si>
  <si>
    <t>COMP HID 046</t>
  </si>
  <si>
    <t>TORNEIRA CROMADA COM BICO PARA JARDIM/TANQUE 1/2 " OU 3/4 " - FORNECIMENTO E INSTALAÇÃO</t>
  </si>
  <si>
    <t>COMP HID 025</t>
  </si>
  <si>
    <t>TERMINAL DE VENTILAÇÃO - DN 50 MM - FORNECIMENTO E INSTALAÇÃO</t>
  </si>
  <si>
    <t>COMP HID 028</t>
  </si>
  <si>
    <t>JUNCAO SIMPLES PVC P/ ESG PREDIAL DN 75X50MM - FORNECIMENTO E INSTALAÇÃO</t>
  </si>
  <si>
    <t>COMP HID 029</t>
  </si>
  <si>
    <t>JUNCAO SIMPLES PVC P/ ESG PREDIAL DN 100X50MM - FORNECIMENTO E INSTALAÇÃO</t>
  </si>
  <si>
    <t>COMP HID 030</t>
  </si>
  <si>
    <t>JUNCAO SIMPLES PVC P/ ESG PREDIAL DN 100X75MM - FORNECIMENTO E INSTALAÇÃO</t>
  </si>
  <si>
    <t>COMP HID 031</t>
  </si>
  <si>
    <t>REDUCAO EXCENTRICA PVC P/ ESG PREDIAL DN 75 X 50MM - FORNECIMENTO E INSTALAÇÃO</t>
  </si>
  <si>
    <t>COMP HID 034</t>
  </si>
  <si>
    <t xml:space="preserve">CAIXA SIFONADA PVC, 150 X 150 X 50 MM, COM GRELHA REDONDA BRANCA (NBR 5688) - FORNECIMENTO E INSTALAÇÃO </t>
  </si>
  <si>
    <t>COMP HID 038</t>
  </si>
  <si>
    <t>CAIXA SIFONADA PVC, 150 X 150 X 50 MM, COM GRELHA DE ALUMÍNIO DO TIPO ESCAMOTEÁVEL - FORNECIMENTO E INSTALAÇÃO</t>
  </si>
  <si>
    <t>COMP HID 037</t>
  </si>
  <si>
    <t>CAIXA SIFONADA PVC, 150 X 185 X 75 MM, COM TAMPA CEGA QUADRADA BRANCA - FORNECIMENTO E INSTALAÇÃO</t>
  </si>
  <si>
    <t>COMP HID 056</t>
  </si>
  <si>
    <t>CANALETA EM CONCRETO MOLDADA IN-LOCO D:30X10CM (LXH)</t>
  </si>
  <si>
    <t>COMP HID 065</t>
  </si>
  <si>
    <t>EXECUÇÃO DE UNIDADE DE TRATAMENTO COMPOSTA POR FILTRO ANAERÓBIO - DIMENSÕES DE ACORDO COM O PROJETO</t>
  </si>
  <si>
    <t>COMP HID 066</t>
  </si>
  <si>
    <t>EXECUÇÃO DE UNIDADE DE DISPOSIÇÃO FINAL DE EFLUENTES - SUMIDOURO - DIMENSÕES DE ACORDO COM O PROJETO</t>
  </si>
  <si>
    <t>COMP HID 040</t>
  </si>
  <si>
    <t>RALO HEMISFÉRICO EM FERRO FUNDIDO, DN 100 MM, PARA LAJES/ CALHAS - FORNECIMENTO E INSTALAÇÃO</t>
  </si>
  <si>
    <t>COMP ELE 0103</t>
  </si>
  <si>
    <t>MURETA MEDIÇÃO ALVEN. 1 1/2 V.(35CM) REBOC.C/PINTURA ACRÍL. E LAJE CONC. 20MPA MALHA 8.0MM CADA 10CM REVEST.C/ARGAMASSA 1:3 C/ IMPERMEABILIZANTE</t>
  </si>
  <si>
    <t>COMP ELE 0104</t>
  </si>
  <si>
    <t>COMP ELE 0105</t>
  </si>
  <si>
    <t>TERMINAL OU CONECTOR DE PRESSAO - PARA CABO 120MM2 - FORNECIMENTO E INSTALACAO</t>
  </si>
  <si>
    <t>TERMINAL OU CONECTOR DE PRESSAO - PARA CABO 240MM2 - FORNECIMENTO E INSTALACAO</t>
  </si>
  <si>
    <t>COMP INC 008</t>
  </si>
  <si>
    <t>FORNECIMENTO E INSTALAÇÃO DE PLACA DE SINALIZACAO DE SEGURANCA CONTRA INCENDIO, FOTOLUMINESCENTE, QUADRADA, *14 X 14* CM, EM PVC *2* MM ANTI-CHAMAS (SIMBOLOS, CORES E PICTOGRAMAS CONFORME NBR 13434)</t>
  </si>
  <si>
    <t>COMP INC 006</t>
  </si>
  <si>
    <t>FORNECIMENTO E INSTALAÇÃO DE PLACA DE SINALIZACAO DE SEGURANCA CONTRA INCENDIO, FOTOLUMINESCENTE, RETANGULAR, *13 X 26* CM, EM PVC *2* MM ANTI-CHAMAS (SIMBOLOS, CORES E PICTOGRAMAS CONFORME NBR 13434)</t>
  </si>
  <si>
    <t>3.0</t>
  </si>
  <si>
    <t>KIT DE PORTA DE MADEIRA PARA VERNIZ, SEMI-OCA (LEVE OU MÉDIA), PADRÃO MÉDIO,100X210CM, ESPESSURA DE 3,5CM, ITENS INCLUSOS: DOBRADIÇAS, MONTAGEM E INSTALAÇÃO DE BATENTE, FECHADURA COM EXECUÇÃO DO FURO - FORNECIMENTO E INSTALAÇÃO</t>
  </si>
  <si>
    <t>C34</t>
  </si>
  <si>
    <t>JANELA EM ALUMINIO TIPO PIVOTANTE COM VIDRO</t>
  </si>
  <si>
    <t>E</t>
  </si>
  <si>
    <t>REVESTIMENTO PAREDE</t>
  </si>
  <si>
    <t>exceto área de impermeabiliz</t>
  </si>
  <si>
    <t>interno +BEIRAL</t>
  </si>
  <si>
    <t>COMP HID 024</t>
  </si>
  <si>
    <t>TORNEIRA CROMADA DE MESA PARA LAVATORIO TEMPORIZADA PRESSAO BICA BAIXA - FORNECIMENTO E INSTALAÇÃO</t>
  </si>
  <si>
    <t>INSTALAÇÕES ELÉTRICAS</t>
  </si>
  <si>
    <t>COMP ELE 028</t>
  </si>
  <si>
    <t>FORNECIMENTO E INSTALAÇÃO DE CAIXA DE PASSAGEM METALICA DE SOBREPOR COM TAMPA PARAFUSADA, DIMENSOES 15 X 15 X 10 CM</t>
  </si>
  <si>
    <t>FORNECIMENTO E INSTALAÇÃO DE ARAME GALVANIZADO 12 BWG, 2,76 MM (0,048 KG/M)</t>
  </si>
  <si>
    <t>COMP ELE 050</t>
  </si>
  <si>
    <t>FORNECIMENTO E INSTALAÇÃO DE LUMINÁRIA TIPO CALHA COM 2 LÂMPADAS TUBULARES DE LED DE 20W</t>
  </si>
  <si>
    <t>FORNECIMENTO E INSTALAÇÃO DE QUADRO DE DISTRIBUIÇÃO COM BARRAMENTO PRINCIPAL DE 225A, E BARRAMENTO SECUNDARIO DE 60A - TIPO SOBREPOR PARA 70 POSIÇÕES TRILHOS DIN</t>
  </si>
  <si>
    <t>COMP ELE 084</t>
  </si>
  <si>
    <t>FORNECIMENTO E INSTALAÇÃO DE SAÍDA HORIZONTAL PARA ELETRODUTO 3/4" (REF. VL 33 VALEMAM OU SIMILAR)</t>
  </si>
  <si>
    <t>COMP ELE 085</t>
  </si>
  <si>
    <t>FORNECIMENTO E INSTALAÇÃO DE SAÍDA HORIZONTAL PARA ELETRODUTO 1" (REF. VL 33 VALEMAM OU SIMILAR)</t>
  </si>
  <si>
    <t>COMP ELE 086</t>
  </si>
  <si>
    <t>FORNECIMENTO E INSTALAÇÃO DE MÃO FRANCESA SIMPLES 100 MM PARA ELETROCALHA</t>
  </si>
  <si>
    <t>COMP ELE 087</t>
  </si>
  <si>
    <t>FORNECIMENTO E INSTALAÇÃO DE MÃO FRANCESA SIMPLES 200 MM PARA ELETROCALHA</t>
  </si>
  <si>
    <t>COMP ELE 088</t>
  </si>
  <si>
    <t>FORNECIMENTO E INSTALAÇÃO DE VERGALHÃO ROSCA TOTAL 5/16'' (TIRANTE)</t>
  </si>
  <si>
    <t>COMP ELE 089</t>
  </si>
  <si>
    <t>FORNECIMENTO E INSTALAÇÃO DE CANTONEIRA ZZ</t>
  </si>
  <si>
    <t>COMP ELE 090</t>
  </si>
  <si>
    <t>FORNECIMENTO E INSTALAÇÃO DE SUSPENSÃO VERTICAL PARA ELETROCALHA PERFURADA 100 X 50 mm</t>
  </si>
  <si>
    <t>COMP ELE 091</t>
  </si>
  <si>
    <t>FORNECIMENTO E INSTALAÇÃO DE SUSPENSÃO VERTICAL PARA ELETROCALHA PERFURADA 200 X 50 mm</t>
  </si>
  <si>
    <t>COMP ELE 092</t>
  </si>
  <si>
    <t>FORNECIMENTO E INSTALAÇÃO DE ELETROCALHA PERFURADA GALVANIZADA DE 100 X 50 X 3000mm</t>
  </si>
  <si>
    <t>COMP ELE 093</t>
  </si>
  <si>
    <t>FORNECIMENTO E INSTALAÇÃO DE EMENDA INTERNA PARA ELETROCLHA PERFURADA GALVANIZADA DE 100 X 50 X 3000mm</t>
  </si>
  <si>
    <t>COMP ELE 095</t>
  </si>
  <si>
    <t>FORNECIMENTO E INSTALAÇÃO DE ELETROCALHA PERFURADA GALVANIZADA DE 200 X 50 X 3000mm</t>
  </si>
  <si>
    <t>COMP ELE 096</t>
  </si>
  <si>
    <t>FORNECIMENTO E INSTALAÇÃO DE CURVA VERTICAL 90º 200X50MM</t>
  </si>
  <si>
    <t>COMP ELE 097</t>
  </si>
  <si>
    <t>FORNECIMENTO E INSTALAÇÃO DE TE HORIZONTAL 200X50MM PARA ELETROCALHA PERFURADA GALVANIZADA</t>
  </si>
  <si>
    <t>COMP ELE 098</t>
  </si>
  <si>
    <t>FORNECIMENTO E INSTALAÇÃO DE REDUÇÃO CONCÊNTRICA 200X50MM PARA 100X50MM</t>
  </si>
  <si>
    <t>COMP ELE 099</t>
  </si>
  <si>
    <t>FORNECIMENTO E INSTALAÇÃO DE EMENDA PARA ELETROCALHA 200X50MM</t>
  </si>
  <si>
    <t>FORNECIMENTO E INSTALAÇÃO DE CRUZETA X 90º COM TAMPA PARA ELETROCALHA 200X50MM</t>
  </si>
  <si>
    <t>FORNECIMENTO E INSTALAÇÃO DE TOMADA DUPLA 2x 2P+T, ABNT, 10 A, PARA PISO, COM ESPELHO EM METAL E CAIXA EM AÇO ESMALTADA</t>
  </si>
  <si>
    <t>S P D A - SECRETARIA</t>
  </si>
  <si>
    <t>COMP SPDA 002</t>
  </si>
  <si>
    <t>FORNECIMENTO E INSTALAÇÃO DE CONECTOR DE MEDIÇÃO C/ 2 PARAFUSOS</t>
  </si>
  <si>
    <t>COMP SPDA 003</t>
  </si>
  <si>
    <t xml:space="preserve">FORNECIMENTO E INSTALAÇÃO DE SOLDA EXOTÉRMICA CABO-HASTE COM CARTUCHO Nº 90 E MOLDE CABO 35mm²- HASTE 5/8" </t>
  </si>
  <si>
    <t>COMP SPDA 004</t>
  </si>
  <si>
    <t xml:space="preserve">FORNECIMENTO E INSTALAÇÃO DE SOLDA EXOTÉRMICA CABO-HASTE COM CARTUCHO Nº115 E MOLDE CABO 50mm²-  HASTE 5/8" </t>
  </si>
  <si>
    <t>COMP SPDA 005</t>
  </si>
  <si>
    <t>FORNECIMENTO E INSTALAÇÃO DE SOLDA EXOTÉRMICA CABO-CABO COM CARTUCHO Nº 32 E MOLDE TIPO "T" CABO 35mm²- CABO 35mm²</t>
  </si>
  <si>
    <t>COMP SPDA 008</t>
  </si>
  <si>
    <t>FORNECIMENTO E INSTALAÇÃO DE SUPORTE ISOLADOR SIMPLES DIAMETRO NOMINAL 5/16", COM ROSCA SOBERBA E BUCHA</t>
  </si>
  <si>
    <t>COMP SPDA 010</t>
  </si>
  <si>
    <t>COMP SPDA 015</t>
  </si>
  <si>
    <t>FORNECIMENTO E INSTALAÇÃO DE SOLDA EXOTÉRMICA CABO-CABO, CABO DE 35mm²  TIPO "X"(COM MOLDE)</t>
  </si>
  <si>
    <t>COMP SPDA 016</t>
  </si>
  <si>
    <t>FORNECIMENTO E INSTALAÇÃO DE REBITE POP EM ALUMÍNIO 4 X 16MM</t>
  </si>
  <si>
    <t>COMP SPDA 017</t>
  </si>
  <si>
    <t>FORNECIMENTO E INSTALAÇÃO DE PRESILHA DE LATÃO 35MM²</t>
  </si>
  <si>
    <t>COMP SPDA 038</t>
  </si>
  <si>
    <t>COMP SPDA 039</t>
  </si>
  <si>
    <t>LAVANDERIA</t>
  </si>
  <si>
    <t>2.1.1</t>
  </si>
  <si>
    <t>2.1.4</t>
  </si>
  <si>
    <t>2.1.5</t>
  </si>
  <si>
    <t>2.1.6</t>
  </si>
  <si>
    <t>2.2.1</t>
  </si>
  <si>
    <t>2.2.2</t>
  </si>
  <si>
    <t>2.2.3</t>
  </si>
  <si>
    <t>2.2.4</t>
  </si>
  <si>
    <t>2.2.5</t>
  </si>
  <si>
    <t>2.3.1</t>
  </si>
  <si>
    <t>2.3.2</t>
  </si>
  <si>
    <t>2.3.3</t>
  </si>
  <si>
    <t>2.3.4</t>
  </si>
  <si>
    <t>2.4.1</t>
  </si>
  <si>
    <t>2.4.2</t>
  </si>
  <si>
    <t>2.4.3</t>
  </si>
  <si>
    <t>2.4.4</t>
  </si>
  <si>
    <t>2.4.5</t>
  </si>
  <si>
    <t>2.4.6</t>
  </si>
  <si>
    <t>2.4.7</t>
  </si>
  <si>
    <t>2.4.8</t>
  </si>
  <si>
    <t>2.4.9</t>
  </si>
  <si>
    <t>2.4.10</t>
  </si>
  <si>
    <t>2.4.11</t>
  </si>
  <si>
    <t>2.4.12</t>
  </si>
  <si>
    <t>2.4.13</t>
  </si>
  <si>
    <t>2.4.14</t>
  </si>
  <si>
    <t>2.5.1</t>
  </si>
  <si>
    <t>2.5.2</t>
  </si>
  <si>
    <t>2.5.3</t>
  </si>
  <si>
    <t>2.6.1</t>
  </si>
  <si>
    <t>2.6.2</t>
  </si>
  <si>
    <t>2.6.3</t>
  </si>
  <si>
    <t>2.6.4</t>
  </si>
  <si>
    <t>2.6.5</t>
  </si>
  <si>
    <t>2.6.6</t>
  </si>
  <si>
    <t>2.6.7</t>
  </si>
  <si>
    <t>2.6.8</t>
  </si>
  <si>
    <t>2.7</t>
  </si>
  <si>
    <t>2.7.1</t>
  </si>
  <si>
    <t>2.7.2</t>
  </si>
  <si>
    <t>2.7.3</t>
  </si>
  <si>
    <t>2.7.4</t>
  </si>
  <si>
    <t>2.7.5</t>
  </si>
  <si>
    <t>2.7.6</t>
  </si>
  <si>
    <t>2.7.7</t>
  </si>
  <si>
    <t>2.7.8</t>
  </si>
  <si>
    <t>2.8</t>
  </si>
  <si>
    <t>2.8.1</t>
  </si>
  <si>
    <t>2.8.2</t>
  </si>
  <si>
    <t>2.8.3</t>
  </si>
  <si>
    <t>2.8.4</t>
  </si>
  <si>
    <t>2.8.5</t>
  </si>
  <si>
    <t>2.8.6</t>
  </si>
  <si>
    <t>2.8.7</t>
  </si>
  <si>
    <t>2.8.8</t>
  </si>
  <si>
    <t>2.8.9</t>
  </si>
  <si>
    <t>2.8.10</t>
  </si>
  <si>
    <t>2.8.11</t>
  </si>
  <si>
    <t>2.8.12</t>
  </si>
  <si>
    <t>2.9</t>
  </si>
  <si>
    <t>2.9.1</t>
  </si>
  <si>
    <t>2.9.2</t>
  </si>
  <si>
    <t>2.9.3</t>
  </si>
  <si>
    <t>2.9.4</t>
  </si>
  <si>
    <t>2.9.5</t>
  </si>
  <si>
    <t>2.9.6</t>
  </si>
  <si>
    <t>2.9.7</t>
  </si>
  <si>
    <t>2.9.8</t>
  </si>
  <si>
    <t>2.10</t>
  </si>
  <si>
    <t>2.10.1</t>
  </si>
  <si>
    <t>2.10.2</t>
  </si>
  <si>
    <t>2.10.3</t>
  </si>
  <si>
    <t>2.10.4</t>
  </si>
  <si>
    <t>2.10.5</t>
  </si>
  <si>
    <t>2.10.6</t>
  </si>
  <si>
    <t>2.11</t>
  </si>
  <si>
    <t>2.11.1</t>
  </si>
  <si>
    <t>2.11.2</t>
  </si>
  <si>
    <t>2.11.3</t>
  </si>
  <si>
    <t>2.11.4</t>
  </si>
  <si>
    <t>2.11.5</t>
  </si>
  <si>
    <t>2.12</t>
  </si>
  <si>
    <t>2.12.1</t>
  </si>
  <si>
    <t>2.12.2</t>
  </si>
  <si>
    <t>2.12.3</t>
  </si>
  <si>
    <t>2.12.4</t>
  </si>
  <si>
    <t>2.13</t>
  </si>
  <si>
    <t>2.13.1</t>
  </si>
  <si>
    <t>2.14</t>
  </si>
  <si>
    <t>2.14.1</t>
  </si>
  <si>
    <t>2.14.2</t>
  </si>
  <si>
    <t>2.14.3</t>
  </si>
  <si>
    <t>2.14.4</t>
  </si>
  <si>
    <t>2.14.5</t>
  </si>
  <si>
    <t>2.14.6</t>
  </si>
  <si>
    <t>2.14.7</t>
  </si>
  <si>
    <t>2.14.8</t>
  </si>
  <si>
    <t>2.14.9</t>
  </si>
  <si>
    <t>2.14.10</t>
  </si>
  <si>
    <t>2.14.11</t>
  </si>
  <si>
    <t>2.14.12</t>
  </si>
  <si>
    <t>2.14.13</t>
  </si>
  <si>
    <t>2.14.14</t>
  </si>
  <si>
    <t>2.14.15</t>
  </si>
  <si>
    <t>2.14.16</t>
  </si>
  <si>
    <t>2.14.17</t>
  </si>
  <si>
    <t>2.14.18</t>
  </si>
  <si>
    <t>2.14.19</t>
  </si>
  <si>
    <t>2.14.20</t>
  </si>
  <si>
    <t>2.14.21</t>
  </si>
  <si>
    <t>2.14.22</t>
  </si>
  <si>
    <t>2.14.23</t>
  </si>
  <si>
    <t>2.14.24</t>
  </si>
  <si>
    <t>2.14.25</t>
  </si>
  <si>
    <t>2.14.26</t>
  </si>
  <si>
    <t>2.14.27</t>
  </si>
  <si>
    <t>2.14.28</t>
  </si>
  <si>
    <t>2.14.29</t>
  </si>
  <si>
    <t>2.14.30</t>
  </si>
  <si>
    <t>2.14.31</t>
  </si>
  <si>
    <t>2.14.32</t>
  </si>
  <si>
    <t>2.14.33</t>
  </si>
  <si>
    <t>2.14.34</t>
  </si>
  <si>
    <t>2.14.35</t>
  </si>
  <si>
    <t>2.14.36</t>
  </si>
  <si>
    <t>2.14.37</t>
  </si>
  <si>
    <t>2.14.38</t>
  </si>
  <si>
    <t>2.14.39</t>
  </si>
  <si>
    <t>2.14.40</t>
  </si>
  <si>
    <t>2.14.41</t>
  </si>
  <si>
    <t>2.14.42</t>
  </si>
  <si>
    <t>2.14.43</t>
  </si>
  <si>
    <t>2.14.44</t>
  </si>
  <si>
    <t>2.14.45</t>
  </si>
  <si>
    <t>2.14.46</t>
  </si>
  <si>
    <t>2.14.47</t>
  </si>
  <si>
    <t>2.14.48</t>
  </si>
  <si>
    <t>2.14.49</t>
  </si>
  <si>
    <t>2.14.50</t>
  </si>
  <si>
    <t>2.14.51</t>
  </si>
  <si>
    <t>2.14.52</t>
  </si>
  <si>
    <t>2.14.53</t>
  </si>
  <si>
    <t>2.14.54</t>
  </si>
  <si>
    <t>2.14.55</t>
  </si>
  <si>
    <t>2.14.56</t>
  </si>
  <si>
    <t>2.14.57</t>
  </si>
  <si>
    <t>2.14.58</t>
  </si>
  <si>
    <t>2.14.59</t>
  </si>
  <si>
    <t>2.14.60</t>
  </si>
  <si>
    <t>2.14.61</t>
  </si>
  <si>
    <t>2.14.62</t>
  </si>
  <si>
    <t>2.14.63</t>
  </si>
  <si>
    <t>2.14.64</t>
  </si>
  <si>
    <t>2.14.65</t>
  </si>
  <si>
    <t>2.14.66</t>
  </si>
  <si>
    <t>2.14.67</t>
  </si>
  <si>
    <t>2.14.68</t>
  </si>
  <si>
    <t>2.14.69</t>
  </si>
  <si>
    <t>2.14.70</t>
  </si>
  <si>
    <t>2.14.71</t>
  </si>
  <si>
    <t>2.14.72</t>
  </si>
  <si>
    <t>2.14.73</t>
  </si>
  <si>
    <t>2.14.74</t>
  </si>
  <si>
    <t>2.14.75</t>
  </si>
  <si>
    <t>2.14.76</t>
  </si>
  <si>
    <t>2.14.77</t>
  </si>
  <si>
    <t>2.14.78</t>
  </si>
  <si>
    <t>2.14.79</t>
  </si>
  <si>
    <t>2.14.80</t>
  </si>
  <si>
    <t>2.14.81</t>
  </si>
  <si>
    <t>2.14.82</t>
  </si>
  <si>
    <t>2.14.83</t>
  </si>
  <si>
    <t>2.14.84</t>
  </si>
  <si>
    <t>2.14.85</t>
  </si>
  <si>
    <t>2.14.86</t>
  </si>
  <si>
    <t>2.14.87</t>
  </si>
  <si>
    <t>2.14.88</t>
  </si>
  <si>
    <t>2.14.89</t>
  </si>
  <si>
    <t>2.14.90</t>
  </si>
  <si>
    <t>2.14.91</t>
  </si>
  <si>
    <t>2.15</t>
  </si>
  <si>
    <t>2.15.1</t>
  </si>
  <si>
    <t>2.15.2</t>
  </si>
  <si>
    <t>2.15.3</t>
  </si>
  <si>
    <t>2.15.4</t>
  </si>
  <si>
    <t>2.15.5</t>
  </si>
  <si>
    <t>2.15.6</t>
  </si>
  <si>
    <t>2.15.7</t>
  </si>
  <si>
    <t>2.15.8</t>
  </si>
  <si>
    <t>2.15.9</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</si>
  <si>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</si>
  <si>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</si>
  <si>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</si>
  <si>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</si>
  <si>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</si>
  <si>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</si>
  <si>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</si>
  <si>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</si>
  <si>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</si>
  <si>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</si>
  <si>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</si>
  <si>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</si>
  <si>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</si>
  <si>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</si>
  <si>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</si>
  <si>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</si>
  <si>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</si>
  <si>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</si>
  <si>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</si>
  <si>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</si>
  <si>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</si>
  <si>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</si>
  <si>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</si>
  <si>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</si>
  <si>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</si>
  <si>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</si>
  <si>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</si>
  <si>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</si>
  <si>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</si>
  <si>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</si>
  <si>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</si>
  <si>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</si>
  <si>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</si>
  <si>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</si>
  <si>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</si>
  <si>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</si>
  <si>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</si>
  <si>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</si>
  <si>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</si>
  <si>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</si>
  <si>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2.16</t>
  </si>
  <si>
    <t>2.16.1</t>
  </si>
  <si>
    <t>2.16.2</t>
  </si>
  <si>
    <t>2.16.3</t>
  </si>
  <si>
    <t>2.16.4</t>
  </si>
  <si>
    <t>2.16.5</t>
  </si>
  <si>
    <t>3.6</t>
  </si>
  <si>
    <t>3.2.1</t>
  </si>
  <si>
    <t>3.1.3</t>
  </si>
  <si>
    <t>3.1.4</t>
  </si>
  <si>
    <t>3.1.5</t>
  </si>
  <si>
    <t>3.1.6</t>
  </si>
  <si>
    <t>3.2.2</t>
  </si>
  <si>
    <t>3.2.3</t>
  </si>
  <si>
    <t>3.2.4</t>
  </si>
  <si>
    <t>3.2.5</t>
  </si>
  <si>
    <t>3.3.1</t>
  </si>
  <si>
    <t>3.3.2</t>
  </si>
  <si>
    <t>3.3.3</t>
  </si>
  <si>
    <t>3.3.4</t>
  </si>
  <si>
    <t>3.3.5</t>
  </si>
  <si>
    <t>3.3.6</t>
  </si>
  <si>
    <t>3.4.1</t>
  </si>
  <si>
    <t>3.4.2</t>
  </si>
  <si>
    <t>3.4.3</t>
  </si>
  <si>
    <t>3.4.4</t>
  </si>
  <si>
    <t>3.4.5</t>
  </si>
  <si>
    <t>3.4.6</t>
  </si>
  <si>
    <t>3.4.7</t>
  </si>
  <si>
    <t>3.4.8</t>
  </si>
  <si>
    <t>3.4.9</t>
  </si>
  <si>
    <t>3.4.10</t>
  </si>
  <si>
    <t>3.4.11</t>
  </si>
  <si>
    <t>3.4.12</t>
  </si>
  <si>
    <t>3.4.13</t>
  </si>
  <si>
    <t>3.4.14</t>
  </si>
  <si>
    <t>3.15</t>
  </si>
  <si>
    <t>3.15.1</t>
  </si>
  <si>
    <t>3.16</t>
  </si>
  <si>
    <t>3.16.1</t>
  </si>
  <si>
    <t>3.16.2</t>
  </si>
  <si>
    <t>3.16.3</t>
  </si>
  <si>
    <t>3.16.4</t>
  </si>
  <si>
    <t>3.16.5</t>
  </si>
  <si>
    <t>3.16.6</t>
  </si>
  <si>
    <t>3.16.7</t>
  </si>
  <si>
    <t>3.16.8</t>
  </si>
  <si>
    <t>3.5.1</t>
  </si>
  <si>
    <t>3.6.1</t>
  </si>
  <si>
    <t>3.6.2</t>
  </si>
  <si>
    <t>3.6.3</t>
  </si>
  <si>
    <t>3.6.4</t>
  </si>
  <si>
    <t>3.6.5</t>
  </si>
  <si>
    <t>3.6.6</t>
  </si>
  <si>
    <t>3.6.7</t>
  </si>
  <si>
    <t>3.6.8</t>
  </si>
  <si>
    <t>3.7</t>
  </si>
  <si>
    <t>3.7.1</t>
  </si>
  <si>
    <t>3.7.2</t>
  </si>
  <si>
    <t>3.7.3</t>
  </si>
  <si>
    <t>3.7.4</t>
  </si>
  <si>
    <t>3.7.5</t>
  </si>
  <si>
    <t>3.8</t>
  </si>
  <si>
    <t>3.8.1</t>
  </si>
  <si>
    <t>3.8.2</t>
  </si>
  <si>
    <t>3.8.3</t>
  </si>
  <si>
    <t>3.8.4</t>
  </si>
  <si>
    <t>3.8.5</t>
  </si>
  <si>
    <t>3.8.6</t>
  </si>
  <si>
    <t>3.9</t>
  </si>
  <si>
    <t>3.9.1</t>
  </si>
  <si>
    <t>3.9.2</t>
  </si>
  <si>
    <t>3.9.3</t>
  </si>
  <si>
    <t>3.9.4</t>
  </si>
  <si>
    <t>3.9.5</t>
  </si>
  <si>
    <t>3.9.6</t>
  </si>
  <si>
    <t>3.10</t>
  </si>
  <si>
    <t>3.10.1</t>
  </si>
  <si>
    <t>3.10.2</t>
  </si>
  <si>
    <t>3.10.3</t>
  </si>
  <si>
    <t>3.10.4</t>
  </si>
  <si>
    <t>3.10.5</t>
  </si>
  <si>
    <t>3.11</t>
  </si>
  <si>
    <t>3.11.1</t>
  </si>
  <si>
    <t>3.11.2</t>
  </si>
  <si>
    <t>3.11.3</t>
  </si>
  <si>
    <t>3.11.4</t>
  </si>
  <si>
    <t>3.12</t>
  </si>
  <si>
    <t>3.12.1</t>
  </si>
  <si>
    <t>3.12.2</t>
  </si>
  <si>
    <t>3.13</t>
  </si>
  <si>
    <t>3.13.1</t>
  </si>
  <si>
    <t>3.14</t>
  </si>
  <si>
    <t>3.14.1</t>
  </si>
  <si>
    <t>3.14.2</t>
  </si>
  <si>
    <t>3.14.3</t>
  </si>
  <si>
    <t>3.14.4</t>
  </si>
  <si>
    <t>3.14.5</t>
  </si>
  <si>
    <t>3.14.6</t>
  </si>
  <si>
    <t>3.14.7</t>
  </si>
  <si>
    <t>3.14.8</t>
  </si>
  <si>
    <t>3.14.9</t>
  </si>
  <si>
    <t>3.14.10</t>
  </si>
  <si>
    <t>3.14.11</t>
  </si>
  <si>
    <t>3.14.12</t>
  </si>
  <si>
    <t>3.14.13</t>
  </si>
  <si>
    <t>3.14.14</t>
  </si>
  <si>
    <t>3.14.15</t>
  </si>
  <si>
    <t>3.14.16</t>
  </si>
  <si>
    <t>3.14.17</t>
  </si>
  <si>
    <t>3.14.18</t>
  </si>
  <si>
    <t>3.14.19</t>
  </si>
  <si>
    <t>3.14.20</t>
  </si>
  <si>
    <t>3.14.21</t>
  </si>
  <si>
    <t>3.14.22</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</si>
  <si>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</si>
  <si>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</si>
  <si>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</si>
  <si>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</si>
  <si>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</si>
  <si>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</si>
  <si>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</si>
  <si>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</si>
  <si>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</si>
  <si>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</si>
  <si>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</si>
  <si>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</si>
  <si>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</si>
  <si>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</si>
  <si>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</si>
  <si>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</si>
  <si>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</si>
  <si>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</si>
  <si>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</si>
  <si>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</si>
  <si>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</si>
  <si>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3.14.44</t>
  </si>
  <si>
    <t>3.14.45</t>
  </si>
  <si>
    <t>3.14.46</t>
  </si>
  <si>
    <t>3.14.47</t>
  </si>
  <si>
    <t>3.14.48</t>
  </si>
  <si>
    <t>3.14.49</t>
  </si>
  <si>
    <t>3.14.50</t>
  </si>
  <si>
    <t>3.14.51</t>
  </si>
  <si>
    <t>3.14.52</t>
  </si>
  <si>
    <t>3.14.53</t>
  </si>
  <si>
    <t>3.14.54</t>
  </si>
  <si>
    <t>3.14.55</t>
  </si>
  <si>
    <t>3.15.2</t>
  </si>
  <si>
    <t>3.15.3</t>
  </si>
  <si>
    <t>3.15.4</t>
  </si>
  <si>
    <t>3.15.5</t>
  </si>
  <si>
    <t>3.15.6</t>
  </si>
  <si>
    <t>3.15.7</t>
  </si>
  <si>
    <t>3.15.8</t>
  </si>
  <si>
    <t>3.15.9</t>
  </si>
  <si>
    <t>3.15.10</t>
  </si>
  <si>
    <t>3.15.11</t>
  </si>
  <si>
    <t>3.15.12</t>
  </si>
  <si>
    <t>3.15.13</t>
  </si>
  <si>
    <t>3.15.14</t>
  </si>
  <si>
    <t>3.15.15</t>
  </si>
  <si>
    <t>3.15.16</t>
  </si>
  <si>
    <t>3.15.17</t>
  </si>
  <si>
    <t>3.15.18</t>
  </si>
  <si>
    <t>3.15.19</t>
  </si>
  <si>
    <t>3.15.20</t>
  </si>
  <si>
    <t>3.15.21</t>
  </si>
  <si>
    <t>3.15.22</t>
  </si>
  <si>
    <t>3.15.23</t>
  </si>
  <si>
    <t>3.15.24</t>
  </si>
  <si>
    <t>3.15.25</t>
  </si>
  <si>
    <t>3.15.26</t>
  </si>
  <si>
    <t>3.15.27</t>
  </si>
  <si>
    <t>3.15.28</t>
  </si>
  <si>
    <t>3.15.29</t>
  </si>
  <si>
    <t>3.15.30</t>
  </si>
  <si>
    <t>3.15.31</t>
  </si>
  <si>
    <t>3.15.32</t>
  </si>
  <si>
    <t>3.15.33</t>
  </si>
  <si>
    <t>3.15.34</t>
  </si>
  <si>
    <t>3.15.35</t>
  </si>
  <si>
    <t>3.15.36</t>
  </si>
  <si>
    <t>3.15.37</t>
  </si>
  <si>
    <t>3.15.38</t>
  </si>
  <si>
    <t>3.15.39</t>
  </si>
  <si>
    <t>3.15.40</t>
  </si>
  <si>
    <t>3.15.41</t>
  </si>
  <si>
    <t>3.15.42</t>
  </si>
  <si>
    <t>3.15.43</t>
  </si>
  <si>
    <t>3.15.44</t>
  </si>
  <si>
    <t>3.15.45</t>
  </si>
  <si>
    <t>3.15.46</t>
  </si>
  <si>
    <t>3.15.47</t>
  </si>
  <si>
    <t>3.15.48</t>
  </si>
  <si>
    <t>3.15.49</t>
  </si>
  <si>
    <t>3.15.50</t>
  </si>
  <si>
    <t>3.15.51</t>
  </si>
  <si>
    <t>3.15.52</t>
  </si>
  <si>
    <t>3.15.53</t>
  </si>
  <si>
    <t>3.15.54</t>
  </si>
  <si>
    <t>3.15.55</t>
  </si>
  <si>
    <t>3.15.56</t>
  </si>
  <si>
    <t>3.15.57</t>
  </si>
  <si>
    <t>3.15.58</t>
  </si>
  <si>
    <t>3.15.59</t>
  </si>
  <si>
    <t>3.15.60</t>
  </si>
  <si>
    <t>3.15.61</t>
  </si>
  <si>
    <t>3.15.62</t>
  </si>
  <si>
    <t>3.16.9</t>
  </si>
  <si>
    <t>3.16.10</t>
  </si>
  <si>
    <t>3.16.11</t>
  </si>
  <si>
    <t>3.16.12</t>
  </si>
  <si>
    <t>3.16.13</t>
  </si>
  <si>
    <t>3.16.14</t>
  </si>
  <si>
    <t>3.16.15</t>
  </si>
  <si>
    <t>3.16.16</t>
  </si>
  <si>
    <t>3.16.17</t>
  </si>
  <si>
    <t>Construção da Lavanderia e Predio Sede da Secretaria Municipal de Saúde de Barra do Bugres - MT</t>
  </si>
  <si>
    <t>OBRA:</t>
  </si>
  <si>
    <t>Município:</t>
  </si>
  <si>
    <t>Data:</t>
  </si>
  <si>
    <t>Execução:</t>
  </si>
  <si>
    <t>PREDIO SEDE SECRETARIA</t>
  </si>
  <si>
    <t>TOTAL GERAL DO ITEM 2:</t>
  </si>
  <si>
    <t>TOTAL GERAL DO ITEM 1:</t>
  </si>
  <si>
    <t>INSUMO</t>
  </si>
  <si>
    <t>SERVIÇO</t>
  </si>
  <si>
    <t>C O M P O S I Ç Ã O   D E   P R E Ç O S  /  H I D R O S S A N I T Á R I A S</t>
  </si>
  <si>
    <t>COMP HID 001</t>
  </si>
  <si>
    <t>BUCHA DE REDUCAO DE PVC, SOLDAVEL, CURTA, COM 50 X 40 MM, PARA AGUA FRIA PREDIAL - FORNECIMENTO E INSTALAÇÃO</t>
  </si>
  <si>
    <t>SINAPI ou Cot. De Mercado</t>
  </si>
  <si>
    <t>COMPONENTES</t>
  </si>
  <si>
    <t>Quantidade</t>
  </si>
  <si>
    <t>Custos
Unit. (R$)</t>
  </si>
  <si>
    <t>Custos
Total (R$)</t>
  </si>
  <si>
    <t>M A T E R I A L</t>
  </si>
  <si>
    <t>M Ã O   D E   O B R A</t>
  </si>
  <si>
    <t>**COMPOSIÇÃO BASEADA NA TABELA TCPO 13ª EDIÇÃO (PINI) - COD - 15142.8.25.4</t>
  </si>
  <si>
    <t>O INSUMO DE CÓDIGO 122 (ADESIVO PLÁSTICO PARA PVC) POSSUI UNIDADE DE MEDIDA DIFERENTE DA REFERÊNCIA UTILIZADA PARA ELABORAÇÃO DESTA COMPOSIÇÃO, PORTANTO SE FAZ NECESSÁRIA A CONVERSÃO DE UNIDADES CONFORME APRESENTADO NO CÁLCULO ABAIXO.</t>
  </si>
  <si>
    <t>0,0116kg ----------- x gramas
1,00kg -------------- 1000 gramas
x: 11,60 gramas                                                                                                                                                                                                                                                                                                                                                                                                                      850 gramas ----------- 1 unidade
11,60 gramas ---------- x unidades
x: 0,014 unidades</t>
  </si>
  <si>
    <t>**COMPOSIÇÃO BASEADA NA TABELA TCPO 13ª EDIÇÃO (PINI) - COD - 15142.8.25.6</t>
  </si>
  <si>
    <t>0,0238kg ----------- x gramas
1,00kg -------------- 1000 gramas
x: 23,80 gramas                                                                                                                                                                                                                                                                                                                                                                                                            850 gramas ----------- 1 unidade
23,80 gramas ---------- x unidades
x: 0,028 unidades</t>
  </si>
  <si>
    <t>**COMPOSIÇÃO BASEADA NA TABELA TCPO 13ª EDIÇÃO (PINI) - COD - 15142.8.25.7</t>
  </si>
  <si>
    <t>0,0326kg ----------- x gramas
1,00kg -------------- 1000 gramas
x: 32,60 gramas                                                                                                                                                                                                                                                                                                                                                                                                             850 gramas ----------- 1 unidade
32,60 gramas ---------- x unidades
x: 0,038 unidades</t>
  </si>
  <si>
    <t>BUCHA DE REDUCAO DE PVC, SOLDAVEL, LONGA, COM 40 X 25 MM, PARA AGUA FRIA PREDIAL - FORNECIMENTO E INSTALAÇÃO</t>
  </si>
  <si>
    <t>**COMPOSIÇÃO BASEADA NA TABELA TCPO 13ª EDIÇÃO (PINI) - COD - 15142.8.25.11</t>
  </si>
  <si>
    <t>0,0066kg ----------- x gramas
1,00kg -------------- 1000 gramas
x: 6,60 gramas                                                                                                                                                                                                                                                                                                                                                                                                                850 gramas ----------- 1 unidade
6,60 gramas ---------- x unidades
x: 0,008 unidades</t>
  </si>
  <si>
    <t>BUCHA DE REDUCAO DE PVC, SOLDAVEL, LONGA, COM 50 X 32 MM, PARA AGUA FRIA PREDIAL - FORNECIMENTO E INSTALAÇÃO</t>
  </si>
  <si>
    <t>**COMPOSIÇÃO BASEADA NA TABELA TCPO 13ª EDIÇÃO (PINI) - COD - 15142.8.25.14</t>
  </si>
  <si>
    <t>0,00968 kg ----------- x gramas
1,00 kg -------------- 1000 gramas
x: 9,68 gramas                                                                                                                                                                                                                                                                                                                                                                                                                850 gramas ----------- 1 unidade
9,68 gramas ---------- x unidades
x: 0,0114 unidades</t>
  </si>
  <si>
    <t>**COMPOSIÇÃO BASEADA NA TABELA TCPO 13ª EDIÇÃO (PINI) - COD - 15142.8.25.15</t>
  </si>
  <si>
    <t>0,011kg ----------- x gramas
1,00kg -------------- 1000 gramas
x: 11,00 gramas                                                                                                                                                                                                                                                                                                                                                                                                              850 gramas ----------- 1 unidade
11,00 gramas ---------- x unidades
x: 0,013 unidades</t>
  </si>
  <si>
    <t>BUCHA DE REDUCAO DE PVC, SOLDAVEL, LONGA, COM 60 X 32 MM, PARA AGUA FRIA PREDIAL - FORNECIMENTO E INSTALAÇÃO</t>
  </si>
  <si>
    <t>**COMPOSIÇÃO BASEADA NA TABELA TCPO 13ª EDIÇÃO (PINI) - COD - 15142.8.25.16</t>
  </si>
  <si>
    <t>0,0119kg ----------- x gramas
1,00kg -------------- 1000 gramas
x: 11,90 gramas                                                                                                                                                                                                                                                                                                                                                                                                               850 gramas ----------- 1 unidade
11,90 gramas ---------- x unidades
x: 0,014 unidades</t>
  </si>
  <si>
    <t>BUCHA DE REDUCAO DE PVC, SOLDAVEL, LONGA, COM 60 X 40 MM, PARA AGUA FRIA PREDIAL - FORNECIMENTO E INSTALAÇÃO</t>
  </si>
  <si>
    <t>**COMPOSIÇÃO BASEADA NA TABELA TCPO 13ª EDIÇÃO (PINI) - COD - 15142.8.25.17</t>
  </si>
  <si>
    <t>0,0132kg ----------- x gramas
1,00kg -------------- 1000 gramas
x: 13,20 gramas                                                                                                                                                                                                                                                                                                                                                                                                             850 gramas ----------- 1 unidade
13,20 gramas ---------- x unidades
x: 0,015 unidades</t>
  </si>
  <si>
    <t>**COMPOSIÇÃO BASEADA NA TABELA TCPO 13ª EDIÇÃO (PINI) - COD - 15142.8.25.19</t>
  </si>
  <si>
    <t>0,0216kg ----------- x gramas
1,00kg -------------- 1000 gramas
x: 21,60 gramas                                                                                                                                                                                                                                                                                                                                                                                                             850 gramas ----------- 1 unidade
21,60 gramas ---------- x unidades
x: 0,025 unidades</t>
  </si>
  <si>
    <t>BUCHA DE REDUCAO DE PVC, SOLDAVEL, LONGA, COM 85 X 60 MM, PARA AGUA FRIA PREDIAL - FORNECIMENTO E INSTALAÇÃO</t>
  </si>
  <si>
    <t>**COMPOSIÇÃO BASEADA NA TABELA TCPO 13ª EDIÇÃO (PINI) - COD - 15142.8.25.20</t>
  </si>
  <si>
    <t>0,0264kg ----------- x gramas
1,00kg -------------- 1000 gramas
x: 26,40 gramas                                                                                                                                                                                                                                                                                                                                                                                                            850 gramas ----------- 1 unidade
26,40 gramas ---------- x unidades
x: 0,031 unidades</t>
  </si>
  <si>
    <t>RESERVATÓRIO EM AÇO DO TIPO TAÇA COM COLUNA SECA (ALTURA DA COLUNA: 6,00M) - VOLUME: 5.000L - FORNECIMENTO E INSTALAÇÃO (FUNDAÇÃO NÃO INCLUSA)</t>
  </si>
  <si>
    <t>COTAÇÃO</t>
  </si>
  <si>
    <t>*A COTAÇÃO APRESENTADA INCLUI EM SEU VALOR, TRANSPORTE E INSTALAÇÃO DO RESERVATÓRIO.</t>
  </si>
  <si>
    <t>RESERVATÓRIO EM AÇO DO TIPO TAÇA COM COLUNA SECA (ALTURA DA COLUNA: 6,00M) - V: 5.000L - INCLUSIVE INSTALAÇÃO</t>
  </si>
  <si>
    <t>ATUALIZADO</t>
  </si>
  <si>
    <t>PREÇO UNITÁRIO SEM ICMS E FRETE PARA EMPRESAS FORA DE CUIABÁ</t>
  </si>
  <si>
    <t>DATA</t>
  </si>
  <si>
    <t>NOME DA EMPRESA FORNECEDORA</t>
  </si>
  <si>
    <t>VALOR COTADO</t>
  </si>
  <si>
    <t>CNPJ</t>
  </si>
  <si>
    <t>TELEFONE</t>
  </si>
  <si>
    <t>CONTATO</t>
  </si>
  <si>
    <t>TANK METALÚRGICA</t>
  </si>
  <si>
    <t>(16) 3258-1109</t>
  </si>
  <si>
    <t xml:space="preserve">FERNANDA </t>
  </si>
  <si>
    <t>ROMA RESERVATÓRIO</t>
  </si>
  <si>
    <t>06.942.746/0001-09</t>
  </si>
  <si>
    <t>(11)2592-1156</t>
  </si>
  <si>
    <t>RONALDO</t>
  </si>
  <si>
    <t>FAZ FORTE</t>
  </si>
  <si>
    <t>18.399.461/0001-44</t>
  </si>
  <si>
    <t>(18)3659-2673</t>
  </si>
  <si>
    <t>ALAN</t>
  </si>
  <si>
    <t xml:space="preserve">FRETE CÁLCULADO PARA EMPRESAS FORA DE CUIABÁ - </t>
  </si>
  <si>
    <t>obs :  CAIXA D' ÁGUA BRASIL O FRETE É COBRADO R$ 2,00 KM RODADO , PORTANTO EM CONSULTA TEMOS UMA DISTANCIA DE 1186 KM X R$ 2,00 (POR KM ) =  R$ 2372</t>
  </si>
  <si>
    <t>ICMS CÁLCULADO PARA EMPRESAS FORA DE CUIABÁ</t>
  </si>
  <si>
    <t>PREÇO UNITÁRIO COM VALOR INCLUSO DE FRETE E ICMS PARA EMPRESAS FORA DE CUIABÁ</t>
  </si>
  <si>
    <t>VALOR ACATADO MEDIANA</t>
  </si>
  <si>
    <t>RESERVATÓRIO EM AÇO DO TIPO TAÇA COM COLUNA SECA (ALTURA DA COLUNA: 6,00M) - VOLUME: 10.000L - FORNECIMENTO E INSTALAÇÃO (FUNDAÇÃO NÃO INCLUSA)</t>
  </si>
  <si>
    <t>RESERVATÓRIO EM AÇO DO TIPO TAÇA COM COLUNA SECA (ALTURA DA COLUNA: 6,00M) - V: 10.000L - INCLUSIVE INSTALAÇÃO</t>
  </si>
  <si>
    <t>N&amp;F RESERVATÓRIOS</t>
  </si>
  <si>
    <t>17.497.997/0001-30</t>
  </si>
  <si>
    <t>(16) 3287-1109</t>
  </si>
  <si>
    <t>DANILO</t>
  </si>
  <si>
    <t xml:space="preserve">ROMA RESERVATÓRIOS </t>
  </si>
  <si>
    <t>RESERVATÓRIO EM AÇO DO TIPO TAÇA COM COLUNA SECA (ALTURA DA COLUNA: 6,00M) - VOLUME: 15.000L - FORNECIMENTO E INSTALAÇÃO (FUNDAÇÃO NÃO INCLUSA)</t>
  </si>
  <si>
    <t>RESERVATÓRIO EM AÇO DO TIPO TAÇA COM COLUNA SECA (ALTURA DA COLUNA: 6,00M) - V: 15.000L - INCLUSIVE INSTALAÇÃO</t>
  </si>
  <si>
    <t xml:space="preserve">BRASIL CAIXAS D'ÁGUA </t>
  </si>
  <si>
    <t>(11) 3614-9066</t>
  </si>
  <si>
    <t>ELAINE</t>
  </si>
  <si>
    <t>ALFA METALURGICA</t>
  </si>
  <si>
    <t>(16)3287-1109</t>
  </si>
  <si>
    <t xml:space="preserve">LUCIENE </t>
  </si>
  <si>
    <t>RESERVATÓRIO EM AÇO DO TIPO TAÇA COM COLUNA SECA (ALTURA DA COLUNA: 6,00M) - VOLUME: 20.000L - FORNECIMENTO E INSTALAÇÃO (FUNDAÇÃO NÃO INCLUSA)</t>
  </si>
  <si>
    <t>RESERVATÓRIO EM AÇO DO TIPO TAÇA COM COLUNA SECA (ALTURA DA COLUNA: 6,00M) - V: 20.000L - INCLUSIVE INSTALAÇÃO</t>
  </si>
  <si>
    <t>ANEL METALURGICA</t>
  </si>
  <si>
    <t>04.486.244/0001-87</t>
  </si>
  <si>
    <t>(66) 3419-1177</t>
  </si>
  <si>
    <t xml:space="preserve">RONI </t>
  </si>
  <si>
    <t>METALÚRGICA E PRÉ MOLDADOS CRISTAL</t>
  </si>
  <si>
    <t>02.432.312/0001-08</t>
  </si>
  <si>
    <t>(66) 3419-1033</t>
  </si>
  <si>
    <t>ROMA RESERVATÓRIOS</t>
  </si>
  <si>
    <t>(11) 2592-1156</t>
  </si>
  <si>
    <t>RESERVATÓRIO EM AÇO DO TIPO TAÇA COM COLUNA SECA (ALTURA DA COLUNA: 6,00M) - VOLUME: 25.000L - FORNECIMENTO E INSTALAÇÃO (FUNDAÇÃO NÃO INCLUSA)</t>
  </si>
  <si>
    <t>RESERVATÓRIO EM AÇO DO TIPO TAÇA COM COLUNA SECA (ALTURA DA COLUNA: 6,00M) - V: 25.000L - INCLUSIVE INSTALAÇÃO</t>
  </si>
  <si>
    <t>CAIXA D' AGUÁ BRASIL</t>
  </si>
  <si>
    <t>03.113.840/0001-59</t>
  </si>
  <si>
    <t>(18) 3641-9066</t>
  </si>
  <si>
    <t xml:space="preserve">TANK METALÚRGICA </t>
  </si>
  <si>
    <t>MURILO</t>
  </si>
  <si>
    <t>CAIXA D'AGUA EM POLIETILENO 1.000 LITROS, COM TAMPA - FORNECIMENTO E LOCAÇÃO EM OBRA</t>
  </si>
  <si>
    <t>**COMPOSIÇÃO BASEADA EM SEINFRA-CE - VERSÃO 026.1 - COD: C3442</t>
  </si>
  <si>
    <t>CAIXA D'AGUA EM POLIETILENO 1.500 LITROS, COM TAMPA - FORNECIMENTO E LOCAÇÃO EM OBRA</t>
  </si>
  <si>
    <t>CAIXA D'AGUA EM POLIETILENO 2.000 LITROS, COM TAMPA - FORNECIMENTO E LOCAÇÃO EM OBRA</t>
  </si>
  <si>
    <t>**COMPOSIÇÃO BASEADA NA ORSE (JUNHO/2019)  - COD - 02066</t>
  </si>
  <si>
    <t>MICTORIO SIFONADO LOUCA BRANCA INSTALADO COM VÁLVULA DE DESCARGA EM METAL CROMADO COM ACIONAMENTO POR PRESSÃO E FECHAMENTO AUTOMÁTICO - FORNECIMENTO E INSTALAÇÃO</t>
  </si>
  <si>
    <t>**COMPOSIÇÃO BASEADA NA ORSE (JUNHO/2019)  - COD - 03461</t>
  </si>
  <si>
    <t>**COMPOSIÇÃO BASEADA EM SEINFRA-CE - VERSÃO 026.1 - COD: C0357</t>
  </si>
  <si>
    <t>LAVATORIO DE CANTO EM LOUÇA BRANCA SUSPENSO - INCLUSO SIFÃO PLÁSTICO FLEXÍVEL, VÁLVULA EM METAL CROMADO E ENGATE FLEXÍVEL EM PLÁSTICO (PVC) 30CM - FORNECIMENTO E INSTALAÇÃO</t>
  </si>
  <si>
    <t>**COMPOSIÇÃO BASEADA NA ORSE (JUNHO/2019)  - COD - 07350</t>
  </si>
  <si>
    <t>É APRESENTADA DUAS UNIDADES DO INSUMO DE CÓDIGO 4351 (PARAFUSO NIQUELADO 3 1/2"), POIS A REFERÊNCIA UTILIZADA É APRESENTADA EM CONJUNTO DE FIXAÇÃO COM DOIS PARAFUSOS.</t>
  </si>
  <si>
    <t>LAVATORIO/CUBA DE SOBREPOR RETANGULAR LOUCA BRANCA (INCLUSO SIFÃO EM METAL CROMADO, VÁLVULA EM METAL CROMADO E ENGATE FLEXÍVEL) - FORNECIMENTO E INSTALAÇÃO</t>
  </si>
  <si>
    <t>**COMPOSIÇÃO BASEADA NA ORSE (JUNHO/2019)  - COD - 07352</t>
  </si>
  <si>
    <t>O INSUMO DE CÓDIGO 3146 (FITA VEDA ROSCA EM ROLOS DE 18 MM X 10 M) POSSUI UNIDADE DE MEDIDA DIFERENTE DA REFERÊNCIA UTILIZADA PARA ELABORAÇÃO DESTA COMPOSIÇÃO, PORTANTO SE FAZ NECESSÁRIA A CONVERSÃO DE UNIDADES CONFORME APRESENTADO NO CÁLCULO ABAIXO.</t>
  </si>
  <si>
    <t xml:space="preserve"> 10 metros ----------- 1 unidade
0,84 metros ---------- x unidades
x: 0,084 unidades</t>
  </si>
  <si>
    <t>**COMPOSIÇÃO BASEADA NA ORSE (JUNHO/2019)  - COD - 11232</t>
  </si>
  <si>
    <t xml:space="preserve"> 10 metros ----------- 1 unidade
0,5 metros ---------- x unidades
x: 0,05 unidades</t>
  </si>
  <si>
    <t>**COMPOSIÇÃO BASEADA NA ORSE (JUNHO/2019)  - COD - 01594</t>
  </si>
  <si>
    <t>O INSUMO DE CÓDIGO 20078 (PASTA LUBRIFICANTE PARA TUBOS E CONEXÕES COM JUNTA ELÁSTICA) POSSUI UNIDADE DE MEDIDA DIFERENTE DA REFERÊNCIA UTILIZADA PARA ELABORAÇÃO DESTA COMPOSIÇÃO, PORTANTO SE FAZ NECESSÁRIA A CONVERSÃO DE UNIDADES CONFORME APRESENTADO NO CÁLCULO ABAIXO.</t>
  </si>
  <si>
    <t>0,008kg ----------- x gramas
1,00kg -------------- 1000 gramas
x: 8,00 gramas                                                                                                                                                                                                                                                                                                                                                                                                                400 gramas ----------- 1 unidade
8,00 gramas ---------- x unidades
x: 0,02 unidades</t>
  </si>
  <si>
    <t>TERMINAL DE VENTILAÇÃO - DN 75 MM - FORNECIMENTO E INSTALAÇÃO</t>
  </si>
  <si>
    <t>**COMPOSIÇÃO BASEADA NA ORSE (JUNHO/2019)  - COD - 07594</t>
  </si>
  <si>
    <t>0,008kg ----------- x gramas
1,00kg -------------- 1000 gramas
x: 8,00 gramas                                                                                                                                                                                                                                                                                                                                                                                                                850 gramas ----------- 1 unidade
8,00 gramas ---------- x unidades
x: 0,0094 unidades</t>
  </si>
  <si>
    <t>TERMINAL DE VENTILAÇÃO - DN 100 MM - FORNECIMENTO E INSTALAÇÃO</t>
  </si>
  <si>
    <t>**COMPOSIÇÃO BASEADA NA ORSE (JUNHO/2019)  - COD - 10266</t>
  </si>
  <si>
    <t>**COMPOSIÇÃO BASEADA NA TABELA TCPO 13ª EDIÇÃO (PINI) - COD - 15152.8.11.5</t>
  </si>
  <si>
    <t>0,03kg ----------- x gramas
1,00kg -------------- 1000 gramas
x: 30,00 gramas                                                                                                                                                                                                                                                                                                                                                                                                                400 gramas ----------- 1 unidade
30,00 gramas ---------- x unidades
x: 0,075unidades</t>
  </si>
  <si>
    <t>**COMPOSIÇÃO BASEADA NA TABELA TCPO 13ª EDIÇÃO (PINI) - COD - 15152.8.11.6</t>
  </si>
  <si>
    <t>0,04kg ----------- x gramas
1,00kg -------------- 1000 gramas
x: 40,00 gramas                                                                                                                                                                                                                                                                                                                                                                                                                400 gramas ----------- 1 unidade
40,00 gramas ---------- x unidades
x: 0,1 unidades</t>
  </si>
  <si>
    <t>**COMPOSIÇÃO BASEADA NA TABELA TCPO 13ª EDIÇÃO (PINI) - COD - 15152.8.11.7</t>
  </si>
  <si>
    <t>**COMPOSIÇÃO BASEADA NA TABELA TCPO 13ª EDIÇÃO (PINI) - COD - 15153.8.9.1</t>
  </si>
  <si>
    <t>0,013kg ----------- x gramas
1,00kg -------------- 1000 gramas
x: 13,00 gramas                                                                                                                                                                                                                                                                                                                                                                                                                400 gramas ----------- 1 unidade
13,00 gramas ---------- x unidades
x: 0,033 unidades</t>
  </si>
  <si>
    <t>REDUCAO EXCENTRICA PVC P/ ESG PREDIAL DN 100 X 50MM - FORNECIMENTO E INSTALAÇÃO</t>
  </si>
  <si>
    <t>**COMPOSIÇÃO BASEADA NA ORSE (JUNHO/2019)  - COD - 01656</t>
  </si>
  <si>
    <t>0,033kg ----------- x gramas
1,00kg -------------- 1000 gramas
x: 33,00 gramas                                                                                                                                                                                                                                                                                                                                                                                                                400 gramas ----------- 1 unidade
33,00 gramas ---------- x unidades
x: 0,008 unidades</t>
  </si>
  <si>
    <t>REDUCAO EXCENTRICA PVC P/ ESG PREDIAL DN 100 X 75MM - FORNECIMENTO E INSTALAÇÃO</t>
  </si>
  <si>
    <t>**COMPOSIÇÃO BASEADA NA ORSE (JUNHO/2019)  - COD - 01657</t>
  </si>
  <si>
    <t>0,038kg ----------- x gramas
1,00kg -------------- 1000 gramas
x: 38,00 gramas                                                                                                                                                                                                                                                                                                                                                                                                                400 gramas ----------- 1 unidade
38,00 gramas ---------- x unidades
x: 0,095 unidades</t>
  </si>
  <si>
    <t>**COMPOSIÇÃO BASEADA NA TABELA TCPO 13ª EDIÇÃO (PINI) - COD - 15155.8.1.3</t>
  </si>
  <si>
    <t xml:space="preserve">CAIXA SIFONADA PVC, 150 X 150 X 50 MM, COM GRELHA QUADRADA BRANCA (NBR 5688) - FORNECIMENTO E INSTALAÇÃO </t>
  </si>
  <si>
    <t>CAIXA SIFONADA PVC 150 X 150 X 50MM COM TAMPA CEGA QUADRADA BRANCA - FORNECIMENTO E INSTALAÇÃO</t>
  </si>
  <si>
    <t>**COMPOSIÇÃO BASEADA NA TABELA TCPO 13ª EDIÇÃO (PINI) - COD - 15155.8.1.4</t>
  </si>
  <si>
    <t>CAIXA SIFONADA 150 X 150 X 50 MM COM TAMPA METÁLICA DO TIPO ABRE E FECHA (ESCAMOTEÁVEL)</t>
  </si>
  <si>
    <t>OK</t>
  </si>
  <si>
    <t>VALOR COTADO (R$)</t>
  </si>
  <si>
    <t>MANEULIN</t>
  </si>
  <si>
    <t>00.477.597/0001-60</t>
  </si>
  <si>
    <t>(65)3644-1060</t>
  </si>
  <si>
    <t>LINDINALVA</t>
  </si>
  <si>
    <t>SHOP10 MATERIAIS PARA CONSTRUÇÃO</t>
  </si>
  <si>
    <t>07.140.276/0002-03</t>
  </si>
  <si>
    <t>(65)3028-3232</t>
  </si>
  <si>
    <t>LEIDIANE</t>
  </si>
  <si>
    <t>COLUNA MATERIAS PARA CONSTRUÇÃO</t>
  </si>
  <si>
    <t>11.598.282/0004-30</t>
  </si>
  <si>
    <t>(65)99256-0319</t>
  </si>
  <si>
    <t>ANAMEIRE</t>
  </si>
  <si>
    <t>GRELHA METÁLICA DO TIPO ABRE E FECHA (ESCAMOTEÁVEL)</t>
  </si>
  <si>
    <t>RALO HEMISFÉRICO EM FERRO FUNDIDO, DN 75 MM, PARA LAJES/ CALHAS - FORNECIMENTO E INSTALAÇÃO</t>
  </si>
  <si>
    <t>**COMPOSIÇÃO BASEADA NA ORSE (JUNHO/2019)  - COD - 09752</t>
  </si>
  <si>
    <t>**COMPOSIÇÃO BASEADA NA ORSE (JUNHO/2019)  - COD - 04283</t>
  </si>
  <si>
    <t>RALO HEMISFÉRICO EM FERRO FUNDIDO, DN 150 MM, PARA LAJES/ CALHAS - FORNECIMENTO E INSTALAÇÃO</t>
  </si>
  <si>
    <t>**COMPOSIÇÃO BASEADA NA ORSE (JUNHO/2019)  - COD - 07752</t>
  </si>
  <si>
    <t>CAIXA D'AGUA EM POLIETILENO 500 LITROS, COM TAMPA - FORNECIMENTO E INSTALAÇÃO</t>
  </si>
  <si>
    <t>**COMPOSIÇÃO BASEADA EM SEINFRA-CE - VERSÃO 026.1 - COD: C3441</t>
  </si>
  <si>
    <t>BANCA/PIA DE ACO INOXIDAVEL (AISI 430) COM 1 CUBA CENTRAL - INCLUSIVE SIFÃO EM METAL CROMADO, VÁLVULA EM METAL CROMADO E TORNEIRA CROMADA DE PAREDE - FORNECIMENTO E INSTALAÇÃO</t>
  </si>
  <si>
    <t>**COMPOSIÇÃO BASEADA EM SEINFRA-CE - VERSÃO 026.1 - COD: C3017</t>
  </si>
  <si>
    <t>PIA DE DESPEJO / EXPURGO - ACIONAMENTO VÁLVULA DESCARGA (VÁLVULA NÃO INCLUSA) - FORNECIMENTO E INSTALAÇÃO</t>
  </si>
  <si>
    <t>**COMPOSIÇÃO BASEADA EM SEINFRA-CE - VERSÃO 026.1 - COD: C3671</t>
  </si>
  <si>
    <t xml:space="preserve">PIA DE EXPURGO HOSPITALAR  </t>
  </si>
  <si>
    <t>BRAVO INOX</t>
  </si>
  <si>
    <t>06.174.600/0001-52</t>
  </si>
  <si>
    <t>(51)99701-2179</t>
  </si>
  <si>
    <t>DAIANE</t>
  </si>
  <si>
    <t>HIDRONOX</t>
  </si>
  <si>
    <t>21.967.634/0001-98</t>
  </si>
  <si>
    <t>(41) 3153-8551</t>
  </si>
  <si>
    <t>HIDRONOX.COM.BR</t>
  </si>
  <si>
    <t xml:space="preserve">SICA INOX </t>
  </si>
  <si>
    <t>24.139.904/0001-60</t>
  </si>
  <si>
    <t>(41) 3649-5436</t>
  </si>
  <si>
    <t>LUCIANO</t>
  </si>
  <si>
    <t>BANCADA EM AÇO INOXIDÁVEL 304, ACABAMENTO POLÍDO (INCLUSIVE RODOPIA H: 7,00 CM) - FORNECIMENTO E INSTALAÇÃO</t>
  </si>
  <si>
    <t>**COMPOSIÇÃO BASEADA NA ORSE (JUNHO/2019)  - COD - 10810</t>
  </si>
  <si>
    <t>**COMPOSIÇÃO BASEADA NA ORSE (JUNHO/2019)  - COD - 02082</t>
  </si>
  <si>
    <t xml:space="preserve"> 10 metros ----------- 1 unidade
0,30 metros ---------- x unidades
x: 0,03 unidades</t>
  </si>
  <si>
    <t>JOELHO DE REDUCAO, PVC SOLDAVEL, 90 GRAUS,  32 MM X 25 MM, PARA AGUA FRIA PREDIAL - FORNECIMENTO E INSTALAÇÃO</t>
  </si>
  <si>
    <t>**COMPOSIÇÃO BASEADA NA TABELA TCPO 13ª EDIÇÃO (PINI) - COD - 15142.8.9.2</t>
  </si>
  <si>
    <t>0,00352 kg ----------- x gramas
1,00kg -------------- 1000 gramas
x: 3,52 gramas                                                                                                                                                                                                                                                                                                                                                                                                                           850 gramas ----------- 1 unidade
3,52 gramas ---------- x unidades
x: 0,004 unidades</t>
  </si>
  <si>
    <t>JOELHO 90 GRAUS COM BOLSA PARA ANEL, EM PVC RÍGIDO C/ ANÉIS PARA ESGOTO SECUNDÁRIO - DN 40MM - FORNECIMENTO E INSTALAÇÃO</t>
  </si>
  <si>
    <t>**COMPOSIÇÃO BASEADA EM ORSE - COD - (01672) - MARÇO/2018</t>
  </si>
  <si>
    <t xml:space="preserve">O insumo de Código 20078 (Pasta Lubrificante para tubos e conexões com junta elástica) tem sua quantidade diferente da referência adotada,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</si>
  <si>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0,02kg ----------- x gramas
1,00kg -------------- 1000 gramas
x: 20,00 gramas                                                                                                                                                                                                                                                                                                                                                                                                                400 gramas ----------- 1 unidade
20,00 gramas ---------- x unidades
x: 0,05unidades</t>
  </si>
  <si>
    <t>RESERVATÓRIO EM POLIETILENO DE ALTA DENSIDADE, V:3.000 L - FORNECIMENTO E LOCAÇÃO EM OBRA</t>
  </si>
  <si>
    <t>RESERVATÓRIO EM POLIETILENO DE ALTA DENSIDADE, V:3.000 L</t>
  </si>
  <si>
    <t>RESERVATÓRIO EM POLIETILENO DE ALTA DENSIDADE - V: 3.000 L</t>
  </si>
  <si>
    <t>COTAR</t>
  </si>
  <si>
    <t>TODIMO</t>
  </si>
  <si>
    <t>(65) 3615-1500</t>
  </si>
  <si>
    <t>ANDRIELEN</t>
  </si>
  <si>
    <t>COMPLEMENTO DE PILAR PARA PROTEÇÃO DE TUBULAÇÃO - FORNECIDO E INSTALADO COM ARGAMASSA E TELA</t>
  </si>
  <si>
    <t xml:space="preserve">LAVATÓRIO COLETIVO EM AÇO INOXIDÁVEL (NÃO INCLUSO VÁLVULA METÁLICA SIFÃO E TORNEIRAS) - COMPRIMENTO: 1,50M - FORNECIMENTO E INSTALAÇÃO </t>
  </si>
  <si>
    <t>**COMPOSIÇÃO BASEADA NA ORSE (JUNHO/2019)  - COD - 12064</t>
  </si>
  <si>
    <t>LAVATÓRIO COLETIVO EM AÇO INOXIDÁVEL - COMPRIMENTO: 1,50M</t>
  </si>
  <si>
    <t>ÉDEINOX</t>
  </si>
  <si>
    <t>26.075.470/0001-08</t>
  </si>
  <si>
    <t>(41) 3154-3588</t>
  </si>
  <si>
    <t>EDSON</t>
  </si>
  <si>
    <t>MOTO BOMBA COM PRESSOSTATO ACOPLADO - (VAZÃO E ALTURA MANOMÉTRICA DE ACORDO COM O PROJETO) - FORNECIMENTO E INSTALAÇÃO</t>
  </si>
  <si>
    <t>**COMPOSIÇÃO BASEADA EM SEINFRA-CE - VERSÃO 026.1 - COD: C1802</t>
  </si>
  <si>
    <t>MOTO BOMBA COM PRESSOSTATO ACOPLADO - (VAZÃO E ALTURA MANOMÉTRICA DE ACORDO COM O PROJETO)</t>
  </si>
  <si>
    <t>CASA DAS BOMBAS</t>
  </si>
  <si>
    <t>04.603.686/0001-66</t>
  </si>
  <si>
    <t>(65) 3322-4101</t>
  </si>
  <si>
    <t>ARTEMIO</t>
  </si>
  <si>
    <t>GASPAR MÁQUINAS E BOMBAS</t>
  </si>
  <si>
    <t>10.866.985/0001-96</t>
  </si>
  <si>
    <t>(65) 3682-3111</t>
  </si>
  <si>
    <t>GASPAR</t>
  </si>
  <si>
    <t>CHUVEIRO E LAVA OLHOS EM PVC - COR VERDE - FORNECIMENTO E INSTALAÇÃO</t>
  </si>
  <si>
    <t>**COMPOSIÇÃO BASEADA NA ORSE (JUNHO/2019)  - COD - 10041</t>
  </si>
  <si>
    <t>CHUVEIRO E LAVA OLHOS EM PVC - COR VERDE</t>
  </si>
  <si>
    <t>MARCA MÉDICA</t>
  </si>
  <si>
    <t>11.872.351/0001-09</t>
  </si>
  <si>
    <t xml:space="preserve">(34) 3084-0579 </t>
  </si>
  <si>
    <t>marcamedica.com.br</t>
  </si>
  <si>
    <t xml:space="preserve">SP LABOR </t>
  </si>
  <si>
    <t>28.245.871/0001-94</t>
  </si>
  <si>
    <t>(18) 3908-2013</t>
  </si>
  <si>
    <t>JULIANA</t>
  </si>
  <si>
    <t>RESERVATÓRIO EM AÇO DO TIPO TAÇA COM COLUNA SECA (ALTURA DA COLUNA: 6,00M) - VOLUME: 3.000L - FORNECIMENTO E INSTALAÇÃO (FUNDAÇÃO NÃO INCLUSA)</t>
  </si>
  <si>
    <t>SINAPI ou Cot.
De Mercado</t>
  </si>
  <si>
    <t>RESERVATÓRIO EM AÇO DO TIPO TAÇA COM COLUNA SECA (ALTURA DA COLUNA: 6,00M) - V: 3.000 L - INCLUSIVE INSTALAÇÃO</t>
  </si>
  <si>
    <t xml:space="preserve">(18) 3659-2673 </t>
  </si>
  <si>
    <t>MAURICIO</t>
  </si>
  <si>
    <t>STOCK CAIXAS</t>
  </si>
  <si>
    <t>24.103.775/0001-50</t>
  </si>
  <si>
    <t>(19)4042-1047</t>
  </si>
  <si>
    <t>ALESSANDRO</t>
  </si>
  <si>
    <t>TORNEIRA METÁLICA CLINICA DE PAREDE COM ACIONAMENTO POR COTOVELO - FORNECIMENTO E INSTALAÇÃO</t>
  </si>
  <si>
    <t>TORNEIRA METÁLICA CLINICA DE PAREDE COM ACIONAMENTO POR COTOVELO</t>
  </si>
  <si>
    <t>**COMPOSIÇÃO BASEADA NA ORSE (JUNHO/2019)  - COD - 07229</t>
  </si>
  <si>
    <t xml:space="preserve">TORNEIRA METÁLICA CLINICA DE PAREDE COM ACIONAMENTO POR COTOVELO </t>
  </si>
  <si>
    <t>SOLUCENTER</t>
  </si>
  <si>
    <t>10.811.754/0001-85</t>
  </si>
  <si>
    <t>(19)3318-3040</t>
  </si>
  <si>
    <t>http://torneiraeletronica.com.br</t>
  </si>
  <si>
    <t>CASA DAS TORNEIRAS</t>
  </si>
  <si>
    <t>23.791.162/0001-90</t>
  </si>
  <si>
    <t>(11)2591-3030</t>
  </si>
  <si>
    <t>casadastorneiras.com.br</t>
  </si>
  <si>
    <t>CERTIVA</t>
  </si>
  <si>
    <t>(19) 3328-2080</t>
  </si>
  <si>
    <t>certiva.com.br</t>
  </si>
  <si>
    <t>**COMPOSIÇÃO BASEADA NA TABELA TCPO 13ª EDIÇÃO (PINI) - COD - 02632.8.11.7</t>
  </si>
  <si>
    <t>CANALETA EM CONCRETO MOLDADA IN-LOCO D:20X10CM (LXH)</t>
  </si>
  <si>
    <t>**COMPOSIÇÃO BASEADA NA TABELA TCPO 13ª EDIÇÃO (PINI) - COD - 02632.8.11.6</t>
  </si>
  <si>
    <t>CAIXA D'AGUA EM POLIETILENO 750 LITROS, COM TAMPA - FORNECIMENTO E LOCAÇÃO EM OBRA</t>
  </si>
  <si>
    <t>TORNEIRA COM SENSOR DE PAREDE BIVOLT - BICA MÓVEL - FORNECIMENTO E INSTALAÇÃO</t>
  </si>
  <si>
    <t>**COMPOSIÇÃO BASEADA EM SEINFRA-CE - VERSÃO 026.1 - COD: C2503</t>
  </si>
  <si>
    <t xml:space="preserve"> 10 metros ----------- 1 unidade
0,28 metros ---------- x unidades
x: 0,028 unidades</t>
  </si>
  <si>
    <t>TORNEIRA COM SENSOR DE PAREDE BIVOLT - BICA MÓVEL</t>
  </si>
  <si>
    <t>**COMPOSIÇÃO BASEADA NA ORSE (JUNHO/2019)  - COD - 08211</t>
  </si>
  <si>
    <t xml:space="preserve"> 10 metros ----------- 1 unidade
0,42 metros ---------- x unidades
x: 0,042 unidades</t>
  </si>
  <si>
    <t>TORNEIRA JATO ESGUICHO PARA BEBEDOURO - 3/4" - FORNECIMENTO E INSTALAÇÃO</t>
  </si>
  <si>
    <t>**COMPOSIÇÃO BASEADA NA ORSE (JUNHO/2019)  - COD - 12070</t>
  </si>
  <si>
    <t xml:space="preserve"> 10 metros ----------- 1 unidade
0,50 metros ---------- x unidades
x: 0,05 unidades</t>
  </si>
  <si>
    <t>TORNEIRA JATO ESGUICHO PARA BEBEDOURO - 3/4"</t>
  </si>
  <si>
    <t>BANHEIRA INOX PARA BERÇÁRIO - 75X40X20 CM - EXCLUSIVE VÁLVULA CROMADA E SIFÃO METÁLICO - FORNECIMENTO E INSTALAÇÃO</t>
  </si>
  <si>
    <t>**COMPOSIÇÃO BASEADA NA ORSE (JUNHO/2019)  - COD - 07978</t>
  </si>
  <si>
    <t>BANHEIRA INOX PARA BERÇÁRIO - 75X40X20 CM</t>
  </si>
  <si>
    <t>DUCHA METALICA DE PAREDE, ARTICULAVEL, COM BRACO/CANO, SEM DESVIADOR - FORNECIMENTO E INSTALAÇÃO</t>
  </si>
  <si>
    <t>**COMPOSIÇÃO BASEADA EM ORSE - COD - (04457) - MARÇO/2018</t>
  </si>
  <si>
    <t>Quanto ao insumo DE CÓDIGO 3146 (Fita veda rosca em rolos de 18mm x 10m (LxC)) na referência utilizada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</si>
  <si>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BACIA SANITARIA TURCA DE LOUCA BRANCA - FORNECIMENTO E INSTALAÇÃO</t>
  </si>
  <si>
    <t>**COMPOSIÇÃO BASEADA EM ORSE - COD - (07898) - MARÇO/2018</t>
  </si>
  <si>
    <t>**VERIFICAR MEMORIAL DE CÁLCULO</t>
  </si>
  <si>
    <t>COMP. AUX 01</t>
  </si>
  <si>
    <t>EQUIPAMENTO</t>
  </si>
  <si>
    <t>MÃO DE OBRA</t>
  </si>
  <si>
    <t>**COMPOSIÇÃO DA MÃO DE OBRA BASEADA NO BOLETIM SINAPI 85662 - JANEIRO/2020</t>
  </si>
  <si>
    <t>Total</t>
  </si>
  <si>
    <t>COMP. AUX 02</t>
  </si>
  <si>
    <t>**COMPOSIÇÃO DA MÃO DE OBRA BASEADA NO BOLETIM SINAPI 73873/2- JANEIRO/2020</t>
  </si>
  <si>
    <t>**COMPOSIÇÃO DA MÃO DE OBRA BASEADA NO BOLETIM SINAPI 83624- JANEIRO/2020</t>
  </si>
  <si>
    <t>**COMPOSIÇÃO DA MÃO DE OBRA BASEADA NO BOLETIM SINAPI 83626- JANEIRO/2020</t>
  </si>
  <si>
    <t>**COMPOSIÇÃO DA MÃO DE OBRA BASEADA NO BOLETIM SINAPI 83665- JANEIRO/2020</t>
  </si>
  <si>
    <t>**COMPOSIÇÃO DA MÃO DE OBRA BASEADA NO BOLETIM SINAPI 88549- JANEIRO/2020</t>
  </si>
  <si>
    <t>C O M P O S I Ç Ã O   D E   P R E Ç O S   /   E L É T R I C O S</t>
  </si>
  <si>
    <t>**COMPOSIÇÃO BASEADA NO BOLETIM ORSE (SET/17) "8894"</t>
  </si>
  <si>
    <t>**COMPOSIÇÃO BASEADA NA TABELA DE COMPOSIÇÃO DE CUSTOS UNITÁRIOS DE REFERÊNCIA PARA CONSTRUÇÃO DE OBRAS PÚBLICAS - FUNDAÇÃO IPPUJ JOINVILLE (VOL.3 - 25ª ED.) (DEZ/2015) "C10.72.49.90.025"</t>
  </si>
  <si>
    <t>FORNECIMENTO E INSTALAÇÃO DE INTERRUPTOR DIFERENCIAL RESIDUAL, 2 POLOS, SENSIBILIDADE 30 MA, CORRENTE DE 25 A</t>
  </si>
  <si>
    <t>**COMPOSIÇÃO DA MÃO DE OBRA BASEADA NO BOLETIM ORSE (SET/17) "7996"</t>
  </si>
  <si>
    <t>**COMPOSIÇÃO DA MÃO DE OBRA BASEADA NO BOLETIM ORSE (SET/17) CÓDIGO "9045"</t>
  </si>
  <si>
    <t>**COMPOSIÇÃO DA MÃO DE OBRA BASEADA NO BOLETIM ORSE (SET/17) CÓDIGO "7150"</t>
  </si>
  <si>
    <t>LÂMPADA DE VAPOR METÁLICO DE 70W</t>
  </si>
  <si>
    <t>**COMPOSIÇÃO DA MÃO DE OBRA BASEADA NO BOLETIM ORSE (SET/17) "596"</t>
  </si>
  <si>
    <t>LAMPADA DE VAPOR METALICO 70 W</t>
  </si>
  <si>
    <t>ELETROFIOS</t>
  </si>
  <si>
    <t>37.470.911/0001-92</t>
  </si>
  <si>
    <t>(65) 3618-2500</t>
  </si>
  <si>
    <t xml:space="preserve">RUBENS </t>
  </si>
  <si>
    <t>PIZZATTO</t>
  </si>
  <si>
    <t>04.181.115/0001-80</t>
  </si>
  <si>
    <t>(65) 3052-4200</t>
  </si>
  <si>
    <t>ESMAEL</t>
  </si>
  <si>
    <t>BRANEL</t>
  </si>
  <si>
    <t>07.624.206/0001-31</t>
  </si>
  <si>
    <t>(65) 3027-9000</t>
  </si>
  <si>
    <t xml:space="preserve">CARLOS </t>
  </si>
  <si>
    <t>REATOR PARA LÂMPADA DE VAPOR METÁLICO DE 70W</t>
  </si>
  <si>
    <t>**COMPOSIÇÃO DA MÃO DE OBRA BASEADA NO BOLETIM  ORSE (SET/17) "588"</t>
  </si>
  <si>
    <t>**COMPOSIÇÃO DA MÃO DE OBRA BASEADA NO BOLETIM  "SINAPI" (OUT/17) "73831/7"</t>
  </si>
  <si>
    <t>REATOR PARA LÂMPADA DE VAPOR METÁLICO DE 150W</t>
  </si>
  <si>
    <t>**COMPOSIÇÃO DA MÃO DE OBRA BASEADA NO BOLETIM  DA SINAPI (OUT/17) "72282"</t>
  </si>
  <si>
    <t xml:space="preserve">ELETRICA PARANA </t>
  </si>
  <si>
    <t>08.139.615/0002-96</t>
  </si>
  <si>
    <t>(65) 3046-4500</t>
  </si>
  <si>
    <t>FELIPE</t>
  </si>
  <si>
    <t>LÂMPADA DE VAPOR METÁLICO DE 250W</t>
  </si>
  <si>
    <t xml:space="preserve">**COMPOSIÇÃO DA MÃO DE OBRA BASEADA NO BOLETIM  DA SINAPI (OUT/17) "73831/8"   
</t>
  </si>
  <si>
    <t>AFONSO</t>
  </si>
  <si>
    <t>REATOR PARA LÂMPADA DE VAPOR METÁLICO DE 250W</t>
  </si>
  <si>
    <t xml:space="preserve">AFONSO </t>
  </si>
  <si>
    <t>PIZZATO</t>
  </si>
  <si>
    <t xml:space="preserve"> 04.181.115/0001-80</t>
  </si>
  <si>
    <t xml:space="preserve">**COMPOSIÇÃO DA MÃO DE OBRA BASEADA NO BOLETIM IPPUJ - PREFEITURA DE JOINVILLE (DEZ/15) CÓDIGO "C10.76.10.60.223". </t>
  </si>
  <si>
    <t>**COMPOSIÇÃO DA MÃO DE OBRA BASEADA NO BOLETIM ORSE (SET/17) CÓDIGO "10642". Na falta de referências da mão de obra do mesmo insumo da composição em questão, utilizou-se o mais próximo disponível.</t>
  </si>
  <si>
    <t>REFLETOR BIVOLT DE LED, 100W DE POTÊNCIA, FLUXO LUMINOSO A PARTIR DE 80 LM/W, TEMPERATURA DE COR APROXIMADAMENTE 6500K (BRANCO FRIO)</t>
  </si>
  <si>
    <t xml:space="preserve">**COMPOSIÇÃO DA MÃO DE OBRA BASEADA NO BOLETIM ORSE (SET/17) CÓDIGO "10645". </t>
  </si>
  <si>
    <t>REFLETOR BIVOLT DE LED, 100W DE POTÊNCIA, FLUXO LUMINOSO A PARTIR DE 80 LM/W, TEMPERATURA DE COR A PARTIR DE 4000K (BRANCO FRIO)</t>
  </si>
  <si>
    <t>**COMPOSIÇÃO DA MÃO DE OBRA BASEADA NO BOLETIM SEDOP-PA (OUT/16) CÓDIGO "171519"</t>
  </si>
  <si>
    <t>FORNECIMENTO E INSTALAÇÃO DE POSTE DECORATIVO PARA JARDIM EM AÇO, H=2,5M, PARA INSTALAÇÃO DE DUAS LUMINÁRIAS TIPO GLOBO (EXCETO LUMIÁRIA E LÂMPADA)</t>
  </si>
  <si>
    <t>**COMPOSIÇÃO DA MÃO DE OBRA BASEADA NO BOLETIM ANALÍTICO DA SINAPI (JUN/15) "83474"</t>
  </si>
  <si>
    <t>*COMPOSIÇÃO BASEADA NAS TABELA SEINFRA-CE (VERSÃO 24.1) "C0466"</t>
  </si>
  <si>
    <t>**COMPOSIÇÃO BASEADA NAS TABELA SEINFRA-CE (VERSÃO 24.1) "C0466"</t>
  </si>
  <si>
    <t>**COMPOSIÇÃO BASEADA NAS TABELA SEINFRA-CE (VERSÃO 24.1) "C0467"</t>
  </si>
  <si>
    <t>FORNECIMENTO E INSTALAÇÃO DE REFLETOR REDONDO EM ALUMINIO ANODIZADO PARA LAMPADA DE ATÉ 300W, CORPO EM ALUMINIO COM PINTURA EPOXI, COM SUPORTE REDONDO E ALCA REGULAVEL PARA FIXACAO.</t>
  </si>
  <si>
    <t xml:space="preserve">**COMPOSIÇÃO BASEADA NA TABELA SINAPI (OUT/17) "74082/1" RETIRANDO A MÃO DE OBRA REFERENTE AOS INSUMOS  "3749" BASEADO NA TABELA DE COMPOSIÇÕES ANALÍTICAS DA SINAPI CÓDIGO "73831/8" E "12317" BASEADO NA TABELA DE COMPOSIÇÕES ANALÍTICAS DA SINAPI CÓDIGO "72282". QUE NÃO SERÃO UTILIZADOS NESSA COMPOSIÇÃO </t>
  </si>
  <si>
    <t>Cálculo Demonstrado:</t>
  </si>
  <si>
    <t>REFERÊNCIA BASE: 74082/1</t>
  </si>
  <si>
    <t>REFERÊNCIA BASE PARA RETIRADA ITEM LÂMPADA VM 250W "3749": 73831/8</t>
  </si>
  <si>
    <t>REFERÊNCIA BASE PARA RETIRADA ITEM REATOR P/ LÂMPADA DE VM 400W "12317": 72282</t>
  </si>
  <si>
    <t xml:space="preserve">**COMPOSIÇÃO BASEADA NO BOLETIM SINAPI (OUT/17) "74246/1". RETIRANDO A MÃO DE OBRA REFERENTE AOS INSUMOS  "3752" BASEADO NA TABELA DE COMPOSIÇÕES ANALÍTICAS DA SINAPI CÓDIGO "72278" E "12318" BASEADO NA TABELA DE COMPOSIÇÕES ANALÍTICAS DA SINAPI CÓDIGO "72281". QUE NÃO SERÃO UTILIZADOS NESSA COMPOSIÇÃO </t>
  </si>
  <si>
    <t>REFERÊNCIA BASE PARA RETIRADA ITEM LÂMPADA VM 400W "3752": 72278</t>
  </si>
  <si>
    <t>REFERÊNCIA BASE PARA RETIRADA ITEM REATOR P/ LÂMPADA DE VM 400W "12318": 72281</t>
  </si>
  <si>
    <t>**COMPOSIÇÃO BASEADA NAS TABELA CIDADES-MT (FEV/14)"CP0192"</t>
  </si>
  <si>
    <t>**COMPOSIÇÃO BASEADA NO BOLETIM CIDADES/MT (FEV/14) "CP0206"</t>
  </si>
  <si>
    <t>**COMPOSIÇÃO BASEADA NAS TABELA CIDADES-MT (FEV/14) "CP0187"</t>
  </si>
  <si>
    <t>**COMPOSIÇÃO BASEADA NO BOLETIM CIDADES/MT (FEV/14) "CP0201"</t>
  </si>
  <si>
    <t>VENTILADOR DE TETO C/ ROTAÇÃO EM SENTIDO DIRETO C/ 3 PÁS DE METÁLICAS 60Hz 127V</t>
  </si>
  <si>
    <t>**COMPOSIÇÃO DA MÃO DE OBRA BASEADA NO BOLETIM DA SEINFRA-CE (VERSÃO 24.1) "C2663"</t>
  </si>
  <si>
    <t>**COMPOSIÇÃO BASEADA NO BOLETIM CIDADES/MT (FEV/14) "CP0100"</t>
  </si>
  <si>
    <t>**COMPOSIÇÃO BASEADA NO BOLETIM "CIDADES/MT" (FEV/2014) "CP0102"</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</si>
  <si>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</si>
  <si>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Mão de Obra do Eletricista e Auxiliar:</t>
  </si>
  <si>
    <t>1 m - 0,0353 kg - 0,06 h                                                                                                                                                                                                                                                                                                                                                                                                                                                                                                                                                                                                                                                                                                            1 m -  0,048 kg  - X                                                                                                                                                                                                                                                                                                                                                                                                        X= 0,082 h</t>
  </si>
  <si>
    <t>FORNECIMENTO E INSTALAÇÃO DE LUMINARIA PLAFONIER SOBREPOR ARO/BASE METALICA C/ GLOBO ESFERICO VIDRO LEITOSO BOCA 10CM DIAM 20CM P/ 1 LAMP INCAND, INCL SOQUETE PORCELANA</t>
  </si>
  <si>
    <t>**COMPOSIÇÃO DA MÃO DE OBRA BASEADA NO BOLETIM ANALÍTICO DA SINAPI (AGO/15) "74041/3". OBS.: FOI RETIRADO 0,1 H DO AUXILIAR DE ELETRICISTA REFERENTE À INSTALAÇÃO DA LÂMPADA COM BASE NA REFERÊNCIA DA TABELA DE COMPOSIÇÕES ANALÍTICAS DA SINAPI (AGO/2015) ITEM "72248".</t>
  </si>
  <si>
    <t>**COMPOSIÇÃO BASEADA NA TABELA ORSE (SET/2017) "10620"</t>
  </si>
  <si>
    <t>**COMPOSIÇÃO BASEADA NA TABELA ORSE (SET/17) "9816"</t>
  </si>
  <si>
    <t>**COMPOSIÇÃO BASEADA NO BOLETIM DA "SECRETARIA MUNICIPAL DE INFRAESTRUTURA E OBRAS URBANAS DA PREFEITURA DE SÃO PAULO" (JUL/17) "09-74-05"</t>
  </si>
  <si>
    <t>**COMPOSIÇÃO BASEADA NA TABELA ORSE (SET/17) "11299"</t>
  </si>
  <si>
    <t>FORNECIMENTO E INSTALAÇÃO DE PROJETOR RETANGULAR FECHADO, COM CABECEIRAS EM ALUMÍNIO FUNDIDO, CORPO EM ALUMÍNIO ANODIZADO, COM FECHAMENTO EM VIDRO TEMPERADO, COM LÂMPADA DE VAPOR METÁLICO DE 1000W/220V E REATOR</t>
  </si>
  <si>
    <t>**COMPOSIÇÃO BASEADA NA TABELA ORSE (SET/17) "3237"</t>
  </si>
  <si>
    <t>PROJETOR RETANGULAR FECHADO PARA LAMPADA VAPOR METÁLICO DE 1000W, CABECEIRAS EM ALUMINIO FUNDIDO, CORPO EM ALUMINIO ANODIZADO, COM FECHAMENTO EM VIDRO TEMPERADO</t>
  </si>
  <si>
    <t xml:space="preserve">TO LIGADO </t>
  </si>
  <si>
    <t>07.237.858/0001-13</t>
  </si>
  <si>
    <t>PATRIANE</t>
  </si>
  <si>
    <t>LÂMPADA DE VAPOR METÁLICO DE 1000W</t>
  </si>
  <si>
    <t>REATOR PARA LÂMPADA DE VAPOR METÁLICO DE 1000W</t>
  </si>
  <si>
    <t>CABO FLEX HEPR 1 KV 50,0 MM2 PT</t>
  </si>
  <si>
    <t>**COMPOSIÇÃO BASEADA NO BOLETIM SINAPI (OUT/2017) "92988"</t>
  </si>
  <si>
    <t>PETEL</t>
  </si>
  <si>
    <t>22.760.075/0001-03</t>
  </si>
  <si>
    <t>(65)3634-1717</t>
  </si>
  <si>
    <t>DIRCEU</t>
  </si>
  <si>
    <t>CABO FLEX HEPR 1 KV 95,0 MM2 PT</t>
  </si>
  <si>
    <t>**COMPOSIÇÃO BASEADA NO BOLETIM SINAPI (OUT/2017) "92992"</t>
  </si>
  <si>
    <t>**COMPOSIÇÃO BASEADA NO BOLETIM DA "SECRETARIA MUNICIPAL DE INFRAESTRUTURA E OBRAS URBANAS DA PREFEITURA DE SÃO PAULO" (JUL/17) "09-70-01"</t>
  </si>
  <si>
    <t>PADRÃO DE ENTRADA DE ENERGIA CATEGORIA "B1" (ENERGISA)</t>
  </si>
  <si>
    <t xml:space="preserve">ELETRICA UNIÃO </t>
  </si>
  <si>
    <t>25.211.602/0001-19</t>
  </si>
  <si>
    <t>(65) 3632-9300</t>
  </si>
  <si>
    <t xml:space="preserve">WENDER </t>
  </si>
  <si>
    <t xml:space="preserve">3M </t>
  </si>
  <si>
    <t>04.347.124/0001-07</t>
  </si>
  <si>
    <t>(65) 3029-1234</t>
  </si>
  <si>
    <t xml:space="preserve">CLEBSON </t>
  </si>
  <si>
    <t xml:space="preserve">PANTANAL PADRÃO </t>
  </si>
  <si>
    <t>00.944.785/0001-50</t>
  </si>
  <si>
    <t>(65) 3646-2804</t>
  </si>
  <si>
    <t xml:space="preserve">WAGNER </t>
  </si>
  <si>
    <t>PADRÃO DE ENTRADA DE ENERGIA CATEGORIA "B2" (ENERGISA)</t>
  </si>
  <si>
    <t>ELETRICA PARANÁ</t>
  </si>
  <si>
    <t>(65) 3388-0800</t>
  </si>
  <si>
    <t xml:space="preserve">WILLYAN </t>
  </si>
  <si>
    <t>PADRÃO DE ENTRADA DE ENERGIA CATEGORIA "B3" (ENERGISA)</t>
  </si>
  <si>
    <t>PADRÃO DE ENTRADA DE ENERGIA CATEGORIA "T1" (ENERGISA)</t>
  </si>
  <si>
    <t xml:space="preserve">                                                                                                                                                                                                                                     </t>
  </si>
  <si>
    <t>PADRÃO DE ENTRADA DE ENERGIA CATEGORIA "T2" (ENERGISA)</t>
  </si>
  <si>
    <t>PADRÃO DE ENTRADA DE ENERGIA CATEGORIA "T3" (ENERGISA)</t>
  </si>
  <si>
    <t>PADRÃO DE ENTRADA DE ENERGIA CATEGORIA "T4" (ENERGISA)</t>
  </si>
  <si>
    <t>PADRÃO DE ENTRADA DE ENERGIA CATEGORIA "T5" (ENERGISA)</t>
  </si>
  <si>
    <t>TO LIGADO</t>
  </si>
  <si>
    <t>(65) 2123-1200</t>
  </si>
  <si>
    <t>PADRÃO DE ENTRADA DE ENERGIA CATEGORIA "T6" (ENERGISA)</t>
  </si>
  <si>
    <t>(65) 3025-4300</t>
  </si>
  <si>
    <t>MANOEL</t>
  </si>
  <si>
    <t>**COMPOSIÇÃO DA MÃO DE OBRA BASEADA NA TABELA ANALÍTICA DA SINAPI (OUT/17) "73542"</t>
  </si>
  <si>
    <t>**COMPOSIÇÃO DA MÃO DE OBRA BASEADA NA TABELA ANALÍTICA DA SINAPI (OUT/17) "84158"</t>
  </si>
  <si>
    <t>**COMPOSIÇÃO BASEADA NA TABELA SINAPI (OUT/2017) "73953/002" .</t>
  </si>
  <si>
    <t>FORNECIMENTO E INSTALAÇÃO DE LUMINÁRIA HERMÉTICA IP-65 PARA, COM DUAS LÂMPADAS TUBULARES DE LED DE 20W</t>
  </si>
  <si>
    <t>FORNECIMENTO E INSTALAÇÃO DE LUMINÁRIA HERMÉTICA IP-65 COM DUAS LÂMPADAS TUBULARES FLUORESCENTES DE 20W, INCUINDO REATOR</t>
  </si>
  <si>
    <t>**COMPOSIÇÃO BASEADA NAS TABELA SINAPI (OUT/17) "73953/002"</t>
  </si>
  <si>
    <t>FORNECIMENTO E INSTALAÇÃO DE LUMINÁRIA HERMÉTICA IP-65 COM DUAS LÂMPADAS TUBULARES FLUORESCENTES DE 40W, INCUINDO REATOR</t>
  </si>
  <si>
    <t>**COMPOSIÇÃO BASEADA NAS TABELA SINAPI (OUT/17) "73953/006"</t>
  </si>
  <si>
    <t>FORNECIMENTO E INSTALAÇÃO DE QUADRO DE DISTRIBUIÇÃO SEM BARRAMENTO, DE EMBUTIR, COM PORTA, PARA INSTALAÇÃO DE DRs</t>
  </si>
  <si>
    <t>**COMPOSIÇÃO BASEADA NAS TABELA SINAPI (OUT/17) "74131/004"</t>
  </si>
  <si>
    <t>**COMPOSIÇÃO DA MÃO DE OBRA BASEADA NO BOLETIM ORSE (SET/17) "546"</t>
  </si>
  <si>
    <t>LUMINÁRIA PLAFON DE  LED QUADRADA EMBUTIR , BRANCO FRIO,POTÊNCIA 24W ; BIVOLT;FLUXO LUMINOSO (lm) 3360lm;TEMPERATURA DA COR Branco Frio 3000K - 6000K;ÍNDICE DE REPRODUÇÃO DE COR (IRC)&gt;70;BIVOLT</t>
  </si>
  <si>
    <t>WILLYAN</t>
  </si>
  <si>
    <t>LUCIANE</t>
  </si>
  <si>
    <t>LUMINÁRIA PLAFON DE  LED QUADRADA SOBREPOR , BRANCO FRIO,POTÊNCIA 24W ; BIVOLT;FLUXO LUMINOSO (lm) 3360lm;TEMPERATURA DA COR Branco Frio 3000K - 6000K;ÍNDICE DE REPRODUÇÃO DE COR (IRC)&gt;70;BIVOLT</t>
  </si>
  <si>
    <t>**COMPOSIÇÃO DA MÃO DE OBRA BASEADA NO BOLETIM ORSE (OUT/16) "3770"</t>
  </si>
  <si>
    <t>CAIXA DE PASSAGEM 40X40X50 FUNDO BRITA COM TAMPA</t>
  </si>
  <si>
    <t>**COMPOSIÇÃO DA MÃO DE OBRA BASEADA NO BOLETIM SINAPI 83447 ABRIL/2018</t>
  </si>
  <si>
    <t>CAIXA DE PASSAGEM 20X20X25 FUNDO BRITA COM TAMPA</t>
  </si>
  <si>
    <t>**COMPOSIÇÃO DA MÃO DE OBRA BASEADA NO BOLETIM SINAPI 83443 ABRIL/2018</t>
  </si>
  <si>
    <t>**COMPOSIÇÃO DA MÃO DE OBRA BASEADA NO BOLETIM AGETOP NOVEMBRO/2017 SERVIÇO : 071761 TABELA 128</t>
  </si>
  <si>
    <t>**COMPOSIÇÃO DA MÃO DE OBRA BASEADA NA COMPOSIÇÃO ANALÍTICA CÓD 73759/002 MAIO/2018 , FOI TROCADO O INSUMO RM-1C PARA RL-1C , COMO RL 1-C ESTA EM TONELADA FOI DIVIDIDO O COEFICINETE DE 132 POR 1000 , ASSIM O COEFICIENTE ADOTADO PARA A COMPOSIÇÃO É DE 0,132</t>
  </si>
  <si>
    <t>CABO DE COBRE NU 10MM2 - FORNECIMENTO E INSTALACAO</t>
  </si>
  <si>
    <t>**COMPOSIÇÃO DA MÃO DE OBRA BASEADA NO BOLETIM SINAPI 72250 OUTUBRO/2018</t>
  </si>
  <si>
    <t>CABO DE COBRE NU 16MM2 - FORNECIMENTO E INSTALACAO</t>
  </si>
  <si>
    <t>**COMPOSIÇÃO DA MÃO DE OBRA BASEADA NO BOLETIM SINAPI 72251 OUTUBRO/2018</t>
  </si>
  <si>
    <t>CABO DE COBRE NU 25MM2 - FORNECIMENTO E INSTALACAO</t>
  </si>
  <si>
    <t>**COMPOSIÇÃO DA MÃO DE OBRA BASEADA NO BOLETIM SINAPI 72252 OUTUBRO/2018</t>
  </si>
  <si>
    <t>**COMPOSIÇÃO DA MÃO DE OBRA BASEADA NO BOLETIM SINAPI 72253 OUTUBRO/2018</t>
  </si>
  <si>
    <t>**COMPOSIÇÃO DA MÃO DE OBRA BASEADA NO BOLETIM SINAPI 72254 OUTUBRO/2018</t>
  </si>
  <si>
    <t>CABO DE COBRE NU 70MM2 - FORNECIMENTO E INSTALACAO</t>
  </si>
  <si>
    <t>**COMPOSIÇÃO DA MÃO DE OBRA BASEADA NO BOLETIM SINAPI 72255 OUTUBRO/2018</t>
  </si>
  <si>
    <t>CABO DE COBRE NU 95MM2 - FORNECIMENTO E INSTALACAO</t>
  </si>
  <si>
    <t>**COMPOSIÇÃO DA MÃO DE OBRA BASEADA NO BOLETIM SINAPI 72256 OUTUBRO/2018</t>
  </si>
  <si>
    <t>TERMINAL OU CONECTOR DE PRESSAO - PARA CABO 10MM2 - FORNECIMENTO E INSTALACAO</t>
  </si>
  <si>
    <t>**COMPOSIÇÃO DA MÃO DE OBRA BASEADA NO BOLETIM SINAPI 72259 DEZEMBRO/2018</t>
  </si>
  <si>
    <t>TERMINAL OU CONECTOR DE PRESSAO - PARA CABO 16MM2 - FORNECIMENTO E INSTALACAO</t>
  </si>
  <si>
    <t>**COMPOSIÇÃO DA MÃO DE OBRA BASEADA NO BOLETIM SINAPI 72260 DEZEMBRO/2018</t>
  </si>
  <si>
    <t>TERMINAL OU CONECTOR DE PRESSAO - PARA CABO 25MM2 - FORNECIMENTO E INSTALACAO</t>
  </si>
  <si>
    <t>**COMPOSIÇÃO DA MÃO DE OBRA BASEADA NO BOLETIM SINAPI 72261 DEZEMBRO/2018</t>
  </si>
  <si>
    <t>**COMPOSIÇÃO DA MÃO DE OBRA BASEADA NO BOLETIM SINAPI 72262 DEZEMBRO/2018</t>
  </si>
  <si>
    <t>**COMPOSIÇÃO DA MÃO DE OBRA BASEADA NO BOLETIM SINAPI 72263 DEZEMBRO/2018</t>
  </si>
  <si>
    <t>TERMINAL OU CONECTOR DE PRESSAO - PARA CABO 70MM2 - FORNECIMENTO E INSTALACAO</t>
  </si>
  <si>
    <t>**COMPOSIÇÃO DA MÃO DE OBRA BASEADA NO BOLETIM SINAPI 72264 DEZEMBRO/2018</t>
  </si>
  <si>
    <t>TERMINAL OU CONECTOR DE PRESSAO - PARA CABO 95MM2 - FORNECIMENTO E INSTALACAO</t>
  </si>
  <si>
    <t>**COMPOSIÇÃO DA MÃO DE OBRA BASEADA NO BOLETIM SINAPI 72265 DEZEMBRO/2018</t>
  </si>
  <si>
    <t>**COMPOSIÇÃO DA MÃO DE OBRA BASEADA NO BOLETIM SINAPI 72266 DEZEMBRO/2018</t>
  </si>
  <si>
    <t>TERMINAL OU CONECTOR DE PRESSAO - PARA CABO 150MM2 - FORNECIMENTO E INSTALACAO</t>
  </si>
  <si>
    <t>**COMPOSIÇÃO DA MÃO DE OBRA BASEADA NO BOLETIM SINAPI 72267 DEZEMBRO/2018</t>
  </si>
  <si>
    <t>TERMINAL OU CONECTOR DE PRESSAO - PARA CABO 185MM2 - FORNECIMENTO E INSTALACAO</t>
  </si>
  <si>
    <t>**COMPOSIÇÃO DA MÃO DE OBRA BASEADA NO BOLETIM SINAPI 72268 DEZEMBRO/2018</t>
  </si>
  <si>
    <t>**COMPOSIÇÃO DA MÃO DE OBRA BASEADA NO BOLETIM SINAPI 72269 DEZEMBRO/2018</t>
  </si>
  <si>
    <t>TERMINAL OU CONECTOR DE PRESSAO - PARA CABO 300MM2 - FORNECIMENTO E INSTALACAO</t>
  </si>
  <si>
    <t>**COMPOSIÇÃO DA MÃO DE OBRA BASEADA NO BOLETIM SINAPI 72270 DEZEMBRO/2018</t>
  </si>
  <si>
    <t>**COMPOSIÇÃO BASEADA NAS TABELA SINAPI (JULHO/18) "74131/8"</t>
  </si>
  <si>
    <t>**COMPOSIÇÃO BASEADA NO BOLETIM ORSE (SET/18), CÓDIGO "723", PALAVRA CHAVE " SAIDA HORIZONTAL"</t>
  </si>
  <si>
    <t>FORNECIMENTO E INSTALAÇÃO DE SAÍDA HORIZONTAL PARA ELETRODUTO 3/4"</t>
  </si>
  <si>
    <t xml:space="preserve">ATUALIZADA </t>
  </si>
  <si>
    <t>COTELETRICA</t>
  </si>
  <si>
    <t xml:space="preserve">ELÉTRICA PARANA </t>
  </si>
  <si>
    <t xml:space="preserve">EDUARDO </t>
  </si>
  <si>
    <t>SERGIO</t>
  </si>
  <si>
    <t>SAÍDA LATERAL DE ELETROCALHA PERFURADA GALVANIZADA PARA ELETRODUTO DE 1"</t>
  </si>
  <si>
    <t>08.139.615/0001-05</t>
  </si>
  <si>
    <t xml:space="preserve">PETEL </t>
  </si>
  <si>
    <t>(65) 3634-5253</t>
  </si>
  <si>
    <t xml:space="preserve">**COMPOSIÇÃO BASEADA NO BOLETIM ORSE (SET/17) "11298". </t>
  </si>
  <si>
    <t>MÃO FRANCESA SIMPLES 100 MM PARA ELETROCALHA</t>
  </si>
  <si>
    <t>ATUALIZADA</t>
  </si>
  <si>
    <t>MÃO FRANCESA SIMPLES 200 MM PARA ELETROCALHA</t>
  </si>
  <si>
    <t>REDE DISTRIBUIDORA</t>
  </si>
  <si>
    <t>29.382.143/0001-97</t>
  </si>
  <si>
    <t>(65) 3634-6949</t>
  </si>
  <si>
    <t>JANAINA</t>
  </si>
  <si>
    <t>BRUNO</t>
  </si>
  <si>
    <t>**COMPOSIÇÃO BASEADA NA TABELA ORSE (SET/17) "242"</t>
  </si>
  <si>
    <t>VERGALHÃO ROSCA TOTAL 5/16'' (TIRANTE)</t>
  </si>
  <si>
    <t>CARLOS</t>
  </si>
  <si>
    <t xml:space="preserve">**COMPOSIÇÃO BASEADA NO BOELTIM SEDOP-PA (OUT/16) "171276" EM ASSOCIAÇÃO COM AS SEGUINTES COMPOSIÇÕES DO BOLETIM ORSE (SET/17) "9831" "9816" E "11038". </t>
  </si>
  <si>
    <t>Cálculo Demonstrado para Mão de Obra:</t>
  </si>
  <si>
    <t xml:space="preserve"> "171276": CANTONEIRA ZZ</t>
  </si>
  <si>
    <t xml:space="preserve"> "9831": PARAFUSO CABEÇA SEXTAVADA 1/4"</t>
  </si>
  <si>
    <t>Subtotal</t>
  </si>
  <si>
    <t xml:space="preserve"> "9816": ARRUELA LISA 1/4"</t>
  </si>
  <si>
    <t xml:space="preserve"> "11038": PORCA EM ALUMÍNIO 1/4"</t>
  </si>
  <si>
    <t>TOTAL DE HORAS DA ASSOCIAÇÃO</t>
  </si>
  <si>
    <t>CANTONEIRA ZZ</t>
  </si>
  <si>
    <t>**COMPOSIÇÃO BASEADA NO BOLETIM ORSE (SET/17) EM ASSOCIAÇÃO DAS SEGUINTES COMPOSIÇÕES "7879", "9816" E "11038".</t>
  </si>
  <si>
    <t xml:space="preserve"> "7879": SUSPENSÃO VERTICAL PARA ELETROCALHA 100 X 50MM </t>
  </si>
  <si>
    <t>SUSPENSÃO VERTICAL PARA ELETROCALHA PERFURADA 100 X 50 mm</t>
  </si>
  <si>
    <t xml:space="preserve">LUZ E CIA </t>
  </si>
  <si>
    <t>03.806.018/0001-73</t>
  </si>
  <si>
    <t>THAYS</t>
  </si>
  <si>
    <t xml:space="preserve">**COMPOSIÇÃO BASEADA NO BOLETIM ORSE (SET/17) EM ASSOCIAÇÃO DAS SEGUINTES COMPOSIÇÕES "8354", "9816" E "11038". </t>
  </si>
  <si>
    <t xml:space="preserve"> "8354": SUSPENSÃO VERTICAL PARA ELETROCALHA 200 X 50MM </t>
  </si>
  <si>
    <t>SUSPENSÃO VERTICAL PARA ELETROCALHA PERFURADA 200 X 50 mm</t>
  </si>
  <si>
    <t>08.139.615/0001-96</t>
  </si>
  <si>
    <t>MAYKON</t>
  </si>
  <si>
    <t xml:space="preserve">MULTI PADRÃO </t>
  </si>
  <si>
    <t>04.220.944/0001-25</t>
  </si>
  <si>
    <t>(65) 2123-2600</t>
  </si>
  <si>
    <t>WENDIR</t>
  </si>
  <si>
    <t>**COMPOSIÇÃO BASEADA NO BOLETIM ORSE (SET/17) "762". Obs.: A REFERÊNCIA TRATA DO FORNECIMENTO E INSTALAÇÃO DE  UM METRO DO INSUMO EM QUESTÃO, QUE É VENDIDO APENAS EM BARRAS DE TRÊS METROS. O COEFICIENTE FOI CALCULADO CONFORME O CÁLCULO ABAIXO:</t>
  </si>
  <si>
    <t>MÃO DE OBRA NECESSÁRIA PARA INSTALAÇÃO DE 3M DE ELETROCALHA</t>
  </si>
  <si>
    <t>ELETROCALHA PERFURADA GALVANIZADA DE 100 X 50 X 3000mm</t>
  </si>
  <si>
    <t>**COMPOSIÇÃO BASEADA NO BOLETIM ORSE (SET/17) EM ASSOCIAÇÃO DAS SEGUINTES COMPOSIÇÕES "7878", "9831" "9816" E "11038".</t>
  </si>
  <si>
    <t xml:space="preserve"> "7878": EMENDA INTERNA PARA ELETROCALHA 100 X 50MM </t>
  </si>
  <si>
    <t>EMENDA INTERNA PARA ELETROCLHA PERFURADA GALVANIZADA DE 100 X 50 X 3000mm</t>
  </si>
  <si>
    <t xml:space="preserve">ELETRO ATIVA </t>
  </si>
  <si>
    <t>06.110.817/0002-80</t>
  </si>
  <si>
    <t>(65) 3051-7844</t>
  </si>
  <si>
    <t>DENNY</t>
  </si>
  <si>
    <t>**COMPOSIÇÃO BASEADA NO BOLETIM ORSE (SET/17) EM ASSOCIAÇÃO DAS SEGUINTES COMPOSIÇÕES "8443", "9831" "9816" E "11038".</t>
  </si>
  <si>
    <t xml:space="preserve"> "8443": COTOVELO RETO 90º PARA ELETROCALHA 100 X 50MM </t>
  </si>
  <si>
    <t>CURVA HORIZONTAL 90º PARA ELETROCALHA PERFURADA 100 X 50MM</t>
  </si>
  <si>
    <t>**COMPOSIÇÃO BASEADA NO BOLETIM ORSE (SET/17) "763". Obs.: A REFERÊNCIA TRATA DO FORNECIMENTO E INSTALAÇÃO DE  UM METRO DO INSUMO EM QUESTÃO, QUE É VENDIDO APENAS EM BARRAS DE TRÊS METROS. O COEFICIENTE FOI CALCULADO CONFORME O CÁLCULO ABAIXO:</t>
  </si>
  <si>
    <t>ELETROCALHA PERFURADA 200X50MMX3000MM</t>
  </si>
  <si>
    <t>ELETRICA PARANA</t>
  </si>
  <si>
    <t>PAULO</t>
  </si>
  <si>
    <t>MULTI PADRÃO</t>
  </si>
  <si>
    <t>LEANDRO</t>
  </si>
  <si>
    <t xml:space="preserve">**COMPOSIÇÃO BASEADA NO BOLETIM ORSE (SET/17) EM ASSOCIAÇÃO DAS SEGUINTES COMPOSIÇÕES "7144", "9831" "9816" E "11038". </t>
  </si>
  <si>
    <t xml:space="preserve"> "7144": COTOVELO RETO 90º PARA ELETROCALHA 200 X 100MM </t>
  </si>
  <si>
    <t>CURVA VERTICAL 90º 200X50MM</t>
  </si>
  <si>
    <t xml:space="preserve">**COMPOSIÇÃO BASEADA NO BOLETIM ORSE (SET/17) EM ASSOCIAÇÃO DAS SEGUINTES COMPOSIÇÕES "11292", "9831" "9816" E "11038". </t>
  </si>
  <si>
    <t xml:space="preserve"> "11292": T HORIZONTAL PARA ELETROCALHA 200 X 100MM </t>
  </si>
  <si>
    <t>TE HORIZONTAL 200X50MM</t>
  </si>
  <si>
    <t xml:space="preserve">**COMPOSIÇÃO BASEADA NO BOLETIM ORSE (SET/17) EM ASSOCIAÇÃO DAS SEGUINTES COMPOSIÇÕES "8553", "9831" "9816" E "11038". </t>
  </si>
  <si>
    <t xml:space="preserve"> "8553": REDUÇÃO PARA ELETROCALHA 200 X 100MM </t>
  </si>
  <si>
    <t>REDUÇÃO CONCÊNTRICA 200X50MM PARA 100X50MM</t>
  </si>
  <si>
    <t>EMENDA PARA ELETROCALHA 200X50MM</t>
  </si>
  <si>
    <t>FORNECIMENTO E INSTALAÇÃO DE CURVA HORIZONTAL 90º 200X50MM</t>
  </si>
  <si>
    <t>CURVA HORIZONTAL 90º 200X50MM</t>
  </si>
  <si>
    <t>HARLEY</t>
  </si>
  <si>
    <t>VANDERLEY</t>
  </si>
  <si>
    <t>QUADRO DE DISTRIBUIÇÃO COM BARRAMENTO PRINCIPAL DE 225A, E BARRAMENTO SECUNDARIO DE 60A - TIPO SOBREPOR PARA 70 POSIÇÕES TRILHOS DIN</t>
  </si>
  <si>
    <t xml:space="preserve">DANIEL </t>
  </si>
  <si>
    <t>WELLIGTON</t>
  </si>
  <si>
    <t xml:space="preserve"> "8221": CRUZETA RETA 90º EM "X" PARA ELETROCALHA 100 X 50MM </t>
  </si>
  <si>
    <t>CRUZETA X 90º COM TAMPA PARA ELETROCALHA 200X50MM</t>
  </si>
  <si>
    <t>ELÉTRICA PARANA</t>
  </si>
  <si>
    <t>**COMPOSIÇÃO BASEADA NAS TABELA ORSE/00780/MAIO/2018 PALAVRA CHAVE TOMADA 2P+T,ABNT,10 A, PARA PISO</t>
  </si>
  <si>
    <t>ESPELHO DE INOX ALTO BRILHO PARA TOMADAS DE PISO 4 X 4",  PARA  2 TOMADAS  BR14136</t>
  </si>
  <si>
    <t>REDEDISTRIBUIDORA</t>
  </si>
  <si>
    <t xml:space="preserve">C O M P O S I Ç Ã O   D E   P R E Ç O S   /   S P D A </t>
  </si>
  <si>
    <t>COMP SPDA 001</t>
  </si>
  <si>
    <t xml:space="preserve">                                                                                                              </t>
  </si>
  <si>
    <t>CAIXA DE EQUALIZAÇÃO DE EMBUTIR, COM BARRAMENTO E 9 TERMINAIS, APROX. 26X26X10 CM</t>
  </si>
  <si>
    <t xml:space="preserve">**COMPOSIÇÃO BASEADA NAS TABELA ORSE-SE (SET/2017) "11273/ORSE". </t>
  </si>
  <si>
    <t>(65)3025-4300</t>
  </si>
  <si>
    <t>ELÉTRICA E HIDRÁULICA</t>
  </si>
  <si>
    <t>15.987.913/0001-10</t>
  </si>
  <si>
    <t>(65)3321-0009</t>
  </si>
  <si>
    <t>WEMERSON</t>
  </si>
  <si>
    <t>ODENIR</t>
  </si>
  <si>
    <t>CONECTOR DE MEDIÇÃO C/ 2 PARAFUSOS</t>
  </si>
  <si>
    <t>**COMPOSIÇÃO BASEADA NAS TABELA ORSE-SE (SET/2017) "9048/ORSE"</t>
  </si>
  <si>
    <t>(65)3046-4500</t>
  </si>
  <si>
    <t>WYLLIAM</t>
  </si>
  <si>
    <t>(65)3027-9000</t>
  </si>
  <si>
    <t>RICARDO</t>
  </si>
  <si>
    <t>JOÃO</t>
  </si>
  <si>
    <t>**COMPOSIÇÃO DA MÃO DE OBRA BASEADA NO BOLETIM DA SEINFRA-CE (VERSÃO 24.1) "C3909"</t>
  </si>
  <si>
    <t>CARTUCHO PARA SOLDA EXOTÉRMICA N° 90</t>
  </si>
  <si>
    <t>MOLDE PARA SOLDA EXOTÉRMICA, CABO-HASTE, 35mm²</t>
  </si>
  <si>
    <t>PALITO IGNITOR PRA SOLDA EXOTERMICA</t>
  </si>
  <si>
    <t>CARTUCHO PARA SOLDA EXOTÉRMICA N° 115</t>
  </si>
  <si>
    <t>MOLDE PARA SOLDA EXOTÉRMICA, CABO-HASTE, 50mm²-58</t>
  </si>
  <si>
    <t>CARTUCHO PARA S'OLDA EXOTÉRMICA N° 32</t>
  </si>
  <si>
    <t>MOLDE PARA SOLDA EXOTÉRMICA TIPO T, CABO-CABO, 35mm²-35mm²</t>
  </si>
  <si>
    <t>**COMPOSIÇÃO DA MÃO DE OBRA BASEADA NO BOLETIM ORSE-SE (SET/2017) "10693". OBS.: FORAM ACRESCIDOS OS INSUMOS "11950" E "13348" E O SELANTE PARA FINALIZAR A EXECUÇÃO DOS SERVIÇOS</t>
  </si>
  <si>
    <t>SUPORTE ISOLADOR PARA CANTO 90° REFORCADO ROSCA SOBERBA EM FG C ISOLADOR</t>
  </si>
  <si>
    <t>FALTA ATUALIZAR</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</si>
  <si>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</si>
  <si>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</si>
  <si>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 xml:space="preserve">**COMPOSIÇÃO BASEADA NO BOLETIM DE COMPOSIÇÕES ANALÍTICAS DA SINAPI (SET/17) "74051/2". </t>
  </si>
  <si>
    <t>UD</t>
  </si>
  <si>
    <t>**COMPOSIÇÃO DA MÃO DE OBRA BASEADA NO BOLETIM ORSE-SE (SET/2017) "10903/ORSE". OBS.: FORAM ACRESCIDOS OS INSUMOS "7583" E "13348" E O SELANTE PARA FINALIZAR A EXECUÇÃO DOS SERVIÇOS.</t>
  </si>
  <si>
    <t>**COMPOSIÇÃO DA MÃO DE OBRA BASEADA NO BOLETIM ORSE-SE (SET/2016) "10903/ORSE". OBS.: FORAM ACRESCIDOS OS INSUMOS "7583" E "13348" E O SELANTE PARA FINALIZAR A EXECUÇÃO DOS SERVIÇOS.</t>
  </si>
  <si>
    <t>**COMPOSIÇÃO DA MÃO DE OBRA BASEADA NO BOLETIM DA SEINFRA-CE (VERSÃO 24.1) ITEM "C0466"</t>
  </si>
  <si>
    <t>**COMPOSIÇÃO DA MÃO DE OBRA BASEADA NO BOLETIM ORSE-SE (SET/17) "10620"</t>
  </si>
  <si>
    <t>FORNECIMENTO E INSTALAÇÃO DE PARAFUSO CHATO INOX 1/4 X 5/8" E PORCA SEXTEVADA INOX 1/4"</t>
  </si>
  <si>
    <t>Custos Unit. (R$)</t>
  </si>
  <si>
    <t>Custos Total (R$)</t>
  </si>
  <si>
    <t>FORNECIMENTO E INSTALAÇÃO DE SOLDA EXOTÉRMICA CABO-CHAPA, CABO DE 50mm², CARTUCHO N° 115</t>
  </si>
  <si>
    <t>**COMPOSIÇÃO DA MÃO DE OBRA BASEADA NO BOLETIM SEINFRA-CE (VERSÃO 24.1) "C3909"</t>
  </si>
  <si>
    <t>MOLDE PARA SOLDA EXOTERMICA CABO-CHAPA 50 mm²</t>
  </si>
  <si>
    <t>PIZZATO MATERIAIS ELÉTRICOS</t>
  </si>
  <si>
    <t>ELETROATIVA</t>
  </si>
  <si>
    <t>DHIONE</t>
  </si>
  <si>
    <t>(65)3388-0800</t>
  </si>
  <si>
    <t>DANIEL</t>
  </si>
  <si>
    <r>
      <t xml:space="preserve">**COMPOSIÇÃO BASEADA NO BOLETIM DA SECRETARIA MUNICIPAL DE INFRAESTRUTURA URBANA E OBRAS - PREFEITURA DE SÃO PAULO" (JUL/17)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</si>
  <si>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 xml:space="preserve">BARRA CHATA DE ALUMÍNIO 3/4" X 1/4" </t>
  </si>
  <si>
    <t>BARRA CHATA DE ALUMÍNIO 3/4" X 1/4" POR METRO</t>
  </si>
  <si>
    <t>**COMPOSIÇÃO DA MÃO DE OBRA BASEADA NO BOLETIM DA SEINFRA-CE ITEM (VERSÃO 24.1) "C3909".</t>
  </si>
  <si>
    <t>MOLDE PARA SOLDA EXOTÉRMICA, CABO-CABO TIPO "X" ,35mm²</t>
  </si>
  <si>
    <t>**COMPOSIÇÃO DA MÃO DE OBRA BASEADA NO BOLETIM ORSE-SE (SET/2017) "9830/ORSE"</t>
  </si>
  <si>
    <t>REBITE POP EM ALUMÍNIO 4 X 16MM</t>
  </si>
  <si>
    <t>**COMPOSIÇÃO DA MÃO DE OBRA BASEADA NO BOLETIM ORSE (SET/2017) "11132"</t>
  </si>
  <si>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</si>
  <si>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</si>
  <si>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t>PRESILHA DE LATÃO 35MM²</t>
  </si>
  <si>
    <t>FORNECIMENTO E INSTALAÇÃO DE PRESILHA DE LATÃO DE 35MM² COM ESPAÇADOR 90° NA PLATIBANDA</t>
  </si>
  <si>
    <t>ESPAÇADOR 90º PARA SPDA</t>
  </si>
  <si>
    <t>METALÚRGICA VISTA ALEGRE</t>
  </si>
  <si>
    <t>09.251.633/0001-47</t>
  </si>
  <si>
    <t>(65) 3927-6272</t>
  </si>
  <si>
    <t>BRUNA</t>
  </si>
  <si>
    <t>SERRALHERIA  SERRALAR</t>
  </si>
  <si>
    <t>23.068.388/0001-68</t>
  </si>
  <si>
    <t>(65)9298-4072</t>
  </si>
  <si>
    <t>PRISCILA</t>
  </si>
  <si>
    <t>SERRALHERIA DOIS IRMÃOS</t>
  </si>
  <si>
    <t>07.446.561/0001-68</t>
  </si>
  <si>
    <t>(65) 3634-3412</t>
  </si>
  <si>
    <t>ESMÉTICO</t>
  </si>
  <si>
    <t>FORNECIMENTO E INSTALAÇÃO DE PRESILHA DE LATÃO DE 35MM² COM ESPAÇADOR 90° NA TELHA METÁLICA</t>
  </si>
  <si>
    <t>**COMPOSIÇÃO DA MÃO DE OBRA BASEADA NO BOLETIM ORSE (SET/17) "11132". OBS.: FORAM ACRESCIDOS OS INSUMOS ESPAÇADOR 90º E O SELANTE PARA FINALIZAR A EXECUÇÃO DOS SERVIÇOS.</t>
  </si>
  <si>
    <t>FORNECIMENTO E INSTALAÇÃO DE TERMINAL AÉREO EM AÇO GALVANIZADO COM BASE DE FIXAÇÃO H=30CM (INSTALAÇÃO EM PLATIBANDA)</t>
  </si>
  <si>
    <t>**COMPOSIÇÃO DA MÃO DE OBRA BASEADA NO BOLETIM SINAPI (OUT/17) "72315". OBS.: FORAM ACRESCIDOS OS INSUMOS "7583" E "13348" E O SELANTE PARA FINALIZAR A EXECUÇÃO DOS SERVIÇOS.</t>
  </si>
  <si>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</si>
  <si>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FORNECIMENTO E INSTALAÇÃO DE TERMINAL AÉREO EM AÇO GALVANIZADO COM BASE DE FIXAÇÃO H=30CM (INSTALAÇÃO EM TELHA DE FIBROCIMENTO OU CERÂMICA)</t>
  </si>
  <si>
    <t>**COMPOSIÇÃO DA MÃO DE OBRA BASEADA NO BOLETIM SINAPI (OUT/17) "72315". OBS.: FORAM ACRESCIDOS OS INSUMOS "11950" E "13348" E O SELANTE PARA FINALIZAR A EXECUÇÃO DOS SERVIÇOS.</t>
  </si>
  <si>
    <t>FORNECIMENTO E INSTALAÇÃO DE TERMINAL AÉREO EM AÇO GALVANIZADO COM BASE DE FIXAÇÃO H=30CM (INSTALAÇÃO EM TELHA METÁLICA)</t>
  </si>
  <si>
    <t xml:space="preserve">**COMPOSIÇÃO DA MÃO DE OBRA BASEADA NO BOLETIM SINAPI (OUT/17) "72315". </t>
  </si>
  <si>
    <t>**COMPOSIÇÃO DA MÃO DE OBRA BASEADA NO BOLETIM ORSE (SET/2017) "10908".</t>
  </si>
  <si>
    <t>VERGALHÃO GALVANIZADO A FOGO 3/8" X 3,00m (RE-BAR)</t>
  </si>
  <si>
    <t>**COMPOSIÇÃO DA MÃO DE OBRA BASEADA NO BOLETIM SINAPI (OUT/17) "83377".</t>
  </si>
  <si>
    <t>CLIPS GALVANIZADO 3/8"</t>
  </si>
  <si>
    <t>**COMPOSIÇÃO DA MÃO DE OBRA BASEADA NO BOLETIM ORSE (SET/17) "10694".</t>
  </si>
  <si>
    <t>CONECTOR EM LATÃO TIPO MINI-GAR PARA CABOS DE 16 A 50MM²</t>
  </si>
  <si>
    <t>(65) 3634-1717</t>
  </si>
  <si>
    <t>EDINEI</t>
  </si>
  <si>
    <t xml:space="preserve">PATRIANI </t>
  </si>
  <si>
    <t>1 m - 0,0353 kg - 0,06 h                                                                                                                                                                                                                                                                                                                                                                                                                                                                                                                                                                                      1 m -  0,01 kg  - X                                                                                                                                                                                                                                                            X= 0,017 h</t>
  </si>
  <si>
    <t>FORNECIMENTO E INSTALAÇÃO DE SUPORTE ISOLADOR SIMPLES DIAMETRO NOMINAL 5/16", COM ROSCA SOBERBA (INSTALADO EM PLACA CIMENTÍCIA)</t>
  </si>
  <si>
    <t>PARAFUSO AUTO BROCANTE 3/16 X 2"</t>
  </si>
  <si>
    <t>**COMPOSIÇÃO DA MÃO DE OBRA BASEADA NO BOLETIM ORSE-SE (SET/2017) "10903/ORSE". OBS.: FORAM ACRESCIDOS OS INSUMOS "13348" E O SELANTE PARA FINALIZAR A EXECUÇÃO DOS SERVIÇOS.</t>
  </si>
  <si>
    <t>PARAFUSO AUOBROCANTE 3/16" X 2" (100 unidades)</t>
  </si>
  <si>
    <t>VER QUAL USAR</t>
  </si>
  <si>
    <t>PARAFUSO AUOBROCANTE 3/16" X 2" - VALOR FINAL POR UNIDADE</t>
  </si>
  <si>
    <t>FORNECIMENTO E INSTALAÇÃO DE SUPORTE ISOLADOR REFORÇADO DIAMETRO NOMINAL 5/16", COM ROSCA SOBERBA (INSTALADO EM PLACA CIMENTÍCIA)</t>
  </si>
  <si>
    <t>**COMPOSIÇÃO DA MÃO DE OBRA BASEADA NO BOLETIM ORSE-SE (SET/2017) "10903/ORSE". OBS.: FORAM ACRESCIDOS OS INSUMOS "7572" E "13348" E O SELANTE PARA FINALIZAR A EXECUÇÃO DOS SERVIÇOS.</t>
  </si>
  <si>
    <t>FORNECIMENTO E INSTALAÇÃO DE TERMINAL AÉREO EM AÇO GALVANIZADO COM BASE DE FIXAÇÃO H=35CM (INSTALAÇÃO EM PLACA CIMENTÍCIA)</t>
  </si>
  <si>
    <t>**COMPOSIÇÃO DA MÃO DE OBRA BASEADA NO BOLETIM SINAPI (OUT/17) "72315". FORAM ACRESCENTADOS OS INSUMOS "SELANTE E PARAFUSO AUTOBROCANTE" POIS SÃO NECESSÁRIOS PARA INSTALAÇÃO DO TERMINAL.</t>
  </si>
  <si>
    <t>FORNECIMENTO E INSTALAÇÃO DE ISOLADOR PARA CANTO 90° ROSCA SOBERBA EM FG COM ISOLADOR (INSTALADO EM PLACA CIMENTÍCIA)</t>
  </si>
  <si>
    <t>**COMPOSIÇÃO DA MÃO DE OBRA BASEADA NO BOLETIM ORSE-SE (SET/17) "10693/ORSE". OBS.: FORAM ACRESCIDOS OS INSUMOS "13348" E O SELANTE PARA FINALIZAR A EXECUÇÃO DOS SERVIÇOS</t>
  </si>
  <si>
    <t>TO LIGADO MATERIAIS ELÉTRICOS</t>
  </si>
  <si>
    <t xml:space="preserve">**COMPOSIÇÃO BASEADA NO BOLETIM "ORSE" (SET/17) "7928". </t>
  </si>
  <si>
    <t>**COMPOSIÇÃO DA MÃO DE OBRA BASEADA NO BOLETIM SINAPI (OUT/17) "72124"</t>
  </si>
  <si>
    <t>**COMPOSIÇÃO DA MÃO DE OBRA BASEADA NO BOLETIM ORSE (SET/17) "10620/ORSE"</t>
  </si>
  <si>
    <t>PÁRA-RAIO TIPO FRANKLIN 350MM, LATÃO CROMADO, PARA DESCIDA 2 CABOS, C/SUPORTE E CONECTORES P/CABO TERRA, INCLUSIVE MASTRO AÇO GALV 6MX2" E BASE</t>
  </si>
  <si>
    <t>SINAPI/SINFRA
ou Cot. De Mercado</t>
  </si>
  <si>
    <t>**COMPOSIÇÃO DA MÃO DE OBRA BASEADA NO BOLETIM ORSE (NOV/17) "11005/ORSE"</t>
  </si>
  <si>
    <t xml:space="preserve">C O M P O S I Ç Ã O   D E   P R E Ç O S   /   I N C Ê N D I O </t>
  </si>
  <si>
    <t>COMP INC 001</t>
  </si>
  <si>
    <t>CENTRAL DE ALARME SEM BATERIA 24 LAÇOS IPA12.24 ILUMAC 2007 ACTUAL 200</t>
  </si>
  <si>
    <t>**COMPOSIÇÃO BASEADA NO BOLETIM 08058/ORSE-MAIO/2019</t>
  </si>
  <si>
    <t>EXTINTOR DANIEL</t>
  </si>
  <si>
    <t>16.734.039/0001-72</t>
  </si>
  <si>
    <t>(65) 3694-4858</t>
  </si>
  <si>
    <t>extintoresdaniel.com</t>
  </si>
  <si>
    <t>SUPERTEC PEÇAS E SERVIÇOS</t>
  </si>
  <si>
    <t>01.184.625/0002-02</t>
  </si>
  <si>
    <t xml:space="preserve"> (65) 3634-2266</t>
  </si>
  <si>
    <t>ELIAS</t>
  </si>
  <si>
    <t>HIDRAULICA E ELÉTRICA</t>
  </si>
  <si>
    <t>(65) 3321-0009</t>
  </si>
  <si>
    <t>CARLA</t>
  </si>
  <si>
    <t>CABO P/ ALARME INCENDIO BLINDADO 3 X 1.5MM C/ JAQUETA E DRENO VERMELHO</t>
  </si>
  <si>
    <t>**COMPOSIÇÃO BASEADA NA TABELA DE COMPOSIÇÃO DE CUSTOS UNITÁRIOS DE REFERÊNCIA PARA CONSTRUÇÃO DE OBRAS PÚBLICAS - FUNDAÇÃO IPPUJ JOINVILLE (VOL.3 - 25ª ED.) (DEZ/2015) "C10.76.30.10.020"</t>
  </si>
  <si>
    <t>00.234.260/0001-21</t>
  </si>
  <si>
    <t>ok</t>
  </si>
  <si>
    <t>PLUG MAIS</t>
  </si>
  <si>
    <t>07.388.781/0001-82</t>
  </si>
  <si>
    <t>(65)3648-5750</t>
  </si>
  <si>
    <t>WILSON</t>
  </si>
  <si>
    <t>CONTRA FOGO</t>
  </si>
  <si>
    <t>27.244.187/0001-25</t>
  </si>
  <si>
    <t>(65) 3622-3000</t>
  </si>
  <si>
    <t xml:space="preserve">MARIO </t>
  </si>
  <si>
    <t>**COMPOSIÇÃO BASEADA NO BOLETIM 07861/ORSE-MAIO/2019</t>
  </si>
  <si>
    <t>BOTOEIRA PARA BOMBA (COM MARTELO) ILUMAC AM-B 2029 ACTUAL 53 </t>
  </si>
  <si>
    <t>10.239.673/0001-52</t>
  </si>
  <si>
    <t>(65)3694-4858</t>
  </si>
  <si>
    <t>ACIONADOR MANUAL SUPERVISIONADO (COM MARTELO) ILUMAC AM-C 2021 ACTUAL 49</t>
  </si>
  <si>
    <t>SIRENE ELETRONICA BITONAL 24 V DANI 4024</t>
  </si>
  <si>
    <t>**COMPOSIÇÃO DA MÃO DE OBRA BASEADA NO BOLETIM 08503/ORSE- MAIO/2019</t>
  </si>
  <si>
    <t>**COMPOSIÇÃO BASEADA NA TABELA 12137/ORSE - MAIO/2019</t>
  </si>
  <si>
    <t>INC BATERIA SELADA P/ CENTRAL DE ALARME E DETECÇÃO 12V/1,3A</t>
  </si>
  <si>
    <t>**COMPOSIÇÃO DA MÃO DE OBRA BASEADA NO BOLETIM 11980/ORSE-MAIO/2019</t>
  </si>
  <si>
    <t>ELETRICA E HIDRAULICA</t>
  </si>
  <si>
    <t>MARTELO COM SUPORTE C/ CORRENTE ILUMAC 2070</t>
  </si>
  <si>
    <t>**COMPOSIÇÃO DA MÃO DE OBRA BASEADA NO BOLETIM ORSE-SE (DEZ/2015) "07861/ORSE"</t>
  </si>
  <si>
    <t>CENTRAL DE ALARME ENDERECAVEL 80 END.</t>
  </si>
  <si>
    <t>**COMPOSIÇÃO DA MÃO DE OBRA BASEADA NO BOLETIM  ORSE- MAIO/2019- (COD - 09736 )</t>
  </si>
  <si>
    <t>**COMPOSIÇÃO DA MÃO DE OBRA BASEADA NO BOLETIM  ORSE-MAIO/2019 - (COD - 09736 )
 )
)</t>
  </si>
  <si>
    <t>**COMPOSIÇÃO DA MÃO DE OBRA BASEADA NO BOLETIM  ORSE 12595 MAIO/2019
 )
)</t>
  </si>
  <si>
    <t>**COMPOSIÇÃO DA MÃO DE OBRA BASEADA NO BOLETIM  ORSE MAIO/2019 - (COD - 00704 )
 )
)</t>
  </si>
  <si>
    <t>**COMPOSIÇÃO DA MÃO DE OBRA BASEADA NO BOLETIM  ORSE MAIO/2019 - (COD - 9975 )
 )
)</t>
  </si>
  <si>
    <t>**COMPOSIÇÃO DA MÃO DE OBRA BASEADA NO BOLETIM 11100/ORSE-MAIO/2019</t>
  </si>
  <si>
    <t>BOMBA P/ COMBATE A INCENDIO TRIFASICA VERMELHA 3,0 CV THEBE</t>
  </si>
  <si>
    <t>GASPAR DE SOUSA MATOS ME</t>
  </si>
  <si>
    <t xml:space="preserve">CYCLO HIDRAULICA E ELÉTRICA </t>
  </si>
  <si>
    <t>04.165.520/0002-96</t>
  </si>
  <si>
    <t>(65) 3661-1201</t>
  </si>
  <si>
    <t>BOMBA P/ COMBATE A INCENDIO TRIFASICA VERMELHA 4,0 CV THEBE</t>
  </si>
  <si>
    <t>BOMBA P/ COMBATE A INCENDIO TRIFASICA VERMELHA 5,0 CV THEBE</t>
  </si>
  <si>
    <t>BOMBA P/ COMBATE A INCENDIO TRIFASICA VERMELHA 6,0 CV THEBE</t>
  </si>
  <si>
    <t>BS BOMBA SHOPPING</t>
  </si>
  <si>
    <t>14.778.311/0001-90</t>
  </si>
  <si>
    <t>(11) 2971-5695</t>
  </si>
  <si>
    <t>bombashopping.com.br</t>
  </si>
  <si>
    <t>CYCLO SOLUÇÕES EM ÁGUA</t>
  </si>
  <si>
    <t>BOMBA P/ COMBATE A INCENDIO TRIFASICA VERMELHA 7.5 CV THEBE</t>
  </si>
  <si>
    <t>BOMBA P/ COMBATE A INCENDIO TRIFASICA VERMELHA 10 CV THEBE</t>
  </si>
  <si>
    <t xml:space="preserve">HIDRAULICA E ELETRICA </t>
  </si>
  <si>
    <t xml:space="preserve"> (65) 3321-0009</t>
  </si>
  <si>
    <t>PAULO FERNANDO</t>
  </si>
  <si>
    <t>29.289.487/0001-56</t>
  </si>
  <si>
    <t>PEDRO</t>
  </si>
  <si>
    <t>**COMPOSIÇÃO DA MÃO DE OBRA BASEADA NO BOLETIM SINAPI 83491 - JUNHO/2019</t>
  </si>
  <si>
    <t>**COMPOSIÇÃO DA MÃO DE OBRA BASEADA NO BOLETIM SINAPI 83491-JUNHO/2019</t>
  </si>
  <si>
    <t>**COMPOSIÇÃO DA MÃO DE OBRA BASEADA NO BOLETIM SINAPI 83491 JUNHO/2019</t>
  </si>
  <si>
    <t>CHAVE DE PARTIDA MOTOR 10CV</t>
  </si>
  <si>
    <t xml:space="preserve">PAULO </t>
  </si>
  <si>
    <t>**COMPOSIÇÃO DA MÃO DE OBRA BASEADA NO BOLETIM 09221/ORSE - MAIO/2019</t>
  </si>
  <si>
    <t>EXTINTOR PORTÁTIL PÓ QUIMICO 8KG</t>
  </si>
  <si>
    <t>SINALIZA EXTINTORES</t>
  </si>
  <si>
    <t>22.730.693/0001-00</t>
  </si>
  <si>
    <t>(65) 3625-6063</t>
  </si>
  <si>
    <t>THIAGO</t>
  </si>
  <si>
    <t>SUL BRASIL EXTINTORES MT</t>
  </si>
  <si>
    <t>14.795.715/0001-92</t>
  </si>
  <si>
    <t>(65) 3023-3947</t>
  </si>
  <si>
    <t>JANE</t>
  </si>
  <si>
    <t>EXTINTOR PORTÁTIL ESPUMA MECÂNICA 10L</t>
  </si>
  <si>
    <t>SUNAMITA</t>
  </si>
  <si>
    <t>EXTINTOR SOBRE RODAS DE ESPUMA MECÂNICA 50L</t>
  </si>
  <si>
    <t>**COMPOSIÇÃO DA MÃO DE OBRA BASEADA NO BOLETIM ORSE 00744 MAIO/2019</t>
  </si>
  <si>
    <t>FORNECIMENTO E INSTALAÇÃO DE CHUMBADOR DE AÇO SEM PARAFUSO 1/4</t>
  </si>
  <si>
    <t>**COMPOSIÇÃO DA MÃO DE OBRA BASEADA NO BOLETIM 00744/ORSE - MAIO/2019</t>
  </si>
  <si>
    <t xml:space="preserve">CHUMBADOR DE AÇO SEM PARAFUSO </t>
  </si>
  <si>
    <t>ENERGIA PARAFUSO</t>
  </si>
  <si>
    <t>00.671.444/0001-59</t>
  </si>
  <si>
    <t>(65)3664-1646</t>
  </si>
  <si>
    <t>OZIEL</t>
  </si>
  <si>
    <t>TONINHO PREGOS E PARAFUSOS</t>
  </si>
  <si>
    <t>02.900.216/0001-39</t>
  </si>
  <si>
    <t>(65)3027-1606</t>
  </si>
  <si>
    <t>UENDER</t>
  </si>
  <si>
    <t>PARAFUSO OSTE</t>
  </si>
  <si>
    <t>02.113.503/0001-07</t>
  </si>
  <si>
    <t>(65)3661-6498</t>
  </si>
  <si>
    <t>GEAN</t>
  </si>
  <si>
    <t>FORNECIMENTO E INSTALAÇÃO DE ABRAÇADEIRA TIPO GOTA 1"</t>
  </si>
  <si>
    <t>**COMPOSIÇÃO DA MÃO DE OBRA BASEADA NA TABELA SEINFRA-CE - (C0467 )</t>
  </si>
  <si>
    <t>ABRAÇADEIRA TIPO GOTA 1"</t>
  </si>
  <si>
    <t xml:space="preserve">SUPERTEC </t>
  </si>
  <si>
    <t>(65)3634-2266</t>
  </si>
  <si>
    <t xml:space="preserve">RENAN </t>
  </si>
  <si>
    <t xml:space="preserve">CONTRA FOGO </t>
  </si>
  <si>
    <t>(65)3622-3000</t>
  </si>
  <si>
    <t xml:space="preserve">EDILAINE </t>
  </si>
  <si>
    <t>FORNECIMENTO E INSTALAÇÃO DE ABRAÇADEIRA TIPO GOTA 1.1/4"</t>
  </si>
  <si>
    <t>ABRAÇADEIRA TIPO GOTA 1.1/4"</t>
  </si>
  <si>
    <t>SUPERTEC</t>
  </si>
  <si>
    <t>FORNECIMENTO E INSTALAÇÃO DE ABRAÇADEIRA TIPO GOTA 1.4/2"</t>
  </si>
  <si>
    <t>ABRAÇADEIRA TIPO GOTA 1.4/2"</t>
  </si>
  <si>
    <t>LÂMPADA LED 10 W BIVOLT BRANCA, FORMATO TRADICIONAL (BASE E27) - FORNECIMENTO E INSTALAÇÃO</t>
  </si>
  <si>
    <t>ELÉTRICA</t>
  </si>
  <si>
    <t>REFERÊNCIA PARA ADOÇÃO DOS COEFICIENTES DE CONSUMO:  SINAPI JUL/2016, CÓD 080254 para o caixilho+ inserção do serviço do vidro</t>
  </si>
  <si>
    <t>JANELA EM ALUMINIO TIPO PIVOTANTE</t>
  </si>
  <si>
    <t>m2</t>
  </si>
  <si>
    <t>TOTAL GERAL DO ITEM 3:</t>
  </si>
  <si>
    <t>TOTAL GERAL DAS OBRAS</t>
  </si>
  <si>
    <t>SINAPI -01/2020 não deson.</t>
  </si>
  <si>
    <t>!EM PROCESSO DE DESATIVACAO! CHAPA DE MADEIRA COMPENSADA DE PINUS, VIROLA OU EQUIVALENTE, DE *2,2 X 1,6* M, E = 6 MM</t>
  </si>
  <si>
    <t>120 Dias</t>
  </si>
  <si>
    <t>3.17</t>
  </si>
  <si>
    <t>3.17.1</t>
  </si>
  <si>
    <t>3.17.2</t>
  </si>
  <si>
    <t>3.17.3</t>
  </si>
  <si>
    <t>3.17.4</t>
  </si>
  <si>
    <t>3.17.5</t>
  </si>
  <si>
    <t>SPDA LAVANDERIA</t>
  </si>
  <si>
    <t>2.16.6</t>
  </si>
  <si>
    <t>2.16.7</t>
  </si>
  <si>
    <t>2.16.8</t>
  </si>
  <si>
    <t>2.16.9</t>
  </si>
  <si>
    <t>2.16.10</t>
  </si>
  <si>
    <t>2.16.11</t>
  </si>
  <si>
    <t>2.16.12</t>
  </si>
  <si>
    <t>2.16.13</t>
  </si>
  <si>
    <t>2.16.14</t>
  </si>
  <si>
    <t>2.16.15</t>
  </si>
  <si>
    <t>2.16.16</t>
  </si>
  <si>
    <t>2.17</t>
  </si>
  <si>
    <t>2.17.1</t>
  </si>
  <si>
    <t>2.17.2</t>
  </si>
  <si>
    <t>2.17.3</t>
  </si>
  <si>
    <t>2.17.4</t>
  </si>
  <si>
    <t>2.17.5</t>
  </si>
  <si>
    <t>Endereço:</t>
  </si>
  <si>
    <t>ADMINISTRAÇÃO LOCAL E CANTEIRO DE OBRA</t>
  </si>
  <si>
    <t>Rua Voluntários da Pátria, 861 - Bairro Maracanã</t>
  </si>
  <si>
    <t>3.10.6</t>
  </si>
  <si>
    <t>2.10.7</t>
  </si>
  <si>
    <t>Importa o presente orçamento em:</t>
  </si>
  <si>
    <t>Oitocentos e quarenta mil, duzentos e sessenta e três reais e oitenta e um centavos.</t>
  </si>
  <si>
    <t>PLANILHA ORÇAMENTARIA</t>
  </si>
</sst>
</file>

<file path=xl/styles.xml><?xml version="1.0" encoding="utf-8"?>
<styleSheet xmlns="http://schemas.openxmlformats.org/spreadsheetml/2006/main">
  <numFmts count="16">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0"/>
    <numFmt numFmtId="167" formatCode="_(&quot;R$ &quot;* #,##0.00_);_(&quot;R$ &quot;* \(#,##0.00\);_(&quot;R$ &quot;* &quot;-&quot;??_);_(@_)"/>
    <numFmt numFmtId="168" formatCode="_([$€-2]* #,##0.00_);_([$€-2]* \(#,##0.00\);_([$€-2]* &quot;-&quot;??_)"/>
    <numFmt numFmtId="169" formatCode="0.0"/>
    <numFmt numFmtId="170" formatCode="#,##0.00#####"/>
    <numFmt numFmtId="171" formatCode="&quot;R$&quot;#,##0.00"/>
    <numFmt numFmtId="172" formatCode="#,##0.0000;[Red]#,##0.0000"/>
    <numFmt numFmtId="173" formatCode="#,##0.00;[Red]#,##0.00"/>
    <numFmt numFmtId="174" formatCode="#,##0.00_ ;\-#,##0.00\ "/>
    <numFmt numFmtId="175" formatCode="_(* #,##0.000_);_(* \(#,##0.000\);_(* &quot;-&quot;??_);_(@_)"/>
    <numFmt numFmtId="176" formatCode="_(* #,##0.0000_);_(* \(#,##0.0000\);_(* &quot;-&quot;??_);_(@_)"/>
    <numFmt numFmtId="177" formatCode="0.0000"/>
  </numFmts>
  <fonts count="93">
    <font>
      <sz val="11"/>
      <color theme="1"/>
      <name val="Calibri"/>
      <family val="2"/>
      <scheme val="minor"/>
    </font>
    <font>
      <sz val="11"/>
      <color theme="1"/>
      <name val="Calibri"/>
      <family val="2"/>
      <scheme val="minor"/>
    </font>
    <font>
      <b/>
      <sz val="10"/>
      <color theme="1"/>
      <name val="Calibri Light"/>
      <family val="2"/>
    </font>
    <font>
      <sz val="10"/>
      <color theme="1"/>
      <name val="Calibri Light"/>
      <family val="2"/>
    </font>
    <font>
      <sz val="10"/>
      <name val="Arial"/>
      <family val="2"/>
    </font>
    <font>
      <sz val="10"/>
      <name val="Calibri Light"/>
      <family val="2"/>
    </font>
    <font>
      <b/>
      <sz val="12"/>
      <color theme="1"/>
      <name val="Calibri Light"/>
      <family val="2"/>
    </font>
    <font>
      <sz val="12"/>
      <color theme="1"/>
      <name val="Calibri Light"/>
      <family val="2"/>
    </font>
    <font>
      <b/>
      <sz val="12"/>
      <color theme="0"/>
      <name val="Calibri Light"/>
      <family val="2"/>
    </font>
    <font>
      <sz val="11"/>
      <color theme="1"/>
      <name val="Calibri Light"/>
      <family val="2"/>
    </font>
    <font>
      <b/>
      <sz val="11"/>
      <color theme="1"/>
      <name val="Calibri Light"/>
      <family val="2"/>
    </font>
    <font>
      <sz val="12"/>
      <name val="Calibri Light"/>
      <family val="2"/>
    </font>
    <font>
      <b/>
      <sz val="12"/>
      <name val="Calibri Light"/>
      <family val="2"/>
    </font>
    <font>
      <sz val="11"/>
      <color rgb="FFFF0000"/>
      <name val="Calibri Light"/>
      <family val="2"/>
    </font>
    <font>
      <b/>
      <sz val="11"/>
      <color theme="1"/>
      <name val="Calibri"/>
      <family val="2"/>
      <scheme val="minor"/>
    </font>
    <font>
      <sz val="23"/>
      <color theme="1"/>
      <name val="Calibri"/>
      <family val="2"/>
      <scheme val="minor"/>
    </font>
    <font>
      <b/>
      <sz val="13"/>
      <color theme="1"/>
      <name val="Calibri"/>
      <family val="2"/>
      <scheme val="minor"/>
    </font>
    <font>
      <sz val="11"/>
      <name val="Calibri"/>
      <family val="2"/>
      <scheme val="minor"/>
    </font>
    <font>
      <b/>
      <sz val="14"/>
      <color rgb="FFFF0000"/>
      <name val="Calibri"/>
      <family val="2"/>
      <scheme val="minor"/>
    </font>
    <font>
      <sz val="13"/>
      <color theme="1"/>
      <name val="Calibri"/>
      <family val="2"/>
      <scheme val="minor"/>
    </font>
    <font>
      <b/>
      <sz val="12"/>
      <color theme="1"/>
      <name val="Calibri"/>
      <family val="2"/>
      <scheme val="minor"/>
    </font>
    <font>
      <sz val="11"/>
      <name val="Arial"/>
      <family val="1"/>
    </font>
    <font>
      <b/>
      <sz val="9"/>
      <color rgb="FF000000"/>
      <name val="Arial Black"/>
      <family val="2"/>
    </font>
    <font>
      <b/>
      <sz val="9"/>
      <color rgb="FF000000"/>
      <name val="Arial"/>
      <family val="2"/>
    </font>
    <font>
      <sz val="9"/>
      <color theme="1"/>
      <name val="Arial"/>
      <family val="2"/>
    </font>
    <font>
      <sz val="12"/>
      <color theme="1"/>
      <name val="Calibri"/>
      <family val="2"/>
      <scheme val="minor"/>
    </font>
    <font>
      <b/>
      <sz val="18"/>
      <color theme="1"/>
      <name val="Calibri"/>
      <family val="2"/>
      <scheme val="minor"/>
    </font>
    <font>
      <b/>
      <sz val="12"/>
      <color rgb="FFFF0000"/>
      <name val="Calibri"/>
      <family val="2"/>
      <scheme val="minor"/>
    </font>
    <font>
      <b/>
      <sz val="11"/>
      <name val="Calibri"/>
      <family val="2"/>
      <scheme val="minor"/>
    </font>
    <font>
      <sz val="13"/>
      <name val="Calibri"/>
      <family val="2"/>
      <scheme val="minor"/>
    </font>
    <font>
      <sz val="11"/>
      <name val="Calibri Light"/>
      <family val="2"/>
    </font>
    <font>
      <sz val="10"/>
      <color theme="1"/>
      <name val="Calibri"/>
      <family val="2"/>
      <scheme val="minor"/>
    </font>
    <font>
      <sz val="10"/>
      <name val="Cambria"/>
      <family val="2"/>
      <scheme val="major"/>
    </font>
    <font>
      <b/>
      <sz val="10"/>
      <name val="Cambria"/>
      <family val="2"/>
      <scheme val="major"/>
    </font>
    <font>
      <sz val="10"/>
      <color rgb="FFFF0000"/>
      <name val="Calibri Light"/>
      <family val="2"/>
    </font>
    <font>
      <b/>
      <sz val="9"/>
      <name val="Arial"/>
      <family val="2"/>
    </font>
    <font>
      <sz val="9"/>
      <name val="Arial"/>
      <family val="2"/>
    </font>
    <font>
      <sz val="9"/>
      <color rgb="FF0000FF"/>
      <name val="Arial"/>
      <family val="2"/>
    </font>
    <font>
      <sz val="11"/>
      <color rgb="FF00B0F0"/>
      <name val="Calibri Light"/>
      <family val="2"/>
    </font>
    <font>
      <u/>
      <sz val="11"/>
      <name val="Calibri Light"/>
      <family val="2"/>
    </font>
    <font>
      <u/>
      <sz val="11"/>
      <color theme="1"/>
      <name val="Calibri"/>
      <family val="2"/>
      <scheme val="minor"/>
    </font>
    <font>
      <b/>
      <sz val="11"/>
      <name val="Cambria"/>
      <family val="2"/>
      <scheme val="major"/>
    </font>
    <font>
      <sz val="14"/>
      <color theme="1"/>
      <name val="Calibri"/>
      <family val="2"/>
      <scheme val="minor"/>
    </font>
    <font>
      <sz val="12"/>
      <color rgb="FFFF0000"/>
      <name val="Calibri Light"/>
      <family val="2"/>
    </font>
    <font>
      <sz val="12"/>
      <color rgb="FF000000"/>
      <name val="Calibri Light"/>
      <family val="2"/>
    </font>
    <font>
      <sz val="11"/>
      <color rgb="FF000000"/>
      <name val="Calibri"/>
      <family val="2"/>
    </font>
    <font>
      <b/>
      <sz val="11"/>
      <color theme="1"/>
      <name val="Arial"/>
      <family val="2"/>
    </font>
    <font>
      <sz val="11"/>
      <color theme="1"/>
      <name val="Arial"/>
      <family val="2"/>
    </font>
    <font>
      <b/>
      <sz val="12"/>
      <color theme="1"/>
      <name val="Arial"/>
      <family val="2"/>
    </font>
    <font>
      <sz val="12"/>
      <color theme="1"/>
      <name val="Arial"/>
      <family val="2"/>
    </font>
    <font>
      <sz val="11"/>
      <name val="Arial"/>
      <family val="2"/>
    </font>
    <font>
      <b/>
      <sz val="11"/>
      <color rgb="FFFF0000"/>
      <name val="Arial"/>
      <family val="2"/>
    </font>
    <font>
      <b/>
      <sz val="11"/>
      <name val="Arial"/>
      <family val="2"/>
    </font>
    <font>
      <sz val="11"/>
      <color rgb="FFFF0000"/>
      <name val="Arial"/>
      <family val="2"/>
    </font>
    <font>
      <sz val="11"/>
      <color indexed="8"/>
      <name val="Arial"/>
      <family val="2"/>
    </font>
    <font>
      <sz val="8"/>
      <name val="Calibri"/>
      <family val="2"/>
      <scheme val="minor"/>
    </font>
    <font>
      <i/>
      <sz val="11"/>
      <color theme="1"/>
      <name val="Arial"/>
      <family val="2"/>
    </font>
    <font>
      <sz val="12"/>
      <name val="Arial"/>
      <family val="2"/>
    </font>
    <font>
      <b/>
      <sz val="12"/>
      <name val="Arial"/>
      <family val="2"/>
    </font>
    <font>
      <b/>
      <sz val="12"/>
      <color rgb="FFFF0000"/>
      <name val="Arial"/>
      <family val="2"/>
    </font>
    <font>
      <b/>
      <i/>
      <sz val="12"/>
      <name val="Arial"/>
      <family val="2"/>
    </font>
    <font>
      <sz val="10"/>
      <name val="Courier New"/>
      <family val="3"/>
    </font>
    <font>
      <sz val="8"/>
      <color indexed="8"/>
      <name val="Courier"/>
      <family val="3"/>
    </font>
    <font>
      <i/>
      <sz val="11"/>
      <name val="Arial"/>
      <family val="2"/>
    </font>
    <font>
      <b/>
      <i/>
      <sz val="11"/>
      <name val="Arial"/>
      <family val="2"/>
    </font>
    <font>
      <b/>
      <sz val="10"/>
      <name val="Calibri Light"/>
      <family val="2"/>
    </font>
    <font>
      <b/>
      <sz val="11"/>
      <color rgb="FF000000"/>
      <name val="Arial"/>
      <family val="2"/>
    </font>
    <font>
      <b/>
      <sz val="10"/>
      <name val="Arial"/>
      <family val="2"/>
    </font>
    <font>
      <sz val="10"/>
      <color rgb="FFFF0000"/>
      <name val="Arial"/>
      <family val="2"/>
    </font>
    <font>
      <sz val="1"/>
      <name val="Arial"/>
      <family val="2"/>
    </font>
    <font>
      <sz val="48"/>
      <name val="Arial"/>
      <family val="2"/>
    </font>
    <font>
      <b/>
      <sz val="21.5"/>
      <name val="Arial"/>
      <family val="2"/>
    </font>
    <font>
      <b/>
      <sz val="20"/>
      <name val="Arial"/>
      <family val="2"/>
    </font>
    <font>
      <b/>
      <sz val="14"/>
      <color theme="0"/>
      <name val="Arial"/>
      <family val="2"/>
    </font>
    <font>
      <u/>
      <sz val="11"/>
      <color theme="10"/>
      <name val="Calibri"/>
      <family val="2"/>
      <scheme val="minor"/>
    </font>
    <font>
      <sz val="10"/>
      <color theme="1"/>
      <name val="Arial"/>
      <family val="2"/>
    </font>
    <font>
      <sz val="10"/>
      <color indexed="8"/>
      <name val="Arial"/>
      <family val="2"/>
    </font>
    <font>
      <sz val="12"/>
      <color rgb="FF333333"/>
      <name val="Arial"/>
      <family val="2"/>
    </font>
    <font>
      <b/>
      <sz val="12"/>
      <name val="Calibri"/>
      <family val="2"/>
      <scheme val="minor"/>
    </font>
    <font>
      <sz val="11"/>
      <color indexed="8"/>
      <name val="Calibri"/>
      <family val="2"/>
    </font>
    <font>
      <sz val="12"/>
      <color indexed="8"/>
      <name val="Arial"/>
      <family val="2"/>
    </font>
    <font>
      <b/>
      <sz val="10"/>
      <color rgb="FFFF0000"/>
      <name val="Arial"/>
      <family val="2"/>
    </font>
    <font>
      <sz val="1.5"/>
      <color theme="1"/>
      <name val="Calibri"/>
      <family val="2"/>
      <scheme val="minor"/>
    </font>
    <font>
      <b/>
      <sz val="1.5"/>
      <name val="Arial"/>
      <family val="2"/>
    </font>
    <font>
      <b/>
      <sz val="14"/>
      <color rgb="FFFF0000"/>
      <name val="Arial"/>
      <family val="2"/>
    </font>
    <font>
      <b/>
      <sz val="14"/>
      <name val="Arial"/>
      <family val="2"/>
    </font>
    <font>
      <sz val="12"/>
      <color rgb="FF222222"/>
      <name val="Arial"/>
      <family val="2"/>
    </font>
    <font>
      <b/>
      <sz val="28"/>
      <color rgb="FFFF0000"/>
      <name val="Arial"/>
      <family val="2"/>
    </font>
    <font>
      <sz val="12"/>
      <name val="Roboto"/>
    </font>
    <font>
      <u/>
      <sz val="8.5"/>
      <color theme="10"/>
      <name val="Arial"/>
      <family val="2"/>
    </font>
    <font>
      <b/>
      <u/>
      <sz val="12"/>
      <name val="Arial"/>
      <family val="2"/>
    </font>
    <font>
      <sz val="12"/>
      <color rgb="FF000000"/>
      <name val="Arial"/>
      <family val="2"/>
    </font>
    <font>
      <b/>
      <i/>
      <sz val="11"/>
      <color theme="1"/>
      <name val="Arial"/>
      <family val="2"/>
    </font>
  </fonts>
  <fills count="2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99CC00"/>
        <bgColor indexed="64"/>
      </patternFill>
    </fill>
    <fill>
      <patternFill patternType="solid">
        <fgColor rgb="FFDFF0D8"/>
        <bgColor rgb="FF000000"/>
      </patternFill>
    </fill>
    <fill>
      <patternFill patternType="solid">
        <fgColor rgb="FFD8ECF6"/>
        <bgColor rgb="FF000000"/>
      </patternFill>
    </fill>
    <fill>
      <patternFill patternType="solid">
        <fgColor theme="0" tint="-0.249977111117893"/>
        <bgColor indexed="64"/>
      </patternFill>
    </fill>
    <fill>
      <patternFill patternType="solid">
        <fgColor theme="0"/>
        <bgColor indexed="8"/>
      </patternFill>
    </fill>
    <fill>
      <patternFill patternType="solid">
        <fgColor theme="0"/>
        <bgColor rgb="FF000000"/>
      </patternFill>
    </fill>
    <fill>
      <patternFill patternType="solid">
        <fgColor theme="0" tint="-0.249977111117893"/>
        <bgColor rgb="FF000000"/>
      </patternFill>
    </fill>
    <fill>
      <patternFill patternType="solid">
        <fgColor rgb="FF0070C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22"/>
        <bgColor indexed="64"/>
      </patternFill>
    </fill>
  </fills>
  <borders count="99">
    <border>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auto="1"/>
      </right>
      <top style="medium">
        <color auto="1"/>
      </top>
      <bottom style="thin">
        <color auto="1"/>
      </bottom>
      <diagonal/>
    </border>
    <border>
      <left/>
      <right/>
      <top/>
      <bottom style="thin">
        <color rgb="FFCCCCCC"/>
      </bottom>
      <diagonal/>
    </border>
    <border>
      <left/>
      <right/>
      <top/>
      <bottom style="thick">
        <color auto="1"/>
      </bottom>
      <diagonal/>
    </border>
    <border>
      <left/>
      <right/>
      <top style="thick">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auto="1"/>
      </right>
      <top style="medium">
        <color indexed="64"/>
      </top>
      <bottom style="thin">
        <color auto="1"/>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medium">
        <color auto="1"/>
      </right>
      <top style="thin">
        <color auto="1"/>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medium">
        <color auto="1"/>
      </left>
      <right style="thin">
        <color theme="0"/>
      </right>
      <top style="medium">
        <color auto="1"/>
      </top>
      <bottom style="thin">
        <color auto="1"/>
      </bottom>
      <diagonal/>
    </border>
    <border>
      <left style="thin">
        <color theme="0"/>
      </left>
      <right style="thin">
        <color theme="0"/>
      </right>
      <top style="medium">
        <color auto="1"/>
      </top>
      <bottom style="thin">
        <color auto="1"/>
      </bottom>
      <diagonal/>
    </border>
    <border>
      <left style="thin">
        <color theme="0"/>
      </left>
      <right style="medium">
        <color auto="1"/>
      </right>
      <top style="medium">
        <color auto="1"/>
      </top>
      <bottom style="thin">
        <color auto="1"/>
      </bottom>
      <diagonal/>
    </border>
    <border>
      <left style="medium">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medium">
        <color auto="1"/>
      </right>
      <top style="thin">
        <color auto="1"/>
      </top>
      <bottom style="thin">
        <color auto="1"/>
      </bottom>
      <diagonal/>
    </border>
    <border>
      <left style="medium">
        <color auto="1"/>
      </left>
      <right style="thin">
        <color theme="0"/>
      </right>
      <top style="thin">
        <color auto="1"/>
      </top>
      <bottom style="medium">
        <color auto="1"/>
      </bottom>
      <diagonal/>
    </border>
    <border>
      <left style="thin">
        <color theme="0"/>
      </left>
      <right style="thin">
        <color theme="0"/>
      </right>
      <top style="thin">
        <color auto="1"/>
      </top>
      <bottom style="medium">
        <color auto="1"/>
      </bottom>
      <diagonal/>
    </border>
    <border>
      <left style="thin">
        <color theme="0"/>
      </left>
      <right style="medium">
        <color auto="1"/>
      </right>
      <top style="thin">
        <color auto="1"/>
      </top>
      <bottom style="medium">
        <color auto="1"/>
      </bottom>
      <diagonal/>
    </border>
  </borders>
  <cellStyleXfs count="47">
    <xf numFmtId="0" fontId="0" fillId="0" borderId="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1" fillId="0" borderId="0"/>
    <xf numFmtId="0" fontId="4" fillId="0" borderId="0"/>
    <xf numFmtId="0" fontId="4" fillId="0" borderId="0"/>
    <xf numFmtId="165" fontId="4" fillId="0" borderId="0" applyFont="0" applyFill="0" applyBorder="0" applyAlignment="0" applyProtection="0"/>
    <xf numFmtId="165" fontId="1" fillId="0" borderId="0" applyFont="0" applyFill="0" applyBorder="0" applyAlignment="0" applyProtection="0"/>
    <xf numFmtId="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0" fontId="21" fillId="0" borderId="0"/>
    <xf numFmtId="0" fontId="4" fillId="0" borderId="0"/>
    <xf numFmtId="164" fontId="1" fillId="0" borderId="0" applyFont="0" applyFill="0" applyBorder="0" applyAlignment="0" applyProtection="0"/>
    <xf numFmtId="0" fontId="45" fillId="0" borderId="0"/>
    <xf numFmtId="0" fontId="21" fillId="0" borderId="0"/>
    <xf numFmtId="0" fontId="1" fillId="0" borderId="0"/>
    <xf numFmtId="0" fontId="4" fillId="0" borderId="0"/>
    <xf numFmtId="167" fontId="4" fillId="0" borderId="0" applyFont="0" applyFill="0" applyBorder="0" applyAlignment="0" applyProtection="0"/>
    <xf numFmtId="167" fontId="4" fillId="0" borderId="0" applyFon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7" fontId="4" fillId="0" borderId="0" applyFont="0" applyFill="0" applyBorder="0" applyAlignment="0" applyProtection="0"/>
    <xf numFmtId="0" fontId="4" fillId="0" borderId="0"/>
    <xf numFmtId="44" fontId="1" fillId="0" borderId="0" applyFont="0" applyFill="0" applyBorder="0" applyAlignment="0" applyProtection="0"/>
    <xf numFmtId="0" fontId="74" fillId="0" borderId="0" applyNumberFormat="0" applyFill="0" applyBorder="0" applyAlignment="0" applyProtection="0"/>
    <xf numFmtId="9" fontId="4" fillId="0" borderId="0" applyFont="0" applyFill="0" applyBorder="0" applyAlignment="0" applyProtection="0"/>
    <xf numFmtId="0" fontId="79"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9" fillId="0" borderId="0" applyNumberFormat="0" applyFill="0" applyBorder="0" applyAlignment="0" applyProtection="0">
      <alignment vertical="top"/>
      <protection locked="0"/>
    </xf>
    <xf numFmtId="0" fontId="1" fillId="0" borderId="0"/>
    <xf numFmtId="165" fontId="4" fillId="0" borderId="0" applyFont="0" applyFill="0" applyBorder="0" applyAlignment="0" applyProtection="0"/>
    <xf numFmtId="167" fontId="4" fillId="0" borderId="0" applyFont="0" applyFill="0" applyBorder="0" applyAlignment="0" applyProtection="0"/>
  </cellStyleXfs>
  <cellXfs count="1503">
    <xf numFmtId="0" fontId="0" fillId="0" borderId="0" xfId="0"/>
    <xf numFmtId="0" fontId="3" fillId="0" borderId="0" xfId="0" applyFont="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vertical="center" wrapText="1"/>
    </xf>
    <xf numFmtId="165" fontId="3" fillId="0" borderId="0" xfId="3" applyFont="1" applyBorder="1" applyAlignment="1">
      <alignment horizontal="right" vertical="center" wrapText="1"/>
    </xf>
    <xf numFmtId="0" fontId="3" fillId="0" borderId="0" xfId="0" applyFont="1" applyBorder="1" applyAlignment="1">
      <alignment vertical="center"/>
    </xf>
    <xf numFmtId="0" fontId="7" fillId="0" borderId="0" xfId="0" applyFont="1" applyAlignment="1">
      <alignment vertical="center" wrapText="1"/>
    </xf>
    <xf numFmtId="0" fontId="7" fillId="0" borderId="0" xfId="0" applyFont="1" applyAlignment="1">
      <alignment horizontal="center" vertical="center" wrapText="1"/>
    </xf>
    <xf numFmtId="0" fontId="3" fillId="0" borderId="0" xfId="0" applyFont="1" applyFill="1" applyBorder="1" applyAlignment="1">
      <alignment vertical="center" wrapText="1"/>
    </xf>
    <xf numFmtId="0" fontId="3" fillId="0" borderId="0" xfId="0" applyFont="1" applyBorder="1" applyAlignment="1">
      <alignment horizontal="right" vertical="center"/>
    </xf>
    <xf numFmtId="165" fontId="3" fillId="0" borderId="0" xfId="0" applyNumberFormat="1" applyFont="1" applyBorder="1" applyAlignment="1">
      <alignment horizontal="right" vertical="center"/>
    </xf>
    <xf numFmtId="0" fontId="11" fillId="0" borderId="0" xfId="0" applyFont="1" applyFill="1" applyBorder="1" applyAlignment="1">
      <alignment horizontal="center" vertical="center" wrapText="1"/>
    </xf>
    <xf numFmtId="0" fontId="11" fillId="0" borderId="0" xfId="0" applyFont="1" applyFill="1" applyAlignment="1">
      <alignment vertical="center" wrapText="1"/>
    </xf>
    <xf numFmtId="0" fontId="7" fillId="0" borderId="0" xfId="0" applyFont="1" applyFill="1" applyAlignment="1">
      <alignment horizontal="center" vertical="center" wrapText="1"/>
    </xf>
    <xf numFmtId="165" fontId="7" fillId="0" borderId="0" xfId="3" applyFont="1" applyFill="1" applyAlignment="1">
      <alignment horizontal="right" vertical="center" wrapText="1"/>
    </xf>
    <xf numFmtId="165" fontId="7" fillId="0" borderId="0" xfId="3" applyNumberFormat="1" applyFont="1" applyFill="1" applyAlignment="1">
      <alignment vertical="center" wrapText="1"/>
    </xf>
    <xf numFmtId="165" fontId="7" fillId="0" borderId="0" xfId="3" applyFont="1" applyFill="1" applyAlignment="1">
      <alignment vertical="center" wrapText="1"/>
    </xf>
    <xf numFmtId="0" fontId="11" fillId="0" borderId="0" xfId="0" applyFont="1" applyFill="1" applyBorder="1" applyAlignment="1">
      <alignment vertical="center" wrapText="1"/>
    </xf>
    <xf numFmtId="0" fontId="0" fillId="0" borderId="0" xfId="0" applyAlignment="1">
      <alignment horizontal="center" vertical="center"/>
    </xf>
    <xf numFmtId="0" fontId="14" fillId="10" borderId="10" xfId="0" applyFont="1" applyFill="1" applyBorder="1" applyAlignment="1">
      <alignment horizontal="center" vertical="center"/>
    </xf>
    <xf numFmtId="2" fontId="0" fillId="0" borderId="0" xfId="0" applyNumberFormat="1" applyAlignment="1">
      <alignment horizontal="center" vertical="center"/>
    </xf>
    <xf numFmtId="2" fontId="17" fillId="2" borderId="9" xfId="0" applyNumberFormat="1" applyFont="1" applyFill="1" applyBorder="1" applyAlignment="1">
      <alignment horizontal="center" vertical="center"/>
    </xf>
    <xf numFmtId="2" fontId="17" fillId="2" borderId="8" xfId="0" applyNumberFormat="1" applyFont="1" applyFill="1" applyBorder="1" applyAlignment="1">
      <alignment horizontal="center" vertical="center"/>
    </xf>
    <xf numFmtId="2" fontId="17" fillId="2" borderId="26" xfId="0" applyNumberFormat="1" applyFont="1" applyFill="1" applyBorder="1" applyAlignment="1">
      <alignment horizontal="center" vertical="center"/>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4" fillId="12" borderId="22" xfId="0" applyFont="1" applyFill="1" applyBorder="1" applyAlignment="1">
      <alignment horizontal="center" vertical="center"/>
    </xf>
    <xf numFmtId="0" fontId="14" fillId="12" borderId="10" xfId="0" applyFont="1" applyFill="1" applyBorder="1" applyAlignment="1">
      <alignment horizontal="center" vertical="center"/>
    </xf>
    <xf numFmtId="0" fontId="17" fillId="3" borderId="22" xfId="0" applyFont="1" applyFill="1" applyBorder="1" applyAlignment="1">
      <alignment horizontal="center" vertical="center"/>
    </xf>
    <xf numFmtId="0" fontId="17" fillId="3" borderId="10" xfId="0" applyFont="1" applyFill="1" applyBorder="1" applyAlignment="1">
      <alignment horizontal="center" vertical="center"/>
    </xf>
    <xf numFmtId="2" fontId="0" fillId="0" borderId="10" xfId="0" applyNumberFormat="1" applyBorder="1" applyAlignment="1">
      <alignment horizontal="center" vertical="center"/>
    </xf>
    <xf numFmtId="2" fontId="17" fillId="2" borderId="30" xfId="0" applyNumberFormat="1" applyFont="1" applyFill="1" applyBorder="1" applyAlignment="1">
      <alignment horizontal="center" vertical="center"/>
    </xf>
    <xf numFmtId="1" fontId="17" fillId="2" borderId="21" xfId="0" applyNumberFormat="1" applyFont="1" applyFill="1" applyBorder="1" applyAlignment="1">
      <alignment horizontal="center" vertical="center"/>
    </xf>
    <xf numFmtId="0" fontId="14" fillId="0" borderId="36" xfId="0" applyFont="1" applyBorder="1" applyAlignment="1">
      <alignment horizontal="center" vertical="center"/>
    </xf>
    <xf numFmtId="0" fontId="14" fillId="10" borderId="2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6" xfId="0" applyFont="1" applyFill="1" applyBorder="1" applyAlignment="1">
      <alignment horizontal="center" vertical="center"/>
    </xf>
    <xf numFmtId="0" fontId="19" fillId="11" borderId="37" xfId="0" applyFont="1" applyFill="1" applyBorder="1" applyAlignment="1">
      <alignment vertical="center"/>
    </xf>
    <xf numFmtId="0" fontId="19" fillId="11" borderId="37" xfId="0" applyFont="1" applyFill="1" applyBorder="1" applyAlignment="1">
      <alignment horizontal="center" vertical="center"/>
    </xf>
    <xf numFmtId="0" fontId="14" fillId="10" borderId="37" xfId="0" applyFont="1" applyFill="1" applyBorder="1" applyAlignment="1">
      <alignment horizontal="center" vertical="center"/>
    </xf>
    <xf numFmtId="0" fontId="14" fillId="0" borderId="38" xfId="0" applyFont="1" applyBorder="1" applyAlignment="1">
      <alignment horizontal="center" vertical="center"/>
    </xf>
    <xf numFmtId="0" fontId="14" fillId="0" borderId="37" xfId="0" applyFont="1" applyBorder="1" applyAlignment="1">
      <alignment horizontal="center" vertical="center"/>
    </xf>
    <xf numFmtId="0" fontId="23" fillId="0" borderId="21" xfId="0" applyNumberFormat="1" applyFont="1" applyBorder="1" applyAlignment="1">
      <alignment horizontal="left" vertical="center"/>
    </xf>
    <xf numFmtId="0" fontId="23" fillId="0" borderId="9" xfId="0" applyNumberFormat="1" applyFont="1" applyBorder="1" applyAlignment="1">
      <alignment horizontal="left" vertical="center"/>
    </xf>
    <xf numFmtId="0" fontId="14" fillId="13" borderId="10" xfId="0" applyNumberFormat="1" applyFont="1" applyFill="1" applyBorder="1" applyAlignment="1">
      <alignment horizontal="left"/>
    </xf>
    <xf numFmtId="0" fontId="0" fillId="0" borderId="10" xfId="0" applyNumberFormat="1" applyFill="1" applyBorder="1" applyAlignment="1">
      <alignment horizontal="left" wrapText="1"/>
    </xf>
    <xf numFmtId="4" fontId="0" fillId="0" borderId="10" xfId="0" applyNumberFormat="1" applyFill="1" applyBorder="1" applyAlignment="1">
      <alignment horizontal="center" vertical="top"/>
    </xf>
    <xf numFmtId="4" fontId="0" fillId="0" borderId="10" xfId="0" applyNumberFormat="1" applyFill="1" applyBorder="1" applyAlignment="1">
      <alignment vertical="top"/>
    </xf>
    <xf numFmtId="4" fontId="14" fillId="0" borderId="10" xfId="0" applyNumberFormat="1" applyFont="1" applyFill="1" applyBorder="1" applyAlignment="1">
      <alignment vertical="top"/>
    </xf>
    <xf numFmtId="0" fontId="25" fillId="0" borderId="10" xfId="0" applyNumberFormat="1" applyFont="1" applyFill="1" applyBorder="1" applyAlignment="1">
      <alignment horizontal="left" wrapText="1"/>
    </xf>
    <xf numFmtId="0" fontId="7" fillId="0" borderId="10" xfId="0" applyFont="1" applyFill="1" applyBorder="1" applyAlignment="1">
      <alignment horizontal="center" vertical="center" wrapText="1"/>
    </xf>
    <xf numFmtId="0" fontId="0" fillId="0" borderId="10" xfId="0" applyNumberFormat="1" applyFont="1" applyFill="1" applyBorder="1" applyAlignment="1">
      <alignment horizontal="left" wrapText="1"/>
    </xf>
    <xf numFmtId="1" fontId="0" fillId="0" borderId="10" xfId="0" applyNumberFormat="1" applyFont="1" applyFill="1" applyBorder="1" applyAlignment="1">
      <alignment horizontal="left" wrapText="1"/>
    </xf>
    <xf numFmtId="4" fontId="0" fillId="0" borderId="10" xfId="0" applyNumberFormat="1" applyFont="1" applyFill="1" applyBorder="1" applyAlignment="1">
      <alignment horizontal="center" vertical="top"/>
    </xf>
    <xf numFmtId="1" fontId="0" fillId="0" borderId="10" xfId="0" applyNumberFormat="1" applyFill="1" applyBorder="1" applyAlignment="1">
      <alignment horizontal="left" wrapText="1"/>
    </xf>
    <xf numFmtId="165" fontId="11" fillId="0" borderId="0" xfId="3" applyFont="1" applyFill="1" applyBorder="1" applyAlignment="1">
      <alignment horizontal="center" vertical="center" wrapText="1"/>
    </xf>
    <xf numFmtId="4" fontId="0" fillId="0" borderId="0" xfId="0" applyNumberFormat="1"/>
    <xf numFmtId="0" fontId="0" fillId="0" borderId="0" xfId="0" applyFill="1" applyBorder="1" applyAlignment="1">
      <alignment horizontal="center" vertical="center"/>
    </xf>
    <xf numFmtId="2" fontId="17" fillId="2" borderId="41" xfId="0" applyNumberFormat="1" applyFont="1" applyFill="1" applyBorder="1" applyAlignment="1">
      <alignment horizontal="center" vertical="center"/>
    </xf>
    <xf numFmtId="0" fontId="14" fillId="0" borderId="49" xfId="0" applyFont="1" applyBorder="1" applyAlignment="1">
      <alignment horizontal="center" vertical="center"/>
    </xf>
    <xf numFmtId="2" fontId="17" fillId="2" borderId="42" xfId="0" applyNumberFormat="1" applyFont="1" applyFill="1" applyBorder="1" applyAlignment="1">
      <alignment horizontal="center" vertical="center"/>
    </xf>
    <xf numFmtId="0" fontId="14" fillId="0" borderId="3" xfId="0" applyFont="1" applyBorder="1" applyAlignment="1">
      <alignment horizontal="center" vertical="center"/>
    </xf>
    <xf numFmtId="0" fontId="14" fillId="0" borderId="0" xfId="0" applyFont="1" applyFill="1" applyBorder="1" applyAlignment="1">
      <alignment horizontal="center" vertical="center"/>
    </xf>
    <xf numFmtId="2" fontId="17" fillId="2" borderId="50" xfId="0" applyNumberFormat="1" applyFont="1" applyFill="1" applyBorder="1" applyAlignment="1">
      <alignment horizontal="center" vertical="center"/>
    </xf>
    <xf numFmtId="0" fontId="17" fillId="0" borderId="0" xfId="0" applyFont="1" applyFill="1" applyBorder="1" applyAlignment="1">
      <alignment horizontal="center" vertical="center"/>
    </xf>
    <xf numFmtId="2" fontId="0" fillId="0" borderId="0" xfId="0" applyNumberFormat="1" applyFill="1" applyBorder="1" applyAlignment="1">
      <alignment horizontal="center" vertical="center"/>
    </xf>
    <xf numFmtId="2" fontId="17" fillId="2" borderId="43" xfId="0" applyNumberFormat="1" applyFont="1" applyFill="1" applyBorder="1" applyAlignment="1">
      <alignment horizontal="center" vertical="center"/>
    </xf>
    <xf numFmtId="0" fontId="14" fillId="0" borderId="51" xfId="0" applyFont="1" applyBorder="1" applyAlignment="1">
      <alignment horizontal="center" vertical="center"/>
    </xf>
    <xf numFmtId="2" fontId="14" fillId="0" borderId="10" xfId="0" applyNumberFormat="1" applyFont="1" applyBorder="1" applyAlignment="1">
      <alignment horizontal="center" vertical="center"/>
    </xf>
    <xf numFmtId="0" fontId="14" fillId="10" borderId="8" xfId="0" applyFont="1" applyFill="1" applyBorder="1" applyAlignment="1">
      <alignment horizontal="center" vertical="center"/>
    </xf>
    <xf numFmtId="0" fontId="14" fillId="0" borderId="54" xfId="0" applyFont="1" applyBorder="1" applyAlignment="1">
      <alignment horizontal="center" vertical="center"/>
    </xf>
    <xf numFmtId="0" fontId="14" fillId="0" borderId="23" xfId="0" applyFont="1" applyBorder="1" applyAlignment="1">
      <alignment horizontal="center" vertical="center"/>
    </xf>
    <xf numFmtId="1" fontId="17" fillId="2" borderId="8" xfId="0" applyNumberFormat="1" applyFont="1" applyFill="1" applyBorder="1" applyAlignment="1">
      <alignment horizontal="center" vertical="center"/>
    </xf>
    <xf numFmtId="1" fontId="17" fillId="2" borderId="42" xfId="0" applyNumberFormat="1" applyFont="1" applyFill="1" applyBorder="1" applyAlignment="1">
      <alignment horizontal="center" vertical="center"/>
    </xf>
    <xf numFmtId="0" fontId="17" fillId="2" borderId="42" xfId="0" applyFont="1" applyFill="1" applyBorder="1" applyAlignment="1">
      <alignment horizontal="center" vertical="center"/>
    </xf>
    <xf numFmtId="0" fontId="17" fillId="2" borderId="44" xfId="0" applyFont="1" applyFill="1" applyBorder="1" applyAlignment="1">
      <alignment horizontal="center" vertical="center"/>
    </xf>
    <xf numFmtId="0" fontId="17" fillId="2" borderId="43" xfId="0" applyFont="1" applyFill="1" applyBorder="1" applyAlignment="1">
      <alignment horizontal="center" vertical="center"/>
    </xf>
    <xf numFmtId="0" fontId="14" fillId="0" borderId="55" xfId="0" applyFont="1" applyBorder="1" applyAlignment="1">
      <alignment horizontal="center" vertical="center"/>
    </xf>
    <xf numFmtId="0" fontId="14" fillId="0" borderId="48" xfId="0" applyFont="1" applyBorder="1" applyAlignment="1">
      <alignment horizontal="center" vertical="center"/>
    </xf>
    <xf numFmtId="2" fontId="17" fillId="2" borderId="45" xfId="0" applyNumberFormat="1" applyFont="1" applyFill="1" applyBorder="1" applyAlignment="1">
      <alignment horizontal="center" vertical="center"/>
    </xf>
    <xf numFmtId="0" fontId="14" fillId="0" borderId="1" xfId="0" applyFont="1" applyBorder="1" applyAlignment="1">
      <alignment horizontal="center" vertical="center"/>
    </xf>
    <xf numFmtId="1" fontId="17" fillId="2" borderId="43" xfId="0" applyNumberFormat="1" applyFont="1" applyFill="1" applyBorder="1" applyAlignment="1">
      <alignment horizontal="center" vertical="center"/>
    </xf>
    <xf numFmtId="0" fontId="14" fillId="10" borderId="33" xfId="0" applyFont="1" applyFill="1" applyBorder="1" applyAlignment="1">
      <alignment horizontal="center" vertical="center"/>
    </xf>
    <xf numFmtId="0" fontId="14" fillId="0" borderId="57" xfId="0" applyFont="1" applyBorder="1" applyAlignment="1">
      <alignment horizontal="center" vertical="center"/>
    </xf>
    <xf numFmtId="0" fontId="14" fillId="10" borderId="61" xfId="0" applyFont="1" applyFill="1" applyBorder="1" applyAlignment="1">
      <alignment horizontal="center" vertical="center"/>
    </xf>
    <xf numFmtId="2" fontId="17" fillId="2" borderId="47" xfId="0" applyNumberFormat="1" applyFont="1" applyFill="1" applyBorder="1" applyAlignment="1">
      <alignment horizontal="center" vertical="center"/>
    </xf>
    <xf numFmtId="169" fontId="0" fillId="0" borderId="0" xfId="0" applyNumberFormat="1" applyAlignment="1">
      <alignment horizontal="center" vertical="center"/>
    </xf>
    <xf numFmtId="2" fontId="17" fillId="2" borderId="21" xfId="0" applyNumberFormat="1" applyFont="1" applyFill="1" applyBorder="1" applyAlignment="1">
      <alignment horizontal="center" vertical="center"/>
    </xf>
    <xf numFmtId="166" fontId="0" fillId="0" borderId="0" xfId="0" applyNumberFormat="1" applyAlignment="1">
      <alignment horizontal="center" vertical="center"/>
    </xf>
    <xf numFmtId="0" fontId="14" fillId="2" borderId="33" xfId="0" applyFont="1" applyFill="1" applyBorder="1" applyAlignment="1">
      <alignment horizontal="center" vertical="center"/>
    </xf>
    <xf numFmtId="0" fontId="14" fillId="2" borderId="34" xfId="0" applyFont="1" applyFill="1" applyBorder="1" applyAlignment="1">
      <alignment horizontal="center" vertical="center"/>
    </xf>
    <xf numFmtId="0" fontId="0" fillId="3" borderId="22" xfId="0" applyFill="1" applyBorder="1" applyAlignment="1">
      <alignment horizontal="center" vertical="center"/>
    </xf>
    <xf numFmtId="0" fontId="0" fillId="3" borderId="10" xfId="0" applyFill="1" applyBorder="1" applyAlignment="1">
      <alignment horizontal="center" vertical="center"/>
    </xf>
    <xf numFmtId="2" fontId="17" fillId="0" borderId="8" xfId="0" applyNumberFormat="1" applyFont="1" applyFill="1" applyBorder="1" applyAlignment="1">
      <alignment horizontal="center" vertical="center"/>
    </xf>
    <xf numFmtId="0" fontId="28" fillId="2" borderId="34" xfId="0" applyFont="1" applyFill="1" applyBorder="1" applyAlignment="1">
      <alignment horizontal="center" vertical="center"/>
    </xf>
    <xf numFmtId="2" fontId="17" fillId="0" borderId="30" xfId="0" applyNumberFormat="1" applyFont="1" applyFill="1" applyBorder="1" applyAlignment="1">
      <alignment horizontal="center" vertical="center"/>
    </xf>
    <xf numFmtId="0" fontId="14" fillId="2" borderId="36" xfId="0" applyFont="1" applyFill="1" applyBorder="1" applyAlignment="1">
      <alignment horizontal="center" vertical="center"/>
    </xf>
    <xf numFmtId="0" fontId="14" fillId="0" borderId="62" xfId="0" applyFont="1" applyBorder="1" applyAlignment="1">
      <alignment horizontal="center" vertical="center"/>
    </xf>
    <xf numFmtId="2" fontId="14" fillId="6" borderId="10" xfId="0" applyNumberFormat="1" applyFont="1" applyFill="1" applyBorder="1" applyAlignment="1">
      <alignment horizontal="center" vertical="center"/>
    </xf>
    <xf numFmtId="2" fontId="0" fillId="6" borderId="0" xfId="0" applyNumberFormat="1" applyFill="1" applyAlignment="1">
      <alignment horizontal="center" vertical="center"/>
    </xf>
    <xf numFmtId="2" fontId="17" fillId="6" borderId="9" xfId="0" applyNumberFormat="1" applyFont="1" applyFill="1" applyBorder="1" applyAlignment="1">
      <alignment horizontal="center" vertical="center"/>
    </xf>
    <xf numFmtId="2" fontId="17" fillId="6" borderId="8" xfId="0" applyNumberFormat="1" applyFont="1" applyFill="1" applyBorder="1" applyAlignment="1">
      <alignment horizontal="center" vertical="center"/>
    </xf>
    <xf numFmtId="2" fontId="17" fillId="6" borderId="30" xfId="0" applyNumberFormat="1" applyFont="1" applyFill="1" applyBorder="1" applyAlignment="1">
      <alignment horizontal="center" vertical="center"/>
    </xf>
    <xf numFmtId="2" fontId="17" fillId="6" borderId="26" xfId="0" applyNumberFormat="1" applyFont="1" applyFill="1" applyBorder="1" applyAlignment="1">
      <alignment horizontal="center" vertical="center"/>
    </xf>
    <xf numFmtId="2" fontId="17" fillId="6" borderId="47" xfId="0" applyNumberFormat="1" applyFont="1" applyFill="1" applyBorder="1" applyAlignment="1">
      <alignment horizontal="center" vertical="center"/>
    </xf>
    <xf numFmtId="2" fontId="7" fillId="0" borderId="0" xfId="3" applyNumberFormat="1" applyFont="1" applyFill="1" applyAlignment="1">
      <alignment horizontal="right" vertical="center" wrapText="1"/>
    </xf>
    <xf numFmtId="0" fontId="31" fillId="0" borderId="0" xfId="0" applyFont="1"/>
    <xf numFmtId="0" fontId="17" fillId="0" borderId="0" xfId="0" applyFont="1"/>
    <xf numFmtId="0" fontId="12" fillId="0" borderId="66" xfId="0" applyFont="1" applyFill="1" applyBorder="1" applyAlignment="1">
      <alignment horizontal="left" vertical="center" wrapText="1"/>
    </xf>
    <xf numFmtId="0" fontId="12" fillId="0" borderId="66" xfId="0" applyFont="1" applyFill="1" applyBorder="1" applyAlignment="1">
      <alignment horizontal="center" vertical="center" wrapText="1"/>
    </xf>
    <xf numFmtId="0" fontId="12" fillId="0" borderId="66" xfId="0" applyFont="1" applyFill="1" applyBorder="1" applyAlignment="1">
      <alignment vertical="center" wrapText="1"/>
    </xf>
    <xf numFmtId="0" fontId="11" fillId="0" borderId="66" xfId="3" applyNumberFormat="1" applyFont="1" applyFill="1" applyBorder="1" applyAlignment="1">
      <alignment horizontal="center" vertical="center" wrapText="1"/>
    </xf>
    <xf numFmtId="0" fontId="11" fillId="0" borderId="0" xfId="0" applyFont="1" applyFill="1" applyBorder="1" applyAlignment="1">
      <alignment horizontal="right" vertical="center" wrapText="1"/>
    </xf>
    <xf numFmtId="165" fontId="11" fillId="0" borderId="0" xfId="3" applyFont="1" applyFill="1" applyBorder="1" applyAlignment="1">
      <alignment vertical="center" wrapText="1"/>
    </xf>
    <xf numFmtId="0" fontId="2" fillId="0" borderId="4" xfId="0" applyFont="1" applyFill="1" applyBorder="1" applyAlignment="1">
      <alignment vertical="center" wrapText="1"/>
    </xf>
    <xf numFmtId="165" fontId="2" fillId="0" borderId="4" xfId="3"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vertical="center" wrapText="1"/>
    </xf>
    <xf numFmtId="165" fontId="3" fillId="0" borderId="0" xfId="3" applyFont="1" applyFill="1" applyBorder="1" applyAlignment="1">
      <alignment vertical="center" wrapText="1"/>
    </xf>
    <xf numFmtId="165" fontId="3" fillId="0" borderId="0" xfId="3" applyFont="1" applyFill="1" applyAlignment="1">
      <alignment horizontal="right" vertical="center" wrapText="1"/>
    </xf>
    <xf numFmtId="0" fontId="10" fillId="0" borderId="4" xfId="0" applyFont="1" applyBorder="1" applyAlignment="1">
      <alignment horizontal="left" vertical="center"/>
    </xf>
    <xf numFmtId="0" fontId="10" fillId="0" borderId="0" xfId="0" applyFont="1" applyBorder="1" applyAlignment="1">
      <alignment horizontal="left" vertical="center"/>
    </xf>
    <xf numFmtId="0" fontId="9" fillId="0" borderId="0" xfId="0" applyFont="1" applyBorder="1" applyAlignment="1">
      <alignment horizontal="left" vertical="center"/>
    </xf>
    <xf numFmtId="0" fontId="10" fillId="0" borderId="0" xfId="0" applyFont="1" applyBorder="1" applyAlignment="1">
      <alignment horizontal="right" vertical="center"/>
    </xf>
    <xf numFmtId="10" fontId="9" fillId="0" borderId="0" xfId="2" applyNumberFormat="1" applyFont="1" applyBorder="1" applyAlignment="1">
      <alignment horizontal="center" vertical="center"/>
    </xf>
    <xf numFmtId="0" fontId="9" fillId="0" borderId="0" xfId="0" applyFont="1" applyBorder="1" applyAlignment="1">
      <alignment vertical="center"/>
    </xf>
    <xf numFmtId="0" fontId="6" fillId="0" borderId="6" xfId="0" applyFont="1" applyBorder="1" applyAlignment="1">
      <alignment horizontal="left" vertical="center"/>
    </xf>
    <xf numFmtId="0" fontId="7" fillId="0" borderId="6" xfId="0" applyFont="1" applyBorder="1" applyAlignment="1">
      <alignment horizontal="left" vertical="center"/>
    </xf>
    <xf numFmtId="0" fontId="7" fillId="0" borderId="6" xfId="0" applyFont="1" applyBorder="1" applyAlignment="1">
      <alignment vertical="center"/>
    </xf>
    <xf numFmtId="0" fontId="7" fillId="0" borderId="6" xfId="0" applyFont="1" applyBorder="1" applyAlignment="1">
      <alignment horizontal="center" vertical="center"/>
    </xf>
    <xf numFmtId="0" fontId="7" fillId="0" borderId="6" xfId="3" applyNumberFormat="1" applyFont="1" applyBorder="1" applyAlignment="1">
      <alignment horizontal="center" vertical="center"/>
    </xf>
    <xf numFmtId="0" fontId="6" fillId="0" borderId="3" xfId="0" applyFont="1" applyBorder="1" applyAlignment="1">
      <alignment horizontal="center" vertical="center" wrapText="1"/>
    </xf>
    <xf numFmtId="0" fontId="6" fillId="0" borderId="3" xfId="3" applyNumberFormat="1" applyFont="1" applyBorder="1" applyAlignment="1">
      <alignment horizontal="center" vertical="center" wrapText="1"/>
    </xf>
    <xf numFmtId="0" fontId="11" fillId="0" borderId="0" xfId="0" applyFont="1" applyFill="1" applyAlignment="1">
      <alignment horizontal="center" vertical="center" wrapText="1"/>
    </xf>
    <xf numFmtId="165" fontId="7" fillId="0" borderId="0" xfId="3" applyFont="1" applyAlignment="1">
      <alignment horizontal="right" vertical="center" wrapText="1"/>
    </xf>
    <xf numFmtId="166" fontId="36" fillId="2" borderId="0" xfId="4" applyNumberFormat="1" applyFont="1" applyFill="1" applyAlignment="1">
      <alignment vertical="center"/>
    </xf>
    <xf numFmtId="0" fontId="37" fillId="2" borderId="0" xfId="4" applyFont="1" applyFill="1" applyAlignment="1">
      <alignment horizontal="left" vertical="center"/>
    </xf>
    <xf numFmtId="0" fontId="4" fillId="2" borderId="0" xfId="4" applyFont="1" applyFill="1"/>
    <xf numFmtId="0" fontId="35" fillId="15" borderId="22" xfId="4" applyFont="1" applyFill="1" applyBorder="1" applyAlignment="1">
      <alignment horizontal="center" vertical="center"/>
    </xf>
    <xf numFmtId="0" fontId="35" fillId="15" borderId="10" xfId="4" applyFont="1" applyFill="1" applyBorder="1" applyAlignment="1">
      <alignment horizontal="center" vertical="center"/>
    </xf>
    <xf numFmtId="0" fontId="35" fillId="15" borderId="10" xfId="4" applyFont="1" applyFill="1" applyBorder="1" applyAlignment="1">
      <alignment horizontal="center" vertical="center" wrapText="1"/>
    </xf>
    <xf numFmtId="0" fontId="35" fillId="15" borderId="42" xfId="4" applyFont="1" applyFill="1" applyBorder="1" applyAlignment="1">
      <alignment horizontal="center" vertical="center"/>
    </xf>
    <xf numFmtId="0" fontId="30" fillId="2" borderId="10" xfId="4" applyFont="1" applyFill="1" applyBorder="1" applyAlignment="1">
      <alignment horizontal="center" vertical="center"/>
    </xf>
    <xf numFmtId="0" fontId="30" fillId="2" borderId="10" xfId="4" applyFont="1" applyFill="1" applyBorder="1" applyAlignment="1">
      <alignment horizontal="left" vertical="center"/>
    </xf>
    <xf numFmtId="0" fontId="30" fillId="2" borderId="10" xfId="4" applyFont="1" applyFill="1" applyBorder="1" applyAlignment="1">
      <alignment horizontal="left" vertical="center" wrapText="1"/>
    </xf>
    <xf numFmtId="166" fontId="30" fillId="2" borderId="0" xfId="4" applyNumberFormat="1" applyFont="1" applyFill="1" applyAlignment="1">
      <alignment horizontal="center" vertical="center"/>
    </xf>
    <xf numFmtId="0" fontId="38" fillId="2" borderId="0" xfId="4" applyFont="1" applyFill="1" applyAlignment="1">
      <alignment horizontal="left" vertical="center"/>
    </xf>
    <xf numFmtId="0" fontId="30" fillId="2" borderId="0" xfId="4" applyFont="1" applyFill="1" applyAlignment="1">
      <alignment horizontal="left" vertical="center"/>
    </xf>
    <xf numFmtId="0" fontId="39" fillId="2" borderId="10" xfId="4" applyFont="1" applyFill="1" applyBorder="1" applyAlignment="1">
      <alignment horizontal="left" vertical="center" wrapText="1"/>
    </xf>
    <xf numFmtId="2" fontId="30" fillId="0" borderId="10" xfId="4" applyNumberFormat="1" applyFont="1" applyFill="1" applyBorder="1" applyAlignment="1">
      <alignment horizontal="center" vertical="center"/>
    </xf>
    <xf numFmtId="0" fontId="30" fillId="2" borderId="0" xfId="4" applyFont="1" applyFill="1" applyAlignment="1">
      <alignment horizontal="center" vertical="center"/>
    </xf>
    <xf numFmtId="0" fontId="13" fillId="2" borderId="0" xfId="4" applyFont="1" applyFill="1" applyAlignment="1">
      <alignment horizontal="left" vertical="center"/>
    </xf>
    <xf numFmtId="2" fontId="17" fillId="6" borderId="0" xfId="0" applyNumberFormat="1" applyFont="1" applyFill="1" applyAlignment="1">
      <alignment horizontal="center" vertical="center"/>
    </xf>
    <xf numFmtId="0" fontId="21" fillId="0" borderId="0" xfId="17"/>
    <xf numFmtId="0" fontId="0" fillId="0" borderId="0" xfId="0" applyFill="1"/>
    <xf numFmtId="10" fontId="3" fillId="0" borderId="0" xfId="0" applyNumberFormat="1" applyFont="1" applyBorder="1" applyAlignment="1">
      <alignment vertical="center" wrapText="1"/>
    </xf>
    <xf numFmtId="2" fontId="3" fillId="0" borderId="0" xfId="0" applyNumberFormat="1" applyFont="1" applyBorder="1" applyAlignment="1">
      <alignment vertical="center" wrapText="1"/>
    </xf>
    <xf numFmtId="0" fontId="2" fillId="0" borderId="4" xfId="0" applyFont="1" applyFill="1" applyBorder="1" applyAlignment="1">
      <alignment horizontal="center" vertical="center" wrapText="1"/>
    </xf>
    <xf numFmtId="0" fontId="9" fillId="0" borderId="0" xfId="0" applyFont="1" applyBorder="1" applyAlignment="1">
      <alignment horizontal="left" vertical="center" wrapText="1"/>
    </xf>
    <xf numFmtId="0" fontId="7" fillId="6" borderId="0" xfId="0" applyFont="1" applyFill="1" applyBorder="1" applyAlignment="1">
      <alignment horizontal="center" vertical="center" wrapText="1"/>
    </xf>
    <xf numFmtId="0" fontId="11" fillId="6" borderId="0" xfId="0" applyFont="1" applyFill="1" applyBorder="1" applyAlignment="1">
      <alignment vertical="center" wrapText="1"/>
    </xf>
    <xf numFmtId="165" fontId="11" fillId="6" borderId="0" xfId="3" applyFont="1" applyFill="1" applyBorder="1" applyAlignment="1">
      <alignment horizontal="right" vertical="center" wrapText="1"/>
    </xf>
    <xf numFmtId="0" fontId="24" fillId="0" borderId="0" xfId="0" applyFont="1"/>
    <xf numFmtId="0" fontId="24" fillId="0" borderId="0" xfId="0" applyFont="1" applyFill="1"/>
    <xf numFmtId="0" fontId="23" fillId="0" borderId="0" xfId="0" applyNumberFormat="1" applyFont="1" applyBorder="1" applyAlignment="1">
      <alignment horizontal="center" vertical="top" wrapText="1"/>
    </xf>
    <xf numFmtId="0" fontId="23" fillId="0" borderId="24" xfId="0" applyNumberFormat="1" applyFont="1" applyFill="1" applyBorder="1" applyAlignment="1">
      <alignment vertical="top" wrapText="1"/>
    </xf>
    <xf numFmtId="0" fontId="23" fillId="0" borderId="0" xfId="0" applyNumberFormat="1" applyFont="1" applyBorder="1" applyAlignment="1">
      <alignment horizontal="center" vertical="center" wrapText="1"/>
    </xf>
    <xf numFmtId="0" fontId="23" fillId="0" borderId="24" xfId="0" applyNumberFormat="1" applyFont="1" applyFill="1" applyBorder="1" applyAlignment="1">
      <alignment vertical="center" wrapText="1"/>
    </xf>
    <xf numFmtId="0" fontId="23" fillId="0" borderId="5" xfId="0" applyNumberFormat="1" applyFont="1" applyBorder="1" applyAlignment="1">
      <alignment horizontal="center" vertical="center" wrapText="1"/>
    </xf>
    <xf numFmtId="0" fontId="24" fillId="0" borderId="2" xfId="0" applyFont="1" applyFill="1" applyBorder="1" applyAlignment="1">
      <alignment horizontal="left"/>
    </xf>
    <xf numFmtId="0" fontId="14" fillId="13" borderId="10" xfId="0" applyFont="1" applyFill="1" applyBorder="1" applyAlignment="1">
      <alignment horizontal="center"/>
    </xf>
    <xf numFmtId="0" fontId="14" fillId="0" borderId="10" xfId="0" applyFont="1" applyFill="1" applyBorder="1"/>
    <xf numFmtId="4" fontId="0" fillId="6" borderId="0" xfId="0" applyNumberFormat="1" applyFill="1"/>
    <xf numFmtId="4" fontId="0" fillId="0" borderId="0" xfId="0" applyNumberFormat="1" applyFill="1"/>
    <xf numFmtId="0" fontId="0" fillId="3" borderId="10" xfId="0" applyNumberFormat="1" applyFill="1" applyBorder="1" applyAlignment="1">
      <alignment horizontal="left" wrapText="1"/>
    </xf>
    <xf numFmtId="4" fontId="0" fillId="3" borderId="10" xfId="0" applyNumberFormat="1" applyFill="1" applyBorder="1" applyAlignment="1">
      <alignment horizontal="center" vertical="top"/>
    </xf>
    <xf numFmtId="0" fontId="40" fillId="0" borderId="0" xfId="0" applyFont="1"/>
    <xf numFmtId="0" fontId="0" fillId="0" borderId="0" xfId="0" applyFont="1"/>
    <xf numFmtId="0" fontId="17" fillId="0" borderId="10" xfId="0" applyNumberFormat="1" applyFont="1" applyFill="1" applyBorder="1" applyAlignment="1">
      <alignment horizontal="left" wrapText="1"/>
    </xf>
    <xf numFmtId="0" fontId="40" fillId="0" borderId="0" xfId="0" applyNumberFormat="1" applyFont="1" applyAlignment="1">
      <alignment horizontal="left"/>
    </xf>
    <xf numFmtId="0" fontId="0" fillId="0" borderId="0" xfId="0" applyFill="1" applyAlignment="1">
      <alignment horizontal="center"/>
    </xf>
    <xf numFmtId="0" fontId="0" fillId="0" borderId="0" xfId="0" applyNumberFormat="1" applyAlignment="1">
      <alignment horizontal="left"/>
    </xf>
    <xf numFmtId="165" fontId="5" fillId="0" borderId="0" xfId="3" applyFont="1" applyFill="1" applyBorder="1" applyAlignment="1">
      <alignment vertical="center" wrapText="1"/>
    </xf>
    <xf numFmtId="0" fontId="5" fillId="0" borderId="0" xfId="0" applyFont="1" applyFill="1" applyBorder="1" applyAlignment="1">
      <alignment horizontal="center" vertical="center" wrapText="1"/>
    </xf>
    <xf numFmtId="0" fontId="3" fillId="0" borderId="0" xfId="0" applyFont="1" applyFill="1" applyBorder="1" applyAlignment="1">
      <alignment vertical="center"/>
    </xf>
    <xf numFmtId="0" fontId="5" fillId="0" borderId="0" xfId="0" applyFont="1" applyFill="1" applyBorder="1" applyAlignment="1">
      <alignment vertical="center" wrapText="1"/>
    </xf>
    <xf numFmtId="0" fontId="2" fillId="0" borderId="5" xfId="0" applyFont="1" applyFill="1" applyBorder="1" applyAlignment="1">
      <alignment horizontal="right" vertical="center" wrapText="1"/>
    </xf>
    <xf numFmtId="0" fontId="2" fillId="0" borderId="5" xfId="0" applyFont="1" applyFill="1" applyBorder="1" applyAlignment="1">
      <alignment horizontal="center" vertical="center" wrapText="1"/>
    </xf>
    <xf numFmtId="165" fontId="5" fillId="0" borderId="5" xfId="3" applyFont="1" applyFill="1" applyBorder="1" applyAlignment="1">
      <alignment vertical="center" wrapText="1"/>
    </xf>
    <xf numFmtId="0" fontId="34" fillId="0" borderId="0" xfId="0" applyFont="1" applyAlignment="1">
      <alignment vertical="center" wrapText="1"/>
    </xf>
    <xf numFmtId="0" fontId="34" fillId="0" borderId="0" xfId="0" applyFont="1" applyAlignment="1">
      <alignment horizontal="center" vertical="center" wrapText="1"/>
    </xf>
    <xf numFmtId="165" fontId="34" fillId="0" borderId="0" xfId="3" applyFont="1" applyFill="1" applyAlignment="1">
      <alignment horizontal="right" vertical="center" wrapText="1"/>
    </xf>
    <xf numFmtId="0" fontId="3" fillId="0" borderId="0" xfId="0" applyFont="1" applyAlignment="1">
      <alignment vertical="center"/>
    </xf>
    <xf numFmtId="165" fontId="30" fillId="2" borderId="10" xfId="4" applyNumberFormat="1" applyFont="1" applyFill="1" applyBorder="1" applyAlignment="1">
      <alignment horizontal="center" vertical="center"/>
    </xf>
    <xf numFmtId="2" fontId="30" fillId="2" borderId="10" xfId="4" applyNumberFormat="1" applyFont="1" applyFill="1" applyBorder="1" applyAlignment="1">
      <alignment horizontal="center" vertical="center"/>
    </xf>
    <xf numFmtId="0" fontId="6" fillId="0" borderId="30" xfId="0" applyFont="1" applyBorder="1" applyAlignment="1">
      <alignment vertical="center" wrapText="1"/>
    </xf>
    <xf numFmtId="0" fontId="9" fillId="0" borderId="4" xfId="0" applyFont="1" applyBorder="1" applyAlignment="1">
      <alignment vertical="center" wrapText="1"/>
    </xf>
    <xf numFmtId="0" fontId="30" fillId="0" borderId="4" xfId="0" applyFont="1" applyBorder="1" applyAlignment="1">
      <alignment vertical="center" wrapText="1"/>
    </xf>
    <xf numFmtId="0" fontId="6" fillId="0" borderId="21" xfId="0" applyFont="1" applyBorder="1" applyAlignment="1">
      <alignment vertical="center"/>
    </xf>
    <xf numFmtId="0" fontId="10" fillId="0" borderId="0" xfId="0" applyFont="1" applyBorder="1" applyAlignment="1">
      <alignment horizontal="center" vertical="center"/>
    </xf>
    <xf numFmtId="10" fontId="30" fillId="0" borderId="0" xfId="2" applyNumberFormat="1" applyFont="1" applyBorder="1" applyAlignment="1">
      <alignment horizontal="center" vertical="center"/>
    </xf>
    <xf numFmtId="0" fontId="7" fillId="0" borderId="21" xfId="0" applyFont="1" applyBorder="1" applyAlignment="1">
      <alignment vertical="center"/>
    </xf>
    <xf numFmtId="0" fontId="7" fillId="0" borderId="0" xfId="0" applyFont="1" applyBorder="1" applyAlignment="1">
      <alignment horizontal="center" vertical="center"/>
    </xf>
    <xf numFmtId="0" fontId="11" fillId="0" borderId="0" xfId="3" applyNumberFormat="1" applyFont="1" applyBorder="1" applyAlignment="1">
      <alignment horizontal="center" vertical="center"/>
    </xf>
    <xf numFmtId="0" fontId="32" fillId="16" borderId="64" xfId="0" applyFont="1" applyFill="1" applyBorder="1" applyAlignment="1">
      <alignment vertical="top" wrapText="1"/>
    </xf>
    <xf numFmtId="0" fontId="32" fillId="16" borderId="64" xfId="0" applyFont="1" applyFill="1" applyBorder="1" applyAlignment="1">
      <alignment horizontal="center" vertical="top"/>
    </xf>
    <xf numFmtId="170" fontId="32" fillId="16" borderId="64" xfId="0" applyNumberFormat="1" applyFont="1" applyFill="1" applyBorder="1" applyAlignment="1">
      <alignment horizontal="right" vertical="top"/>
    </xf>
    <xf numFmtId="170" fontId="31" fillId="6" borderId="0" xfId="0" applyNumberFormat="1" applyFont="1" applyFill="1"/>
    <xf numFmtId="0" fontId="31" fillId="6" borderId="0" xfId="0" applyFont="1" applyFill="1"/>
    <xf numFmtId="0" fontId="32" fillId="0" borderId="0" xfId="0" applyFont="1" applyFill="1" applyBorder="1" applyAlignment="1">
      <alignment vertical="center" wrapText="1"/>
    </xf>
    <xf numFmtId="170" fontId="32" fillId="16" borderId="64" xfId="0" applyNumberFormat="1" applyFont="1" applyFill="1" applyBorder="1" applyAlignment="1">
      <alignment horizontal="right" vertical="center"/>
    </xf>
    <xf numFmtId="170" fontId="31" fillId="0" borderId="0" xfId="0" applyNumberFormat="1" applyFont="1"/>
    <xf numFmtId="165" fontId="32" fillId="0" borderId="0" xfId="3" applyFont="1" applyFill="1" applyBorder="1" applyAlignment="1">
      <alignment horizontal="center" vertical="center"/>
    </xf>
    <xf numFmtId="0" fontId="32" fillId="2" borderId="0" xfId="0" applyFont="1" applyFill="1" applyBorder="1" applyAlignment="1">
      <alignment vertical="center" wrapText="1"/>
    </xf>
    <xf numFmtId="165" fontId="32" fillId="2" borderId="0" xfId="3" applyFont="1" applyFill="1" applyBorder="1" applyAlignment="1">
      <alignment horizontal="center" vertical="center"/>
    </xf>
    <xf numFmtId="0" fontId="33" fillId="17" borderId="64" xfId="0" applyFont="1" applyFill="1" applyBorder="1" applyAlignment="1">
      <alignment horizontal="center" vertical="top" wrapText="1"/>
    </xf>
    <xf numFmtId="0" fontId="33" fillId="17" borderId="64" xfId="0" applyFont="1" applyFill="1" applyBorder="1" applyAlignment="1">
      <alignment vertical="top"/>
    </xf>
    <xf numFmtId="170" fontId="33" fillId="17" borderId="64" xfId="0" applyNumberFormat="1" applyFont="1" applyFill="1" applyBorder="1" applyAlignment="1">
      <alignment horizontal="right" vertical="top"/>
    </xf>
    <xf numFmtId="0" fontId="32" fillId="16" borderId="64" xfId="0" applyFont="1" applyFill="1" applyBorder="1" applyAlignment="1">
      <alignment horizontal="center" vertical="center"/>
    </xf>
    <xf numFmtId="0" fontId="32" fillId="16" borderId="0" xfId="0" applyFont="1" applyFill="1" applyBorder="1" applyAlignment="1">
      <alignment vertical="top" wrapText="1"/>
    </xf>
    <xf numFmtId="0" fontId="32" fillId="16" borderId="0" xfId="0" applyFont="1" applyFill="1" applyBorder="1" applyAlignment="1">
      <alignment horizontal="center" vertical="center"/>
    </xf>
    <xf numFmtId="170" fontId="32" fillId="16" borderId="0" xfId="0" applyNumberFormat="1" applyFont="1" applyFill="1" applyBorder="1" applyAlignment="1">
      <alignment horizontal="right" vertical="top"/>
    </xf>
    <xf numFmtId="0" fontId="42" fillId="0" borderId="0" xfId="0" applyFont="1" applyBorder="1" applyAlignment="1">
      <alignment horizontal="center"/>
    </xf>
    <xf numFmtId="4" fontId="11" fillId="6" borderId="0" xfId="3" applyNumberFormat="1" applyFont="1" applyFill="1" applyBorder="1" applyAlignment="1">
      <alignment horizontal="right" vertical="center" wrapText="1"/>
    </xf>
    <xf numFmtId="4" fontId="43" fillId="6" borderId="0" xfId="3" applyNumberFormat="1" applyFont="1" applyFill="1" applyBorder="1" applyAlignment="1">
      <alignment horizontal="right" vertical="center" wrapText="1"/>
    </xf>
    <xf numFmtId="0" fontId="43" fillId="0" borderId="0" xfId="0" applyFont="1" applyFill="1" applyBorder="1" applyAlignment="1">
      <alignment vertical="center" wrapText="1"/>
    </xf>
    <xf numFmtId="165" fontId="11" fillId="6" borderId="0" xfId="3" applyFont="1" applyFill="1" applyBorder="1" applyAlignment="1">
      <alignment vertical="center" wrapText="1"/>
    </xf>
    <xf numFmtId="0" fontId="0" fillId="6" borderId="0" xfId="0" applyFill="1"/>
    <xf numFmtId="165" fontId="44" fillId="6" borderId="0" xfId="3" applyFont="1" applyFill="1" applyBorder="1" applyAlignment="1">
      <alignment vertical="center" wrapText="1"/>
    </xf>
    <xf numFmtId="0" fontId="11" fillId="6" borderId="0" xfId="3" applyNumberFormat="1" applyFont="1" applyFill="1" applyBorder="1" applyAlignment="1">
      <alignment horizontal="center" vertical="center" wrapText="1"/>
    </xf>
    <xf numFmtId="0" fontId="0" fillId="0" borderId="0" xfId="0" applyAlignment="1">
      <alignment wrapText="1"/>
    </xf>
    <xf numFmtId="4" fontId="0" fillId="0" borderId="0" xfId="0" applyNumberFormat="1" applyFont="1"/>
    <xf numFmtId="0" fontId="0" fillId="0" borderId="0" xfId="0" applyNumberFormat="1" applyAlignment="1">
      <alignment horizontal="right"/>
    </xf>
    <xf numFmtId="4" fontId="0" fillId="0" borderId="0" xfId="0" applyNumberFormat="1" applyAlignment="1">
      <alignment horizontal="right"/>
    </xf>
    <xf numFmtId="165" fontId="7" fillId="0" borderId="0" xfId="0" applyNumberFormat="1" applyFont="1" applyFill="1" applyAlignment="1">
      <alignment horizontal="center" vertical="center" wrapText="1"/>
    </xf>
    <xf numFmtId="165" fontId="3" fillId="0" borderId="0" xfId="0" applyNumberFormat="1" applyFont="1" applyBorder="1" applyAlignment="1">
      <alignment vertical="center" wrapText="1"/>
    </xf>
    <xf numFmtId="0" fontId="49" fillId="0" borderId="0" xfId="0" applyFont="1" applyBorder="1" applyAlignment="1">
      <alignment vertical="center" wrapText="1"/>
    </xf>
    <xf numFmtId="0" fontId="49" fillId="0" borderId="0" xfId="0" applyFont="1" applyBorder="1" applyAlignment="1">
      <alignment vertical="center"/>
    </xf>
    <xf numFmtId="0" fontId="49" fillId="0" borderId="0" xfId="0" applyFont="1" applyBorder="1" applyAlignment="1">
      <alignment horizontal="center" vertical="center" wrapText="1"/>
    </xf>
    <xf numFmtId="0" fontId="49" fillId="0" borderId="0" xfId="3" applyNumberFormat="1" applyFont="1" applyBorder="1" applyAlignment="1">
      <alignment horizontal="center" vertical="center"/>
    </xf>
    <xf numFmtId="0" fontId="49" fillId="0" borderId="0" xfId="0" applyFont="1" applyBorder="1" applyAlignment="1">
      <alignment horizontal="center" vertical="center"/>
    </xf>
    <xf numFmtId="0" fontId="46" fillId="2" borderId="0" xfId="0" applyFont="1" applyFill="1" applyBorder="1" applyAlignment="1">
      <alignment horizontal="left" vertical="center"/>
    </xf>
    <xf numFmtId="0" fontId="53" fillId="2" borderId="0" xfId="0" applyFont="1" applyFill="1" applyBorder="1" applyAlignment="1">
      <alignment horizontal="center" vertical="center"/>
    </xf>
    <xf numFmtId="0" fontId="50" fillId="2" borderId="0" xfId="17" applyFont="1" applyFill="1" applyBorder="1" applyAlignment="1">
      <alignment vertical="center"/>
    </xf>
    <xf numFmtId="0" fontId="52" fillId="2" borderId="0" xfId="17" applyFont="1" applyFill="1" applyBorder="1" applyAlignment="1">
      <alignment vertical="center" wrapText="1"/>
    </xf>
    <xf numFmtId="0" fontId="50" fillId="18" borderId="0" xfId="17" applyFont="1" applyFill="1" applyBorder="1" applyAlignment="1">
      <alignment vertical="center"/>
    </xf>
    <xf numFmtId="0" fontId="50" fillId="20" borderId="10" xfId="0" applyFont="1" applyFill="1" applyBorder="1" applyAlignment="1">
      <alignment horizontal="center" vertical="center" wrapText="1"/>
    </xf>
    <xf numFmtId="0" fontId="46" fillId="2" borderId="10" xfId="0" applyFont="1" applyFill="1" applyBorder="1" applyAlignment="1">
      <alignment horizontal="center" vertical="center" wrapText="1"/>
    </xf>
    <xf numFmtId="0" fontId="52" fillId="2" borderId="10" xfId="0" applyFont="1" applyFill="1" applyBorder="1" applyAlignment="1">
      <alignment horizontal="center" vertical="center" wrapText="1"/>
    </xf>
    <xf numFmtId="0" fontId="50" fillId="2" borderId="10" xfId="0" applyFont="1" applyFill="1" applyBorder="1" applyAlignment="1">
      <alignment horizontal="left" vertical="center" wrapText="1"/>
    </xf>
    <xf numFmtId="0" fontId="50" fillId="2" borderId="10" xfId="17" applyNumberFormat="1"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10" xfId="17" applyNumberFormat="1" applyFont="1" applyFill="1" applyBorder="1" applyAlignment="1">
      <alignment horizontal="right" vertical="center" wrapText="1"/>
    </xf>
    <xf numFmtId="0" fontId="50" fillId="2" borderId="10"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1" xfId="0" applyFont="1" applyFill="1" applyBorder="1" applyAlignment="1">
      <alignment horizontal="center" vertical="center"/>
    </xf>
    <xf numFmtId="172" fontId="46" fillId="2" borderId="10" xfId="0" applyNumberFormat="1" applyFont="1" applyFill="1" applyBorder="1" applyAlignment="1">
      <alignment horizontal="center" vertical="center" wrapText="1"/>
    </xf>
    <xf numFmtId="173" fontId="46" fillId="2" borderId="42" xfId="0" applyNumberFormat="1" applyFont="1" applyFill="1" applyBorder="1" applyAlignment="1">
      <alignment horizontal="center" vertical="center" wrapText="1"/>
    </xf>
    <xf numFmtId="0" fontId="52" fillId="2" borderId="22" xfId="0" applyFont="1" applyFill="1" applyBorder="1" applyAlignment="1">
      <alignment horizontal="center" vertical="center"/>
    </xf>
    <xf numFmtId="0" fontId="47" fillId="2" borderId="10" xfId="0" applyFont="1" applyFill="1" applyBorder="1" applyAlignment="1">
      <alignment horizontal="center" vertical="center"/>
    </xf>
    <xf numFmtId="0" fontId="56" fillId="2" borderId="10" xfId="0" applyFont="1" applyFill="1" applyBorder="1" applyAlignment="1">
      <alignment vertical="center" wrapText="1"/>
    </xf>
    <xf numFmtId="0" fontId="47" fillId="2" borderId="10" xfId="0" applyFont="1" applyFill="1" applyBorder="1" applyAlignment="1">
      <alignment vertical="center"/>
    </xf>
    <xf numFmtId="0" fontId="52" fillId="2" borderId="42" xfId="0" applyFont="1" applyFill="1" applyBorder="1" applyAlignment="1">
      <alignment horizontal="center" vertical="center"/>
    </xf>
    <xf numFmtId="174" fontId="50" fillId="2" borderId="42" xfId="1" applyNumberFormat="1" applyFont="1" applyFill="1" applyBorder="1" applyAlignment="1">
      <alignment horizontal="center" vertical="center" wrapText="1"/>
    </xf>
    <xf numFmtId="0" fontId="47" fillId="2" borderId="18" xfId="0" applyFont="1" applyFill="1" applyBorder="1" applyAlignment="1">
      <alignment vertical="center"/>
    </xf>
    <xf numFmtId="0" fontId="47" fillId="2" borderId="19" xfId="0" applyFont="1" applyFill="1" applyBorder="1" applyAlignment="1">
      <alignment vertical="center"/>
    </xf>
    <xf numFmtId="173" fontId="52" fillId="2" borderId="43" xfId="4" applyNumberFormat="1" applyFont="1" applyFill="1" applyBorder="1" applyAlignment="1">
      <alignment horizontal="center" vertical="center" wrapText="1"/>
    </xf>
    <xf numFmtId="0" fontId="53" fillId="2" borderId="69" xfId="0" applyFont="1" applyFill="1" applyBorder="1" applyAlignment="1">
      <alignment vertical="center"/>
    </xf>
    <xf numFmtId="0" fontId="53" fillId="2" borderId="0" xfId="0" applyFont="1" applyFill="1" applyBorder="1" applyAlignment="1">
      <alignment vertical="center"/>
    </xf>
    <xf numFmtId="0" fontId="53" fillId="2" borderId="70" xfId="0" applyFont="1" applyFill="1" applyBorder="1" applyAlignment="1">
      <alignment horizontal="center" vertical="center"/>
    </xf>
    <xf numFmtId="0" fontId="50" fillId="2" borderId="0" xfId="0" applyFont="1" applyFill="1" applyBorder="1" applyAlignment="1">
      <alignment vertical="center" wrapText="1"/>
    </xf>
    <xf numFmtId="173" fontId="50" fillId="2" borderId="10" xfId="17" applyNumberFormat="1" applyFont="1" applyFill="1" applyBorder="1" applyAlignment="1">
      <alignment horizontal="right" vertical="center" wrapText="1"/>
    </xf>
    <xf numFmtId="0" fontId="3" fillId="0" borderId="0"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0" xfId="0" applyFont="1" applyBorder="1" applyAlignment="1">
      <alignment horizontal="center" vertical="center" wrapText="1"/>
    </xf>
    <xf numFmtId="0" fontId="47" fillId="0" borderId="0" xfId="0" applyFont="1" applyBorder="1" applyAlignment="1"/>
    <xf numFmtId="43" fontId="3" fillId="0" borderId="0" xfId="0" applyNumberFormat="1" applyFont="1" applyBorder="1" applyAlignment="1">
      <alignment vertical="center" wrapText="1"/>
    </xf>
    <xf numFmtId="165" fontId="47" fillId="0" borderId="10" xfId="0" applyNumberFormat="1" applyFont="1" applyBorder="1" applyAlignment="1">
      <alignment horizontal="right" vertical="center" wrapText="1"/>
    </xf>
    <xf numFmtId="10" fontId="47" fillId="0" borderId="10" xfId="2" applyNumberFormat="1" applyFont="1" applyBorder="1" applyAlignment="1">
      <alignment horizontal="center" vertical="center" wrapText="1"/>
    </xf>
    <xf numFmtId="43" fontId="56" fillId="0" borderId="10" xfId="0" applyNumberFormat="1" applyFont="1" applyBorder="1" applyAlignment="1">
      <alignment vertical="center" wrapText="1"/>
    </xf>
    <xf numFmtId="10" fontId="47" fillId="2" borderId="10" xfId="2" applyNumberFormat="1" applyFont="1" applyFill="1" applyBorder="1" applyAlignment="1">
      <alignment vertical="center" wrapText="1"/>
    </xf>
    <xf numFmtId="0" fontId="47" fillId="2" borderId="10" xfId="0" applyFont="1" applyFill="1" applyBorder="1" applyAlignment="1">
      <alignment vertical="center" wrapText="1"/>
    </xf>
    <xf numFmtId="165" fontId="47" fillId="2" borderId="10" xfId="0" applyNumberFormat="1" applyFont="1" applyFill="1" applyBorder="1" applyAlignment="1">
      <alignment vertical="center" wrapText="1"/>
    </xf>
    <xf numFmtId="165" fontId="47" fillId="0" borderId="10" xfId="0" applyNumberFormat="1" applyFont="1" applyFill="1" applyBorder="1" applyAlignment="1">
      <alignment vertical="center" wrapText="1"/>
    </xf>
    <xf numFmtId="0" fontId="49" fillId="0" borderId="48" xfId="0" applyFont="1" applyBorder="1" applyAlignment="1">
      <alignment vertical="center" wrapText="1"/>
    </xf>
    <xf numFmtId="0" fontId="47" fillId="0" borderId="22" xfId="0" applyFont="1" applyBorder="1" applyAlignment="1">
      <alignment horizontal="center" vertical="center" wrapText="1"/>
    </xf>
    <xf numFmtId="0" fontId="50" fillId="0" borderId="0" xfId="17" applyFont="1" applyAlignment="1">
      <alignment vertical="center"/>
    </xf>
    <xf numFmtId="0" fontId="46" fillId="0" borderId="0" xfId="0" applyFont="1" applyBorder="1" applyAlignment="1"/>
    <xf numFmtId="0" fontId="57" fillId="2" borderId="10" xfId="0" applyFont="1" applyFill="1" applyBorder="1" applyAlignment="1">
      <alignment horizontal="center" vertical="center"/>
    </xf>
    <xf numFmtId="0" fontId="57" fillId="20" borderId="10" xfId="0" applyFont="1" applyFill="1" applyBorder="1" applyAlignment="1">
      <alignment horizontal="center" vertical="center"/>
    </xf>
    <xf numFmtId="0" fontId="58" fillId="20" borderId="10" xfId="0" applyFont="1" applyFill="1" applyBorder="1" applyAlignment="1">
      <alignment horizontal="right" vertical="center"/>
    </xf>
    <xf numFmtId="0" fontId="58" fillId="2" borderId="10" xfId="0" applyFont="1" applyFill="1" applyBorder="1" applyAlignment="1">
      <alignment horizontal="center" vertical="center" wrapText="1"/>
    </xf>
    <xf numFmtId="0" fontId="57" fillId="2" borderId="10" xfId="0" applyFont="1" applyFill="1" applyBorder="1" applyAlignment="1">
      <alignment horizontal="center" vertical="center" wrapText="1"/>
    </xf>
    <xf numFmtId="2" fontId="57" fillId="2" borderId="10" xfId="3" applyNumberFormat="1" applyFont="1" applyFill="1" applyBorder="1" applyAlignment="1">
      <alignment horizontal="center" vertical="center" wrapText="1"/>
    </xf>
    <xf numFmtId="0" fontId="58" fillId="2" borderId="22" xfId="0" applyFont="1" applyFill="1" applyBorder="1" applyAlignment="1">
      <alignment horizontal="center" vertical="center" wrapText="1"/>
    </xf>
    <xf numFmtId="0" fontId="57" fillId="2" borderId="22" xfId="0" applyFont="1" applyFill="1" applyBorder="1" applyAlignment="1">
      <alignment horizontal="center" vertical="center" wrapText="1"/>
    </xf>
    <xf numFmtId="0" fontId="59" fillId="2" borderId="22" xfId="0" applyFont="1" applyFill="1" applyBorder="1" applyAlignment="1">
      <alignment horizontal="center" vertical="center" wrapText="1"/>
    </xf>
    <xf numFmtId="4" fontId="58" fillId="2" borderId="42" xfId="0" applyNumberFormat="1" applyFont="1" applyFill="1" applyBorder="1" applyAlignment="1">
      <alignment horizontal="center" vertical="center"/>
    </xf>
    <xf numFmtId="0" fontId="50" fillId="2" borderId="10" xfId="0" applyFont="1" applyFill="1" applyBorder="1" applyAlignment="1">
      <alignment vertical="center" wrapText="1"/>
    </xf>
    <xf numFmtId="0" fontId="61" fillId="0" borderId="0" xfId="0" applyFont="1" applyAlignment="1">
      <alignment horizontal="left"/>
    </xf>
    <xf numFmtId="0" fontId="61" fillId="0" borderId="0" xfId="0" applyNumberFormat="1" applyFont="1" applyAlignment="1">
      <alignment horizontal="left"/>
    </xf>
    <xf numFmtId="0" fontId="61" fillId="0" borderId="0" xfId="0" applyNumberFormat="1" applyFont="1" applyAlignment="1">
      <alignment horizontal="right"/>
    </xf>
    <xf numFmtId="4" fontId="61" fillId="0" borderId="0" xfId="0" applyNumberFormat="1" applyFont="1" applyAlignment="1">
      <alignment horizontal="right"/>
    </xf>
    <xf numFmtId="0" fontId="58" fillId="20" borderId="10" xfId="0" applyFont="1" applyFill="1" applyBorder="1" applyAlignment="1">
      <alignment horizontal="center" vertical="center"/>
    </xf>
    <xf numFmtId="0" fontId="58" fillId="20" borderId="10" xfId="0" applyFont="1" applyFill="1" applyBorder="1" applyAlignment="1">
      <alignment horizontal="center" vertical="center" wrapText="1"/>
    </xf>
    <xf numFmtId="0" fontId="57" fillId="20" borderId="10" xfId="0" applyFont="1" applyFill="1" applyBorder="1" applyAlignment="1">
      <alignment horizontal="center" vertical="center" wrapText="1"/>
    </xf>
    <xf numFmtId="0" fontId="50" fillId="20" borderId="10" xfId="0" applyFont="1" applyFill="1" applyBorder="1" applyAlignment="1">
      <alignment horizontal="center" vertical="center"/>
    </xf>
    <xf numFmtId="4" fontId="54" fillId="19" borderId="10" xfId="20" applyNumberFormat="1" applyFont="1" applyFill="1" applyBorder="1" applyAlignment="1">
      <alignment horizontal="center" vertical="center" wrapText="1"/>
    </xf>
    <xf numFmtId="2" fontId="7" fillId="0" borderId="0" xfId="0" applyNumberFormat="1" applyFont="1" applyAlignment="1">
      <alignment vertical="center" wrapText="1"/>
    </xf>
    <xf numFmtId="0" fontId="50" fillId="0" borderId="10" xfId="0" applyFont="1" applyBorder="1" applyAlignment="1">
      <alignment vertical="center" wrapText="1"/>
    </xf>
    <xf numFmtId="165" fontId="50" fillId="0" borderId="10" xfId="0" applyNumberFormat="1" applyFont="1" applyBorder="1" applyAlignment="1">
      <alignment horizontal="right" vertical="center" wrapText="1"/>
    </xf>
    <xf numFmtId="10" fontId="50" fillId="0" borderId="10" xfId="2" applyNumberFormat="1" applyFont="1" applyBorder="1" applyAlignment="1">
      <alignment horizontal="center" vertical="center" wrapText="1"/>
    </xf>
    <xf numFmtId="43" fontId="63" fillId="0" borderId="10" xfId="0" applyNumberFormat="1" applyFont="1" applyBorder="1" applyAlignment="1">
      <alignment vertical="center" wrapText="1"/>
    </xf>
    <xf numFmtId="0" fontId="47" fillId="2" borderId="52" xfId="0" applyFont="1" applyFill="1" applyBorder="1" applyAlignment="1">
      <alignment vertical="center"/>
    </xf>
    <xf numFmtId="0" fontId="47" fillId="2" borderId="28" xfId="0" applyFont="1" applyFill="1" applyBorder="1" applyAlignment="1">
      <alignment vertical="center"/>
    </xf>
    <xf numFmtId="173" fontId="52" fillId="2" borderId="17" xfId="4" applyNumberFormat="1" applyFont="1" applyFill="1" applyBorder="1" applyAlignment="1">
      <alignment horizontal="center" vertical="center" wrapText="1"/>
    </xf>
    <xf numFmtId="0" fontId="52" fillId="2" borderId="39" xfId="0" applyFont="1" applyFill="1" applyBorder="1" applyAlignment="1">
      <alignment horizontal="center" vertical="center"/>
    </xf>
    <xf numFmtId="0" fontId="52" fillId="2" borderId="63" xfId="0" applyFont="1" applyFill="1" applyBorder="1" applyAlignment="1">
      <alignment horizontal="center" vertical="center"/>
    </xf>
    <xf numFmtId="0" fontId="52" fillId="2" borderId="40" xfId="21" applyFont="1" applyFill="1" applyBorder="1" applyAlignment="1">
      <alignment horizontal="left" vertical="center" wrapText="1"/>
    </xf>
    <xf numFmtId="0" fontId="52" fillId="2" borderId="40" xfId="0" applyFont="1" applyFill="1" applyBorder="1" applyAlignment="1">
      <alignment horizontal="center" vertical="center"/>
    </xf>
    <xf numFmtId="0" fontId="52" fillId="2" borderId="47" xfId="0" applyFont="1" applyFill="1" applyBorder="1" applyAlignment="1">
      <alignment horizontal="center" vertical="center"/>
    </xf>
    <xf numFmtId="171" fontId="52" fillId="2" borderId="41" xfId="0" applyNumberFormat="1" applyFont="1" applyFill="1" applyBorder="1" applyAlignment="1">
      <alignment horizontal="center" vertical="center"/>
    </xf>
    <xf numFmtId="173" fontId="50" fillId="2" borderId="42" xfId="0" applyNumberFormat="1" applyFont="1" applyFill="1" applyBorder="1" applyAlignment="1">
      <alignment horizontal="center" vertical="center" wrapText="1"/>
    </xf>
    <xf numFmtId="0" fontId="62" fillId="19" borderId="10" xfId="20" applyNumberFormat="1" applyFont="1" applyFill="1" applyBorder="1" applyAlignment="1">
      <alignment horizontal="center" vertical="center" wrapText="1"/>
    </xf>
    <xf numFmtId="0" fontId="46" fillId="0" borderId="74" xfId="0" applyFont="1" applyBorder="1" applyAlignment="1">
      <alignment horizontal="left" vertical="center"/>
    </xf>
    <xf numFmtId="0" fontId="47" fillId="0" borderId="74" xfId="0" applyFont="1" applyBorder="1" applyAlignment="1">
      <alignment vertical="center"/>
    </xf>
    <xf numFmtId="10" fontId="47" fillId="0" borderId="74" xfId="2" applyNumberFormat="1" applyFont="1" applyBorder="1" applyAlignment="1">
      <alignment horizontal="left" vertical="center" wrapText="1"/>
    </xf>
    <xf numFmtId="0" fontId="46" fillId="0" borderId="74" xfId="0" applyFont="1" applyBorder="1" applyAlignment="1">
      <alignment vertical="center"/>
    </xf>
    <xf numFmtId="165" fontId="47" fillId="0" borderId="74" xfId="1" applyNumberFormat="1" applyFont="1" applyBorder="1" applyAlignment="1">
      <alignment vertical="center" wrapText="1"/>
    </xf>
    <xf numFmtId="17" fontId="47" fillId="0" borderId="74" xfId="0" applyNumberFormat="1" applyFont="1" applyBorder="1" applyAlignment="1">
      <alignment horizontal="left" vertical="center" wrapText="1"/>
    </xf>
    <xf numFmtId="0" fontId="64" fillId="2" borderId="10" xfId="0" applyFont="1" applyFill="1" applyBorder="1" applyAlignment="1">
      <alignment horizontal="center" vertical="center" wrapText="1"/>
    </xf>
    <xf numFmtId="0" fontId="9" fillId="0" borderId="10" xfId="0" applyFont="1" applyBorder="1" applyAlignment="1">
      <alignment horizontal="center" vertical="center" wrapText="1"/>
    </xf>
    <xf numFmtId="0" fontId="0" fillId="0" borderId="10" xfId="0" applyFont="1" applyBorder="1"/>
    <xf numFmtId="2" fontId="50" fillId="2" borderId="10" xfId="3"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0" fontId="0" fillId="0" borderId="10" xfId="0" applyFont="1" applyBorder="1" applyAlignment="1">
      <alignment horizontal="center" vertical="center"/>
    </xf>
    <xf numFmtId="0" fontId="52" fillId="20" borderId="10" xfId="0" applyFont="1" applyFill="1" applyBorder="1" applyAlignment="1">
      <alignment horizontal="right" vertical="center"/>
    </xf>
    <xf numFmtId="0" fontId="52" fillId="20" borderId="10" xfId="0" applyFont="1" applyFill="1" applyBorder="1" applyAlignment="1">
      <alignment horizontal="center" vertical="center"/>
    </xf>
    <xf numFmtId="0" fontId="52" fillId="20" borderId="10" xfId="0" applyFont="1" applyFill="1" applyBorder="1" applyAlignment="1">
      <alignment horizontal="center" vertical="center" wrapText="1"/>
    </xf>
    <xf numFmtId="0" fontId="9" fillId="0" borderId="10" xfId="0" quotePrefix="1" applyFont="1" applyBorder="1" applyAlignment="1">
      <alignment horizontal="center" vertical="center" wrapText="1"/>
    </xf>
    <xf numFmtId="170" fontId="50" fillId="20" borderId="10" xfId="0" applyNumberFormat="1" applyFont="1" applyFill="1" applyBorder="1" applyAlignment="1">
      <alignment horizontal="center" vertical="center" wrapText="1"/>
    </xf>
    <xf numFmtId="0" fontId="50" fillId="20" borderId="10" xfId="0" applyFont="1" applyFill="1" applyBorder="1" applyAlignment="1">
      <alignment horizontal="left" vertical="center" wrapText="1"/>
    </xf>
    <xf numFmtId="0" fontId="9" fillId="0" borderId="10" xfId="0" applyFont="1" applyBorder="1" applyAlignment="1">
      <alignment vertical="center" wrapText="1"/>
    </xf>
    <xf numFmtId="4" fontId="57" fillId="20" borderId="10" xfId="0" applyNumberFormat="1" applyFont="1" applyFill="1" applyBorder="1" applyAlignment="1">
      <alignment horizontal="center" vertical="center" wrapText="1"/>
    </xf>
    <xf numFmtId="0" fontId="5" fillId="0" borderId="0" xfId="0" applyFont="1" applyBorder="1" applyAlignment="1">
      <alignment vertical="center"/>
    </xf>
    <xf numFmtId="0" fontId="65" fillId="0" borderId="0" xfId="0" applyFont="1" applyBorder="1" applyAlignment="1">
      <alignment vertical="center"/>
    </xf>
    <xf numFmtId="0" fontId="17" fillId="0" borderId="5" xfId="0" applyFont="1" applyBorder="1" applyAlignment="1">
      <alignment vertical="center"/>
    </xf>
    <xf numFmtId="0" fontId="28" fillId="0" borderId="0" xfId="0" applyFont="1" applyAlignment="1">
      <alignment vertical="center"/>
    </xf>
    <xf numFmtId="0" fontId="36" fillId="0" borderId="0" xfId="0" applyFont="1" applyBorder="1" applyAlignment="1">
      <alignment vertical="center"/>
    </xf>
    <xf numFmtId="0" fontId="17" fillId="0" borderId="0" xfId="0" applyFont="1" applyAlignment="1">
      <alignment vertical="center"/>
    </xf>
    <xf numFmtId="0" fontId="3" fillId="0" borderId="5" xfId="0" applyFont="1" applyBorder="1" applyAlignment="1">
      <alignment vertical="center" wrapText="1"/>
    </xf>
    <xf numFmtId="0" fontId="2" fillId="0" borderId="0" xfId="0" applyFont="1" applyBorder="1" applyAlignment="1">
      <alignment vertical="center" wrapText="1"/>
    </xf>
    <xf numFmtId="0" fontId="47" fillId="0" borderId="68" xfId="0" applyFont="1" applyBorder="1" applyAlignment="1">
      <alignment vertical="center" wrapText="1"/>
    </xf>
    <xf numFmtId="0" fontId="47" fillId="0" borderId="70" xfId="0" applyFont="1" applyBorder="1" applyAlignment="1">
      <alignment vertical="center" wrapText="1"/>
    </xf>
    <xf numFmtId="0" fontId="46" fillId="0" borderId="76" xfId="0" applyFont="1" applyBorder="1" applyAlignment="1">
      <alignment horizontal="center" vertical="center" wrapText="1"/>
    </xf>
    <xf numFmtId="0" fontId="46" fillId="0" borderId="70" xfId="0" applyFont="1" applyBorder="1" applyAlignment="1">
      <alignment horizontal="center" vertical="center" wrapText="1"/>
    </xf>
    <xf numFmtId="10" fontId="47" fillId="2" borderId="42" xfId="2" applyNumberFormat="1" applyFont="1" applyFill="1" applyBorder="1" applyAlignment="1">
      <alignment vertical="center" wrapText="1"/>
    </xf>
    <xf numFmtId="0" fontId="47" fillId="2" borderId="42" xfId="0" applyFont="1" applyFill="1" applyBorder="1" applyAlignment="1">
      <alignment vertical="center" wrapText="1"/>
    </xf>
    <xf numFmtId="10" fontId="47" fillId="0" borderId="42" xfId="2" applyNumberFormat="1" applyFont="1" applyFill="1" applyBorder="1" applyAlignment="1">
      <alignment vertical="center" wrapText="1"/>
    </xf>
    <xf numFmtId="0" fontId="3" fillId="0" borderId="48" xfId="0" applyFont="1" applyBorder="1" applyAlignment="1">
      <alignment horizontal="center" vertical="center" wrapText="1"/>
    </xf>
    <xf numFmtId="0" fontId="3" fillId="0" borderId="48" xfId="0" applyFont="1" applyBorder="1" applyAlignment="1">
      <alignment vertical="center" wrapText="1"/>
    </xf>
    <xf numFmtId="165" fontId="3" fillId="0" borderId="48" xfId="3" applyFont="1" applyBorder="1" applyAlignment="1">
      <alignment horizontal="right" vertical="center" wrapText="1"/>
    </xf>
    <xf numFmtId="0" fontId="21" fillId="0" borderId="5" xfId="17" applyBorder="1"/>
    <xf numFmtId="0" fontId="50" fillId="2" borderId="22" xfId="17" applyFont="1" applyFill="1" applyBorder="1" applyAlignment="1">
      <alignment horizontal="right" vertical="center" wrapText="1"/>
    </xf>
    <xf numFmtId="4" fontId="50" fillId="2" borderId="42" xfId="17" applyNumberFormat="1" applyFont="1" applyFill="1" applyBorder="1" applyAlignment="1">
      <alignment horizontal="right" vertical="center" wrapText="1"/>
    </xf>
    <xf numFmtId="0" fontId="50" fillId="2" borderId="69" xfId="17" applyFont="1" applyFill="1" applyBorder="1" applyAlignment="1">
      <alignment vertical="center"/>
    </xf>
    <xf numFmtId="0" fontId="50" fillId="2" borderId="70" xfId="17" applyFont="1" applyFill="1" applyBorder="1" applyAlignment="1">
      <alignment vertical="center"/>
    </xf>
    <xf numFmtId="0" fontId="47" fillId="2" borderId="22" xfId="0" applyFont="1" applyFill="1" applyBorder="1" applyAlignment="1">
      <alignment horizontal="center" vertical="center"/>
    </xf>
    <xf numFmtId="0" fontId="50" fillId="2" borderId="22" xfId="0" applyFont="1" applyFill="1" applyBorder="1" applyAlignment="1">
      <alignment horizontal="center" vertical="center"/>
    </xf>
    <xf numFmtId="0" fontId="47" fillId="2" borderId="22" xfId="0" applyNumberFormat="1" applyFont="1" applyFill="1" applyBorder="1" applyAlignment="1">
      <alignment horizontal="center" vertical="center"/>
    </xf>
    <xf numFmtId="0" fontId="50" fillId="20" borderId="22" xfId="0" applyFont="1" applyFill="1" applyBorder="1" applyAlignment="1">
      <alignment horizontal="center" vertical="center" wrapText="1"/>
    </xf>
    <xf numFmtId="0" fontId="21" fillId="2" borderId="69" xfId="17" applyFill="1" applyBorder="1"/>
    <xf numFmtId="0" fontId="21" fillId="2" borderId="0" xfId="17" applyFill="1" applyBorder="1"/>
    <xf numFmtId="0" fontId="21" fillId="2" borderId="70" xfId="17" applyFill="1" applyBorder="1"/>
    <xf numFmtId="0" fontId="54" fillId="19" borderId="22" xfId="20" applyNumberFormat="1" applyFont="1" applyFill="1" applyBorder="1" applyAlignment="1">
      <alignment horizontal="center" vertical="center" wrapText="1"/>
    </xf>
    <xf numFmtId="0" fontId="62" fillId="19" borderId="22" xfId="20" applyNumberFormat="1" applyFont="1" applyFill="1" applyBorder="1" applyAlignment="1">
      <alignment horizontal="center" vertical="center" wrapText="1"/>
    </xf>
    <xf numFmtId="0" fontId="0" fillId="2" borderId="22" xfId="0" applyFont="1" applyFill="1" applyBorder="1" applyAlignment="1">
      <alignment horizontal="center"/>
    </xf>
    <xf numFmtId="0" fontId="54" fillId="19" borderId="22" xfId="20" applyFont="1" applyFill="1" applyBorder="1" applyAlignment="1">
      <alignment horizontal="center" vertical="center" wrapText="1"/>
    </xf>
    <xf numFmtId="172" fontId="46" fillId="2" borderId="40" xfId="0" applyNumberFormat="1" applyFont="1" applyFill="1" applyBorder="1" applyAlignment="1">
      <alignment horizontal="center" vertical="center" wrapText="1"/>
    </xf>
    <xf numFmtId="0" fontId="52" fillId="2" borderId="40" xfId="0" applyFont="1" applyFill="1" applyBorder="1" applyAlignment="1">
      <alignment horizontal="center" vertical="center" wrapText="1"/>
    </xf>
    <xf numFmtId="173" fontId="46" fillId="2" borderId="41" xfId="0" applyNumberFormat="1" applyFont="1" applyFill="1" applyBorder="1" applyAlignment="1">
      <alignment horizontal="center" vertical="center" wrapText="1"/>
    </xf>
    <xf numFmtId="49" fontId="66" fillId="2" borderId="39" xfId="0" applyNumberFormat="1" applyFont="1" applyFill="1" applyBorder="1" applyAlignment="1">
      <alignment horizontal="center" vertical="center" wrapText="1"/>
    </xf>
    <xf numFmtId="0" fontId="66" fillId="2" borderId="40" xfId="0" applyFont="1" applyFill="1" applyBorder="1" applyAlignment="1">
      <alignment horizontal="left" vertical="center" wrapText="1"/>
    </xf>
    <xf numFmtId="0" fontId="14" fillId="0" borderId="0" xfId="0" applyFont="1"/>
    <xf numFmtId="0" fontId="0" fillId="0" borderId="5" xfId="0" applyBorder="1"/>
    <xf numFmtId="0" fontId="64" fillId="2" borderId="39" xfId="0" applyFont="1" applyFill="1" applyBorder="1" applyAlignment="1">
      <alignment horizontal="center" vertical="center" wrapText="1"/>
    </xf>
    <xf numFmtId="0" fontId="64" fillId="2" borderId="40" xfId="0" applyFont="1" applyFill="1" applyBorder="1" applyAlignment="1">
      <alignment horizontal="center" vertical="center" wrapText="1"/>
    </xf>
    <xf numFmtId="2" fontId="50" fillId="2" borderId="40" xfId="3" applyNumberFormat="1" applyFont="1" applyFill="1" applyBorder="1" applyAlignment="1">
      <alignment horizontal="right" vertical="center" wrapText="1"/>
    </xf>
    <xf numFmtId="0" fontId="9" fillId="0" borderId="40" xfId="0" applyFont="1" applyBorder="1" applyAlignment="1">
      <alignment horizontal="center" vertical="center" wrapText="1"/>
    </xf>
    <xf numFmtId="0" fontId="0" fillId="0" borderId="40" xfId="0" applyFont="1" applyBorder="1" applyAlignment="1">
      <alignment vertical="center"/>
    </xf>
    <xf numFmtId="0" fontId="0" fillId="0" borderId="40" xfId="0" applyFont="1" applyBorder="1"/>
    <xf numFmtId="0" fontId="0" fillId="0" borderId="41" xfId="0" applyFont="1" applyBorder="1"/>
    <xf numFmtId="0" fontId="50" fillId="2" borderId="22" xfId="0" applyFont="1" applyFill="1" applyBorder="1" applyAlignment="1">
      <alignment horizontal="center" vertical="center" wrapText="1"/>
    </xf>
    <xf numFmtId="0" fontId="0" fillId="0" borderId="42" xfId="0" applyFont="1" applyBorder="1"/>
    <xf numFmtId="0" fontId="52" fillId="20" borderId="22" xfId="0" applyFont="1" applyFill="1" applyBorder="1" applyAlignment="1">
      <alignment horizontal="right" vertical="center"/>
    </xf>
    <xf numFmtId="0" fontId="64" fillId="2" borderId="22" xfId="0" applyFont="1" applyFill="1" applyBorder="1" applyAlignment="1">
      <alignment horizontal="center" vertical="center" wrapText="1"/>
    </xf>
    <xf numFmtId="0" fontId="64" fillId="2" borderId="22" xfId="0" applyFont="1" applyFill="1" applyBorder="1" applyAlignment="1">
      <alignment vertical="center" wrapText="1"/>
    </xf>
    <xf numFmtId="0" fontId="9" fillId="0" borderId="42" xfId="0" applyFont="1" applyBorder="1" applyAlignment="1">
      <alignment horizontal="center" vertical="center" wrapText="1"/>
    </xf>
    <xf numFmtId="0" fontId="50" fillId="20" borderId="22" xfId="0" applyFont="1" applyFill="1" applyBorder="1" applyAlignment="1">
      <alignment horizontal="center" vertical="center"/>
    </xf>
    <xf numFmtId="0" fontId="9" fillId="0" borderId="42" xfId="0" quotePrefix="1" applyFont="1" applyBorder="1" applyAlignment="1">
      <alignment horizontal="center" vertical="center" wrapText="1"/>
    </xf>
    <xf numFmtId="0" fontId="52" fillId="20" borderId="22" xfId="0" applyFont="1" applyFill="1" applyBorder="1" applyAlignment="1">
      <alignment horizontal="center" vertical="center" wrapText="1"/>
    </xf>
    <xf numFmtId="0" fontId="9" fillId="0" borderId="42" xfId="0" applyFont="1" applyBorder="1" applyAlignment="1">
      <alignment vertical="center" wrapText="1"/>
    </xf>
    <xf numFmtId="0" fontId="47" fillId="2" borderId="22" xfId="0" applyFont="1" applyFill="1" applyBorder="1" applyAlignment="1">
      <alignment vertical="center"/>
    </xf>
    <xf numFmtId="0" fontId="47" fillId="2" borderId="19" xfId="0" applyFont="1" applyFill="1" applyBorder="1" applyAlignment="1">
      <alignment horizontal="center" vertical="center"/>
    </xf>
    <xf numFmtId="0" fontId="9" fillId="0" borderId="19" xfId="0" applyFont="1" applyBorder="1" applyAlignment="1">
      <alignment vertical="center" wrapText="1"/>
    </xf>
    <xf numFmtId="0" fontId="9" fillId="0" borderId="43" xfId="0" applyFont="1" applyBorder="1" applyAlignment="1">
      <alignment vertical="center" wrapText="1"/>
    </xf>
    <xf numFmtId="0" fontId="49" fillId="2" borderId="0" xfId="0" applyFont="1" applyFill="1" applyBorder="1" applyAlignment="1">
      <alignment horizontal="left" vertical="center"/>
    </xf>
    <xf numFmtId="0" fontId="49" fillId="2" borderId="0" xfId="3" applyNumberFormat="1" applyFont="1" applyFill="1" applyBorder="1" applyAlignment="1">
      <alignment horizontal="center" vertical="center"/>
    </xf>
    <xf numFmtId="0" fontId="60" fillId="0" borderId="10" xfId="0" applyFont="1" applyFill="1" applyBorder="1" applyAlignment="1">
      <alignment horizontal="center" vertical="center" wrapText="1"/>
    </xf>
    <xf numFmtId="0" fontId="57" fillId="0" borderId="10" xfId="0" applyFont="1" applyFill="1" applyBorder="1" applyAlignment="1">
      <alignment horizontal="center" vertical="center" wrapText="1"/>
    </xf>
    <xf numFmtId="0" fontId="57" fillId="20" borderId="10" xfId="0" applyFont="1" applyFill="1" applyBorder="1" applyAlignment="1">
      <alignment horizontal="right" vertical="center"/>
    </xf>
    <xf numFmtId="17" fontId="49" fillId="2" borderId="0" xfId="3" quotePrefix="1" applyNumberFormat="1" applyFont="1" applyFill="1" applyBorder="1" applyAlignment="1">
      <alignment horizontal="left" vertical="center"/>
    </xf>
    <xf numFmtId="17" fontId="49" fillId="2" borderId="0" xfId="0" applyNumberFormat="1" applyFont="1" applyFill="1" applyBorder="1" applyAlignment="1">
      <alignment horizontal="left"/>
    </xf>
    <xf numFmtId="0" fontId="7" fillId="0" borderId="0" xfId="0" applyFont="1" applyBorder="1" applyAlignment="1">
      <alignment vertical="center" wrapText="1"/>
    </xf>
    <xf numFmtId="0" fontId="58" fillId="13" borderId="10" xfId="0" applyFont="1" applyFill="1" applyBorder="1" applyAlignment="1">
      <alignment horizontal="center" vertical="center" wrapText="1"/>
    </xf>
    <xf numFmtId="0" fontId="58" fillId="18" borderId="22" xfId="0" applyFont="1" applyFill="1" applyBorder="1" applyAlignment="1">
      <alignment horizontal="center" vertical="center" wrapText="1"/>
    </xf>
    <xf numFmtId="0" fontId="60" fillId="18" borderId="10" xfId="0" applyFont="1" applyFill="1" applyBorder="1" applyAlignment="1">
      <alignment horizontal="center" vertical="center" wrapText="1"/>
    </xf>
    <xf numFmtId="0" fontId="58" fillId="18" borderId="10" xfId="0" applyFont="1" applyFill="1" applyBorder="1" applyAlignment="1">
      <alignment horizontal="center" vertical="center" wrapText="1"/>
    </xf>
    <xf numFmtId="2" fontId="57" fillId="18" borderId="10" xfId="3" applyNumberFormat="1" applyFont="1" applyFill="1" applyBorder="1" applyAlignment="1">
      <alignment horizontal="right" vertical="center" wrapText="1"/>
    </xf>
    <xf numFmtId="0" fontId="57" fillId="18" borderId="10" xfId="3" applyNumberFormat="1" applyFont="1" applyFill="1" applyBorder="1" applyAlignment="1">
      <alignment horizontal="center" vertical="center" wrapText="1"/>
    </xf>
    <xf numFmtId="165" fontId="58" fillId="18" borderId="10" xfId="3" applyNumberFormat="1" applyFont="1" applyFill="1" applyBorder="1" applyAlignment="1">
      <alignment horizontal="center" vertical="center" wrapText="1"/>
    </xf>
    <xf numFmtId="0" fontId="58" fillId="18" borderId="42" xfId="3" applyNumberFormat="1" applyFont="1" applyFill="1" applyBorder="1" applyAlignment="1">
      <alignment horizontal="center" vertical="center" wrapText="1"/>
    </xf>
    <xf numFmtId="0" fontId="58" fillId="21" borderId="10" xfId="0" applyFont="1" applyFill="1" applyBorder="1" applyAlignment="1">
      <alignment horizontal="right" vertical="center"/>
    </xf>
    <xf numFmtId="0" fontId="58" fillId="21" borderId="10" xfId="0" applyFont="1" applyFill="1" applyBorder="1" applyAlignment="1">
      <alignment horizontal="center" vertical="center"/>
    </xf>
    <xf numFmtId="43" fontId="57" fillId="2" borderId="10" xfId="3" applyNumberFormat="1" applyFont="1" applyFill="1" applyBorder="1" applyAlignment="1">
      <alignment horizontal="center" vertical="center" wrapText="1"/>
    </xf>
    <xf numFmtId="43" fontId="57" fillId="2" borderId="42" xfId="3" applyNumberFormat="1" applyFont="1" applyFill="1" applyBorder="1" applyAlignment="1">
      <alignment vertical="center" wrapText="1"/>
    </xf>
    <xf numFmtId="43" fontId="58" fillId="20" borderId="10" xfId="0" applyNumberFormat="1" applyFont="1" applyFill="1" applyBorder="1" applyAlignment="1">
      <alignment horizontal="center" vertical="center"/>
    </xf>
    <xf numFmtId="43" fontId="58" fillId="2" borderId="42" xfId="0" applyNumberFormat="1" applyFont="1" applyFill="1" applyBorder="1" applyAlignment="1">
      <alignment horizontal="center" vertical="center"/>
    </xf>
    <xf numFmtId="43" fontId="57" fillId="20" borderId="10" xfId="0" applyNumberFormat="1" applyFont="1" applyFill="1" applyBorder="1" applyAlignment="1">
      <alignment horizontal="center" vertical="center"/>
    </xf>
    <xf numFmtId="43" fontId="57" fillId="20" borderId="42" xfId="0" applyNumberFormat="1" applyFont="1" applyFill="1" applyBorder="1" applyAlignment="1">
      <alignment horizontal="center" vertical="center" wrapText="1"/>
    </xf>
    <xf numFmtId="43" fontId="57" fillId="20" borderId="10" xfId="0" applyNumberFormat="1" applyFont="1" applyFill="1" applyBorder="1" applyAlignment="1">
      <alignment horizontal="center" vertical="center" wrapText="1"/>
    </xf>
    <xf numFmtId="43" fontId="7" fillId="0" borderId="0" xfId="0" applyNumberFormat="1" applyFont="1" applyAlignment="1">
      <alignment vertical="center" wrapText="1"/>
    </xf>
    <xf numFmtId="43" fontId="58" fillId="21" borderId="10" xfId="0" applyNumberFormat="1" applyFont="1" applyFill="1" applyBorder="1" applyAlignment="1">
      <alignment horizontal="center" vertical="center"/>
    </xf>
    <xf numFmtId="43" fontId="58" fillId="18" borderId="42" xfId="0" applyNumberFormat="1" applyFont="1" applyFill="1" applyBorder="1" applyAlignment="1">
      <alignment horizontal="center" vertical="center"/>
    </xf>
    <xf numFmtId="43" fontId="58" fillId="2" borderId="10" xfId="3" applyNumberFormat="1" applyFont="1" applyFill="1" applyBorder="1" applyAlignment="1">
      <alignment horizontal="center" vertical="center" wrapText="1"/>
    </xf>
    <xf numFmtId="43" fontId="58" fillId="2" borderId="42" xfId="3" applyNumberFormat="1" applyFont="1" applyFill="1" applyBorder="1" applyAlignment="1">
      <alignment horizontal="center" vertical="center" wrapText="1"/>
    </xf>
    <xf numFmtId="0" fontId="58" fillId="21" borderId="10" xfId="0" applyFont="1" applyFill="1" applyBorder="1" applyAlignment="1">
      <alignment horizontal="justify" vertical="center" wrapText="1"/>
    </xf>
    <xf numFmtId="0" fontId="57" fillId="2" borderId="10" xfId="0" applyFont="1" applyFill="1" applyBorder="1" applyAlignment="1">
      <alignment horizontal="justify" vertical="center" wrapText="1"/>
    </xf>
    <xf numFmtId="0" fontId="58" fillId="20" borderId="10" xfId="0" applyFont="1" applyFill="1" applyBorder="1" applyAlignment="1">
      <alignment horizontal="justify" vertical="center"/>
    </xf>
    <xf numFmtId="0" fontId="58" fillId="20" borderId="10" xfId="0" applyFont="1" applyFill="1" applyBorder="1" applyAlignment="1">
      <alignment horizontal="justify" vertical="center" wrapText="1"/>
    </xf>
    <xf numFmtId="0" fontId="57" fillId="20" borderId="10" xfId="0" applyFont="1" applyFill="1" applyBorder="1" applyAlignment="1">
      <alignment horizontal="justify" vertical="center" wrapText="1"/>
    </xf>
    <xf numFmtId="0" fontId="60" fillId="0" borderId="10" xfId="0" applyFont="1" applyFill="1" applyBorder="1" applyAlignment="1">
      <alignment horizontal="justify" vertical="center" wrapText="1"/>
    </xf>
    <xf numFmtId="0" fontId="57" fillId="0" borderId="10" xfId="0" applyFont="1" applyFill="1" applyBorder="1" applyAlignment="1">
      <alignment horizontal="justify" vertical="center" wrapText="1"/>
    </xf>
    <xf numFmtId="0" fontId="7" fillId="0" borderId="0" xfId="0" applyFont="1" applyFill="1" applyAlignment="1">
      <alignment horizontal="justify" vertical="center" wrapText="1"/>
    </xf>
    <xf numFmtId="0" fontId="48" fillId="2" borderId="39" xfId="0" applyFont="1" applyFill="1" applyBorder="1" applyAlignment="1">
      <alignment horizontal="center" vertical="center" wrapText="1"/>
    </xf>
    <xf numFmtId="0" fontId="48" fillId="2" borderId="40" xfId="0" applyFont="1" applyFill="1" applyBorder="1" applyAlignment="1">
      <alignment horizontal="center" vertical="center" wrapText="1"/>
    </xf>
    <xf numFmtId="0" fontId="48" fillId="2" borderId="40" xfId="0" applyFont="1" applyFill="1" applyBorder="1" applyAlignment="1">
      <alignment horizontal="justify" vertical="center" wrapText="1"/>
    </xf>
    <xf numFmtId="0" fontId="48" fillId="2" borderId="40" xfId="3" applyNumberFormat="1" applyFont="1" applyFill="1" applyBorder="1" applyAlignment="1">
      <alignment horizontal="center" vertical="center" wrapText="1"/>
    </xf>
    <xf numFmtId="165" fontId="48" fillId="2" borderId="40" xfId="3" applyNumberFormat="1" applyFont="1" applyFill="1" applyBorder="1" applyAlignment="1">
      <alignment horizontal="center" vertical="center" wrapText="1"/>
    </xf>
    <xf numFmtId="0" fontId="48" fillId="2" borderId="41" xfId="3" applyNumberFormat="1" applyFont="1" applyFill="1" applyBorder="1" applyAlignment="1">
      <alignment horizontal="center" vertical="center" wrapText="1"/>
    </xf>
    <xf numFmtId="0" fontId="51" fillId="2" borderId="18" xfId="0" applyFont="1" applyFill="1" applyBorder="1" applyAlignment="1">
      <alignment horizontal="center" vertical="center" wrapText="1"/>
    </xf>
    <xf numFmtId="0" fontId="52" fillId="2" borderId="19" xfId="0" applyFont="1" applyFill="1" applyBorder="1" applyAlignment="1">
      <alignment horizontal="center" vertical="center" wrapText="1"/>
    </xf>
    <xf numFmtId="43" fontId="52" fillId="2" borderId="19" xfId="3" applyNumberFormat="1" applyFont="1" applyFill="1" applyBorder="1" applyAlignment="1">
      <alignment vertical="center" wrapText="1"/>
    </xf>
    <xf numFmtId="43" fontId="52" fillId="2" borderId="19" xfId="3" applyNumberFormat="1" applyFont="1" applyFill="1" applyBorder="1" applyAlignment="1">
      <alignment horizontal="right" vertical="center" wrapText="1"/>
    </xf>
    <xf numFmtId="43" fontId="57" fillId="0" borderId="10" xfId="3" applyNumberFormat="1" applyFont="1" applyFill="1" applyBorder="1" applyAlignment="1">
      <alignment horizontal="center" vertical="center" wrapText="1"/>
    </xf>
    <xf numFmtId="0" fontId="4" fillId="0" borderId="0" xfId="23" applyBorder="1"/>
    <xf numFmtId="0" fontId="4" fillId="0" borderId="0" xfId="23"/>
    <xf numFmtId="0" fontId="4" fillId="0" borderId="0" xfId="23" applyFont="1" applyAlignment="1">
      <alignment vertical="center"/>
    </xf>
    <xf numFmtId="0" fontId="70" fillId="0" borderId="0" xfId="23" applyNumberFormat="1" applyFont="1" applyBorder="1" applyAlignment="1">
      <alignment vertical="center"/>
    </xf>
    <xf numFmtId="0" fontId="4" fillId="0" borderId="0" xfId="23" applyNumberFormat="1" applyFont="1" applyBorder="1" applyAlignment="1">
      <alignment vertical="center"/>
    </xf>
    <xf numFmtId="0" fontId="4" fillId="0" borderId="0" xfId="23" applyFont="1" applyFill="1" applyAlignment="1">
      <alignment vertical="center"/>
    </xf>
    <xf numFmtId="0" fontId="69" fillId="0" borderId="0" xfId="23" applyFont="1" applyFill="1" applyAlignment="1">
      <alignment vertical="center"/>
    </xf>
    <xf numFmtId="0" fontId="57" fillId="0" borderId="0" xfId="23" applyFont="1" applyBorder="1"/>
    <xf numFmtId="0" fontId="57" fillId="0" borderId="0" xfId="23" applyFont="1"/>
    <xf numFmtId="0" fontId="58" fillId="18" borderId="39" xfId="23" applyFont="1" applyFill="1" applyBorder="1" applyAlignment="1">
      <alignment horizontal="center" vertical="center"/>
    </xf>
    <xf numFmtId="4" fontId="58" fillId="18" borderId="41" xfId="23" applyNumberFormat="1" applyFont="1" applyFill="1" applyBorder="1" applyAlignment="1">
      <alignment horizontal="center" vertical="center"/>
    </xf>
    <xf numFmtId="167" fontId="57" fillId="23" borderId="0" xfId="23" applyNumberFormat="1" applyFont="1" applyFill="1" applyBorder="1" applyAlignment="1">
      <alignment horizontal="center" vertical="center"/>
    </xf>
    <xf numFmtId="0" fontId="58" fillId="0" borderId="22" xfId="23" applyFont="1" applyFill="1" applyBorder="1" applyAlignment="1">
      <alignment horizontal="center" vertical="center" wrapText="1"/>
    </xf>
    <xf numFmtId="0" fontId="58" fillId="2" borderId="10" xfId="23" applyFont="1" applyFill="1" applyBorder="1" applyAlignment="1">
      <alignment horizontal="center" vertical="center"/>
    </xf>
    <xf numFmtId="0" fontId="58" fillId="2" borderId="10" xfId="23" applyFont="1" applyFill="1" applyBorder="1" applyAlignment="1">
      <alignment horizontal="center" vertical="center" wrapText="1"/>
    </xf>
    <xf numFmtId="4" fontId="58" fillId="2" borderId="42" xfId="23" applyNumberFormat="1" applyFont="1" applyFill="1" applyBorder="1" applyAlignment="1">
      <alignment horizontal="center" vertical="center" wrapText="1"/>
    </xf>
    <xf numFmtId="0" fontId="58" fillId="0" borderId="0" xfId="23" applyFont="1" applyAlignment="1">
      <alignment vertical="center"/>
    </xf>
    <xf numFmtId="0" fontId="57" fillId="0" borderId="22" xfId="26" applyFont="1" applyFill="1" applyBorder="1" applyAlignment="1">
      <alignment horizontal="center" vertical="center" wrapText="1"/>
    </xf>
    <xf numFmtId="0" fontId="57" fillId="0" borderId="10" xfId="26" applyFont="1" applyFill="1" applyBorder="1" applyAlignment="1">
      <alignment vertical="center" wrapText="1"/>
    </xf>
    <xf numFmtId="0" fontId="57" fillId="0" borderId="10" xfId="26" applyFont="1" applyFill="1" applyBorder="1" applyAlignment="1">
      <alignment horizontal="center" vertical="center" wrapText="1"/>
    </xf>
    <xf numFmtId="165" fontId="49" fillId="0" borderId="10" xfId="28" applyFont="1" applyFill="1" applyBorder="1" applyAlignment="1" applyProtection="1">
      <alignment horizontal="right" vertical="center"/>
    </xf>
    <xf numFmtId="2" fontId="57" fillId="0" borderId="10" xfId="26" applyNumberFormat="1" applyFont="1" applyFill="1" applyBorder="1" applyAlignment="1">
      <alignment horizontal="right" vertical="center" wrapText="1"/>
    </xf>
    <xf numFmtId="4" fontId="57" fillId="0" borderId="42" xfId="23" applyNumberFormat="1" applyFont="1" applyBorder="1" applyAlignment="1">
      <alignment horizontal="right" vertical="center"/>
    </xf>
    <xf numFmtId="176" fontId="49" fillId="0" borderId="10" xfId="28" applyNumberFormat="1" applyFont="1" applyFill="1" applyBorder="1" applyAlignment="1" applyProtection="1">
      <alignment horizontal="right" vertical="center"/>
    </xf>
    <xf numFmtId="175" fontId="49" fillId="0" borderId="10" xfId="28" applyNumberFormat="1" applyFont="1" applyFill="1" applyBorder="1" applyAlignment="1" applyProtection="1">
      <alignment horizontal="right" vertical="center"/>
    </xf>
    <xf numFmtId="2" fontId="57" fillId="0" borderId="10" xfId="23" applyNumberFormat="1" applyFont="1" applyBorder="1" applyAlignment="1">
      <alignment horizontal="right" vertical="center"/>
    </xf>
    <xf numFmtId="0" fontId="57" fillId="0" borderId="18" xfId="26" applyFont="1" applyFill="1" applyBorder="1" applyAlignment="1">
      <alignment horizontal="center" vertical="center" wrapText="1"/>
    </xf>
    <xf numFmtId="0" fontId="57" fillId="0" borderId="19" xfId="26" applyFont="1" applyFill="1" applyBorder="1" applyAlignment="1">
      <alignment vertical="center" wrapText="1"/>
    </xf>
    <xf numFmtId="0" fontId="57" fillId="0" borderId="19" xfId="26" applyFont="1" applyFill="1" applyBorder="1" applyAlignment="1">
      <alignment horizontal="center" vertical="center" wrapText="1"/>
    </xf>
    <xf numFmtId="2" fontId="57" fillId="0" borderId="19" xfId="23" applyNumberFormat="1" applyFont="1" applyBorder="1" applyAlignment="1">
      <alignment horizontal="right" vertical="center"/>
    </xf>
    <xf numFmtId="2" fontId="57" fillId="0" borderId="19" xfId="26" applyNumberFormat="1" applyFont="1" applyFill="1" applyBorder="1" applyAlignment="1">
      <alignment horizontal="right" vertical="center" wrapText="1"/>
    </xf>
    <xf numFmtId="4" fontId="57" fillId="0" borderId="43" xfId="23" applyNumberFormat="1" applyFont="1" applyBorder="1" applyAlignment="1">
      <alignment horizontal="right" vertical="center"/>
    </xf>
    <xf numFmtId="0" fontId="57" fillId="0" borderId="0" xfId="23" applyFont="1" applyAlignment="1">
      <alignment vertical="center"/>
    </xf>
    <xf numFmtId="49" fontId="58" fillId="0" borderId="48" xfId="29" applyNumberFormat="1" applyFont="1" applyBorder="1" applyAlignment="1">
      <alignment vertical="center"/>
    </xf>
    <xf numFmtId="49" fontId="58" fillId="0" borderId="68" xfId="29" applyNumberFormat="1" applyFont="1" applyBorder="1" applyAlignment="1">
      <alignment vertical="center"/>
    </xf>
    <xf numFmtId="165" fontId="58" fillId="24" borderId="16" xfId="30" applyFont="1" applyFill="1" applyBorder="1" applyAlignment="1">
      <alignment horizontal="right" vertical="center"/>
    </xf>
    <xf numFmtId="167" fontId="58" fillId="24" borderId="17" xfId="31" applyFont="1" applyFill="1" applyBorder="1" applyAlignment="1">
      <alignment horizontal="right" vertical="center"/>
    </xf>
    <xf numFmtId="0" fontId="57" fillId="0" borderId="0" xfId="23" applyFont="1" applyFill="1" applyAlignment="1">
      <alignment vertical="center"/>
    </xf>
    <xf numFmtId="0" fontId="57" fillId="0" borderId="0" xfId="32" applyFont="1"/>
    <xf numFmtId="166" fontId="57" fillId="0" borderId="10" xfId="23" applyNumberFormat="1" applyFont="1" applyBorder="1" applyAlignment="1">
      <alignment horizontal="right" vertical="center"/>
    </xf>
    <xf numFmtId="166" fontId="57" fillId="0" borderId="19" xfId="23" applyNumberFormat="1" applyFont="1" applyBorder="1" applyAlignment="1">
      <alignment horizontal="right" vertical="center"/>
    </xf>
    <xf numFmtId="0" fontId="57" fillId="0" borderId="0" xfId="23" applyFont="1" applyFill="1" applyBorder="1"/>
    <xf numFmtId="0" fontId="57" fillId="0" borderId="0" xfId="23" applyFont="1" applyFill="1"/>
    <xf numFmtId="49" fontId="58" fillId="0" borderId="48" xfId="29" applyNumberFormat="1" applyFont="1" applyBorder="1" applyAlignment="1">
      <alignment horizontal="left" vertical="center"/>
    </xf>
    <xf numFmtId="49" fontId="58" fillId="0" borderId="68" xfId="29" applyNumberFormat="1" applyFont="1" applyBorder="1" applyAlignment="1">
      <alignment horizontal="left" vertical="center"/>
    </xf>
    <xf numFmtId="44" fontId="57" fillId="23" borderId="0" xfId="33" applyFont="1" applyFill="1" applyBorder="1" applyAlignment="1">
      <alignment horizontal="center" vertical="center"/>
    </xf>
    <xf numFmtId="0" fontId="49" fillId="6" borderId="0" xfId="23" applyFont="1" applyFill="1"/>
    <xf numFmtId="4" fontId="57" fillId="0" borderId="19" xfId="26" applyNumberFormat="1" applyFont="1" applyFill="1" applyBorder="1" applyAlignment="1">
      <alignment horizontal="center" vertical="center" wrapText="1"/>
    </xf>
    <xf numFmtId="165" fontId="49" fillId="0" borderId="19" xfId="28" applyFont="1" applyFill="1" applyBorder="1" applyAlignment="1" applyProtection="1">
      <alignment horizontal="right" vertical="center"/>
    </xf>
    <xf numFmtId="49" fontId="58" fillId="0" borderId="0" xfId="29" applyNumberFormat="1" applyFont="1" applyBorder="1" applyAlignment="1">
      <alignment vertical="center" wrapText="1"/>
    </xf>
    <xf numFmtId="165" fontId="58" fillId="0" borderId="0" xfId="30" applyFont="1" applyFill="1" applyBorder="1" applyAlignment="1">
      <alignment horizontal="right" vertical="center"/>
    </xf>
    <xf numFmtId="167" fontId="58" fillId="0" borderId="0" xfId="31" applyFont="1" applyFill="1" applyBorder="1" applyAlignment="1">
      <alignment horizontal="right" vertical="center"/>
    </xf>
    <xf numFmtId="0" fontId="67" fillId="13" borderId="39" xfId="0" applyFont="1" applyFill="1" applyBorder="1" applyAlignment="1">
      <alignment horizontal="center" vertical="center"/>
    </xf>
    <xf numFmtId="0" fontId="67" fillId="13" borderId="40" xfId="34" applyFont="1" applyFill="1" applyBorder="1" applyAlignment="1">
      <alignment horizontal="center" vertical="center" wrapText="1"/>
    </xf>
    <xf numFmtId="0" fontId="67" fillId="13" borderId="40" xfId="0" applyFont="1" applyFill="1" applyBorder="1" applyAlignment="1">
      <alignment horizontal="center" vertical="center" wrapText="1"/>
    </xf>
    <xf numFmtId="4" fontId="67" fillId="13" borderId="40" xfId="0" applyNumberFormat="1" applyFont="1" applyFill="1" applyBorder="1" applyAlignment="1">
      <alignment horizontal="center" vertical="center"/>
    </xf>
    <xf numFmtId="10" fontId="67" fillId="13" borderId="40" xfId="27" applyNumberFormat="1" applyFont="1" applyFill="1" applyBorder="1" applyAlignment="1">
      <alignment horizontal="center" vertical="center"/>
    </xf>
    <xf numFmtId="4" fontId="67" fillId="13" borderId="41" xfId="0" applyNumberFormat="1" applyFont="1" applyFill="1" applyBorder="1" applyAlignment="1">
      <alignment horizontal="center" vertical="center"/>
    </xf>
    <xf numFmtId="0" fontId="59" fillId="0" borderId="0" xfId="23" applyFont="1" applyBorder="1"/>
    <xf numFmtId="0" fontId="67" fillId="0" borderId="22" xfId="0" applyFont="1" applyBorder="1" applyAlignment="1">
      <alignment horizontal="center" vertical="center"/>
    </xf>
    <xf numFmtId="0" fontId="67" fillId="0" borderId="10" xfId="0" applyFont="1" applyBorder="1" applyAlignment="1">
      <alignment horizontal="center" vertical="center"/>
    </xf>
    <xf numFmtId="0" fontId="67" fillId="0" borderId="10" xfId="0" applyFont="1" applyBorder="1" applyAlignment="1">
      <alignment horizontal="center" vertical="center" wrapText="1"/>
    </xf>
    <xf numFmtId="4" fontId="67" fillId="0" borderId="10" xfId="0" applyNumberFormat="1" applyFont="1" applyBorder="1" applyAlignment="1">
      <alignment horizontal="center" vertical="center"/>
    </xf>
    <xf numFmtId="10" fontId="67" fillId="0" borderId="10" xfId="27" applyNumberFormat="1" applyFont="1" applyBorder="1" applyAlignment="1">
      <alignment horizontal="center" vertical="center"/>
    </xf>
    <xf numFmtId="4" fontId="67" fillId="0" borderId="42" xfId="0" applyNumberFormat="1" applyFont="1" applyBorder="1" applyAlignment="1">
      <alignment horizontal="center" vertical="center"/>
    </xf>
    <xf numFmtId="14" fontId="75" fillId="3" borderId="10" xfId="0" applyNumberFormat="1" applyFont="1" applyFill="1" applyBorder="1" applyAlignment="1">
      <alignment horizontal="center" vertical="center"/>
    </xf>
    <xf numFmtId="0" fontId="75" fillId="3" borderId="10" xfId="0" applyFont="1" applyFill="1" applyBorder="1" applyAlignment="1">
      <alignment horizontal="center" vertical="center"/>
    </xf>
    <xf numFmtId="4" fontId="75" fillId="3" borderId="10" xfId="0" applyNumberFormat="1" applyFont="1" applyFill="1" applyBorder="1" applyAlignment="1">
      <alignment vertical="center" wrapText="1"/>
    </xf>
    <xf numFmtId="0" fontId="57" fillId="3" borderId="0" xfId="23" applyFont="1" applyFill="1"/>
    <xf numFmtId="4" fontId="75" fillId="3" borderId="10" xfId="0" applyNumberFormat="1" applyFont="1" applyFill="1" applyBorder="1" applyAlignment="1">
      <alignment horizontal="center" vertical="center"/>
    </xf>
    <xf numFmtId="4" fontId="75" fillId="3" borderId="8" xfId="0" applyNumberFormat="1" applyFont="1" applyFill="1" applyBorder="1" applyAlignment="1">
      <alignment vertical="center"/>
    </xf>
    <xf numFmtId="14" fontId="76" fillId="3" borderId="10" xfId="0" applyNumberFormat="1" applyFont="1" applyFill="1" applyBorder="1" applyAlignment="1">
      <alignment horizontal="center" vertical="center"/>
    </xf>
    <xf numFmtId="4" fontId="76" fillId="3" borderId="8" xfId="0" applyNumberFormat="1" applyFont="1" applyFill="1" applyBorder="1" applyAlignment="1">
      <alignment vertical="center"/>
    </xf>
    <xf numFmtId="0" fontId="4" fillId="0" borderId="22" xfId="23" applyFont="1" applyBorder="1" applyAlignment="1">
      <alignment horizontal="left" vertical="center"/>
    </xf>
    <xf numFmtId="0" fontId="4" fillId="0" borderId="10" xfId="23" applyFont="1" applyBorder="1" applyAlignment="1">
      <alignment horizontal="center" vertical="center"/>
    </xf>
    <xf numFmtId="0" fontId="4" fillId="0" borderId="10" xfId="23" applyFont="1" applyBorder="1" applyAlignment="1">
      <alignment vertical="center" wrapText="1"/>
    </xf>
    <xf numFmtId="4" fontId="4" fillId="0" borderId="10" xfId="23" applyNumberFormat="1" applyFont="1" applyBorder="1" applyAlignment="1">
      <alignment horizontal="center" vertical="center"/>
    </xf>
    <xf numFmtId="10" fontId="67" fillId="0" borderId="10" xfId="27" applyNumberFormat="1" applyFont="1" applyBorder="1" applyAlignment="1">
      <alignment vertical="center"/>
    </xf>
    <xf numFmtId="4" fontId="4" fillId="0" borderId="42" xfId="23" applyNumberFormat="1" applyFont="1" applyBorder="1" applyAlignment="1">
      <alignment vertical="center"/>
    </xf>
    <xf numFmtId="0" fontId="4" fillId="13" borderId="18" xfId="0" applyFont="1" applyFill="1" applyBorder="1" applyAlignment="1">
      <alignment horizontal="center" vertical="center"/>
    </xf>
    <xf numFmtId="0" fontId="67" fillId="13" borderId="19" xfId="0" applyFont="1" applyFill="1" applyBorder="1" applyAlignment="1">
      <alignment horizontal="center" vertical="center"/>
    </xf>
    <xf numFmtId="4" fontId="58" fillId="13" borderId="19" xfId="0" applyNumberFormat="1" applyFont="1" applyFill="1" applyBorder="1" applyAlignment="1">
      <alignment vertical="center" wrapText="1"/>
    </xf>
    <xf numFmtId="4" fontId="4" fillId="13" borderId="19" xfId="0" applyNumberFormat="1" applyFont="1" applyFill="1" applyBorder="1" applyAlignment="1">
      <alignment horizontal="center" vertical="center"/>
    </xf>
    <xf numFmtId="10" fontId="67" fillId="13" borderId="19" xfId="27" applyNumberFormat="1" applyFont="1" applyFill="1" applyBorder="1" applyAlignment="1">
      <alignment vertical="center"/>
    </xf>
    <xf numFmtId="4" fontId="4" fillId="13" borderId="43" xfId="0" applyNumberFormat="1" applyFont="1" applyFill="1" applyBorder="1" applyAlignment="1">
      <alignment vertical="center"/>
    </xf>
    <xf numFmtId="49" fontId="57" fillId="0" borderId="0" xfId="29" applyNumberFormat="1" applyFont="1" applyBorder="1" applyAlignment="1">
      <alignment vertical="top" wrapText="1"/>
    </xf>
    <xf numFmtId="167" fontId="57" fillId="23" borderId="0" xfId="23" applyNumberFormat="1" applyFont="1" applyFill="1" applyBorder="1"/>
    <xf numFmtId="49" fontId="58" fillId="0" borderId="70" xfId="29" applyNumberFormat="1" applyFont="1" applyBorder="1" applyAlignment="1">
      <alignment vertical="center" wrapText="1"/>
    </xf>
    <xf numFmtId="0" fontId="57" fillId="0" borderId="0" xfId="23" quotePrefix="1" applyFont="1"/>
    <xf numFmtId="49" fontId="57" fillId="0" borderId="0" xfId="29" applyNumberFormat="1" applyFont="1" applyBorder="1" applyAlignment="1">
      <alignment vertical="center"/>
    </xf>
    <xf numFmtId="49" fontId="58" fillId="0" borderId="0" xfId="29" applyNumberFormat="1" applyFont="1" applyBorder="1" applyAlignment="1">
      <alignment horizontal="left" vertical="center"/>
    </xf>
    <xf numFmtId="49" fontId="58" fillId="0" borderId="0" xfId="29" applyNumberFormat="1" applyFont="1" applyBorder="1" applyAlignment="1">
      <alignment horizontal="left" vertical="center" wrapText="1"/>
    </xf>
    <xf numFmtId="2" fontId="57" fillId="0" borderId="10" xfId="29" applyNumberFormat="1" applyFont="1" applyFill="1" applyBorder="1" applyAlignment="1">
      <alignment horizontal="right" vertical="center"/>
    </xf>
    <xf numFmtId="166" fontId="57" fillId="0" borderId="10" xfId="29" applyNumberFormat="1" applyFont="1" applyFill="1" applyBorder="1" applyAlignment="1">
      <alignment horizontal="right" vertical="center"/>
    </xf>
    <xf numFmtId="0" fontId="57" fillId="0" borderId="22" xfId="23" applyNumberFormat="1" applyFont="1" applyBorder="1" applyAlignment="1">
      <alignment horizontal="center" vertical="center"/>
    </xf>
    <xf numFmtId="0" fontId="57" fillId="0" borderId="18" xfId="23" applyNumberFormat="1" applyFont="1" applyBorder="1" applyAlignment="1">
      <alignment horizontal="center" vertical="center"/>
    </xf>
    <xf numFmtId="49" fontId="57" fillId="0" borderId="0" xfId="29" applyNumberFormat="1" applyFont="1" applyFill="1" applyBorder="1" applyAlignment="1">
      <alignment vertical="center"/>
    </xf>
    <xf numFmtId="49" fontId="57" fillId="0" borderId="0" xfId="23" applyNumberFormat="1" applyFont="1" applyFill="1" applyBorder="1" applyAlignment="1"/>
    <xf numFmtId="165" fontId="49" fillId="0" borderId="10" xfId="28" applyNumberFormat="1" applyFont="1" applyFill="1" applyBorder="1" applyAlignment="1" applyProtection="1">
      <alignment horizontal="right" vertical="center"/>
    </xf>
    <xf numFmtId="49" fontId="57" fillId="0" borderId="0" xfId="23" applyNumberFormat="1" applyFont="1" applyBorder="1" applyAlignment="1"/>
    <xf numFmtId="167" fontId="57" fillId="23" borderId="0" xfId="23" applyNumberFormat="1" applyFont="1" applyFill="1" applyAlignment="1">
      <alignment horizontal="center" vertical="center"/>
    </xf>
    <xf numFmtId="165" fontId="49" fillId="0" borderId="10" xfId="28" applyFont="1" applyFill="1" applyBorder="1" applyAlignment="1" applyProtection="1">
      <alignment horizontal="center" vertical="center"/>
    </xf>
    <xf numFmtId="175" fontId="49" fillId="0" borderId="10" xfId="28" applyNumberFormat="1" applyFont="1" applyFill="1" applyBorder="1" applyAlignment="1" applyProtection="1">
      <alignment horizontal="center" vertical="center"/>
    </xf>
    <xf numFmtId="176" fontId="49" fillId="0" borderId="10" xfId="28" applyNumberFormat="1" applyFont="1" applyFill="1" applyBorder="1" applyAlignment="1" applyProtection="1">
      <alignment horizontal="center" vertical="center"/>
    </xf>
    <xf numFmtId="49" fontId="57" fillId="0" borderId="0" xfId="29" applyNumberFormat="1" applyFont="1" applyBorder="1" applyAlignment="1">
      <alignment horizontal="center" vertical="center" wrapText="1"/>
    </xf>
    <xf numFmtId="167" fontId="57" fillId="23" borderId="0" xfId="23" applyNumberFormat="1" applyFont="1" applyFill="1" applyAlignment="1">
      <alignment vertical="center"/>
    </xf>
    <xf numFmtId="167" fontId="57" fillId="12" borderId="0" xfId="23" applyNumberFormat="1" applyFont="1" applyFill="1" applyAlignment="1">
      <alignment vertical="center"/>
    </xf>
    <xf numFmtId="2" fontId="49" fillId="0" borderId="10" xfId="28" applyNumberFormat="1" applyFont="1" applyFill="1" applyBorder="1" applyAlignment="1" applyProtection="1">
      <alignment horizontal="right" vertical="center"/>
    </xf>
    <xf numFmtId="166" fontId="49" fillId="0" borderId="10" xfId="28" applyNumberFormat="1" applyFont="1" applyFill="1" applyBorder="1" applyAlignment="1" applyProtection="1">
      <alignment horizontal="right" vertical="center"/>
    </xf>
    <xf numFmtId="167" fontId="57" fillId="12" borderId="0" xfId="23" applyNumberFormat="1" applyFont="1" applyFill="1" applyBorder="1" applyAlignment="1">
      <alignment horizontal="center" vertical="center"/>
    </xf>
    <xf numFmtId="0" fontId="57" fillId="0" borderId="0" xfId="32" applyFont="1" applyAlignment="1">
      <alignment horizontal="center" vertical="center" wrapText="1"/>
    </xf>
    <xf numFmtId="167" fontId="57" fillId="23" borderId="0" xfId="23" applyNumberFormat="1" applyFont="1" applyFill="1" applyBorder="1" applyAlignment="1">
      <alignment vertical="center"/>
    </xf>
    <xf numFmtId="165" fontId="49" fillId="0" borderId="10" xfId="28" applyNumberFormat="1" applyFont="1" applyFill="1" applyBorder="1" applyAlignment="1" applyProtection="1">
      <alignment horizontal="center" vertical="center"/>
    </xf>
    <xf numFmtId="167" fontId="57" fillId="0" borderId="0" xfId="23" applyNumberFormat="1" applyFont="1" applyBorder="1"/>
    <xf numFmtId="4" fontId="57" fillId="0" borderId="10" xfId="26" applyNumberFormat="1" applyFont="1" applyFill="1" applyBorder="1" applyAlignment="1">
      <alignment horizontal="center" vertical="center" wrapText="1"/>
    </xf>
    <xf numFmtId="0" fontId="58" fillId="13" borderId="39" xfId="0" applyFont="1" applyFill="1" applyBorder="1" applyAlignment="1">
      <alignment horizontal="center" vertical="center"/>
    </xf>
    <xf numFmtId="0" fontId="58" fillId="13" borderId="40" xfId="0" applyFont="1" applyFill="1" applyBorder="1" applyAlignment="1">
      <alignment horizontal="center" vertical="center"/>
    </xf>
    <xf numFmtId="0" fontId="58" fillId="13" borderId="40" xfId="0" applyFont="1" applyFill="1" applyBorder="1" applyAlignment="1">
      <alignment horizontal="center" vertical="center" wrapText="1"/>
    </xf>
    <xf numFmtId="4" fontId="58" fillId="13" borderId="40" xfId="0" applyNumberFormat="1" applyFont="1" applyFill="1" applyBorder="1" applyAlignment="1">
      <alignment horizontal="center" vertical="center"/>
    </xf>
    <xf numFmtId="10" fontId="58" fillId="13" borderId="40" xfId="12" applyNumberFormat="1" applyFont="1" applyFill="1" applyBorder="1" applyAlignment="1">
      <alignment vertical="center"/>
    </xf>
    <xf numFmtId="4" fontId="58" fillId="13" borderId="41" xfId="0" applyNumberFormat="1" applyFont="1" applyFill="1" applyBorder="1" applyAlignment="1">
      <alignment horizontal="center" vertical="center"/>
    </xf>
    <xf numFmtId="0" fontId="58" fillId="0" borderId="22" xfId="0" applyFont="1" applyBorder="1" applyAlignment="1">
      <alignment horizontal="center" vertical="center"/>
    </xf>
    <xf numFmtId="0" fontId="58" fillId="0" borderId="10" xfId="0" applyFont="1" applyBorder="1" applyAlignment="1">
      <alignment horizontal="center" vertical="center"/>
    </xf>
    <xf numFmtId="0" fontId="58" fillId="0" borderId="10" xfId="0" applyFont="1" applyBorder="1" applyAlignment="1">
      <alignment horizontal="center" vertical="center" wrapText="1"/>
    </xf>
    <xf numFmtId="4" fontId="58" fillId="0" borderId="10" xfId="0" applyNumberFormat="1" applyFont="1" applyBorder="1" applyAlignment="1">
      <alignment horizontal="center" vertical="center"/>
    </xf>
    <xf numFmtId="10" fontId="58" fillId="0" borderId="10" xfId="12" applyNumberFormat="1" applyFont="1" applyBorder="1" applyAlignment="1">
      <alignment horizontal="center" vertical="center"/>
    </xf>
    <xf numFmtId="4" fontId="58" fillId="0" borderId="42" xfId="0" applyNumberFormat="1" applyFont="1" applyBorder="1" applyAlignment="1">
      <alignment horizontal="center" vertical="center"/>
    </xf>
    <xf numFmtId="14" fontId="57" fillId="3" borderId="22" xfId="0" applyNumberFormat="1" applyFont="1" applyFill="1" applyBorder="1" applyAlignment="1">
      <alignment horizontal="center" vertical="center"/>
    </xf>
    <xf numFmtId="0" fontId="49" fillId="3" borderId="10" xfId="0" applyFont="1" applyFill="1" applyBorder="1" applyAlignment="1">
      <alignment horizontal="center" vertical="center" wrapText="1"/>
    </xf>
    <xf numFmtId="4" fontId="49" fillId="3" borderId="10" xfId="0" applyNumberFormat="1" applyFont="1" applyFill="1" applyBorder="1" applyAlignment="1">
      <alignment vertical="center" wrapText="1"/>
    </xf>
    <xf numFmtId="0" fontId="57" fillId="3" borderId="10" xfId="0" applyFont="1" applyFill="1" applyBorder="1" applyAlignment="1">
      <alignment horizontal="center" vertical="center"/>
    </xf>
    <xf numFmtId="0" fontId="77" fillId="3" borderId="10" xfId="0" applyFont="1" applyFill="1" applyBorder="1"/>
    <xf numFmtId="4" fontId="49" fillId="3" borderId="42" xfId="0" applyNumberFormat="1" applyFont="1" applyFill="1" applyBorder="1" applyAlignment="1">
      <alignment vertical="center" wrapText="1"/>
    </xf>
    <xf numFmtId="14" fontId="49" fillId="0" borderId="1" xfId="0" applyNumberFormat="1" applyFont="1" applyBorder="1" applyAlignment="1">
      <alignment vertical="center"/>
    </xf>
    <xf numFmtId="14" fontId="57" fillId="2" borderId="22" xfId="0" applyNumberFormat="1" applyFont="1" applyFill="1" applyBorder="1" applyAlignment="1">
      <alignment horizontal="center" vertical="center"/>
    </xf>
    <xf numFmtId="0" fontId="49" fillId="0" borderId="10" xfId="0" applyFont="1" applyFill="1" applyBorder="1" applyAlignment="1">
      <alignment horizontal="center" vertical="center"/>
    </xf>
    <xf numFmtId="4" fontId="49" fillId="0" borderId="10" xfId="0" applyNumberFormat="1" applyFont="1" applyBorder="1" applyAlignment="1">
      <alignment vertical="center" wrapText="1"/>
    </xf>
    <xf numFmtId="0" fontId="57" fillId="0" borderId="10" xfId="0" applyFont="1" applyBorder="1" applyAlignment="1">
      <alignment horizontal="center" vertical="center"/>
    </xf>
    <xf numFmtId="10" fontId="49" fillId="0" borderId="10" xfId="27" applyNumberFormat="1" applyFont="1" applyBorder="1" applyAlignment="1">
      <alignment vertical="center"/>
    </xf>
    <xf numFmtId="4" fontId="49" fillId="0" borderId="42" xfId="0" applyNumberFormat="1" applyFont="1" applyFill="1" applyBorder="1" applyAlignment="1">
      <alignment vertical="center" wrapText="1"/>
    </xf>
    <xf numFmtId="14" fontId="49" fillId="2" borderId="22" xfId="0" applyNumberFormat="1" applyFont="1" applyFill="1" applyBorder="1" applyAlignment="1">
      <alignment horizontal="center" vertical="center"/>
    </xf>
    <xf numFmtId="0" fontId="57" fillId="13" borderId="18" xfId="0" applyFont="1" applyFill="1" applyBorder="1" applyAlignment="1">
      <alignment horizontal="center" vertical="center"/>
    </xf>
    <xf numFmtId="0" fontId="58" fillId="13" borderId="19" xfId="0" applyFont="1" applyFill="1" applyBorder="1" applyAlignment="1">
      <alignment horizontal="center" vertical="center"/>
    </xf>
    <xf numFmtId="4" fontId="57" fillId="13" borderId="19" xfId="0" applyNumberFormat="1" applyFont="1" applyFill="1" applyBorder="1" applyAlignment="1">
      <alignment horizontal="center" vertical="center"/>
    </xf>
    <xf numFmtId="10" fontId="58" fillId="13" borderId="19" xfId="12" applyNumberFormat="1" applyFont="1" applyFill="1" applyBorder="1" applyAlignment="1">
      <alignment vertical="center"/>
    </xf>
    <xf numFmtId="4" fontId="57" fillId="13" borderId="43" xfId="0" applyNumberFormat="1" applyFont="1" applyFill="1" applyBorder="1" applyAlignment="1">
      <alignment vertical="center"/>
    </xf>
    <xf numFmtId="165" fontId="58" fillId="24" borderId="13" xfId="30" applyFont="1" applyFill="1" applyBorder="1" applyAlignment="1">
      <alignment horizontal="right" vertical="center"/>
    </xf>
    <xf numFmtId="167" fontId="58" fillId="24" borderId="15" xfId="31" applyFont="1" applyFill="1" applyBorder="1" applyAlignment="1">
      <alignment horizontal="right" vertical="center"/>
    </xf>
    <xf numFmtId="49" fontId="58" fillId="0" borderId="0" xfId="29" applyNumberFormat="1" applyFont="1" applyBorder="1" applyAlignment="1">
      <alignment vertical="center"/>
    </xf>
    <xf numFmtId="49" fontId="58" fillId="0" borderId="70" xfId="29" applyNumberFormat="1" applyFont="1" applyBorder="1" applyAlignment="1">
      <alignment vertical="center"/>
    </xf>
    <xf numFmtId="0" fontId="58" fillId="13" borderId="40" xfId="34" applyFont="1" applyFill="1" applyBorder="1" applyAlignment="1">
      <alignment horizontal="center" vertical="center" wrapText="1"/>
    </xf>
    <xf numFmtId="10" fontId="58" fillId="13" borderId="40" xfId="27" applyNumberFormat="1" applyFont="1" applyFill="1" applyBorder="1" applyAlignment="1">
      <alignment horizontal="center" vertical="center"/>
    </xf>
    <xf numFmtId="4" fontId="59" fillId="0" borderId="0" xfId="23" applyNumberFormat="1" applyFont="1" applyBorder="1"/>
    <xf numFmtId="10" fontId="58" fillId="0" borderId="10" xfId="27" applyNumberFormat="1" applyFont="1" applyBorder="1" applyAlignment="1">
      <alignment horizontal="center" vertical="center"/>
    </xf>
    <xf numFmtId="14" fontId="49" fillId="0" borderId="22" xfId="0" applyNumberFormat="1" applyFont="1" applyFill="1" applyBorder="1" applyAlignment="1">
      <alignment horizontal="center" vertical="center"/>
    </xf>
    <xf numFmtId="0" fontId="49" fillId="2" borderId="10" xfId="0" applyFont="1" applyFill="1" applyBorder="1" applyAlignment="1">
      <alignment horizontal="center" vertical="center"/>
    </xf>
    <xf numFmtId="4" fontId="49" fillId="2" borderId="10" xfId="0" applyNumberFormat="1" applyFont="1" applyFill="1" applyBorder="1" applyAlignment="1">
      <alignment vertical="center" wrapText="1"/>
    </xf>
    <xf numFmtId="4" fontId="49" fillId="0" borderId="10" xfId="0" applyNumberFormat="1" applyFont="1" applyFill="1" applyBorder="1" applyAlignment="1">
      <alignment horizontal="center" vertical="center"/>
    </xf>
    <xf numFmtId="10" fontId="49" fillId="2" borderId="10" xfId="27" applyNumberFormat="1" applyFont="1" applyFill="1" applyBorder="1" applyAlignment="1">
      <alignment vertical="center"/>
    </xf>
    <xf numFmtId="4" fontId="49" fillId="2" borderId="42" xfId="0" applyNumberFormat="1" applyFont="1" applyFill="1" applyBorder="1" applyAlignment="1">
      <alignment vertical="center"/>
    </xf>
    <xf numFmtId="4" fontId="49" fillId="0" borderId="10" xfId="0" applyNumberFormat="1" applyFont="1" applyFill="1" applyBorder="1" applyAlignment="1">
      <alignment vertical="center" wrapText="1"/>
    </xf>
    <xf numFmtId="4" fontId="49" fillId="0" borderId="42" xfId="0" applyNumberFormat="1" applyFont="1" applyFill="1" applyBorder="1" applyAlignment="1">
      <alignment vertical="center"/>
    </xf>
    <xf numFmtId="0" fontId="57" fillId="0" borderId="10" xfId="0" applyFont="1" applyFill="1" applyBorder="1"/>
    <xf numFmtId="10" fontId="58" fillId="13" borderId="19" xfId="27" applyNumberFormat="1" applyFont="1" applyFill="1" applyBorder="1" applyAlignment="1">
      <alignment vertical="center"/>
    </xf>
    <xf numFmtId="167" fontId="57" fillId="0" borderId="0" xfId="23" applyNumberFormat="1" applyFont="1" applyAlignment="1">
      <alignment vertical="center"/>
    </xf>
    <xf numFmtId="49" fontId="57" fillId="0" borderId="0" xfId="23" applyNumberFormat="1" applyFont="1" applyBorder="1" applyAlignment="1">
      <alignment vertical="center"/>
    </xf>
    <xf numFmtId="0" fontId="59" fillId="0" borderId="0" xfId="23" applyFont="1" applyBorder="1" applyAlignment="1">
      <alignment horizontal="center" vertical="center"/>
    </xf>
    <xf numFmtId="10" fontId="49" fillId="2" borderId="10" xfId="27" applyNumberFormat="1" applyFont="1" applyFill="1" applyBorder="1" applyAlignment="1">
      <alignment horizontal="center" vertical="center"/>
    </xf>
    <xf numFmtId="4" fontId="49" fillId="2" borderId="42" xfId="0" applyNumberFormat="1" applyFont="1" applyFill="1" applyBorder="1" applyAlignment="1">
      <alignment horizontal="center" vertical="center"/>
    </xf>
    <xf numFmtId="4" fontId="49" fillId="0" borderId="42" xfId="0" applyNumberFormat="1" applyFont="1" applyFill="1" applyBorder="1" applyAlignment="1">
      <alignment horizontal="center" vertical="center"/>
    </xf>
    <xf numFmtId="49" fontId="57" fillId="0" borderId="0" xfId="29" applyNumberFormat="1" applyFont="1" applyBorder="1" applyAlignment="1">
      <alignment horizontal="left" vertical="center" wrapText="1"/>
    </xf>
    <xf numFmtId="165" fontId="59" fillId="0" borderId="0" xfId="30" applyFont="1" applyFill="1" applyBorder="1" applyAlignment="1">
      <alignment horizontal="right" vertical="center"/>
    </xf>
    <xf numFmtId="167" fontId="59" fillId="0" borderId="0" xfId="31" applyFont="1" applyFill="1" applyBorder="1" applyAlignment="1">
      <alignment horizontal="right" vertical="center"/>
    </xf>
    <xf numFmtId="0" fontId="49" fillId="0" borderId="10" xfId="0" applyFont="1" applyBorder="1" applyAlignment="1">
      <alignment horizontal="center" vertical="center"/>
    </xf>
    <xf numFmtId="4" fontId="49" fillId="0" borderId="10" xfId="0" applyNumberFormat="1" applyFont="1" applyBorder="1" applyAlignment="1">
      <alignment horizontal="center" vertical="center"/>
    </xf>
    <xf numFmtId="10" fontId="49" fillId="0" borderId="10" xfId="27" applyNumberFormat="1" applyFont="1" applyBorder="1" applyAlignment="1">
      <alignment horizontal="center" vertical="center"/>
    </xf>
    <xf numFmtId="0" fontId="58" fillId="0" borderId="48" xfId="23" applyFont="1" applyBorder="1" applyAlignment="1">
      <alignment vertical="center"/>
    </xf>
    <xf numFmtId="0" fontId="58" fillId="0" borderId="68" xfId="23" applyFont="1" applyBorder="1" applyAlignment="1">
      <alignment vertical="center"/>
    </xf>
    <xf numFmtId="4" fontId="49" fillId="2" borderId="10" xfId="0" applyNumberFormat="1" applyFont="1" applyFill="1" applyBorder="1" applyAlignment="1">
      <alignment horizontal="right" vertical="center" wrapText="1"/>
    </xf>
    <xf numFmtId="4" fontId="49" fillId="0" borderId="10" xfId="0" applyNumberFormat="1" applyFont="1" applyFill="1" applyBorder="1" applyAlignment="1">
      <alignment horizontal="center" vertical="center" wrapText="1"/>
    </xf>
    <xf numFmtId="10" fontId="57" fillId="0" borderId="10" xfId="35" applyNumberFormat="1" applyFont="1" applyFill="1" applyBorder="1" applyAlignment="1">
      <alignment horizontal="center" vertical="center" wrapText="1"/>
    </xf>
    <xf numFmtId="4" fontId="57" fillId="0" borderId="42" xfId="0" applyNumberFormat="1" applyFont="1" applyFill="1" applyBorder="1" applyAlignment="1">
      <alignment horizontal="center" vertical="center"/>
    </xf>
    <xf numFmtId="0" fontId="58" fillId="13" borderId="39" xfId="29" applyFont="1" applyFill="1" applyBorder="1" applyAlignment="1">
      <alignment horizontal="center" vertical="center"/>
    </xf>
    <xf numFmtId="0" fontId="58" fillId="13" borderId="40" xfId="29" applyFont="1" applyFill="1" applyBorder="1" applyAlignment="1">
      <alignment horizontal="center" vertical="center" wrapText="1"/>
    </xf>
    <xf numFmtId="4" fontId="58" fillId="13" borderId="40" xfId="29" applyNumberFormat="1" applyFont="1" applyFill="1" applyBorder="1" applyAlignment="1">
      <alignment horizontal="center" vertical="center"/>
    </xf>
    <xf numFmtId="4" fontId="58" fillId="13" borderId="41" xfId="29" applyNumberFormat="1" applyFont="1" applyFill="1" applyBorder="1" applyAlignment="1">
      <alignment horizontal="center" vertical="center"/>
    </xf>
    <xf numFmtId="0" fontId="58" fillId="0" borderId="22" xfId="29" applyFont="1" applyFill="1" applyBorder="1" applyAlignment="1">
      <alignment horizontal="center" vertical="center"/>
    </xf>
    <xf numFmtId="0" fontId="58" fillId="0" borderId="10" xfId="29" applyFont="1" applyFill="1" applyBorder="1" applyAlignment="1">
      <alignment horizontal="center" vertical="center"/>
    </xf>
    <xf numFmtId="0" fontId="58" fillId="0" borderId="10" xfId="29" applyFont="1" applyFill="1" applyBorder="1" applyAlignment="1">
      <alignment horizontal="center" vertical="center" wrapText="1"/>
    </xf>
    <xf numFmtId="4" fontId="58" fillId="0" borderId="10" xfId="29" applyNumberFormat="1" applyFont="1" applyFill="1" applyBorder="1" applyAlignment="1">
      <alignment horizontal="center" vertical="center"/>
    </xf>
    <xf numFmtId="10" fontId="58" fillId="0" borderId="10" xfId="27" applyNumberFormat="1" applyFont="1" applyFill="1" applyBorder="1" applyAlignment="1">
      <alignment horizontal="center" vertical="center"/>
    </xf>
    <xf numFmtId="14" fontId="49" fillId="2" borderId="10" xfId="0" applyNumberFormat="1" applyFont="1" applyFill="1" applyBorder="1" applyAlignment="1">
      <alignment horizontal="center" vertical="center"/>
    </xf>
    <xf numFmtId="4" fontId="49" fillId="0" borderId="10" xfId="0" applyNumberFormat="1" applyFont="1" applyFill="1" applyBorder="1" applyAlignment="1">
      <alignment horizontal="right" vertical="center" wrapText="1"/>
    </xf>
    <xf numFmtId="0" fontId="57" fillId="0" borderId="10" xfId="0" applyFont="1" applyFill="1" applyBorder="1" applyAlignment="1">
      <alignment horizontal="center" vertical="center"/>
    </xf>
    <xf numFmtId="10" fontId="49" fillId="0" borderId="10" xfId="27" applyNumberFormat="1" applyFont="1" applyFill="1" applyBorder="1" applyAlignment="1">
      <alignment horizontal="center" vertical="center"/>
    </xf>
    <xf numFmtId="0" fontId="77" fillId="0" borderId="10" xfId="0" applyFont="1" applyFill="1" applyBorder="1" applyAlignment="1">
      <alignment horizontal="center" vertical="center" wrapText="1"/>
    </xf>
    <xf numFmtId="4" fontId="57" fillId="0" borderId="10" xfId="23" applyNumberFormat="1" applyFont="1" applyFill="1" applyBorder="1" applyAlignment="1">
      <alignment horizontal="center" vertical="center"/>
    </xf>
    <xf numFmtId="14" fontId="49" fillId="0" borderId="22" xfId="29" applyNumberFormat="1" applyFont="1" applyFill="1" applyBorder="1" applyAlignment="1">
      <alignment horizontal="center" vertical="center"/>
    </xf>
    <xf numFmtId="0" fontId="49" fillId="0" borderId="10" xfId="29" applyFont="1" applyFill="1" applyBorder="1" applyAlignment="1">
      <alignment horizontal="center" vertical="center"/>
    </xf>
    <xf numFmtId="4" fontId="49" fillId="0" borderId="10" xfId="29" applyNumberFormat="1" applyFont="1" applyFill="1" applyBorder="1" applyAlignment="1">
      <alignment horizontal="right" vertical="center" wrapText="1"/>
    </xf>
    <xf numFmtId="0" fontId="77" fillId="0" borderId="10" xfId="29" applyFont="1" applyFill="1" applyBorder="1" applyAlignment="1">
      <alignment horizontal="center" vertical="center" wrapText="1"/>
    </xf>
    <xf numFmtId="10" fontId="49" fillId="0" borderId="10" xfId="27" applyNumberFormat="1" applyFont="1" applyFill="1" applyBorder="1" applyAlignment="1">
      <alignment horizontal="left" vertical="center"/>
    </xf>
    <xf numFmtId="4" fontId="49" fillId="0" borderId="10" xfId="29" applyNumberFormat="1" applyFont="1" applyFill="1" applyBorder="1" applyAlignment="1">
      <alignment horizontal="center" vertical="center"/>
    </xf>
    <xf numFmtId="0" fontId="57" fillId="13" borderId="18" xfId="29" applyFont="1" applyFill="1" applyBorder="1" applyAlignment="1">
      <alignment horizontal="center" vertical="center"/>
    </xf>
    <xf numFmtId="0" fontId="58" fillId="13" borderId="19" xfId="29" applyFont="1" applyFill="1" applyBorder="1" applyAlignment="1">
      <alignment horizontal="center" vertical="center"/>
    </xf>
    <xf numFmtId="4" fontId="57" fillId="13" borderId="19" xfId="29" applyNumberFormat="1" applyFont="1" applyFill="1" applyBorder="1" applyAlignment="1">
      <alignment horizontal="center" vertical="center"/>
    </xf>
    <xf numFmtId="4" fontId="57" fillId="13" borderId="43" xfId="29" applyNumberFormat="1" applyFont="1" applyFill="1" applyBorder="1" applyAlignment="1">
      <alignment vertical="center"/>
    </xf>
    <xf numFmtId="167" fontId="57" fillId="12" borderId="0" xfId="23" applyNumberFormat="1" applyFont="1" applyFill="1" applyBorder="1" applyAlignment="1">
      <alignment vertical="center"/>
    </xf>
    <xf numFmtId="49" fontId="67" fillId="0" borderId="48" xfId="29" applyNumberFormat="1" applyFont="1" applyBorder="1" applyAlignment="1">
      <alignment vertical="center"/>
    </xf>
    <xf numFmtId="49" fontId="67" fillId="0" borderId="68" xfId="29" applyNumberFormat="1" applyFont="1" applyBorder="1" applyAlignment="1">
      <alignment vertical="center"/>
    </xf>
    <xf numFmtId="49" fontId="4" fillId="0" borderId="0" xfId="29" applyNumberFormat="1" applyFont="1" applyBorder="1" applyAlignment="1">
      <alignment vertical="top" wrapText="1"/>
    </xf>
    <xf numFmtId="0" fontId="58" fillId="0" borderId="22" xfId="0" applyFont="1" applyFill="1" applyBorder="1" applyAlignment="1">
      <alignment horizontal="center" vertical="center"/>
    </xf>
    <xf numFmtId="0" fontId="58" fillId="0" borderId="10" xfId="0" applyFont="1" applyFill="1" applyBorder="1" applyAlignment="1">
      <alignment horizontal="center" vertical="center"/>
    </xf>
    <xf numFmtId="0" fontId="58" fillId="0" borderId="10" xfId="0" applyFont="1" applyFill="1" applyBorder="1" applyAlignment="1">
      <alignment horizontal="center" vertical="center" wrapText="1"/>
    </xf>
    <xf numFmtId="4" fontId="58" fillId="0" borderId="10" xfId="0" applyNumberFormat="1" applyFont="1" applyFill="1" applyBorder="1" applyAlignment="1">
      <alignment horizontal="center" vertical="center"/>
    </xf>
    <xf numFmtId="4" fontId="58" fillId="0" borderId="42" xfId="0" applyNumberFormat="1" applyFont="1" applyFill="1" applyBorder="1" applyAlignment="1">
      <alignment horizontal="center" vertical="center"/>
    </xf>
    <xf numFmtId="14" fontId="75" fillId="3" borderId="22" xfId="0" applyNumberFormat="1" applyFont="1" applyFill="1" applyBorder="1" applyAlignment="1">
      <alignment horizontal="center" vertical="center"/>
    </xf>
    <xf numFmtId="4" fontId="75" fillId="3" borderId="42" xfId="0" applyNumberFormat="1" applyFont="1" applyFill="1" applyBorder="1" applyAlignment="1">
      <alignment vertical="center"/>
    </xf>
    <xf numFmtId="4" fontId="76" fillId="3" borderId="42" xfId="0" applyNumberFormat="1" applyFont="1" applyFill="1" applyBorder="1" applyAlignment="1">
      <alignment vertical="center"/>
    </xf>
    <xf numFmtId="167" fontId="4" fillId="12" borderId="0" xfId="23" applyNumberFormat="1" applyFill="1" applyBorder="1" applyAlignment="1">
      <alignment horizontal="center" vertical="center"/>
    </xf>
    <xf numFmtId="2" fontId="49" fillId="0" borderId="19" xfId="28" applyNumberFormat="1" applyFont="1" applyFill="1" applyBorder="1" applyAlignment="1" applyProtection="1">
      <alignment horizontal="right" vertical="center"/>
    </xf>
    <xf numFmtId="0" fontId="78" fillId="13" borderId="40" xfId="34" applyFont="1" applyFill="1" applyBorder="1" applyAlignment="1">
      <alignment horizontal="left" vertical="center" wrapText="1"/>
    </xf>
    <xf numFmtId="4" fontId="58" fillId="13" borderId="10" xfId="29" applyNumberFormat="1" applyFont="1" applyFill="1" applyBorder="1" applyAlignment="1">
      <alignment horizontal="center" vertical="center"/>
    </xf>
    <xf numFmtId="0" fontId="51" fillId="0" borderId="0" xfId="23" applyFont="1" applyBorder="1" applyAlignment="1">
      <alignment horizontal="center" vertical="center"/>
    </xf>
    <xf numFmtId="4" fontId="57" fillId="13" borderId="10" xfId="29" applyNumberFormat="1" applyFont="1" applyFill="1" applyBorder="1" applyAlignment="1">
      <alignment vertical="center"/>
    </xf>
    <xf numFmtId="0" fontId="80" fillId="0" borderId="10" xfId="36" applyFont="1" applyBorder="1" applyAlignment="1">
      <alignment horizontal="center" vertical="center" wrapText="1"/>
    </xf>
    <xf numFmtId="0" fontId="80" fillId="0" borderId="19" xfId="36" applyFont="1" applyBorder="1" applyAlignment="1">
      <alignment horizontal="center" vertical="center" wrapText="1"/>
    </xf>
    <xf numFmtId="0" fontId="78" fillId="13" borderId="40" xfId="34" applyFont="1" applyFill="1" applyBorder="1" applyAlignment="1">
      <alignment horizontal="center" vertical="center" wrapText="1"/>
    </xf>
    <xf numFmtId="4" fontId="58" fillId="0" borderId="42" xfId="29" applyNumberFormat="1" applyFont="1" applyFill="1" applyBorder="1" applyAlignment="1">
      <alignment horizontal="center" vertical="center"/>
    </xf>
    <xf numFmtId="14" fontId="57" fillId="0" borderId="22" xfId="29" applyNumberFormat="1" applyFont="1" applyFill="1" applyBorder="1" applyAlignment="1">
      <alignment horizontal="center" vertical="center"/>
    </xf>
    <xf numFmtId="0" fontId="57" fillId="0" borderId="10" xfId="29" applyFont="1" applyFill="1" applyBorder="1" applyAlignment="1">
      <alignment horizontal="center" vertical="center"/>
    </xf>
    <xf numFmtId="4" fontId="57" fillId="0" borderId="10" xfId="29" applyNumberFormat="1" applyFont="1" applyFill="1" applyBorder="1" applyAlignment="1">
      <alignment horizontal="right" vertical="center" wrapText="1"/>
    </xf>
    <xf numFmtId="0" fontId="57" fillId="0" borderId="10" xfId="29" applyFont="1" applyFill="1" applyBorder="1" applyAlignment="1">
      <alignment horizontal="center" vertical="center" wrapText="1"/>
    </xf>
    <xf numFmtId="10" fontId="57" fillId="0" borderId="10" xfId="27" applyNumberFormat="1" applyFont="1" applyFill="1" applyBorder="1" applyAlignment="1">
      <alignment vertical="center"/>
    </xf>
    <xf numFmtId="4" fontId="57" fillId="0" borderId="42" xfId="23" applyNumberFormat="1" applyFont="1" applyFill="1" applyBorder="1" applyAlignment="1">
      <alignment horizontal="center" vertical="center" wrapText="1"/>
    </xf>
    <xf numFmtId="14" fontId="49" fillId="0" borderId="0" xfId="0" applyNumberFormat="1" applyFont="1" applyBorder="1" applyAlignment="1">
      <alignment vertical="center"/>
    </xf>
    <xf numFmtId="4" fontId="57" fillId="0" borderId="42" xfId="29" applyNumberFormat="1" applyFont="1" applyFill="1" applyBorder="1" applyAlignment="1">
      <alignment horizontal="center" vertical="center" wrapText="1"/>
    </xf>
    <xf numFmtId="4" fontId="57" fillId="0" borderId="42" xfId="29" applyNumberFormat="1" applyFont="1" applyFill="1" applyBorder="1" applyAlignment="1">
      <alignment horizontal="center" vertical="center"/>
    </xf>
    <xf numFmtId="0" fontId="81" fillId="0" borderId="0" xfId="23" applyFont="1" applyBorder="1" applyAlignment="1">
      <alignment horizontal="center" vertical="center"/>
    </xf>
    <xf numFmtId="0" fontId="57" fillId="3" borderId="0" xfId="23" applyFont="1" applyFill="1" applyBorder="1"/>
    <xf numFmtId="167" fontId="4" fillId="3" borderId="0" xfId="23" applyNumberFormat="1" applyFill="1" applyBorder="1"/>
    <xf numFmtId="167" fontId="4" fillId="0" borderId="0" xfId="23" applyNumberFormat="1" applyBorder="1"/>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67" fillId="0" borderId="0" xfId="27" applyNumberFormat="1" applyFont="1" applyAlignment="1">
      <alignment vertical="center"/>
    </xf>
    <xf numFmtId="4" fontId="4" fillId="0" borderId="0" xfId="23" applyNumberFormat="1" applyFont="1" applyAlignment="1">
      <alignment vertical="center"/>
    </xf>
    <xf numFmtId="0" fontId="58" fillId="5" borderId="39" xfId="23" applyFont="1" applyFill="1" applyBorder="1" applyAlignment="1">
      <alignment horizontal="center" vertical="center"/>
    </xf>
    <xf numFmtId="0" fontId="58" fillId="5" borderId="41" xfId="23" applyFont="1" applyFill="1" applyBorder="1" applyAlignment="1">
      <alignment horizontal="center" vertical="center" wrapText="1"/>
    </xf>
    <xf numFmtId="167" fontId="4" fillId="0" borderId="0" xfId="23" applyNumberFormat="1" applyFont="1" applyAlignment="1">
      <alignment vertical="center"/>
    </xf>
    <xf numFmtId="0" fontId="58" fillId="2" borderId="10" xfId="0" applyFont="1" applyFill="1" applyBorder="1" applyAlignment="1">
      <alignment horizontal="center" vertical="center"/>
    </xf>
    <xf numFmtId="4" fontId="58" fillId="2" borderId="42" xfId="0" applyNumberFormat="1" applyFont="1" applyFill="1" applyBorder="1" applyAlignment="1">
      <alignment horizontal="center" vertical="center" wrapText="1"/>
    </xf>
    <xf numFmtId="0" fontId="57" fillId="0" borderId="22" xfId="37" applyNumberFormat="1" applyFont="1" applyFill="1" applyBorder="1" applyAlignment="1">
      <alignment horizontal="center" vertical="center"/>
    </xf>
    <xf numFmtId="0" fontId="57" fillId="0" borderId="10" xfId="26" applyFont="1" applyFill="1" applyBorder="1" applyAlignment="1">
      <alignment wrapText="1"/>
    </xf>
    <xf numFmtId="0" fontId="57" fillId="0" borderId="10" xfId="26" applyFont="1" applyFill="1" applyBorder="1" applyAlignment="1">
      <alignment horizontal="center" wrapText="1"/>
    </xf>
    <xf numFmtId="177" fontId="57" fillId="0" borderId="10" xfId="37" applyNumberFormat="1" applyFont="1" applyFill="1" applyBorder="1" applyAlignment="1">
      <alignment horizontal="right"/>
    </xf>
    <xf numFmtId="2" fontId="57" fillId="0" borderId="10" xfId="26" applyNumberFormat="1" applyFont="1" applyFill="1" applyBorder="1" applyAlignment="1">
      <alignment horizontal="right" wrapText="1"/>
    </xf>
    <xf numFmtId="165" fontId="57" fillId="0" borderId="42" xfId="30" applyFont="1" applyFill="1" applyBorder="1" applyAlignment="1">
      <alignment horizontal="left"/>
    </xf>
    <xf numFmtId="177" fontId="57" fillId="0" borderId="10" xfId="37" applyNumberFormat="1" applyFont="1" applyFill="1" applyBorder="1" applyAlignment="1">
      <alignment horizontal="right" vertical="center"/>
    </xf>
    <xf numFmtId="0" fontId="57" fillId="0" borderId="18" xfId="37" applyNumberFormat="1" applyFont="1" applyFill="1" applyBorder="1" applyAlignment="1">
      <alignment horizontal="center" vertical="center"/>
    </xf>
    <xf numFmtId="0" fontId="57" fillId="0" borderId="19" xfId="26" applyFont="1" applyFill="1" applyBorder="1" applyAlignment="1">
      <alignment wrapText="1"/>
    </xf>
    <xf numFmtId="0" fontId="57" fillId="0" borderId="19" xfId="26" applyFont="1" applyFill="1" applyBorder="1" applyAlignment="1">
      <alignment horizontal="center" wrapText="1"/>
    </xf>
    <xf numFmtId="177" fontId="57" fillId="0" borderId="19" xfId="37" applyNumberFormat="1" applyFont="1" applyFill="1" applyBorder="1" applyAlignment="1">
      <alignment horizontal="right" vertical="center"/>
    </xf>
    <xf numFmtId="2" fontId="57" fillId="0" borderId="19" xfId="26" applyNumberFormat="1" applyFont="1" applyFill="1" applyBorder="1" applyAlignment="1">
      <alignment horizontal="right" wrapText="1"/>
    </xf>
    <xf numFmtId="165" fontId="57" fillId="0" borderId="43" xfId="30" applyFont="1" applyFill="1" applyBorder="1" applyAlignment="1">
      <alignment horizontal="left"/>
    </xf>
    <xf numFmtId="0" fontId="57" fillId="0" borderId="22" xfId="23" applyNumberFormat="1" applyFont="1" applyFill="1" applyBorder="1" applyAlignment="1">
      <alignment horizontal="center" vertical="center"/>
    </xf>
    <xf numFmtId="0" fontId="58" fillId="13" borderId="40" xfId="0" applyFont="1" applyFill="1" applyBorder="1" applyAlignment="1">
      <alignment horizontal="left" vertical="center"/>
    </xf>
    <xf numFmtId="0" fontId="49" fillId="0" borderId="0" xfId="0" applyFont="1"/>
    <xf numFmtId="0" fontId="48" fillId="0" borderId="0" xfId="0" applyFont="1"/>
    <xf numFmtId="0" fontId="57" fillId="2" borderId="19" xfId="0" applyFont="1" applyFill="1" applyBorder="1" applyAlignment="1">
      <alignment horizontal="justify" vertical="center" wrapText="1"/>
    </xf>
    <xf numFmtId="43" fontId="57" fillId="2" borderId="19" xfId="3" applyNumberFormat="1" applyFont="1" applyFill="1" applyBorder="1" applyAlignment="1">
      <alignment horizontal="center" vertical="center" wrapText="1"/>
    </xf>
    <xf numFmtId="0" fontId="57" fillId="0" borderId="39" xfId="23" applyFont="1" applyBorder="1"/>
    <xf numFmtId="0" fontId="58" fillId="18" borderId="40" xfId="23" applyFont="1" applyFill="1" applyBorder="1" applyAlignment="1">
      <alignment horizontal="center" vertical="center"/>
    </xf>
    <xf numFmtId="0" fontId="57" fillId="0" borderId="22" xfId="23" applyFont="1" applyBorder="1"/>
    <xf numFmtId="0" fontId="58" fillId="0" borderId="10" xfId="23" applyFont="1" applyFill="1" applyBorder="1" applyAlignment="1">
      <alignment horizontal="center" vertical="center" wrapText="1"/>
    </xf>
    <xf numFmtId="0" fontId="58" fillId="0" borderId="22" xfId="23" applyFont="1" applyBorder="1" applyAlignment="1">
      <alignment vertical="center"/>
    </xf>
    <xf numFmtId="0" fontId="57" fillId="0" borderId="10" xfId="23" applyNumberFormat="1" applyFont="1" applyBorder="1" applyAlignment="1">
      <alignment horizontal="center" vertical="center"/>
    </xf>
    <xf numFmtId="0" fontId="58" fillId="0" borderId="18" xfId="23" applyFont="1" applyBorder="1" applyAlignment="1">
      <alignment vertical="center"/>
    </xf>
    <xf numFmtId="0" fontId="57" fillId="0" borderId="19" xfId="23" applyNumberFormat="1" applyFont="1" applyFill="1" applyBorder="1" applyAlignment="1">
      <alignment horizontal="center" vertical="center"/>
    </xf>
    <xf numFmtId="0" fontId="49" fillId="0" borderId="19" xfId="28" applyNumberFormat="1" applyFont="1" applyFill="1" applyBorder="1" applyAlignment="1" applyProtection="1">
      <alignment horizontal="right" vertical="center"/>
    </xf>
    <xf numFmtId="0" fontId="57" fillId="0" borderId="19" xfId="23" applyNumberFormat="1" applyFont="1" applyBorder="1" applyAlignment="1">
      <alignment horizontal="center" vertical="center"/>
    </xf>
    <xf numFmtId="0" fontId="57" fillId="0" borderId="39" xfId="23" applyFont="1" applyFill="1" applyBorder="1" applyAlignment="1">
      <alignment vertical="center"/>
    </xf>
    <xf numFmtId="0" fontId="57" fillId="0" borderId="22" xfId="23" applyFont="1" applyFill="1" applyBorder="1" applyAlignment="1">
      <alignment vertical="center"/>
    </xf>
    <xf numFmtId="0" fontId="57" fillId="0" borderId="10" xfId="29" applyNumberFormat="1" applyFont="1" applyFill="1" applyBorder="1" applyAlignment="1">
      <alignment horizontal="center" vertical="center"/>
    </xf>
    <xf numFmtId="49" fontId="58" fillId="0" borderId="70" xfId="29" applyNumberFormat="1" applyFont="1" applyBorder="1" applyAlignment="1">
      <alignment horizontal="left" vertical="center"/>
    </xf>
    <xf numFmtId="0" fontId="57" fillId="0" borderId="5" xfId="0" applyFont="1" applyBorder="1" applyAlignment="1">
      <alignment vertical="center"/>
    </xf>
    <xf numFmtId="0" fontId="58" fillId="0" borderId="0" xfId="0" applyFont="1" applyAlignment="1">
      <alignment vertical="center"/>
    </xf>
    <xf numFmtId="0" fontId="57" fillId="0" borderId="0" xfId="0" applyFont="1" applyAlignment="1">
      <alignment vertical="center"/>
    </xf>
    <xf numFmtId="0" fontId="82" fillId="6" borderId="0" xfId="23" applyFont="1" applyFill="1"/>
    <xf numFmtId="49" fontId="83" fillId="2" borderId="69" xfId="23" applyNumberFormat="1" applyFont="1" applyFill="1" applyBorder="1" applyAlignment="1">
      <alignment vertical="center" wrapText="1"/>
    </xf>
    <xf numFmtId="0" fontId="4" fillId="2" borderId="0" xfId="23" applyFill="1" applyBorder="1" applyAlignment="1">
      <alignment vertical="center" wrapText="1"/>
    </xf>
    <xf numFmtId="0" fontId="4" fillId="2" borderId="70" xfId="23" applyFill="1" applyBorder="1" applyAlignment="1">
      <alignment vertical="center" wrapText="1"/>
    </xf>
    <xf numFmtId="2" fontId="57" fillId="2" borderId="10" xfId="23" applyNumberFormat="1" applyFont="1" applyFill="1" applyBorder="1" applyAlignment="1">
      <alignment horizontal="right"/>
    </xf>
    <xf numFmtId="4" fontId="57" fillId="0" borderId="42" xfId="23" applyNumberFormat="1" applyFont="1" applyBorder="1" applyAlignment="1">
      <alignment horizontal="right"/>
    </xf>
    <xf numFmtId="0" fontId="57" fillId="0" borderId="22" xfId="23" applyNumberFormat="1" applyFont="1" applyBorder="1" applyAlignment="1">
      <alignment horizontal="center"/>
    </xf>
    <xf numFmtId="2" fontId="57" fillId="0" borderId="10" xfId="23" applyNumberFormat="1" applyFont="1" applyBorder="1" applyAlignment="1">
      <alignment horizontal="right"/>
    </xf>
    <xf numFmtId="0" fontId="57" fillId="0" borderId="18" xfId="23" applyNumberFormat="1" applyFont="1" applyBorder="1" applyAlignment="1">
      <alignment horizontal="center"/>
    </xf>
    <xf numFmtId="2" fontId="57" fillId="0" borderId="19" xfId="23" applyNumberFormat="1" applyFont="1" applyBorder="1" applyAlignment="1">
      <alignment horizontal="right"/>
    </xf>
    <xf numFmtId="4" fontId="57" fillId="0" borderId="43" xfId="23" applyNumberFormat="1" applyFont="1" applyBorder="1" applyAlignment="1">
      <alignment horizontal="right"/>
    </xf>
    <xf numFmtId="165" fontId="58" fillId="24" borderId="52" xfId="30" applyFont="1" applyFill="1" applyBorder="1" applyAlignment="1">
      <alignment horizontal="right" vertical="center"/>
    </xf>
    <xf numFmtId="167" fontId="58" fillId="24" borderId="46" xfId="31" applyFont="1" applyFill="1" applyBorder="1" applyAlignment="1">
      <alignment horizontal="right" vertical="center"/>
    </xf>
    <xf numFmtId="49" fontId="57" fillId="0" borderId="69" xfId="23" applyNumberFormat="1" applyFont="1" applyBorder="1" applyAlignment="1">
      <alignment vertical="top"/>
    </xf>
    <xf numFmtId="167" fontId="58" fillId="0" borderId="70" xfId="31" applyFont="1" applyFill="1" applyBorder="1" applyAlignment="1">
      <alignment horizontal="right" vertical="center"/>
    </xf>
    <xf numFmtId="165" fontId="58" fillId="2" borderId="0" xfId="30" applyFont="1" applyFill="1" applyBorder="1" applyAlignment="1">
      <alignment horizontal="right" vertical="center"/>
    </xf>
    <xf numFmtId="167" fontId="58" fillId="2" borderId="70" xfId="31" applyFont="1" applyFill="1" applyBorder="1" applyAlignment="1">
      <alignment horizontal="right" vertical="center"/>
    </xf>
    <xf numFmtId="2" fontId="57" fillId="0" borderId="42" xfId="23" applyNumberFormat="1" applyFont="1" applyBorder="1" applyAlignment="1">
      <alignment horizontal="right" wrapText="1"/>
    </xf>
    <xf numFmtId="0" fontId="57" fillId="0" borderId="0" xfId="23" applyFont="1" applyBorder="1" applyAlignment="1">
      <alignment horizontal="right" wrapText="1"/>
    </xf>
    <xf numFmtId="0" fontId="57" fillId="0" borderId="43" xfId="23" applyFont="1" applyBorder="1" applyAlignment="1">
      <alignment horizontal="right" wrapText="1"/>
    </xf>
    <xf numFmtId="0" fontId="57" fillId="0" borderId="70" xfId="23" applyFont="1" applyBorder="1"/>
    <xf numFmtId="166" fontId="57" fillId="0" borderId="10" xfId="23" applyNumberFormat="1" applyFont="1" applyBorder="1" applyAlignment="1">
      <alignment horizontal="right"/>
    </xf>
    <xf numFmtId="49" fontId="57" fillId="2" borderId="0" xfId="23" applyNumberFormat="1" applyFont="1" applyFill="1" applyBorder="1" applyAlignment="1">
      <alignment horizontal="left" vertical="top" wrapText="1"/>
    </xf>
    <xf numFmtId="49" fontId="57" fillId="2" borderId="70" xfId="23" applyNumberFormat="1" applyFont="1" applyFill="1" applyBorder="1" applyAlignment="1">
      <alignment horizontal="left" vertical="top" wrapText="1"/>
    </xf>
    <xf numFmtId="0" fontId="57" fillId="0" borderId="52" xfId="23" applyNumberFormat="1" applyFont="1" applyBorder="1" applyAlignment="1">
      <alignment horizontal="center"/>
    </xf>
    <xf numFmtId="0" fontId="57" fillId="0" borderId="53" xfId="26" applyFont="1" applyFill="1" applyBorder="1" applyAlignment="1">
      <alignment wrapText="1"/>
    </xf>
    <xf numFmtId="0" fontId="57" fillId="0" borderId="53" xfId="26" applyFont="1" applyFill="1" applyBorder="1" applyAlignment="1">
      <alignment horizontal="center" wrapText="1"/>
    </xf>
    <xf numFmtId="2" fontId="57" fillId="0" borderId="53" xfId="23" applyNumberFormat="1" applyFont="1" applyBorder="1" applyAlignment="1">
      <alignment horizontal="right"/>
    </xf>
    <xf numFmtId="2" fontId="57" fillId="0" borderId="53" xfId="26" applyNumberFormat="1" applyFont="1" applyFill="1" applyBorder="1" applyAlignment="1">
      <alignment horizontal="right" wrapText="1"/>
    </xf>
    <xf numFmtId="4" fontId="57" fillId="0" borderId="46" xfId="23" applyNumberFormat="1" applyFont="1" applyBorder="1" applyAlignment="1">
      <alignment horizontal="right"/>
    </xf>
    <xf numFmtId="49" fontId="57" fillId="0" borderId="22" xfId="23" applyNumberFormat="1" applyFont="1" applyFill="1" applyBorder="1" applyAlignment="1">
      <alignment horizontal="center"/>
    </xf>
    <xf numFmtId="0" fontId="57" fillId="0" borderId="10" xfId="38" applyFont="1" applyFill="1" applyBorder="1" applyAlignment="1">
      <alignment horizontal="left" wrapText="1"/>
    </xf>
    <xf numFmtId="0" fontId="57" fillId="0" borderId="10" xfId="38" applyFont="1" applyFill="1" applyBorder="1" applyAlignment="1">
      <alignment horizontal="center" wrapText="1"/>
    </xf>
    <xf numFmtId="2" fontId="57" fillId="0" borderId="10" xfId="38" applyNumberFormat="1" applyFont="1" applyFill="1" applyBorder="1" applyAlignment="1">
      <alignment horizontal="right" wrapText="1"/>
    </xf>
    <xf numFmtId="0" fontId="57" fillId="0" borderId="10" xfId="38" applyFont="1" applyFill="1" applyBorder="1" applyAlignment="1">
      <alignment horizontal="right" wrapText="1"/>
    </xf>
    <xf numFmtId="0" fontId="57" fillId="0" borderId="42" xfId="38" applyFont="1" applyFill="1" applyBorder="1" applyAlignment="1">
      <alignment horizontal="right" wrapText="1"/>
    </xf>
    <xf numFmtId="0" fontId="57" fillId="0" borderId="25" xfId="23" applyNumberFormat="1" applyFont="1" applyBorder="1" applyAlignment="1">
      <alignment horizontal="center"/>
    </xf>
    <xf numFmtId="0" fontId="57" fillId="0" borderId="31" xfId="26" applyFont="1" applyFill="1" applyBorder="1" applyAlignment="1">
      <alignment wrapText="1"/>
    </xf>
    <xf numFmtId="0" fontId="57" fillId="0" borderId="31" xfId="26" applyFont="1" applyFill="1" applyBorder="1" applyAlignment="1">
      <alignment horizontal="center" wrapText="1"/>
    </xf>
    <xf numFmtId="2" fontId="57" fillId="0" borderId="31" xfId="23" applyNumberFormat="1" applyFont="1" applyBorder="1" applyAlignment="1">
      <alignment horizontal="right"/>
    </xf>
    <xf numFmtId="2" fontId="57" fillId="0" borderId="31" xfId="26" applyNumberFormat="1" applyFont="1" applyFill="1" applyBorder="1" applyAlignment="1">
      <alignment horizontal="right" wrapText="1"/>
    </xf>
    <xf numFmtId="4" fontId="57" fillId="0" borderId="44" xfId="23" applyNumberFormat="1" applyFont="1" applyBorder="1" applyAlignment="1">
      <alignment horizontal="right"/>
    </xf>
    <xf numFmtId="165" fontId="58" fillId="24" borderId="11" xfId="30" applyFont="1" applyFill="1" applyBorder="1" applyAlignment="1">
      <alignment horizontal="right" vertical="center"/>
    </xf>
    <xf numFmtId="167" fontId="58" fillId="24" borderId="29" xfId="31" applyFont="1" applyFill="1" applyBorder="1" applyAlignment="1">
      <alignment horizontal="right" vertical="center"/>
    </xf>
    <xf numFmtId="0" fontId="77" fillId="0" borderId="10" xfId="0" applyFont="1" applyBorder="1" applyAlignment="1">
      <alignment horizontal="center" vertical="center" wrapText="1"/>
    </xf>
    <xf numFmtId="4" fontId="49" fillId="0" borderId="42" xfId="0" applyNumberFormat="1" applyFont="1" applyBorder="1" applyAlignment="1">
      <alignment vertical="center"/>
    </xf>
    <xf numFmtId="14" fontId="49" fillId="0" borderId="22" xfId="0" applyNumberFormat="1" applyFont="1" applyBorder="1" applyAlignment="1">
      <alignment vertical="center"/>
    </xf>
    <xf numFmtId="14" fontId="49" fillId="0" borderId="18" xfId="0" applyNumberFormat="1" applyFont="1" applyFill="1" applyBorder="1" applyAlignment="1">
      <alignment vertical="center"/>
    </xf>
    <xf numFmtId="4" fontId="58" fillId="13" borderId="10" xfId="0" applyNumberFormat="1" applyFont="1" applyFill="1" applyBorder="1" applyAlignment="1">
      <alignment vertical="center" wrapText="1"/>
    </xf>
    <xf numFmtId="49" fontId="58" fillId="0" borderId="69" xfId="23" applyNumberFormat="1" applyFont="1" applyFill="1" applyBorder="1" applyAlignment="1">
      <alignment vertical="center" wrapText="1"/>
    </xf>
    <xf numFmtId="0" fontId="57" fillId="0" borderId="0" xfId="23" applyFont="1" applyFill="1" applyBorder="1" applyAlignment="1">
      <alignment vertical="center" wrapText="1"/>
    </xf>
    <xf numFmtId="0" fontId="57" fillId="0" borderId="70" xfId="23" applyFont="1" applyFill="1" applyBorder="1" applyAlignment="1">
      <alignment vertical="center" wrapText="1"/>
    </xf>
    <xf numFmtId="0" fontId="57" fillId="0" borderId="10" xfId="23" applyFont="1" applyBorder="1" applyAlignment="1">
      <alignment horizontal="center"/>
    </xf>
    <xf numFmtId="165" fontId="49" fillId="0" borderId="10" xfId="28" applyFont="1" applyFill="1" applyBorder="1" applyAlignment="1">
      <alignment horizontal="center"/>
    </xf>
    <xf numFmtId="0" fontId="57" fillId="0" borderId="22" xfId="23" applyNumberFormat="1" applyFont="1" applyFill="1" applyBorder="1" applyAlignment="1">
      <alignment horizontal="center"/>
    </xf>
    <xf numFmtId="2" fontId="57" fillId="0" borderId="10" xfId="23" applyNumberFormat="1" applyFont="1" applyFill="1" applyBorder="1" applyAlignment="1">
      <alignment horizontal="right"/>
    </xf>
    <xf numFmtId="0" fontId="57" fillId="0" borderId="18" xfId="23" applyFont="1" applyBorder="1" applyAlignment="1">
      <alignment horizontal="center" wrapText="1"/>
    </xf>
    <xf numFmtId="165" fontId="49" fillId="0" borderId="10" xfId="28" applyFont="1" applyFill="1" applyBorder="1" applyAlignment="1">
      <alignment horizontal="right"/>
    </xf>
    <xf numFmtId="0" fontId="57" fillId="0" borderId="22" xfId="23" applyFont="1" applyFill="1" applyBorder="1" applyAlignment="1">
      <alignment horizontal="center"/>
    </xf>
    <xf numFmtId="0" fontId="57" fillId="0" borderId="42" xfId="23" applyFont="1" applyFill="1" applyBorder="1" applyAlignment="1">
      <alignment horizontal="right"/>
    </xf>
    <xf numFmtId="0" fontId="57" fillId="0" borderId="18" xfId="23" applyNumberFormat="1" applyFont="1" applyFill="1" applyBorder="1" applyAlignment="1">
      <alignment horizontal="center"/>
    </xf>
    <xf numFmtId="2" fontId="57" fillId="0" borderId="19" xfId="23" applyNumberFormat="1" applyFont="1" applyFill="1" applyBorder="1" applyAlignment="1">
      <alignment horizontal="right"/>
    </xf>
    <xf numFmtId="4" fontId="57" fillId="0" borderId="43" xfId="23" applyNumberFormat="1" applyFont="1" applyFill="1" applyBorder="1" applyAlignment="1">
      <alignment horizontal="right"/>
    </xf>
    <xf numFmtId="167" fontId="58" fillId="24" borderId="46" xfId="31" applyFont="1" applyFill="1" applyBorder="1" applyAlignment="1">
      <alignment vertical="center"/>
    </xf>
    <xf numFmtId="49" fontId="57" fillId="0" borderId="69" xfId="23" applyNumberFormat="1" applyFont="1" applyBorder="1" applyAlignment="1">
      <alignment vertical="top" wrapText="1"/>
    </xf>
    <xf numFmtId="49" fontId="57" fillId="0" borderId="0" xfId="23" applyNumberFormat="1" applyFont="1" applyBorder="1" applyAlignment="1">
      <alignment vertical="top" wrapText="1"/>
    </xf>
    <xf numFmtId="49" fontId="57" fillId="0" borderId="70" xfId="23" applyNumberFormat="1" applyFont="1" applyBorder="1" applyAlignment="1">
      <alignment vertical="top" wrapText="1"/>
    </xf>
    <xf numFmtId="165" fontId="58" fillId="24" borderId="9" xfId="30" applyFont="1" applyFill="1" applyBorder="1" applyAlignment="1">
      <alignment horizontal="right" vertical="center"/>
    </xf>
    <xf numFmtId="167" fontId="58" fillId="24" borderId="76" xfId="31" applyFont="1" applyFill="1" applyBorder="1" applyAlignment="1">
      <alignment vertical="center"/>
    </xf>
    <xf numFmtId="10" fontId="49" fillId="0" borderId="10" xfId="27" applyNumberFormat="1" applyFont="1" applyFill="1" applyBorder="1" applyAlignment="1">
      <alignment vertical="center"/>
    </xf>
    <xf numFmtId="2" fontId="49" fillId="0" borderId="10" xfId="0" applyNumberFormat="1" applyFont="1" applyFill="1" applyBorder="1" applyAlignment="1">
      <alignment horizontal="right"/>
    </xf>
    <xf numFmtId="2" fontId="49" fillId="0" borderId="19" xfId="0" applyNumberFormat="1" applyFont="1" applyFill="1" applyBorder="1" applyAlignment="1">
      <alignment horizontal="right"/>
    </xf>
    <xf numFmtId="49" fontId="57" fillId="2" borderId="69" xfId="23" applyNumberFormat="1" applyFont="1" applyFill="1" applyBorder="1" applyAlignment="1">
      <alignment vertical="top" wrapText="1"/>
    </xf>
    <xf numFmtId="49" fontId="57" fillId="2" borderId="0" xfId="23" applyNumberFormat="1" applyFont="1" applyFill="1" applyBorder="1" applyAlignment="1">
      <alignment vertical="top" wrapText="1"/>
    </xf>
    <xf numFmtId="2" fontId="57" fillId="0" borderId="10" xfId="0" applyNumberFormat="1" applyFont="1" applyFill="1" applyBorder="1" applyAlignment="1">
      <alignment horizontal="right"/>
    </xf>
    <xf numFmtId="2" fontId="57" fillId="0" borderId="19" xfId="0" applyNumberFormat="1" applyFont="1" applyFill="1" applyBorder="1" applyAlignment="1">
      <alignment horizontal="right"/>
    </xf>
    <xf numFmtId="49" fontId="57" fillId="0" borderId="22" xfId="23" applyNumberFormat="1" applyFont="1" applyFill="1" applyBorder="1" applyAlignment="1">
      <alignment horizontal="center" vertical="center"/>
    </xf>
    <xf numFmtId="0" fontId="57" fillId="0" borderId="10" xfId="23" applyFont="1" applyFill="1" applyBorder="1" applyAlignment="1">
      <alignment horizontal="center"/>
    </xf>
    <xf numFmtId="0" fontId="84" fillId="0" borderId="0" xfId="23" applyFont="1" applyBorder="1"/>
    <xf numFmtId="166" fontId="57" fillId="0" borderId="10" xfId="23" applyNumberFormat="1" applyFont="1" applyFill="1" applyBorder="1" applyAlignment="1">
      <alignment horizontal="right"/>
    </xf>
    <xf numFmtId="4" fontId="57" fillId="0" borderId="42" xfId="23" applyNumberFormat="1" applyFont="1" applyFill="1" applyBorder="1" applyAlignment="1">
      <alignment horizontal="right"/>
    </xf>
    <xf numFmtId="0" fontId="4" fillId="0" borderId="69" xfId="23" applyBorder="1"/>
    <xf numFmtId="0" fontId="4" fillId="0" borderId="70" xfId="23" applyBorder="1"/>
    <xf numFmtId="0" fontId="57" fillId="2" borderId="22" xfId="23" applyNumberFormat="1" applyFont="1" applyFill="1" applyBorder="1" applyAlignment="1">
      <alignment horizontal="center"/>
    </xf>
    <xf numFmtId="2" fontId="57" fillId="0" borderId="10" xfId="26" applyNumberFormat="1" applyFont="1" applyFill="1" applyBorder="1" applyAlignment="1">
      <alignment horizontal="right"/>
    </xf>
    <xf numFmtId="49" fontId="57" fillId="2" borderId="0" xfId="23" applyNumberFormat="1" applyFont="1" applyFill="1" applyBorder="1" applyAlignment="1">
      <alignment horizontal="left" vertical="center" wrapText="1"/>
    </xf>
    <xf numFmtId="49" fontId="57" fillId="2" borderId="70" xfId="23" applyNumberFormat="1" applyFont="1" applyFill="1" applyBorder="1" applyAlignment="1">
      <alignment horizontal="left" vertical="center" wrapText="1"/>
    </xf>
    <xf numFmtId="0" fontId="69" fillId="0" borderId="0" xfId="39" applyFont="1" applyFill="1" applyAlignment="1">
      <alignment vertical="center"/>
    </xf>
    <xf numFmtId="0" fontId="57" fillId="0" borderId="0" xfId="39" applyFont="1" applyFill="1" applyBorder="1" applyAlignment="1">
      <alignment vertical="center" wrapText="1"/>
    </xf>
    <xf numFmtId="0" fontId="57" fillId="0" borderId="70" xfId="39" applyFont="1" applyFill="1" applyBorder="1" applyAlignment="1">
      <alignment vertical="center" wrapText="1"/>
    </xf>
    <xf numFmtId="0" fontId="4" fillId="0" borderId="0" xfId="39" applyBorder="1"/>
    <xf numFmtId="0" fontId="4" fillId="0" borderId="0" xfId="39"/>
    <xf numFmtId="0" fontId="57" fillId="0" borderId="22" xfId="39" applyNumberFormat="1" applyFont="1" applyBorder="1" applyAlignment="1">
      <alignment horizontal="center"/>
    </xf>
    <xf numFmtId="2" fontId="57" fillId="0" borderId="10" xfId="39" applyNumberFormat="1" applyFont="1" applyBorder="1" applyAlignment="1">
      <alignment horizontal="right"/>
    </xf>
    <xf numFmtId="4" fontId="57" fillId="0" borderId="42" xfId="39" applyNumberFormat="1" applyFont="1" applyBorder="1" applyAlignment="1">
      <alignment horizontal="right"/>
    </xf>
    <xf numFmtId="0" fontId="57" fillId="0" borderId="18" xfId="39" applyNumberFormat="1" applyFont="1" applyBorder="1" applyAlignment="1">
      <alignment horizontal="center"/>
    </xf>
    <xf numFmtId="2" fontId="57" fillId="0" borderId="19" xfId="39" applyNumberFormat="1" applyFont="1" applyBorder="1" applyAlignment="1">
      <alignment horizontal="right"/>
    </xf>
    <xf numFmtId="4" fontId="57" fillId="0" borderId="43" xfId="39" applyNumberFormat="1" applyFont="1" applyBorder="1" applyAlignment="1">
      <alignment horizontal="right"/>
    </xf>
    <xf numFmtId="2" fontId="57" fillId="0" borderId="79" xfId="26" applyNumberFormat="1" applyFont="1" applyFill="1" applyBorder="1" applyAlignment="1">
      <alignment horizontal="right" wrapText="1"/>
    </xf>
    <xf numFmtId="0" fontId="57" fillId="0" borderId="22" xfId="0" applyNumberFormat="1" applyFont="1" applyFill="1" applyBorder="1" applyAlignment="1">
      <alignment horizontal="center"/>
    </xf>
    <xf numFmtId="4" fontId="49" fillId="0" borderId="42" xfId="0" applyNumberFormat="1" applyFont="1" applyFill="1" applyBorder="1" applyAlignment="1">
      <alignment horizontal="right"/>
    </xf>
    <xf numFmtId="49" fontId="57" fillId="2" borderId="69" xfId="0" applyNumberFormat="1" applyFont="1" applyFill="1" applyBorder="1" applyAlignment="1">
      <alignment horizontal="left" vertical="top" wrapText="1"/>
    </xf>
    <xf numFmtId="49" fontId="57" fillId="2" borderId="0" xfId="0" applyNumberFormat="1" applyFont="1" applyFill="1" applyBorder="1" applyAlignment="1">
      <alignment horizontal="left" vertical="top" wrapText="1"/>
    </xf>
    <xf numFmtId="2" fontId="57" fillId="2" borderId="19" xfId="23" applyNumberFormat="1" applyFont="1" applyFill="1" applyBorder="1" applyAlignment="1">
      <alignment horizontal="right"/>
    </xf>
    <xf numFmtId="0" fontId="57" fillId="0" borderId="10" xfId="23" applyFont="1" applyFill="1" applyBorder="1" applyAlignment="1">
      <alignment horizontal="left" wrapText="1"/>
    </xf>
    <xf numFmtId="0" fontId="57" fillId="0" borderId="69" xfId="23" applyFont="1" applyBorder="1"/>
    <xf numFmtId="49" fontId="57" fillId="2" borderId="69" xfId="0" applyNumberFormat="1" applyFont="1" applyFill="1" applyBorder="1" applyAlignment="1">
      <alignment vertical="top"/>
    </xf>
    <xf numFmtId="49" fontId="57" fillId="0" borderId="0" xfId="0" applyNumberFormat="1" applyFont="1" applyBorder="1" applyAlignment="1">
      <alignment vertical="top" wrapText="1"/>
    </xf>
    <xf numFmtId="165" fontId="58" fillId="2" borderId="80" xfId="30" applyFont="1" applyFill="1" applyBorder="1" applyAlignment="1">
      <alignment horizontal="right" vertical="center"/>
    </xf>
    <xf numFmtId="167" fontId="58" fillId="2" borderId="81" xfId="31" applyFont="1" applyFill="1" applyBorder="1" applyAlignment="1">
      <alignment horizontal="right" vertical="center"/>
    </xf>
    <xf numFmtId="166" fontId="49" fillId="0" borderId="10" xfId="0" applyNumberFormat="1" applyFont="1" applyFill="1" applyBorder="1" applyAlignment="1">
      <alignment horizontal="right"/>
    </xf>
    <xf numFmtId="166" fontId="57" fillId="0" borderId="19" xfId="23" applyNumberFormat="1" applyFont="1" applyBorder="1" applyAlignment="1">
      <alignment horizontal="right"/>
    </xf>
    <xf numFmtId="49" fontId="57" fillId="2" borderId="70" xfId="0" applyNumberFormat="1" applyFont="1" applyFill="1" applyBorder="1" applyAlignment="1">
      <alignment horizontal="left" vertical="top" wrapText="1"/>
    </xf>
    <xf numFmtId="0" fontId="57" fillId="0" borderId="0" xfId="23" applyFont="1" applyBorder="1" applyAlignment="1">
      <alignment horizontal="left" wrapText="1"/>
    </xf>
    <xf numFmtId="166" fontId="4" fillId="0" borderId="0" xfId="23" applyNumberFormat="1"/>
    <xf numFmtId="0" fontId="57" fillId="2" borderId="22" xfId="0" applyNumberFormat="1" applyFont="1" applyFill="1" applyBorder="1" applyAlignment="1">
      <alignment horizontal="center"/>
    </xf>
    <xf numFmtId="0" fontId="57" fillId="2" borderId="10" xfId="26" applyFont="1" applyFill="1" applyBorder="1" applyAlignment="1">
      <alignment wrapText="1"/>
    </xf>
    <xf numFmtId="49" fontId="57" fillId="0" borderId="22" xfId="0" applyNumberFormat="1" applyFont="1" applyFill="1" applyBorder="1" applyAlignment="1">
      <alignment horizontal="center" vertical="center"/>
    </xf>
    <xf numFmtId="0" fontId="57" fillId="0" borderId="10" xfId="0" applyFont="1" applyFill="1" applyBorder="1" applyAlignment="1">
      <alignment horizontal="left" wrapText="1"/>
    </xf>
    <xf numFmtId="0" fontId="57" fillId="0" borderId="10" xfId="0" applyFont="1" applyFill="1" applyBorder="1" applyAlignment="1">
      <alignment horizontal="center"/>
    </xf>
    <xf numFmtId="165" fontId="58" fillId="2" borderId="0" xfId="40" applyFont="1" applyFill="1" applyBorder="1" applyAlignment="1">
      <alignment horizontal="right" vertical="center"/>
    </xf>
    <xf numFmtId="167" fontId="58" fillId="2" borderId="70" xfId="24" applyFont="1" applyFill="1" applyBorder="1" applyAlignment="1">
      <alignment horizontal="right" vertical="center"/>
    </xf>
    <xf numFmtId="0" fontId="58" fillId="2" borderId="22" xfId="0" applyFont="1" applyFill="1" applyBorder="1" applyAlignment="1">
      <alignment horizontal="center" vertical="center"/>
    </xf>
    <xf numFmtId="4" fontId="58" fillId="2" borderId="10" xfId="0" applyNumberFormat="1" applyFont="1" applyFill="1" applyBorder="1" applyAlignment="1">
      <alignment horizontal="center" vertical="center"/>
    </xf>
    <xf numFmtId="10" fontId="58" fillId="2" borderId="10" xfId="27" applyNumberFormat="1" applyFont="1" applyFill="1" applyBorder="1" applyAlignment="1">
      <alignment horizontal="center" vertical="center"/>
    </xf>
    <xf numFmtId="4" fontId="49" fillId="25" borderId="10" xfId="0" applyNumberFormat="1" applyFont="1" applyFill="1" applyBorder="1" applyAlignment="1">
      <alignment vertical="center" wrapText="1"/>
    </xf>
    <xf numFmtId="49" fontId="58" fillId="0" borderId="69" xfId="39" applyNumberFormat="1" applyFont="1" applyFill="1" applyBorder="1" applyAlignment="1">
      <alignment vertical="center" wrapText="1"/>
    </xf>
    <xf numFmtId="4" fontId="57" fillId="0" borderId="10" xfId="0" applyNumberFormat="1" applyFont="1" applyFill="1" applyBorder="1" applyAlignment="1">
      <alignment horizontal="center"/>
    </xf>
    <xf numFmtId="4" fontId="58" fillId="5" borderId="41" xfId="23" applyNumberFormat="1" applyFont="1" applyFill="1" applyBorder="1" applyAlignment="1">
      <alignment horizontal="center" vertical="center" wrapText="1"/>
    </xf>
    <xf numFmtId="0" fontId="4" fillId="3" borderId="0" xfId="23" applyFill="1"/>
    <xf numFmtId="0" fontId="49" fillId="0" borderId="10" xfId="0" applyFont="1" applyBorder="1" applyAlignment="1">
      <alignment horizontal="center" vertical="center" wrapText="1"/>
    </xf>
    <xf numFmtId="10" fontId="49" fillId="0" borderId="10" xfId="35" applyNumberFormat="1" applyFont="1" applyBorder="1" applyAlignment="1">
      <alignment vertical="center"/>
    </xf>
    <xf numFmtId="0" fontId="86" fillId="0" borderId="0" xfId="0" applyFont="1"/>
    <xf numFmtId="4" fontId="49" fillId="0" borderId="8" xfId="0" applyNumberFormat="1" applyFont="1" applyBorder="1" applyAlignment="1">
      <alignment vertical="center"/>
    </xf>
    <xf numFmtId="14" fontId="49" fillId="0" borderId="0" xfId="0" applyNumberFormat="1" applyFont="1" applyFill="1" applyBorder="1" applyAlignment="1">
      <alignment vertical="center"/>
    </xf>
    <xf numFmtId="2" fontId="57" fillId="0" borderId="0" xfId="23" applyNumberFormat="1" applyFont="1" applyBorder="1"/>
    <xf numFmtId="4" fontId="57" fillId="0" borderId="10" xfId="23" applyNumberFormat="1" applyFont="1" applyBorder="1" applyAlignment="1">
      <alignment horizontal="center"/>
    </xf>
    <xf numFmtId="43" fontId="49" fillId="0" borderId="10" xfId="41" applyFont="1" applyFill="1" applyBorder="1" applyAlignment="1">
      <alignment horizontal="center"/>
    </xf>
    <xf numFmtId="43" fontId="58" fillId="24" borderId="16" xfId="42" applyFont="1" applyFill="1" applyBorder="1" applyAlignment="1">
      <alignment horizontal="right" vertical="center"/>
    </xf>
    <xf numFmtId="167" fontId="58" fillId="24" borderId="17" xfId="31" applyFont="1" applyFill="1" applyBorder="1" applyAlignment="1">
      <alignment vertical="center"/>
    </xf>
    <xf numFmtId="14" fontId="57" fillId="0" borderId="22" xfId="0" applyNumberFormat="1" applyFont="1" applyFill="1" applyBorder="1" applyAlignment="1">
      <alignment horizontal="center" vertical="center"/>
    </xf>
    <xf numFmtId="4" fontId="58" fillId="13" borderId="18" xfId="0" applyNumberFormat="1" applyFont="1" applyFill="1" applyBorder="1" applyAlignment="1">
      <alignment vertical="center" wrapText="1"/>
    </xf>
    <xf numFmtId="4" fontId="58" fillId="13" borderId="43" xfId="0" applyNumberFormat="1" applyFont="1" applyFill="1" applyBorder="1" applyAlignment="1">
      <alignment vertical="center" wrapText="1"/>
    </xf>
    <xf numFmtId="0" fontId="57" fillId="0" borderId="10" xfId="23" applyNumberFormat="1" applyFont="1" applyBorder="1" applyAlignment="1">
      <alignment horizontal="right"/>
    </xf>
    <xf numFmtId="167" fontId="68" fillId="0" borderId="0" xfId="23" applyNumberFormat="1" applyFont="1" applyBorder="1"/>
    <xf numFmtId="0" fontId="4" fillId="0" borderId="0" xfId="23" applyFont="1" applyBorder="1"/>
    <xf numFmtId="10" fontId="58" fillId="13" borderId="41" xfId="27" applyNumberFormat="1" applyFont="1" applyFill="1" applyBorder="1" applyAlignment="1">
      <alignment horizontal="center" vertical="center"/>
    </xf>
    <xf numFmtId="0" fontId="67" fillId="0" borderId="0" xfId="23" applyFont="1" applyBorder="1"/>
    <xf numFmtId="14" fontId="49" fillId="0" borderId="10" xfId="0" applyNumberFormat="1" applyFont="1" applyFill="1" applyBorder="1" applyAlignment="1">
      <alignment horizontal="center" vertical="center"/>
    </xf>
    <xf numFmtId="4" fontId="80" fillId="2" borderId="10" xfId="0" applyNumberFormat="1" applyFont="1" applyFill="1" applyBorder="1" applyAlignment="1">
      <alignment vertical="center" wrapText="1"/>
    </xf>
    <xf numFmtId="14" fontId="57" fillId="0" borderId="10" xfId="0" applyNumberFormat="1" applyFont="1" applyFill="1" applyBorder="1" applyAlignment="1">
      <alignment horizontal="center" vertical="center"/>
    </xf>
    <xf numFmtId="0" fontId="58" fillId="13" borderId="40" xfId="23" applyFont="1" applyFill="1" applyBorder="1" applyAlignment="1">
      <alignment horizontal="center" vertical="center" wrapText="1"/>
    </xf>
    <xf numFmtId="0" fontId="59" fillId="0" borderId="0" xfId="23" applyFont="1" applyFill="1" applyAlignment="1">
      <alignment vertical="center"/>
    </xf>
    <xf numFmtId="0" fontId="58" fillId="13" borderId="40" xfId="23" applyFont="1" applyFill="1" applyBorder="1" applyAlignment="1">
      <alignment vertical="center" wrapText="1"/>
    </xf>
    <xf numFmtId="0" fontId="57" fillId="0" borderId="10" xfId="0" applyFont="1" applyBorder="1" applyAlignment="1">
      <alignment horizontal="center" vertical="center" wrapText="1"/>
    </xf>
    <xf numFmtId="4" fontId="49" fillId="2" borderId="8" xfId="0" applyNumberFormat="1" applyFont="1" applyFill="1" applyBorder="1" applyAlignment="1">
      <alignment vertical="center"/>
    </xf>
    <xf numFmtId="4" fontId="49" fillId="2" borderId="10" xfId="0" applyNumberFormat="1" applyFont="1" applyFill="1" applyBorder="1" applyAlignment="1">
      <alignment horizontal="center" vertical="center"/>
    </xf>
    <xf numFmtId="14" fontId="57" fillId="2" borderId="10" xfId="0" applyNumberFormat="1" applyFont="1" applyFill="1" applyBorder="1" applyAlignment="1">
      <alignment horizontal="center" vertical="center"/>
    </xf>
    <xf numFmtId="0" fontId="58" fillId="13" borderId="10" xfId="39" applyFont="1" applyFill="1" applyBorder="1" applyAlignment="1">
      <alignment horizontal="center"/>
    </xf>
    <xf numFmtId="0" fontId="58" fillId="13" borderId="42" xfId="39" applyFont="1" applyFill="1" applyBorder="1" applyAlignment="1">
      <alignment horizontal="center" vertical="center"/>
    </xf>
    <xf numFmtId="2" fontId="57" fillId="0" borderId="10" xfId="39" applyNumberFormat="1" applyFont="1" applyBorder="1" applyAlignment="1"/>
    <xf numFmtId="2" fontId="57" fillId="0" borderId="42" xfId="39" applyNumberFormat="1" applyFont="1" applyBorder="1" applyAlignment="1"/>
    <xf numFmtId="4" fontId="80" fillId="0" borderId="10" xfId="0" applyNumberFormat="1" applyFont="1" applyFill="1" applyBorder="1" applyAlignment="1">
      <alignment vertical="center" wrapText="1"/>
    </xf>
    <xf numFmtId="43" fontId="58" fillId="24" borderId="11" xfId="42" applyFont="1" applyFill="1" applyBorder="1" applyAlignment="1">
      <alignment horizontal="right" vertical="center"/>
    </xf>
    <xf numFmtId="0" fontId="57" fillId="0" borderId="28" xfId="39" applyFont="1" applyFill="1" applyBorder="1" applyAlignment="1">
      <alignment vertical="center" wrapText="1"/>
    </xf>
    <xf numFmtId="0" fontId="57" fillId="0" borderId="17" xfId="39" applyFont="1" applyFill="1" applyBorder="1" applyAlignment="1">
      <alignment vertical="center" wrapText="1"/>
    </xf>
    <xf numFmtId="0" fontId="58" fillId="13" borderId="40" xfId="39" applyFont="1" applyFill="1" applyBorder="1" applyAlignment="1">
      <alignment horizontal="center"/>
    </xf>
    <xf numFmtId="0" fontId="58" fillId="13" borderId="41" xfId="39" applyFont="1" applyFill="1" applyBorder="1" applyAlignment="1">
      <alignment horizontal="center" vertical="center"/>
    </xf>
    <xf numFmtId="2" fontId="57" fillId="0" borderId="19" xfId="39" applyNumberFormat="1" applyFont="1" applyBorder="1" applyAlignment="1"/>
    <xf numFmtId="2" fontId="57" fillId="0" borderId="43" xfId="39" applyNumberFormat="1" applyFont="1" applyBorder="1" applyAlignment="1"/>
    <xf numFmtId="0" fontId="87" fillId="0" borderId="0" xfId="23" applyFont="1" applyBorder="1"/>
    <xf numFmtId="0" fontId="59" fillId="0" borderId="0" xfId="23" applyFont="1" applyAlignment="1">
      <alignment vertical="center"/>
    </xf>
    <xf numFmtId="0" fontId="57" fillId="0" borderId="28" xfId="23" applyFont="1" applyBorder="1"/>
    <xf numFmtId="0" fontId="57" fillId="0" borderId="17" xfId="23" applyFont="1" applyBorder="1"/>
    <xf numFmtId="0" fontId="58" fillId="13" borderId="27" xfId="39" applyFont="1" applyFill="1" applyBorder="1" applyAlignment="1">
      <alignment horizontal="center"/>
    </xf>
    <xf numFmtId="0" fontId="58" fillId="13" borderId="50" xfId="39" applyFont="1" applyFill="1" applyBorder="1" applyAlignment="1">
      <alignment horizontal="center" vertical="center"/>
    </xf>
    <xf numFmtId="0" fontId="58" fillId="13" borderId="10" xfId="0" applyFont="1" applyFill="1" applyBorder="1" applyAlignment="1">
      <alignment horizontal="center" vertical="center"/>
    </xf>
    <xf numFmtId="0" fontId="58" fillId="13" borderId="10" xfId="34" applyFont="1" applyFill="1" applyBorder="1" applyAlignment="1">
      <alignment horizontal="center" vertical="top" wrapText="1"/>
    </xf>
    <xf numFmtId="0" fontId="58" fillId="13" borderId="10" xfId="34" applyFont="1" applyFill="1" applyBorder="1" applyAlignment="1">
      <alignment horizontal="center" vertical="center" wrapText="1"/>
    </xf>
    <xf numFmtId="4" fontId="58" fillId="13" borderId="10" xfId="34" applyNumberFormat="1" applyFont="1" applyFill="1" applyBorder="1" applyAlignment="1">
      <alignment horizontal="center" vertical="center"/>
    </xf>
    <xf numFmtId="10" fontId="58" fillId="13" borderId="10" xfId="34" applyNumberFormat="1" applyFont="1" applyFill="1" applyBorder="1" applyAlignment="1">
      <alignment horizontal="center" vertical="center"/>
    </xf>
    <xf numFmtId="4" fontId="58" fillId="0" borderId="8" xfId="0" applyNumberFormat="1" applyFont="1" applyFill="1" applyBorder="1" applyAlignment="1">
      <alignment horizontal="center" vertical="center"/>
    </xf>
    <xf numFmtId="0" fontId="88" fillId="0" borderId="0" xfId="0" applyFont="1"/>
    <xf numFmtId="4" fontId="49" fillId="0" borderId="8" xfId="0" applyNumberFormat="1" applyFont="1" applyBorder="1" applyAlignment="1">
      <alignment vertical="center" wrapText="1"/>
    </xf>
    <xf numFmtId="0" fontId="57" fillId="13" borderId="10" xfId="0" applyFont="1" applyFill="1" applyBorder="1" applyAlignment="1">
      <alignment horizontal="center" vertical="center"/>
    </xf>
    <xf numFmtId="4" fontId="57" fillId="13" borderId="10" xfId="0" applyNumberFormat="1" applyFont="1" applyFill="1" applyBorder="1" applyAlignment="1">
      <alignment horizontal="center" vertical="center"/>
    </xf>
    <xf numFmtId="10" fontId="58" fillId="13" borderId="10" xfId="27" applyNumberFormat="1" applyFont="1" applyFill="1" applyBorder="1" applyAlignment="1">
      <alignment vertical="center"/>
    </xf>
    <xf numFmtId="4" fontId="57" fillId="13" borderId="10" xfId="0" applyNumberFormat="1" applyFont="1" applyFill="1" applyBorder="1" applyAlignment="1">
      <alignment vertical="center"/>
    </xf>
    <xf numFmtId="0" fontId="57" fillId="2" borderId="0" xfId="23" applyFont="1" applyFill="1"/>
    <xf numFmtId="0" fontId="58" fillId="13" borderId="10" xfId="0" applyFont="1" applyFill="1" applyBorder="1" applyAlignment="1">
      <alignment horizontal="center"/>
    </xf>
    <xf numFmtId="0" fontId="58" fillId="13" borderId="10" xfId="34" applyFont="1" applyFill="1" applyBorder="1" applyAlignment="1">
      <alignment horizontal="center" wrapText="1"/>
    </xf>
    <xf numFmtId="4" fontId="58" fillId="13" borderId="10" xfId="34" applyNumberFormat="1" applyFont="1" applyFill="1" applyBorder="1" applyAlignment="1">
      <alignment horizontal="center"/>
    </xf>
    <xf numFmtId="10" fontId="58" fillId="13" borderId="10" xfId="34" applyNumberFormat="1" applyFont="1" applyFill="1" applyBorder="1" applyAlignment="1">
      <alignment horizontal="center"/>
    </xf>
    <xf numFmtId="4" fontId="58" fillId="13" borderId="10" xfId="0" applyNumberFormat="1" applyFont="1" applyFill="1" applyBorder="1" applyAlignment="1">
      <alignment horizontal="center" vertical="center"/>
    </xf>
    <xf numFmtId="10" fontId="58" fillId="13" borderId="10" xfId="27" applyNumberFormat="1" applyFont="1" applyFill="1" applyBorder="1" applyAlignment="1">
      <alignment horizontal="center" vertical="center"/>
    </xf>
    <xf numFmtId="0" fontId="58" fillId="13" borderId="10" xfId="43" applyFont="1" applyFill="1" applyBorder="1" applyAlignment="1" applyProtection="1">
      <alignment horizontal="center" vertical="center" wrapText="1"/>
    </xf>
    <xf numFmtId="0" fontId="48" fillId="0" borderId="10" xfId="0" applyFont="1" applyFill="1" applyBorder="1" applyAlignment="1">
      <alignment horizontal="center" vertical="center"/>
    </xf>
    <xf numFmtId="0" fontId="48" fillId="0" borderId="10" xfId="0" applyFont="1" applyFill="1" applyBorder="1" applyAlignment="1">
      <alignment horizontal="center" vertical="center" wrapText="1"/>
    </xf>
    <xf numFmtId="4" fontId="48" fillId="0" borderId="10" xfId="0" applyNumberFormat="1" applyFont="1" applyFill="1" applyBorder="1" applyAlignment="1">
      <alignment horizontal="center" vertical="center"/>
    </xf>
    <xf numFmtId="10" fontId="48" fillId="0" borderId="10" xfId="27" applyNumberFormat="1" applyFont="1" applyFill="1" applyBorder="1" applyAlignment="1">
      <alignment horizontal="center" vertical="center"/>
    </xf>
    <xf numFmtId="4" fontId="49" fillId="0" borderId="10" xfId="0" applyNumberFormat="1" applyFont="1" applyBorder="1" applyAlignment="1">
      <alignment vertical="center"/>
    </xf>
    <xf numFmtId="4" fontId="48" fillId="13" borderId="10" xfId="0" applyNumberFormat="1" applyFont="1" applyFill="1" applyBorder="1" applyAlignment="1">
      <alignment vertical="center" wrapText="1"/>
    </xf>
    <xf numFmtId="0" fontId="58" fillId="13" borderId="40" xfId="34" applyFont="1" applyFill="1" applyBorder="1" applyAlignment="1">
      <alignment horizontal="center" vertical="top" wrapText="1"/>
    </xf>
    <xf numFmtId="0" fontId="49" fillId="0" borderId="10" xfId="0" applyFont="1" applyFill="1" applyBorder="1" applyAlignment="1">
      <alignment horizontal="center" vertical="center" wrapText="1"/>
    </xf>
    <xf numFmtId="49" fontId="83" fillId="2" borderId="21" xfId="23" applyNumberFormat="1" applyFont="1" applyFill="1" applyBorder="1" applyAlignment="1">
      <alignment vertical="center" wrapText="1"/>
    </xf>
    <xf numFmtId="0" fontId="4" fillId="2" borderId="24" xfId="23" applyFill="1" applyBorder="1" applyAlignment="1">
      <alignment vertical="center" wrapText="1"/>
    </xf>
    <xf numFmtId="49" fontId="57" fillId="0" borderId="22" xfId="0" applyNumberFormat="1" applyFont="1" applyFill="1" applyBorder="1" applyAlignment="1">
      <alignment horizontal="center"/>
    </xf>
    <xf numFmtId="167" fontId="58" fillId="2" borderId="0" xfId="24" applyFont="1" applyFill="1" applyBorder="1" applyAlignment="1">
      <alignment horizontal="right" vertical="center"/>
    </xf>
    <xf numFmtId="0" fontId="58" fillId="13" borderId="39" xfId="34" applyFont="1" applyFill="1" applyBorder="1" applyAlignment="1">
      <alignment horizontal="center" vertical="center"/>
    </xf>
    <xf numFmtId="4" fontId="58" fillId="13" borderId="40" xfId="34" applyNumberFormat="1" applyFont="1" applyFill="1" applyBorder="1" applyAlignment="1">
      <alignment horizontal="center" vertical="center"/>
    </xf>
    <xf numFmtId="10" fontId="58" fillId="13" borderId="40" xfId="34" applyNumberFormat="1" applyFont="1" applyFill="1" applyBorder="1" applyAlignment="1">
      <alignment horizontal="center" vertical="center"/>
    </xf>
    <xf numFmtId="4" fontId="58" fillId="13" borderId="41" xfId="34" applyNumberFormat="1" applyFont="1" applyFill="1" applyBorder="1" applyAlignment="1">
      <alignment horizontal="center" vertical="center"/>
    </xf>
    <xf numFmtId="49" fontId="58" fillId="0" borderId="0" xfId="23" applyNumberFormat="1" applyFont="1" applyFill="1" applyBorder="1" applyAlignment="1">
      <alignment vertical="center" wrapText="1"/>
    </xf>
    <xf numFmtId="49" fontId="57" fillId="2" borderId="0" xfId="23" applyNumberFormat="1" applyFont="1" applyFill="1" applyBorder="1" applyAlignment="1">
      <alignment vertical="top"/>
    </xf>
    <xf numFmtId="49" fontId="49" fillId="0" borderId="0" xfId="0" applyNumberFormat="1" applyFont="1" applyBorder="1" applyAlignment="1"/>
    <xf numFmtId="14" fontId="49" fillId="25" borderId="10" xfId="0" applyNumberFormat="1" applyFont="1" applyFill="1" applyBorder="1" applyAlignment="1">
      <alignment horizontal="center" vertical="center"/>
    </xf>
    <xf numFmtId="49" fontId="57" fillId="0" borderId="0" xfId="23" applyNumberFormat="1" applyFont="1" applyBorder="1" applyAlignment="1">
      <alignment vertical="top"/>
    </xf>
    <xf numFmtId="0" fontId="57" fillId="13" borderId="39" xfId="0" applyFont="1" applyFill="1" applyBorder="1" applyAlignment="1">
      <alignment horizontal="center" vertical="center"/>
    </xf>
    <xf numFmtId="0" fontId="57" fillId="13" borderId="40" xfId="0" applyFont="1" applyFill="1" applyBorder="1" applyAlignment="1">
      <alignment horizontal="center" vertical="center" wrapText="1"/>
    </xf>
    <xf numFmtId="4" fontId="57" fillId="13" borderId="40" xfId="0" applyNumberFormat="1" applyFont="1" applyFill="1" applyBorder="1" applyAlignment="1">
      <alignment horizontal="center" vertical="center"/>
    </xf>
    <xf numFmtId="10" fontId="57" fillId="13" borderId="40" xfId="27" applyNumberFormat="1" applyFont="1" applyFill="1" applyBorder="1" applyAlignment="1">
      <alignment horizontal="center" vertical="center"/>
    </xf>
    <xf numFmtId="4" fontId="57" fillId="13" borderId="43" xfId="0" applyNumberFormat="1" applyFont="1" applyFill="1" applyBorder="1" applyAlignment="1">
      <alignment vertical="center" wrapText="1"/>
    </xf>
    <xf numFmtId="0" fontId="57" fillId="0" borderId="0" xfId="0" applyFont="1" applyFill="1" applyBorder="1" applyAlignment="1">
      <alignment horizontal="center" vertical="center"/>
    </xf>
    <xf numFmtId="0" fontId="58" fillId="0" borderId="0" xfId="0" applyFont="1" applyFill="1" applyBorder="1" applyAlignment="1">
      <alignment horizontal="center" vertical="center"/>
    </xf>
    <xf numFmtId="4" fontId="58" fillId="0" borderId="0" xfId="0" applyNumberFormat="1" applyFont="1" applyFill="1" applyBorder="1" applyAlignment="1">
      <alignment vertical="center" wrapText="1"/>
    </xf>
    <xf numFmtId="4" fontId="57" fillId="0" borderId="0" xfId="0" applyNumberFormat="1" applyFont="1" applyFill="1" applyBorder="1" applyAlignment="1">
      <alignment horizontal="center" vertical="center"/>
    </xf>
    <xf numFmtId="10" fontId="58" fillId="0" borderId="0" xfId="27" applyNumberFormat="1" applyFont="1" applyFill="1" applyBorder="1" applyAlignment="1">
      <alignment vertical="center"/>
    </xf>
    <xf numFmtId="4" fontId="57" fillId="0" borderId="0" xfId="0" applyNumberFormat="1" applyFont="1" applyFill="1" applyBorder="1" applyAlignment="1">
      <alignment vertical="center"/>
    </xf>
    <xf numFmtId="0" fontId="57" fillId="0" borderId="79" xfId="0" applyFont="1" applyFill="1" applyBorder="1" applyAlignment="1">
      <alignment horizontal="center" vertical="center"/>
    </xf>
    <xf numFmtId="0" fontId="58" fillId="0" borderId="79" xfId="0" applyFont="1" applyFill="1" applyBorder="1" applyAlignment="1">
      <alignment horizontal="center" vertical="center"/>
    </xf>
    <xf numFmtId="4" fontId="58" fillId="0" borderId="79" xfId="0" applyNumberFormat="1" applyFont="1" applyFill="1" applyBorder="1" applyAlignment="1">
      <alignment vertical="center" wrapText="1"/>
    </xf>
    <xf numFmtId="4" fontId="57" fillId="0" borderId="79" xfId="0" applyNumberFormat="1" applyFont="1" applyFill="1" applyBorder="1" applyAlignment="1">
      <alignment horizontal="center" vertical="center"/>
    </xf>
    <xf numFmtId="10" fontId="58" fillId="0" borderId="79" xfId="27" applyNumberFormat="1" applyFont="1" applyFill="1" applyBorder="1" applyAlignment="1">
      <alignment vertical="center"/>
    </xf>
    <xf numFmtId="4" fontId="57" fillId="0" borderId="79" xfId="0" applyNumberFormat="1" applyFont="1" applyFill="1" applyBorder="1" applyAlignment="1">
      <alignment vertical="center"/>
    </xf>
    <xf numFmtId="0" fontId="58" fillId="13" borderId="40" xfId="34" applyFont="1" applyFill="1" applyBorder="1" applyAlignment="1">
      <alignment horizontal="center" vertical="center"/>
    </xf>
    <xf numFmtId="14" fontId="49" fillId="25" borderId="22" xfId="0" applyNumberFormat="1" applyFont="1" applyFill="1" applyBorder="1" applyAlignment="1">
      <alignment horizontal="center" vertical="center"/>
    </xf>
    <xf numFmtId="0" fontId="58" fillId="13" borderId="18" xfId="0" applyFont="1" applyFill="1" applyBorder="1" applyAlignment="1">
      <alignment horizontal="center" vertical="center"/>
    </xf>
    <xf numFmtId="0" fontId="58" fillId="13" borderId="43" xfId="0" applyFont="1" applyFill="1" applyBorder="1" applyAlignment="1">
      <alignment horizontal="center" vertical="center"/>
    </xf>
    <xf numFmtId="177" fontId="49" fillId="0" borderId="10" xfId="0" applyNumberFormat="1" applyFont="1" applyFill="1" applyBorder="1" applyAlignment="1">
      <alignment horizontal="right"/>
    </xf>
    <xf numFmtId="0" fontId="57" fillId="0" borderId="22" xfId="22" applyFont="1" applyFill="1" applyBorder="1" applyAlignment="1">
      <alignment horizontal="center" wrapText="1"/>
    </xf>
    <xf numFmtId="167" fontId="58" fillId="2" borderId="0" xfId="31" applyFont="1" applyFill="1" applyBorder="1" applyAlignment="1">
      <alignment horizontal="right" vertical="center"/>
    </xf>
    <xf numFmtId="0" fontId="57" fillId="2" borderId="10" xfId="26" applyFont="1" applyFill="1" applyBorder="1" applyAlignment="1">
      <alignment vertical="center" wrapText="1"/>
    </xf>
    <xf numFmtId="0" fontId="57" fillId="2" borderId="10" xfId="23" applyFont="1" applyFill="1" applyBorder="1" applyAlignment="1">
      <alignment horizontal="left" wrapText="1"/>
    </xf>
    <xf numFmtId="0" fontId="77" fillId="2" borderId="10" xfId="0" applyFont="1" applyFill="1" applyBorder="1" applyAlignment="1">
      <alignment horizontal="center" vertical="center" wrapText="1"/>
    </xf>
    <xf numFmtId="49" fontId="57" fillId="0" borderId="0" xfId="0" applyNumberFormat="1" applyFont="1" applyFill="1" applyBorder="1" applyAlignment="1">
      <alignment horizontal="left" vertical="top" wrapText="1"/>
    </xf>
    <xf numFmtId="49" fontId="57" fillId="2" borderId="0" xfId="0" applyNumberFormat="1" applyFont="1" applyFill="1" applyBorder="1" applyAlignment="1">
      <alignment vertical="top" wrapText="1"/>
    </xf>
    <xf numFmtId="4" fontId="57" fillId="0" borderId="10" xfId="26" applyNumberFormat="1" applyFont="1" applyFill="1" applyBorder="1" applyAlignment="1">
      <alignment horizontal="center" wrapText="1"/>
    </xf>
    <xf numFmtId="4" fontId="57" fillId="0" borderId="10" xfId="26" applyNumberFormat="1" applyFont="1" applyFill="1" applyBorder="1" applyAlignment="1">
      <alignment vertical="center" wrapText="1"/>
    </xf>
    <xf numFmtId="10" fontId="49" fillId="0" borderId="10" xfId="35" applyNumberFormat="1" applyFont="1" applyFill="1" applyBorder="1" applyAlignment="1">
      <alignment vertical="center" wrapText="1"/>
    </xf>
    <xf numFmtId="14" fontId="49" fillId="0" borderId="22" xfId="0" applyNumberFormat="1" applyFont="1" applyBorder="1" applyAlignment="1">
      <alignment horizontal="center" vertical="center"/>
    </xf>
    <xf numFmtId="0" fontId="57" fillId="0" borderId="0" xfId="23" applyFont="1" applyAlignment="1">
      <alignment horizontal="center" vertical="center"/>
    </xf>
    <xf numFmtId="0" fontId="57" fillId="0" borderId="0" xfId="23" applyFont="1" applyAlignment="1">
      <alignment vertical="center" wrapText="1"/>
    </xf>
    <xf numFmtId="4" fontId="57" fillId="0" borderId="0" xfId="23" applyNumberFormat="1" applyFont="1" applyAlignment="1">
      <alignment horizontal="center" vertical="center"/>
    </xf>
    <xf numFmtId="10" fontId="58" fillId="0" borderId="0" xfId="27" applyNumberFormat="1" applyFont="1" applyAlignment="1">
      <alignment vertical="center"/>
    </xf>
    <xf numFmtId="4" fontId="57" fillId="0" borderId="0" xfId="23" applyNumberFormat="1" applyFont="1" applyAlignment="1">
      <alignment vertical="center"/>
    </xf>
    <xf numFmtId="49" fontId="57" fillId="2" borderId="0" xfId="0" applyNumberFormat="1" applyFont="1" applyFill="1" applyBorder="1" applyAlignment="1">
      <alignment horizontal="left" vertical="top"/>
    </xf>
    <xf numFmtId="0" fontId="25" fillId="0" borderId="0" xfId="0" applyFont="1"/>
    <xf numFmtId="166" fontId="57" fillId="0" borderId="10" xfId="26" applyNumberFormat="1" applyFont="1" applyFill="1" applyBorder="1" applyAlignment="1">
      <alignment horizontal="right" wrapText="1"/>
    </xf>
    <xf numFmtId="14" fontId="49" fillId="0" borderId="42" xfId="0" applyNumberFormat="1" applyFont="1" applyFill="1" applyBorder="1" applyAlignment="1">
      <alignment horizontal="center" vertical="center"/>
    </xf>
    <xf numFmtId="14" fontId="49" fillId="0" borderId="18" xfId="0" applyNumberFormat="1" applyFont="1" applyFill="1" applyBorder="1" applyAlignment="1">
      <alignment horizontal="center" vertical="center"/>
    </xf>
    <xf numFmtId="14" fontId="49" fillId="0" borderId="19" xfId="0" applyNumberFormat="1" applyFont="1" applyFill="1" applyBorder="1" applyAlignment="1">
      <alignment horizontal="center" vertical="center"/>
    </xf>
    <xf numFmtId="4" fontId="49" fillId="0" borderId="19" xfId="0" applyNumberFormat="1" applyFont="1" applyBorder="1" applyAlignment="1">
      <alignment vertical="center" wrapText="1"/>
    </xf>
    <xf numFmtId="14" fontId="49" fillId="0" borderId="43" xfId="0" applyNumberFormat="1" applyFont="1" applyFill="1" applyBorder="1" applyAlignment="1">
      <alignment horizontal="center" vertical="center"/>
    </xf>
    <xf numFmtId="0" fontId="58" fillId="18" borderId="39" xfId="0" applyFont="1" applyFill="1" applyBorder="1" applyAlignment="1">
      <alignment horizontal="center" vertical="center"/>
    </xf>
    <xf numFmtId="0" fontId="58" fillId="18" borderId="40" xfId="34" applyFont="1" applyFill="1" applyBorder="1" applyAlignment="1">
      <alignment horizontal="center" vertical="center" wrapText="1"/>
    </xf>
    <xf numFmtId="0" fontId="58" fillId="18" borderId="40" xfId="0" applyFont="1" applyFill="1" applyBorder="1" applyAlignment="1">
      <alignment horizontal="center" vertical="center" wrapText="1"/>
    </xf>
    <xf numFmtId="4" fontId="58" fillId="18" borderId="40" xfId="0" applyNumberFormat="1" applyFont="1" applyFill="1" applyBorder="1" applyAlignment="1">
      <alignment horizontal="center" vertical="center"/>
    </xf>
    <xf numFmtId="10" fontId="58" fillId="18" borderId="40" xfId="27" applyNumberFormat="1" applyFont="1" applyFill="1" applyBorder="1" applyAlignment="1">
      <alignment horizontal="center" vertical="center"/>
    </xf>
    <xf numFmtId="4" fontId="58" fillId="18" borderId="41" xfId="0" applyNumberFormat="1" applyFont="1" applyFill="1" applyBorder="1" applyAlignment="1">
      <alignment horizontal="center" vertical="center"/>
    </xf>
    <xf numFmtId="0" fontId="57" fillId="13" borderId="52" xfId="0" applyFont="1" applyFill="1" applyBorder="1" applyAlignment="1">
      <alignment horizontal="center" vertical="center"/>
    </xf>
    <xf numFmtId="0" fontId="58" fillId="13" borderId="53" xfId="0" applyFont="1" applyFill="1" applyBorder="1" applyAlignment="1">
      <alignment horizontal="center" vertical="center"/>
    </xf>
    <xf numFmtId="4" fontId="57" fillId="13" borderId="53" xfId="0" applyNumberFormat="1" applyFont="1" applyFill="1" applyBorder="1" applyAlignment="1">
      <alignment horizontal="center" vertical="center"/>
    </xf>
    <xf numFmtId="10" fontId="58" fillId="13" borderId="53" xfId="27" applyNumberFormat="1" applyFont="1" applyFill="1" applyBorder="1" applyAlignment="1">
      <alignment vertical="center"/>
    </xf>
    <xf numFmtId="4" fontId="57" fillId="13" borderId="46" xfId="0" applyNumberFormat="1" applyFont="1" applyFill="1" applyBorder="1" applyAlignment="1">
      <alignment vertical="center"/>
    </xf>
    <xf numFmtId="10" fontId="49" fillId="0" borderId="10" xfId="0" applyNumberFormat="1" applyFont="1" applyFill="1" applyBorder="1" applyAlignment="1">
      <alignment horizontal="center" vertical="center"/>
    </xf>
    <xf numFmtId="10" fontId="49" fillId="0" borderId="19" xfId="0" applyNumberFormat="1" applyFont="1" applyFill="1" applyBorder="1" applyAlignment="1">
      <alignment horizontal="center" vertical="center"/>
    </xf>
    <xf numFmtId="0" fontId="58" fillId="14" borderId="39" xfId="23" applyFont="1" applyFill="1" applyBorder="1" applyAlignment="1">
      <alignment horizontal="center" vertical="center"/>
    </xf>
    <xf numFmtId="0" fontId="58" fillId="14" borderId="41" xfId="23" applyFont="1" applyFill="1" applyBorder="1" applyAlignment="1">
      <alignment horizontal="center" vertical="center" wrapText="1"/>
    </xf>
    <xf numFmtId="0" fontId="91" fillId="0" borderId="10" xfId="0" applyFont="1" applyBorder="1" applyAlignment="1">
      <alignment wrapText="1"/>
    </xf>
    <xf numFmtId="0" fontId="57" fillId="2" borderId="0" xfId="0" applyFont="1" applyFill="1" applyAlignment="1">
      <alignment vertical="center"/>
    </xf>
    <xf numFmtId="49" fontId="57" fillId="0" borderId="0" xfId="0" applyNumberFormat="1" applyFont="1" applyBorder="1" applyAlignment="1">
      <alignment vertical="top"/>
    </xf>
    <xf numFmtId="165" fontId="58" fillId="24" borderId="52" xfId="5" applyFont="1" applyFill="1" applyBorder="1" applyAlignment="1">
      <alignment horizontal="right" vertical="center"/>
    </xf>
    <xf numFmtId="167" fontId="58" fillId="24" borderId="46" xfId="15" applyFont="1" applyFill="1" applyBorder="1" applyAlignment="1">
      <alignment horizontal="right" vertical="center"/>
    </xf>
    <xf numFmtId="167" fontId="58" fillId="24" borderId="0" xfId="15" applyFont="1" applyFill="1" applyBorder="1" applyAlignment="1">
      <alignment horizontal="right" vertical="center"/>
    </xf>
    <xf numFmtId="0" fontId="91" fillId="0" borderId="10" xfId="0" applyFont="1" applyBorder="1" applyAlignment="1">
      <alignment vertical="center" wrapText="1"/>
    </xf>
    <xf numFmtId="165" fontId="58" fillId="24" borderId="11" xfId="5" applyFont="1" applyFill="1" applyBorder="1" applyAlignment="1">
      <alignment horizontal="right" vertical="center"/>
    </xf>
    <xf numFmtId="167" fontId="58" fillId="24" borderId="29" xfId="15" applyFont="1" applyFill="1" applyBorder="1" applyAlignment="1">
      <alignment horizontal="right" vertical="center"/>
    </xf>
    <xf numFmtId="10" fontId="58" fillId="13" borderId="40" xfId="12" applyNumberFormat="1" applyFont="1" applyFill="1" applyBorder="1" applyAlignment="1">
      <alignment horizontal="center" vertical="center"/>
    </xf>
    <xf numFmtId="10" fontId="58" fillId="13" borderId="41" xfId="12" applyNumberFormat="1" applyFont="1" applyFill="1" applyBorder="1" applyAlignment="1">
      <alignment horizontal="center" vertical="center"/>
    </xf>
    <xf numFmtId="49" fontId="57" fillId="2" borderId="0" xfId="0" applyNumberFormat="1" applyFont="1" applyFill="1" applyBorder="1" applyAlignment="1">
      <alignment vertical="top"/>
    </xf>
    <xf numFmtId="0" fontId="59" fillId="0" borderId="0" xfId="23" applyFont="1"/>
    <xf numFmtId="0" fontId="91" fillId="0" borderId="10" xfId="0" applyFont="1" applyBorder="1"/>
    <xf numFmtId="0" fontId="58" fillId="0" borderId="0" xfId="23" applyFont="1" applyBorder="1" applyAlignment="1">
      <alignment vertical="center"/>
    </xf>
    <xf numFmtId="0" fontId="57" fillId="0" borderId="22" xfId="32" applyNumberFormat="1" applyFont="1" applyFill="1" applyBorder="1" applyAlignment="1">
      <alignment horizontal="center" vertical="center"/>
    </xf>
    <xf numFmtId="0" fontId="57" fillId="0" borderId="18" xfId="23" applyFont="1" applyBorder="1" applyAlignment="1">
      <alignment horizontal="center"/>
    </xf>
    <xf numFmtId="0" fontId="91" fillId="26" borderId="10" xfId="0" applyFont="1" applyFill="1" applyBorder="1" applyAlignment="1">
      <alignment horizontal="left" vertical="center" wrapText="1"/>
    </xf>
    <xf numFmtId="0" fontId="58" fillId="0" borderId="0" xfId="23" applyFont="1" applyBorder="1"/>
    <xf numFmtId="49" fontId="57" fillId="0" borderId="0" xfId="0" applyNumberFormat="1" applyFont="1" applyBorder="1" applyAlignment="1">
      <alignment horizontal="center" vertical="top" wrapText="1"/>
    </xf>
    <xf numFmtId="49" fontId="57" fillId="0" borderId="0" xfId="0" applyNumberFormat="1" applyFont="1" applyBorder="1" applyAlignment="1">
      <alignment horizontal="left" vertical="top" wrapText="1"/>
    </xf>
    <xf numFmtId="0" fontId="58" fillId="5" borderId="41" xfId="39" applyFont="1" applyFill="1" applyBorder="1" applyAlignment="1">
      <alignment horizontal="center" vertical="center" wrapText="1"/>
    </xf>
    <xf numFmtId="0" fontId="58" fillId="0" borderId="22" xfId="39" applyFont="1" applyFill="1" applyBorder="1" applyAlignment="1">
      <alignment horizontal="center" vertical="center" wrapText="1"/>
    </xf>
    <xf numFmtId="165" fontId="58" fillId="24" borderId="52" xfId="45" applyFont="1" applyFill="1" applyBorder="1" applyAlignment="1">
      <alignment horizontal="right" vertical="center"/>
    </xf>
    <xf numFmtId="167" fontId="58" fillId="24" borderId="46" xfId="46" applyFont="1" applyFill="1" applyBorder="1" applyAlignment="1">
      <alignment horizontal="right" vertical="center"/>
    </xf>
    <xf numFmtId="49" fontId="57" fillId="2" borderId="0" xfId="39" applyNumberFormat="1" applyFont="1" applyFill="1" applyBorder="1" applyAlignment="1">
      <alignment horizontal="left" vertical="top" wrapText="1"/>
    </xf>
    <xf numFmtId="165" fontId="58" fillId="2" borderId="0" xfId="45" applyFont="1" applyFill="1" applyBorder="1" applyAlignment="1">
      <alignment horizontal="right" vertical="center"/>
    </xf>
    <xf numFmtId="167" fontId="58" fillId="2" borderId="0" xfId="46" applyFont="1" applyFill="1" applyBorder="1" applyAlignment="1">
      <alignment horizontal="right" vertical="center"/>
    </xf>
    <xf numFmtId="0" fontId="91" fillId="0" borderId="18" xfId="0" applyFont="1" applyBorder="1" applyAlignment="1">
      <alignment horizontal="center"/>
    </xf>
    <xf numFmtId="0" fontId="57" fillId="0" borderId="22" xfId="0" applyNumberFormat="1" applyFont="1" applyFill="1" applyBorder="1" applyAlignment="1">
      <alignment horizontal="center" vertical="center"/>
    </xf>
    <xf numFmtId="0" fontId="91" fillId="0" borderId="10" xfId="0" applyFont="1" applyBorder="1" applyAlignment="1">
      <alignment horizontal="left" wrapText="1"/>
    </xf>
    <xf numFmtId="0" fontId="80" fillId="0" borderId="18" xfId="36" applyNumberFormat="1" applyFont="1" applyBorder="1" applyAlignment="1">
      <alignment horizontal="center" vertical="center" wrapText="1"/>
    </xf>
    <xf numFmtId="0" fontId="80" fillId="0" borderId="19" xfId="36" applyFont="1" applyBorder="1" applyAlignment="1">
      <alignment horizontal="right" vertical="center" wrapText="1"/>
    </xf>
    <xf numFmtId="0" fontId="80" fillId="0" borderId="22" xfId="36" applyNumberFormat="1" applyFont="1" applyBorder="1" applyAlignment="1">
      <alignment horizontal="center" vertical="center" wrapText="1"/>
    </xf>
    <xf numFmtId="0" fontId="80" fillId="0" borderId="10" xfId="36" applyFont="1" applyBorder="1" applyAlignment="1">
      <alignment horizontal="right" vertical="center" wrapText="1"/>
    </xf>
    <xf numFmtId="0" fontId="91" fillId="0" borderId="19" xfId="0" applyFont="1" applyBorder="1" applyAlignment="1">
      <alignment horizontal="left" wrapText="1"/>
    </xf>
    <xf numFmtId="0" fontId="57" fillId="0" borderId="22" xfId="23" applyFont="1" applyBorder="1" applyAlignment="1">
      <alignment horizontal="center"/>
    </xf>
    <xf numFmtId="0" fontId="81" fillId="0" borderId="0" xfId="23" applyFont="1" applyBorder="1"/>
    <xf numFmtId="10" fontId="49" fillId="0" borderId="10" xfId="35" applyNumberFormat="1" applyFont="1" applyFill="1" applyBorder="1" applyAlignment="1">
      <alignment vertical="center"/>
    </xf>
    <xf numFmtId="10" fontId="57" fillId="0" borderId="10" xfId="26" applyNumberFormat="1" applyFont="1" applyFill="1" applyBorder="1" applyAlignment="1">
      <alignment horizontal="center" wrapText="1"/>
    </xf>
    <xf numFmtId="0" fontId="57" fillId="0" borderId="53" xfId="26" applyFont="1" applyFill="1" applyBorder="1" applyAlignment="1">
      <alignment vertical="center" wrapText="1"/>
    </xf>
    <xf numFmtId="0" fontId="46" fillId="0" borderId="22" xfId="0" applyFont="1" applyBorder="1" applyAlignment="1">
      <alignment horizontal="center" vertical="center"/>
    </xf>
    <xf numFmtId="0" fontId="46" fillId="0" borderId="1" xfId="0" applyFont="1" applyBorder="1" applyAlignment="1">
      <alignment horizontal="center" vertical="center"/>
    </xf>
    <xf numFmtId="0" fontId="46" fillId="0" borderId="10" xfId="0" applyFont="1" applyBorder="1" applyAlignment="1">
      <alignment horizontal="center" vertical="center" wrapText="1"/>
    </xf>
    <xf numFmtId="172" fontId="46" fillId="0" borderId="10" xfId="0" applyNumberFormat="1" applyFont="1" applyBorder="1" applyAlignment="1">
      <alignment horizontal="center" vertical="center" wrapText="1"/>
    </xf>
    <xf numFmtId="173" fontId="46" fillId="0" borderId="42" xfId="0" applyNumberFormat="1" applyFont="1" applyBorder="1" applyAlignment="1">
      <alignment horizontal="center" vertical="center" wrapText="1"/>
    </xf>
    <xf numFmtId="0" fontId="52" fillId="0" borderId="22" xfId="0" applyFont="1" applyBorder="1" applyAlignment="1">
      <alignment horizontal="center" vertical="center"/>
    </xf>
    <xf numFmtId="0" fontId="47" fillId="0" borderId="10" xfId="0" applyFont="1" applyBorder="1" applyAlignment="1">
      <alignment horizontal="center" vertical="center"/>
    </xf>
    <xf numFmtId="0" fontId="56" fillId="0" borderId="10" xfId="0" applyFont="1" applyBorder="1" applyAlignment="1">
      <alignment vertical="center" wrapText="1"/>
    </xf>
    <xf numFmtId="0" fontId="47" fillId="0" borderId="10" xfId="0" applyFont="1" applyBorder="1" applyAlignment="1">
      <alignment vertical="center"/>
    </xf>
    <xf numFmtId="0" fontId="52" fillId="0" borderId="42" xfId="0" applyFont="1" applyBorder="1" applyAlignment="1">
      <alignment horizontal="center" vertical="center"/>
    </xf>
    <xf numFmtId="173" fontId="50" fillId="0" borderId="42" xfId="0" applyNumberFormat="1" applyFont="1" applyBorder="1" applyAlignment="1">
      <alignment horizontal="center" vertical="center" wrapText="1"/>
    </xf>
    <xf numFmtId="0" fontId="54" fillId="19" borderId="10" xfId="20" applyFont="1" applyFill="1" applyBorder="1" applyAlignment="1">
      <alignment horizontal="center" vertical="center" wrapText="1"/>
    </xf>
    <xf numFmtId="0" fontId="47" fillId="18" borderId="52" xfId="0" applyFont="1" applyFill="1" applyBorder="1" applyAlignment="1">
      <alignment vertical="center"/>
    </xf>
    <xf numFmtId="0" fontId="47" fillId="18" borderId="28" xfId="0" applyFont="1" applyFill="1" applyBorder="1" applyAlignment="1">
      <alignment vertical="center"/>
    </xf>
    <xf numFmtId="173" fontId="52" fillId="27" borderId="17" xfId="4" applyNumberFormat="1" applyFont="1" applyFill="1" applyBorder="1" applyAlignment="1">
      <alignment horizontal="center" vertical="center" wrapText="1"/>
    </xf>
    <xf numFmtId="0" fontId="51" fillId="18" borderId="18" xfId="0" applyFont="1" applyFill="1" applyBorder="1" applyAlignment="1">
      <alignment horizontal="center" vertical="center" wrapText="1"/>
    </xf>
    <xf numFmtId="0" fontId="52" fillId="18" borderId="19" xfId="0" applyFont="1" applyFill="1" applyBorder="1" applyAlignment="1">
      <alignment horizontal="center" vertical="center" wrapText="1"/>
    </xf>
    <xf numFmtId="43" fontId="52" fillId="18" borderId="19" xfId="3" applyNumberFormat="1" applyFont="1" applyFill="1" applyBorder="1" applyAlignment="1">
      <alignment vertical="center" wrapText="1"/>
    </xf>
    <xf numFmtId="43" fontId="52" fillId="18" borderId="19" xfId="3" applyNumberFormat="1" applyFont="1" applyFill="1" applyBorder="1" applyAlignment="1">
      <alignment horizontal="right" vertical="center" wrapText="1"/>
    </xf>
    <xf numFmtId="0" fontId="48" fillId="2" borderId="0" xfId="0" applyFont="1" applyFill="1" applyBorder="1" applyAlignment="1">
      <alignment horizontal="left" vertical="center"/>
    </xf>
    <xf numFmtId="0" fontId="49" fillId="2" borderId="0" xfId="0" applyFont="1" applyFill="1" applyBorder="1" applyAlignment="1">
      <alignment horizontal="justify" vertical="center" wrapText="1"/>
    </xf>
    <xf numFmtId="0" fontId="49" fillId="2" borderId="0" xfId="0" applyFont="1" applyFill="1" applyBorder="1" applyAlignment="1">
      <alignment horizontal="left" vertical="center" wrapText="1"/>
    </xf>
    <xf numFmtId="0" fontId="49" fillId="2" borderId="0" xfId="0" applyFont="1" applyFill="1" applyBorder="1" applyAlignment="1">
      <alignment horizontal="justify" vertical="center"/>
    </xf>
    <xf numFmtId="0" fontId="48" fillId="2" borderId="0" xfId="0" applyFont="1" applyFill="1" applyBorder="1" applyAlignment="1">
      <alignment horizontal="right" vertical="center"/>
    </xf>
    <xf numFmtId="10" fontId="49" fillId="2" borderId="0" xfId="2" applyNumberFormat="1" applyFont="1" applyFill="1" applyBorder="1" applyAlignment="1">
      <alignment horizontal="left" vertical="center"/>
    </xf>
    <xf numFmtId="0" fontId="49" fillId="2" borderId="0" xfId="3" applyNumberFormat="1" applyFont="1" applyFill="1" applyBorder="1" applyAlignment="1">
      <alignment horizontal="left" vertical="center"/>
    </xf>
    <xf numFmtId="17" fontId="49" fillId="2" borderId="0" xfId="0" applyNumberFormat="1" applyFont="1" applyFill="1" applyBorder="1" applyAlignment="1">
      <alignment horizontal="left" vertical="center"/>
    </xf>
    <xf numFmtId="0" fontId="49" fillId="2" borderId="0" xfId="0" applyFont="1" applyFill="1" applyBorder="1" applyAlignment="1">
      <alignment horizontal="center" vertical="center"/>
    </xf>
    <xf numFmtId="165" fontId="49" fillId="2" borderId="0" xfId="3" applyNumberFormat="1" applyFont="1" applyFill="1" applyBorder="1" applyAlignment="1">
      <alignment horizontal="center" vertical="center"/>
    </xf>
    <xf numFmtId="0" fontId="51" fillId="2" borderId="22" xfId="0" applyFont="1" applyFill="1" applyBorder="1" applyAlignment="1">
      <alignment horizontal="center" vertical="center" wrapText="1"/>
    </xf>
    <xf numFmtId="43" fontId="52" fillId="2" borderId="10" xfId="3" applyNumberFormat="1" applyFont="1" applyFill="1" applyBorder="1" applyAlignment="1">
      <alignment vertical="center" wrapText="1"/>
    </xf>
    <xf numFmtId="43" fontId="52" fillId="2" borderId="10" xfId="3" applyNumberFormat="1" applyFont="1" applyFill="1" applyBorder="1" applyAlignment="1">
      <alignment horizontal="right" vertical="center" wrapText="1"/>
    </xf>
    <xf numFmtId="0" fontId="3" fillId="0" borderId="0" xfId="0" applyFont="1" applyBorder="1" applyAlignment="1">
      <alignment horizontal="center" vertical="center" wrapText="1"/>
    </xf>
    <xf numFmtId="0" fontId="50" fillId="2" borderId="0" xfId="17" applyFont="1" applyFill="1" applyBorder="1" applyAlignment="1">
      <alignment horizontal="left" vertical="center"/>
    </xf>
    <xf numFmtId="17" fontId="47" fillId="2" borderId="0" xfId="3" quotePrefix="1" applyNumberFormat="1" applyFont="1" applyFill="1" applyBorder="1" applyAlignment="1">
      <alignment horizontal="center" vertical="center" wrapText="1"/>
    </xf>
    <xf numFmtId="0" fontId="4" fillId="0" borderId="16" xfId="23" applyNumberFormat="1" applyFont="1" applyBorder="1" applyAlignment="1">
      <alignment horizontal="center" vertical="center"/>
    </xf>
    <xf numFmtId="0" fontId="71" fillId="0" borderId="17" xfId="23" applyNumberFormat="1" applyFont="1" applyFill="1" applyBorder="1" applyAlignment="1">
      <alignment horizontal="center" vertical="center"/>
    </xf>
    <xf numFmtId="0" fontId="58" fillId="20" borderId="31" xfId="0" applyFont="1" applyFill="1" applyBorder="1" applyAlignment="1">
      <alignment horizontal="justify" vertical="center" wrapText="1"/>
    </xf>
    <xf numFmtId="0" fontId="58" fillId="21" borderId="12" xfId="0" applyFont="1" applyFill="1" applyBorder="1" applyAlignment="1">
      <alignment horizontal="justify" vertical="center" wrapText="1"/>
    </xf>
    <xf numFmtId="43" fontId="58" fillId="2" borderId="44" xfId="0" applyNumberFormat="1" applyFont="1" applyFill="1" applyBorder="1" applyAlignment="1">
      <alignment horizontal="center" vertical="center"/>
    </xf>
    <xf numFmtId="43" fontId="58" fillId="18" borderId="29" xfId="0" applyNumberFormat="1" applyFont="1" applyFill="1" applyBorder="1" applyAlignment="1">
      <alignment horizontal="center" vertical="center"/>
    </xf>
    <xf numFmtId="0" fontId="48" fillId="0" borderId="0" xfId="0" applyFont="1" applyBorder="1" applyAlignment="1">
      <alignment horizontal="left" vertical="center"/>
    </xf>
    <xf numFmtId="17" fontId="49" fillId="0" borderId="0" xfId="0" applyNumberFormat="1" applyFont="1" applyBorder="1" applyAlignment="1">
      <alignment horizontal="left" vertical="center"/>
    </xf>
    <xf numFmtId="0" fontId="48" fillId="0" borderId="0" xfId="0" applyFont="1" applyBorder="1" applyAlignment="1">
      <alignment horizontal="right" vertical="center" wrapText="1"/>
    </xf>
    <xf numFmtId="10" fontId="3" fillId="0" borderId="0" xfId="0" applyNumberFormat="1" applyFont="1" applyBorder="1" applyAlignment="1">
      <alignment horizontal="left" vertical="center" wrapText="1"/>
    </xf>
    <xf numFmtId="17" fontId="3" fillId="0" borderId="0" xfId="0" applyNumberFormat="1" applyFont="1" applyBorder="1" applyAlignment="1">
      <alignment horizontal="left" vertical="center"/>
    </xf>
    <xf numFmtId="17" fontId="3" fillId="0" borderId="0" xfId="0" applyNumberFormat="1" applyFont="1" applyBorder="1" applyAlignment="1">
      <alignment horizontal="left" vertical="center" wrapText="1"/>
    </xf>
    <xf numFmtId="0" fontId="46" fillId="18" borderId="22" xfId="0" applyFont="1" applyFill="1" applyBorder="1" applyAlignment="1">
      <alignment horizontal="center" vertical="center" wrapText="1"/>
    </xf>
    <xf numFmtId="0" fontId="52" fillId="18" borderId="10" xfId="0" applyFont="1" applyFill="1" applyBorder="1" applyAlignment="1">
      <alignment vertical="center" wrapText="1"/>
    </xf>
    <xf numFmtId="165" fontId="52" fillId="18" borderId="10" xfId="0" applyNumberFormat="1" applyFont="1" applyFill="1" applyBorder="1" applyAlignment="1">
      <alignment horizontal="right" vertical="center" wrapText="1"/>
    </xf>
    <xf numFmtId="10" fontId="52" fillId="18" borderId="10" xfId="2" applyNumberFormat="1" applyFont="1" applyFill="1" applyBorder="1" applyAlignment="1">
      <alignment horizontal="center" vertical="center" wrapText="1"/>
    </xf>
    <xf numFmtId="43" fontId="64" fillId="18" borderId="10" xfId="0" applyNumberFormat="1" applyFont="1" applyFill="1" applyBorder="1" applyAlignment="1">
      <alignment vertical="center" wrapText="1"/>
    </xf>
    <xf numFmtId="10" fontId="46" fillId="18" borderId="10" xfId="2" applyNumberFormat="1" applyFont="1" applyFill="1" applyBorder="1" applyAlignment="1">
      <alignment vertical="center" wrapText="1"/>
    </xf>
    <xf numFmtId="43" fontId="92" fillId="18" borderId="10" xfId="0" applyNumberFormat="1" applyFont="1" applyFill="1" applyBorder="1" applyAlignment="1">
      <alignment vertical="center" wrapText="1"/>
    </xf>
    <xf numFmtId="165" fontId="46" fillId="18" borderId="10" xfId="0" applyNumberFormat="1" applyFont="1" applyFill="1" applyBorder="1" applyAlignment="1">
      <alignment horizontal="right" vertical="center" wrapText="1"/>
    </xf>
    <xf numFmtId="10" fontId="46" fillId="18" borderId="10" xfId="2" applyNumberFormat="1" applyFont="1" applyFill="1" applyBorder="1" applyAlignment="1">
      <alignment horizontal="center" vertical="center" wrapText="1"/>
    </xf>
    <xf numFmtId="0" fontId="46" fillId="18" borderId="10" xfId="0" applyFont="1" applyFill="1" applyBorder="1" applyAlignment="1">
      <alignment vertical="center" wrapText="1"/>
    </xf>
    <xf numFmtId="0" fontId="47" fillId="0" borderId="73" xfId="0" applyFont="1" applyBorder="1" applyAlignment="1">
      <alignment horizontal="center" vertical="center" wrapText="1"/>
    </xf>
    <xf numFmtId="0" fontId="50" fillId="0" borderId="4" xfId="0" applyFont="1" applyBorder="1" applyAlignment="1">
      <alignment vertical="center" wrapText="1"/>
    </xf>
    <xf numFmtId="165" fontId="47" fillId="0" borderId="4" xfId="0" applyNumberFormat="1" applyFont="1" applyBorder="1" applyAlignment="1">
      <alignment horizontal="right" vertical="center" wrapText="1"/>
    </xf>
    <xf numFmtId="10" fontId="47" fillId="0" borderId="4" xfId="2" applyNumberFormat="1" applyFont="1" applyBorder="1" applyAlignment="1">
      <alignment horizontal="center" vertical="center" wrapText="1"/>
    </xf>
    <xf numFmtId="43" fontId="56" fillId="0" borderId="4" xfId="0" applyNumberFormat="1" applyFont="1" applyBorder="1" applyAlignment="1">
      <alignment vertical="center" wrapText="1"/>
    </xf>
    <xf numFmtId="10" fontId="47" fillId="2" borderId="4" xfId="2" applyNumberFormat="1" applyFont="1" applyFill="1" applyBorder="1" applyAlignment="1">
      <alignment vertical="center" wrapText="1"/>
    </xf>
    <xf numFmtId="10" fontId="47" fillId="0" borderId="86" xfId="2" applyNumberFormat="1" applyFont="1" applyFill="1" applyBorder="1" applyAlignment="1">
      <alignment vertical="center" wrapText="1"/>
    </xf>
    <xf numFmtId="43" fontId="7" fillId="0" borderId="0" xfId="0" applyNumberFormat="1" applyFont="1" applyFill="1" applyAlignment="1">
      <alignment horizontal="center" vertical="center" wrapText="1"/>
    </xf>
    <xf numFmtId="10" fontId="7" fillId="0" borderId="0" xfId="2" applyNumberFormat="1" applyFont="1" applyAlignment="1">
      <alignment horizontal="center" vertical="center" wrapText="1"/>
    </xf>
    <xf numFmtId="0" fontId="46" fillId="0" borderId="0" xfId="0" applyFont="1" applyBorder="1" applyAlignment="1">
      <alignment horizontal="left" vertical="center"/>
    </xf>
    <xf numFmtId="0" fontId="47" fillId="0" borderId="0" xfId="0" applyFont="1" applyBorder="1" applyAlignment="1">
      <alignment vertical="center"/>
    </xf>
    <xf numFmtId="0" fontId="47" fillId="0" borderId="0" xfId="0" applyFont="1" applyBorder="1" applyAlignment="1">
      <alignment horizontal="center" vertical="center"/>
    </xf>
    <xf numFmtId="0" fontId="47" fillId="0" borderId="0" xfId="3" applyNumberFormat="1" applyFont="1" applyBorder="1" applyAlignment="1">
      <alignment horizontal="center" vertical="center"/>
    </xf>
    <xf numFmtId="0" fontId="47" fillId="0" borderId="0" xfId="0" applyFont="1" applyBorder="1" applyAlignment="1">
      <alignment vertical="center" wrapText="1"/>
    </xf>
    <xf numFmtId="0" fontId="46" fillId="0" borderId="0" xfId="0" applyFont="1" applyBorder="1" applyAlignment="1">
      <alignment horizontal="center" vertical="center"/>
    </xf>
    <xf numFmtId="0" fontId="46" fillId="0" borderId="87" xfId="0" applyFont="1" applyBorder="1" applyAlignment="1">
      <alignment horizontal="center" vertical="center"/>
    </xf>
    <xf numFmtId="0" fontId="14" fillId="0" borderId="88" xfId="0" applyFont="1" applyBorder="1" applyAlignment="1">
      <alignment horizontal="center" vertical="center"/>
    </xf>
    <xf numFmtId="0" fontId="14" fillId="0" borderId="89" xfId="0" applyFont="1" applyBorder="1" applyAlignment="1">
      <alignment horizontal="center" vertical="center"/>
    </xf>
    <xf numFmtId="0" fontId="46" fillId="0" borderId="90" xfId="0" applyFont="1" applyBorder="1" applyAlignment="1">
      <alignment horizontal="center" vertical="center"/>
    </xf>
    <xf numFmtId="0" fontId="46" fillId="0" borderId="91" xfId="0" applyFont="1" applyBorder="1" applyAlignment="1">
      <alignment horizontal="center" vertical="center"/>
    </xf>
    <xf numFmtId="0" fontId="46" fillId="0" borderId="92" xfId="0" applyFont="1" applyBorder="1" applyAlignment="1">
      <alignment horizontal="center" vertical="center"/>
    </xf>
    <xf numFmtId="0" fontId="46" fillId="18" borderId="93" xfId="0" applyFont="1" applyFill="1" applyBorder="1" applyAlignment="1">
      <alignment horizontal="center" vertical="center"/>
    </xf>
    <xf numFmtId="0" fontId="46" fillId="18" borderId="94" xfId="0" applyFont="1" applyFill="1" applyBorder="1" applyAlignment="1">
      <alignment vertical="center"/>
    </xf>
    <xf numFmtId="10" fontId="46" fillId="18" borderId="94" xfId="2" applyNumberFormat="1" applyFont="1" applyFill="1" applyBorder="1" applyAlignment="1">
      <alignment horizontal="center" vertical="center"/>
    </xf>
    <xf numFmtId="165" fontId="46" fillId="18" borderId="95" xfId="3" applyFont="1" applyFill="1" applyBorder="1" applyAlignment="1">
      <alignment horizontal="center" vertical="center"/>
    </xf>
    <xf numFmtId="0" fontId="47" fillId="0" borderId="93" xfId="0" applyFont="1" applyBorder="1" applyAlignment="1">
      <alignment horizontal="center" vertical="center"/>
    </xf>
    <xf numFmtId="0" fontId="47" fillId="0" borderId="94" xfId="0" applyFont="1" applyBorder="1" applyAlignment="1">
      <alignment horizontal="left" vertical="center"/>
    </xf>
    <xf numFmtId="10" fontId="47" fillId="0" borderId="94" xfId="2" applyNumberFormat="1" applyFont="1" applyBorder="1" applyAlignment="1">
      <alignment horizontal="right" vertical="center"/>
    </xf>
    <xf numFmtId="165" fontId="47" fillId="0" borderId="95" xfId="3" applyFont="1" applyBorder="1" applyAlignment="1">
      <alignment horizontal="center" vertical="center"/>
    </xf>
    <xf numFmtId="10" fontId="46" fillId="18" borderId="94" xfId="2" applyNumberFormat="1" applyFont="1" applyFill="1" applyBorder="1" applyAlignment="1">
      <alignment horizontal="right" vertical="center"/>
    </xf>
    <xf numFmtId="10" fontId="47" fillId="0" borderId="94" xfId="2" applyNumberFormat="1" applyFont="1" applyBorder="1" applyAlignment="1">
      <alignment horizontal="center" vertical="center"/>
    </xf>
    <xf numFmtId="0" fontId="47" fillId="0" borderId="94" xfId="0" applyFont="1" applyBorder="1" applyAlignment="1">
      <alignment horizontal="left" vertical="center" wrapText="1"/>
    </xf>
    <xf numFmtId="0" fontId="46" fillId="0" borderId="93" xfId="0" applyFont="1" applyBorder="1" applyAlignment="1">
      <alignment horizontal="center" vertical="center"/>
    </xf>
    <xf numFmtId="0" fontId="46" fillId="0" borderId="94" xfId="0" applyFont="1" applyBorder="1" applyAlignment="1">
      <alignment vertical="center"/>
    </xf>
    <xf numFmtId="10" fontId="46" fillId="0" borderId="94" xfId="2" applyNumberFormat="1" applyFont="1" applyBorder="1" applyAlignment="1">
      <alignment horizontal="center" vertical="center"/>
    </xf>
    <xf numFmtId="165" fontId="46" fillId="0" borderId="95" xfId="3" applyFont="1" applyBorder="1" applyAlignment="1">
      <alignment horizontal="center" vertical="center"/>
    </xf>
    <xf numFmtId="43" fontId="47" fillId="0" borderId="95" xfId="0" applyNumberFormat="1" applyFont="1" applyBorder="1" applyAlignment="1">
      <alignment vertical="center"/>
    </xf>
    <xf numFmtId="0" fontId="47" fillId="0" borderId="94" xfId="0" applyFont="1" applyBorder="1" applyAlignment="1">
      <alignment vertical="center"/>
    </xf>
    <xf numFmtId="0" fontId="47" fillId="0" borderId="95" xfId="0" applyFont="1" applyBorder="1" applyAlignment="1">
      <alignment vertical="center"/>
    </xf>
    <xf numFmtId="0" fontId="46" fillId="18" borderId="96" xfId="0" applyFont="1" applyFill="1" applyBorder="1" applyAlignment="1">
      <alignment horizontal="center" vertical="center"/>
    </xf>
    <xf numFmtId="0" fontId="46" fillId="18" borderId="97" xfId="0" applyFont="1" applyFill="1" applyBorder="1" applyAlignment="1">
      <alignment vertical="center"/>
    </xf>
    <xf numFmtId="10" fontId="46" fillId="18" borderId="97" xfId="2" applyNumberFormat="1" applyFont="1" applyFill="1" applyBorder="1" applyAlignment="1">
      <alignment horizontal="right" vertical="center"/>
    </xf>
    <xf numFmtId="165" fontId="46" fillId="18" borderId="98" xfId="3" applyFont="1" applyFill="1" applyBorder="1" applyAlignment="1">
      <alignment horizontal="center" vertical="center"/>
    </xf>
    <xf numFmtId="0" fontId="46" fillId="2" borderId="40" xfId="0" applyFont="1" applyFill="1" applyBorder="1" applyAlignment="1">
      <alignment horizontal="center" vertical="center" wrapText="1"/>
    </xf>
    <xf numFmtId="0" fontId="52" fillId="2" borderId="0" xfId="17" applyFont="1" applyFill="1" applyBorder="1" applyAlignment="1">
      <alignment horizontal="left" vertical="center" wrapText="1"/>
    </xf>
    <xf numFmtId="0" fontId="0" fillId="0" borderId="0" xfId="0" applyAlignment="1">
      <alignment horizontal="left" vertical="center"/>
    </xf>
    <xf numFmtId="0" fontId="52" fillId="2" borderId="0" xfId="17" applyFont="1" applyFill="1" applyBorder="1" applyAlignment="1">
      <alignment horizontal="left" vertical="center"/>
    </xf>
    <xf numFmtId="17" fontId="50" fillId="2" borderId="0" xfId="17" applyNumberFormat="1" applyFont="1" applyFill="1" applyBorder="1" applyAlignment="1">
      <alignment vertical="center"/>
    </xf>
    <xf numFmtId="0" fontId="52" fillId="2" borderId="0" xfId="17" applyFont="1" applyFill="1" applyBorder="1" applyAlignment="1">
      <alignment horizontal="right" vertical="center"/>
    </xf>
    <xf numFmtId="17" fontId="47" fillId="2" borderId="0" xfId="3" quotePrefix="1" applyNumberFormat="1" applyFont="1" applyFill="1" applyBorder="1" applyAlignment="1">
      <alignment horizontal="left" vertical="center"/>
    </xf>
    <xf numFmtId="17" fontId="50" fillId="2" borderId="0" xfId="17" applyNumberFormat="1" applyFont="1" applyFill="1" applyBorder="1" applyAlignment="1">
      <alignment horizontal="left" vertical="center"/>
    </xf>
    <xf numFmtId="0" fontId="48" fillId="0" borderId="0" xfId="0" applyFont="1" applyAlignment="1">
      <alignment horizontal="right"/>
    </xf>
    <xf numFmtId="17" fontId="4" fillId="0" borderId="0" xfId="23" applyNumberFormat="1"/>
    <xf numFmtId="0" fontId="4" fillId="0" borderId="28" xfId="23" applyNumberFormat="1" applyFont="1" applyBorder="1" applyAlignment="1">
      <alignment horizontal="center" vertical="center"/>
    </xf>
    <xf numFmtId="0" fontId="71" fillId="0" borderId="28" xfId="23" applyNumberFormat="1" applyFont="1" applyFill="1" applyBorder="1" applyAlignment="1">
      <alignment horizontal="center" vertical="center"/>
    </xf>
    <xf numFmtId="0" fontId="72" fillId="0" borderId="28" xfId="0" applyFont="1" applyFill="1" applyBorder="1" applyAlignment="1">
      <alignment horizontal="center" vertical="center"/>
    </xf>
    <xf numFmtId="10" fontId="72" fillId="0" borderId="28" xfId="12" applyNumberFormat="1" applyFont="1" applyFill="1" applyBorder="1" applyAlignment="1">
      <alignment horizontal="center" vertical="center" wrapText="1"/>
    </xf>
    <xf numFmtId="0" fontId="48" fillId="0" borderId="0" xfId="0" applyFont="1" applyBorder="1"/>
    <xf numFmtId="0" fontId="49" fillId="0" borderId="0" xfId="0" applyFont="1" applyBorder="1"/>
    <xf numFmtId="0" fontId="48" fillId="0" borderId="0" xfId="0" applyFont="1" applyBorder="1" applyAlignment="1">
      <alignment horizontal="right"/>
    </xf>
    <xf numFmtId="17" fontId="4" fillId="0" borderId="0" xfId="23" applyNumberFormat="1" applyBorder="1"/>
    <xf numFmtId="0" fontId="7" fillId="0" borderId="0" xfId="0" applyFont="1" applyFill="1" applyAlignment="1">
      <alignment horizontal="left" vertical="center"/>
    </xf>
    <xf numFmtId="0" fontId="6" fillId="0" borderId="0" xfId="0" applyFont="1" applyFill="1" applyAlignment="1">
      <alignment horizontal="left" vertical="center"/>
    </xf>
    <xf numFmtId="0" fontId="48" fillId="2" borderId="0" xfId="0" applyFont="1" applyFill="1" applyBorder="1" applyAlignment="1">
      <alignment horizontal="center" vertical="center"/>
    </xf>
    <xf numFmtId="0" fontId="47" fillId="0" borderId="74" xfId="0" applyFont="1" applyBorder="1" applyAlignment="1">
      <alignment horizontal="justify" vertical="center" wrapText="1"/>
    </xf>
    <xf numFmtId="0" fontId="46" fillId="0" borderId="83" xfId="0" applyFont="1" applyBorder="1" applyAlignment="1">
      <alignment horizontal="center" vertical="center"/>
    </xf>
    <xf numFmtId="0" fontId="14" fillId="0" borderId="84" xfId="0" applyFont="1" applyBorder="1" applyAlignment="1">
      <alignment horizontal="center" vertical="center"/>
    </xf>
    <xf numFmtId="0" fontId="14" fillId="0" borderId="85" xfId="0" applyFont="1" applyBorder="1" applyAlignment="1">
      <alignment horizontal="center" vertical="center"/>
    </xf>
    <xf numFmtId="0" fontId="3" fillId="0" borderId="0" xfId="0" applyFont="1" applyBorder="1" applyAlignment="1">
      <alignment horizontal="center" vertical="center" wrapText="1"/>
    </xf>
    <xf numFmtId="0" fontId="47" fillId="0" borderId="0" xfId="0" applyFont="1" applyBorder="1" applyAlignment="1">
      <alignment horizontal="center" vertical="center" wrapText="1"/>
    </xf>
    <xf numFmtId="0" fontId="46" fillId="0" borderId="73" xfId="0" applyFont="1" applyBorder="1" applyAlignment="1">
      <alignment horizontal="center" vertical="center" wrapText="1"/>
    </xf>
    <xf numFmtId="0" fontId="46" fillId="0" borderId="4" xfId="0" applyFont="1" applyBorder="1" applyAlignment="1">
      <alignment horizontal="center" vertical="center" wrapText="1"/>
    </xf>
    <xf numFmtId="0" fontId="49" fillId="0" borderId="0" xfId="0" applyFont="1" applyBorder="1" applyAlignment="1">
      <alignment horizontal="left" vertical="center" wrapText="1"/>
    </xf>
    <xf numFmtId="0" fontId="46" fillId="0" borderId="9"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59"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59" xfId="3" applyNumberFormat="1" applyFont="1" applyBorder="1" applyAlignment="1">
      <alignment horizontal="center" vertical="center" wrapText="1"/>
    </xf>
    <xf numFmtId="0" fontId="46" fillId="0" borderId="27" xfId="3" applyNumberFormat="1" applyFont="1" applyBorder="1" applyAlignment="1">
      <alignment horizontal="center" vertical="center" wrapText="1"/>
    </xf>
    <xf numFmtId="0" fontId="46" fillId="0" borderId="47"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0" xfId="0" applyFont="1" applyBorder="1" applyAlignment="1">
      <alignment horizontal="center" vertical="center"/>
    </xf>
    <xf numFmtId="0" fontId="46" fillId="0" borderId="76" xfId="0" applyFont="1" applyBorder="1" applyAlignment="1">
      <alignment horizontal="center" vertical="center" wrapText="1"/>
    </xf>
    <xf numFmtId="0" fontId="52" fillId="2" borderId="72" xfId="4" applyFont="1" applyFill="1" applyBorder="1" applyAlignment="1">
      <alignment horizontal="right" vertical="center" wrapText="1"/>
    </xf>
    <xf numFmtId="0" fontId="52" fillId="2" borderId="28" xfId="4" applyFont="1" applyFill="1" applyBorder="1" applyAlignment="1">
      <alignment horizontal="right" vertical="center" wrapText="1"/>
    </xf>
    <xf numFmtId="0" fontId="52" fillId="2" borderId="17" xfId="4" applyFont="1" applyFill="1" applyBorder="1" applyAlignment="1">
      <alignment horizontal="right" vertical="center" wrapText="1"/>
    </xf>
    <xf numFmtId="0" fontId="52" fillId="27" borderId="72" xfId="4" applyFont="1" applyFill="1" applyBorder="1" applyAlignment="1">
      <alignment horizontal="right" vertical="center" wrapText="1"/>
    </xf>
    <xf numFmtId="0" fontId="52" fillId="27" borderId="28" xfId="4" applyFont="1" applyFill="1" applyBorder="1" applyAlignment="1">
      <alignment horizontal="right" vertical="center" wrapText="1"/>
    </xf>
    <xf numFmtId="0" fontId="52" fillId="27" borderId="17" xfId="4" applyFont="1" applyFill="1" applyBorder="1" applyAlignment="1">
      <alignment horizontal="right" vertical="center" wrapText="1"/>
    </xf>
    <xf numFmtId="0" fontId="50" fillId="2" borderId="0" xfId="17" applyFont="1" applyFill="1" applyBorder="1" applyAlignment="1">
      <alignment horizontal="left" vertical="center" wrapText="1"/>
    </xf>
    <xf numFmtId="0" fontId="52" fillId="2" borderId="19" xfId="4" applyFont="1" applyFill="1" applyBorder="1" applyAlignment="1">
      <alignment horizontal="right" vertical="center" wrapText="1"/>
    </xf>
    <xf numFmtId="0" fontId="73" fillId="22" borderId="13" xfId="23" applyNumberFormat="1" applyFont="1" applyFill="1" applyBorder="1" applyAlignment="1">
      <alignment horizontal="center" vertical="center"/>
    </xf>
    <xf numFmtId="0" fontId="73" fillId="22" borderId="14" xfId="23" applyNumberFormat="1" applyFont="1" applyFill="1" applyBorder="1" applyAlignment="1">
      <alignment horizontal="center" vertical="center"/>
    </xf>
    <xf numFmtId="0" fontId="73" fillId="22" borderId="15" xfId="23" applyNumberFormat="1" applyFont="1" applyFill="1" applyBorder="1" applyAlignment="1">
      <alignment horizontal="center" vertical="center"/>
    </xf>
    <xf numFmtId="0" fontId="58" fillId="18" borderId="47" xfId="23" applyFont="1" applyFill="1" applyBorder="1" applyAlignment="1">
      <alignment horizontal="left" vertical="center" wrapText="1"/>
    </xf>
    <xf numFmtId="0" fontId="58" fillId="18" borderId="49" xfId="23" applyFont="1" applyFill="1" applyBorder="1" applyAlignment="1">
      <alignment horizontal="left" vertical="center" wrapText="1"/>
    </xf>
    <xf numFmtId="0" fontId="58" fillId="18" borderId="63" xfId="23" applyFont="1" applyFill="1" applyBorder="1" applyAlignment="1">
      <alignment horizontal="left" vertical="center" wrapText="1"/>
    </xf>
    <xf numFmtId="0" fontId="58" fillId="13" borderId="10" xfId="23" applyFont="1" applyFill="1" applyBorder="1" applyAlignment="1">
      <alignment horizontal="center" vertical="center"/>
    </xf>
    <xf numFmtId="0" fontId="58" fillId="13" borderId="42" xfId="23" applyFont="1" applyFill="1" applyBorder="1" applyAlignment="1">
      <alignment horizontal="center" vertical="center"/>
    </xf>
    <xf numFmtId="0" fontId="58" fillId="0" borderId="0" xfId="23" applyFont="1" applyFill="1" applyAlignment="1">
      <alignment horizontal="center" vertical="center" wrapText="1"/>
    </xf>
    <xf numFmtId="0" fontId="58" fillId="0" borderId="0" xfId="32" applyFont="1" applyFill="1" applyAlignment="1">
      <alignment horizontal="center" vertical="center" wrapText="1"/>
    </xf>
    <xf numFmtId="0" fontId="58" fillId="18" borderId="40" xfId="23" applyFont="1" applyFill="1" applyBorder="1" applyAlignment="1">
      <alignment horizontal="left" vertical="center" wrapText="1"/>
    </xf>
    <xf numFmtId="0" fontId="49" fillId="0" borderId="40" xfId="0" applyFont="1" applyBorder="1" applyAlignment="1">
      <alignment horizontal="left" vertical="center" wrapText="1"/>
    </xf>
    <xf numFmtId="0" fontId="58" fillId="13" borderId="23" xfId="23" applyFont="1" applyFill="1" applyBorder="1" applyAlignment="1">
      <alignment horizontal="center"/>
    </xf>
    <xf numFmtId="0" fontId="58" fillId="13" borderId="3" xfId="23" applyFont="1" applyFill="1" applyBorder="1" applyAlignment="1">
      <alignment horizontal="center"/>
    </xf>
    <xf numFmtId="0" fontId="58" fillId="13" borderId="75" xfId="23" applyFont="1" applyFill="1" applyBorder="1" applyAlignment="1">
      <alignment horizontal="center"/>
    </xf>
    <xf numFmtId="49" fontId="58" fillId="0" borderId="0" xfId="29" applyNumberFormat="1" applyFont="1" applyBorder="1" applyAlignment="1">
      <alignment horizontal="center" vertical="center" wrapText="1"/>
    </xf>
    <xf numFmtId="0" fontId="58" fillId="0" borderId="0" xfId="32" applyFont="1" applyAlignment="1">
      <alignment horizontal="center" vertical="center" wrapText="1"/>
    </xf>
    <xf numFmtId="0" fontId="58" fillId="0" borderId="0" xfId="23" applyFont="1" applyAlignment="1">
      <alignment horizontal="center" vertical="center" wrapText="1"/>
    </xf>
    <xf numFmtId="0" fontId="58" fillId="13" borderId="22" xfId="23" applyFont="1" applyFill="1" applyBorder="1" applyAlignment="1">
      <alignment horizontal="center" vertical="center"/>
    </xf>
    <xf numFmtId="49" fontId="58" fillId="0" borderId="0" xfId="29" applyNumberFormat="1" applyFont="1" applyBorder="1" applyAlignment="1">
      <alignment horizontal="left" vertical="center"/>
    </xf>
    <xf numFmtId="49" fontId="58" fillId="0" borderId="70" xfId="29" applyNumberFormat="1" applyFont="1" applyBorder="1" applyAlignment="1">
      <alignment horizontal="left" vertical="center"/>
    </xf>
    <xf numFmtId="49" fontId="58" fillId="0" borderId="48" xfId="29" applyNumberFormat="1" applyFont="1" applyBorder="1" applyAlignment="1">
      <alignment horizontal="left" vertical="center"/>
    </xf>
    <xf numFmtId="49" fontId="58" fillId="0" borderId="68" xfId="29" applyNumberFormat="1" applyFont="1" applyBorder="1" applyAlignment="1">
      <alignment horizontal="left" vertical="center"/>
    </xf>
    <xf numFmtId="0" fontId="4" fillId="5" borderId="22" xfId="23" applyFont="1" applyFill="1" applyBorder="1" applyAlignment="1">
      <alignment horizontal="center" vertical="center"/>
    </xf>
    <xf numFmtId="0" fontId="4" fillId="5" borderId="10" xfId="23" applyFont="1" applyFill="1" applyBorder="1" applyAlignment="1">
      <alignment horizontal="center" vertical="center"/>
    </xf>
    <xf numFmtId="0" fontId="4" fillId="5" borderId="42" xfId="23" applyFont="1" applyFill="1" applyBorder="1" applyAlignment="1">
      <alignment horizontal="center" vertical="center"/>
    </xf>
    <xf numFmtId="0" fontId="58" fillId="13" borderId="23" xfId="23" applyFont="1" applyFill="1" applyBorder="1" applyAlignment="1">
      <alignment horizontal="center" vertical="center"/>
    </xf>
    <xf numFmtId="0" fontId="58" fillId="13" borderId="3" xfId="23" applyFont="1" applyFill="1" applyBorder="1" applyAlignment="1">
      <alignment horizontal="center" vertical="center"/>
    </xf>
    <xf numFmtId="0" fontId="58" fillId="13" borderId="75" xfId="23" applyFont="1" applyFill="1" applyBorder="1" applyAlignment="1">
      <alignment horizontal="center" vertical="center"/>
    </xf>
    <xf numFmtId="0" fontId="49" fillId="0" borderId="49" xfId="0" applyFont="1" applyBorder="1" applyAlignment="1">
      <alignment horizontal="left" vertical="center" wrapText="1"/>
    </xf>
    <xf numFmtId="0" fontId="49" fillId="0" borderId="63" xfId="0" applyFont="1" applyBorder="1" applyAlignment="1">
      <alignment horizontal="left" vertical="center" wrapText="1"/>
    </xf>
    <xf numFmtId="49" fontId="58" fillId="0" borderId="0" xfId="29" applyNumberFormat="1" applyFont="1" applyFill="1" applyBorder="1" applyAlignment="1">
      <alignment horizontal="center" vertical="center" wrapText="1"/>
    </xf>
    <xf numFmtId="0" fontId="58" fillId="13" borderId="22" xfId="23" applyFont="1" applyFill="1" applyBorder="1" applyAlignment="1">
      <alignment horizontal="center"/>
    </xf>
    <xf numFmtId="0" fontId="58" fillId="13" borderId="10" xfId="23" applyFont="1" applyFill="1" applyBorder="1" applyAlignment="1">
      <alignment horizontal="center"/>
    </xf>
    <xf numFmtId="0" fontId="58" fillId="13" borderId="42" xfId="23" applyFont="1" applyFill="1" applyBorder="1" applyAlignment="1">
      <alignment horizontal="center"/>
    </xf>
    <xf numFmtId="0" fontId="52" fillId="0" borderId="0" xfId="23" applyFont="1" applyAlignment="1">
      <alignment horizontal="center" vertical="center" wrapText="1"/>
    </xf>
    <xf numFmtId="0" fontId="57" fillId="0" borderId="0" xfId="23" applyFont="1" applyAlignment="1">
      <alignment horizontal="left" vertical="center" wrapText="1"/>
    </xf>
    <xf numFmtId="0" fontId="57" fillId="0" borderId="0" xfId="23" applyFont="1" applyAlignment="1">
      <alignment horizontal="center" vertical="center" wrapText="1"/>
    </xf>
    <xf numFmtId="0" fontId="58" fillId="0" borderId="0" xfId="23" applyFont="1" applyAlignment="1">
      <alignment horizontal="center" vertical="center"/>
    </xf>
    <xf numFmtId="0" fontId="57" fillId="0" borderId="0" xfId="23" applyFont="1" applyAlignment="1">
      <alignment horizontal="center" vertical="center"/>
    </xf>
    <xf numFmtId="49" fontId="57" fillId="0" borderId="0" xfId="29" applyNumberFormat="1" applyFont="1" applyBorder="1" applyAlignment="1">
      <alignment horizontal="left" vertical="center" wrapText="1"/>
    </xf>
    <xf numFmtId="49" fontId="57" fillId="0" borderId="0" xfId="0" applyNumberFormat="1" applyFont="1" applyBorder="1" applyAlignment="1">
      <alignment horizontal="left" vertical="top" wrapText="1"/>
    </xf>
    <xf numFmtId="49" fontId="57" fillId="0" borderId="70" xfId="0" applyNumberFormat="1" applyFont="1" applyBorder="1" applyAlignment="1">
      <alignment horizontal="left" vertical="top" wrapText="1"/>
    </xf>
    <xf numFmtId="0" fontId="58" fillId="5" borderId="40" xfId="23" applyFont="1" applyFill="1" applyBorder="1" applyAlignment="1">
      <alignment horizontal="left" vertical="center" wrapText="1"/>
    </xf>
    <xf numFmtId="49" fontId="57" fillId="0" borderId="70" xfId="29" applyNumberFormat="1" applyFont="1" applyBorder="1" applyAlignment="1">
      <alignment horizontal="left" vertical="center" wrapText="1"/>
    </xf>
    <xf numFmtId="49" fontId="57" fillId="2" borderId="69" xfId="0" applyNumberFormat="1" applyFont="1" applyFill="1" applyBorder="1" applyAlignment="1">
      <alignment horizontal="left" vertical="center" wrapText="1"/>
    </xf>
    <xf numFmtId="49" fontId="57" fillId="2" borderId="0" xfId="0" applyNumberFormat="1" applyFont="1" applyFill="1" applyBorder="1" applyAlignment="1">
      <alignment horizontal="left" vertical="center" wrapText="1"/>
    </xf>
    <xf numFmtId="49" fontId="57" fillId="2" borderId="70" xfId="0" applyNumberFormat="1" applyFont="1" applyFill="1" applyBorder="1" applyAlignment="1">
      <alignment horizontal="left" vertical="center" wrapText="1"/>
    </xf>
    <xf numFmtId="0" fontId="57" fillId="2" borderId="69" xfId="23" applyNumberFormat="1" applyFont="1" applyFill="1" applyBorder="1" applyAlignment="1">
      <alignment horizontal="left" vertical="top" wrapText="1"/>
    </xf>
    <xf numFmtId="0" fontId="57" fillId="2" borderId="0" xfId="23" applyNumberFormat="1" applyFont="1" applyFill="1" applyBorder="1" applyAlignment="1">
      <alignment horizontal="left" vertical="top" wrapText="1"/>
    </xf>
    <xf numFmtId="49" fontId="57" fillId="2" borderId="69" xfId="23" applyNumberFormat="1" applyFont="1" applyFill="1" applyBorder="1" applyAlignment="1">
      <alignment horizontal="left" vertical="top" wrapText="1"/>
    </xf>
    <xf numFmtId="49" fontId="57" fillId="2" borderId="0" xfId="23" applyNumberFormat="1" applyFont="1" applyFill="1" applyBorder="1" applyAlignment="1">
      <alignment horizontal="left" vertical="top" wrapText="1"/>
    </xf>
    <xf numFmtId="0" fontId="58" fillId="13" borderId="18" xfId="23" applyFont="1" applyFill="1" applyBorder="1" applyAlignment="1">
      <alignment horizontal="center"/>
    </xf>
    <xf numFmtId="0" fontId="58" fillId="13" borderId="19" xfId="23" applyFont="1" applyFill="1" applyBorder="1" applyAlignment="1">
      <alignment horizontal="center"/>
    </xf>
    <xf numFmtId="0" fontId="58" fillId="13" borderId="43" xfId="23" applyFont="1" applyFill="1" applyBorder="1" applyAlignment="1">
      <alignment horizontal="center"/>
    </xf>
    <xf numFmtId="49" fontId="57" fillId="2" borderId="69" xfId="23" applyNumberFormat="1" applyFont="1" applyFill="1" applyBorder="1" applyAlignment="1">
      <alignment vertical="top" wrapText="1"/>
    </xf>
    <xf numFmtId="49" fontId="57" fillId="2" borderId="0" xfId="23" applyNumberFormat="1" applyFont="1" applyFill="1" applyBorder="1" applyAlignment="1">
      <alignment vertical="top" wrapText="1"/>
    </xf>
    <xf numFmtId="49" fontId="57" fillId="2" borderId="69" xfId="0" applyNumberFormat="1" applyFont="1" applyFill="1" applyBorder="1" applyAlignment="1">
      <alignment horizontal="left" vertical="top"/>
    </xf>
    <xf numFmtId="49" fontId="57" fillId="2" borderId="0" xfId="0" applyNumberFormat="1" applyFont="1" applyFill="1" applyBorder="1" applyAlignment="1">
      <alignment horizontal="left" vertical="top"/>
    </xf>
    <xf numFmtId="49" fontId="57" fillId="2" borderId="70" xfId="0" applyNumberFormat="1" applyFont="1" applyFill="1" applyBorder="1" applyAlignment="1">
      <alignment horizontal="left" vertical="top"/>
    </xf>
    <xf numFmtId="0" fontId="57" fillId="5" borderId="40" xfId="23" applyFont="1" applyFill="1" applyBorder="1" applyAlignment="1">
      <alignment horizontal="left" vertical="center" wrapText="1"/>
    </xf>
    <xf numFmtId="49" fontId="58" fillId="0" borderId="69" xfId="39" applyNumberFormat="1" applyFont="1" applyFill="1" applyBorder="1" applyAlignment="1">
      <alignment horizontal="left" vertical="center" wrapText="1"/>
    </xf>
    <xf numFmtId="49" fontId="58" fillId="0" borderId="0" xfId="39" applyNumberFormat="1" applyFont="1" applyFill="1" applyBorder="1" applyAlignment="1">
      <alignment horizontal="left" vertical="center" wrapText="1"/>
    </xf>
    <xf numFmtId="0" fontId="58" fillId="13" borderId="39" xfId="39" applyFont="1" applyFill="1" applyBorder="1" applyAlignment="1">
      <alignment horizontal="center"/>
    </xf>
    <xf numFmtId="0" fontId="58" fillId="13" borderId="40" xfId="39" applyFont="1" applyFill="1" applyBorder="1" applyAlignment="1">
      <alignment horizontal="center"/>
    </xf>
    <xf numFmtId="0" fontId="58" fillId="13" borderId="41" xfId="39" applyFont="1" applyFill="1" applyBorder="1" applyAlignment="1">
      <alignment horizontal="center"/>
    </xf>
    <xf numFmtId="0" fontId="58" fillId="13" borderId="22" xfId="39" applyFont="1" applyFill="1" applyBorder="1" applyAlignment="1">
      <alignment horizontal="center"/>
    </xf>
    <xf numFmtId="0" fontId="58" fillId="13" borderId="10" xfId="39" applyFont="1" applyFill="1" applyBorder="1" applyAlignment="1">
      <alignment horizontal="center"/>
    </xf>
    <xf numFmtId="0" fontId="58" fillId="13" borderId="42" xfId="39" applyFont="1" applyFill="1" applyBorder="1" applyAlignment="1">
      <alignment horizontal="center"/>
    </xf>
    <xf numFmtId="0" fontId="58" fillId="13" borderId="22" xfId="0" applyFont="1" applyFill="1" applyBorder="1" applyAlignment="1">
      <alignment horizontal="center"/>
    </xf>
    <xf numFmtId="0" fontId="58" fillId="13" borderId="10" xfId="0" applyFont="1" applyFill="1" applyBorder="1" applyAlignment="1">
      <alignment horizontal="center"/>
    </xf>
    <xf numFmtId="0" fontId="58" fillId="13" borderId="42" xfId="0" applyFont="1" applyFill="1" applyBorder="1" applyAlignment="1">
      <alignment horizontal="center"/>
    </xf>
    <xf numFmtId="49" fontId="57" fillId="2" borderId="69" xfId="0" applyNumberFormat="1" applyFont="1" applyFill="1" applyBorder="1" applyAlignment="1">
      <alignment horizontal="left" vertical="top" wrapText="1"/>
    </xf>
    <xf numFmtId="49" fontId="57" fillId="2" borderId="0" xfId="0" applyNumberFormat="1" applyFont="1" applyFill="1" applyBorder="1" applyAlignment="1">
      <alignment horizontal="left" vertical="top" wrapText="1"/>
    </xf>
    <xf numFmtId="0" fontId="57" fillId="2" borderId="69" xfId="39" applyNumberFormat="1" applyFont="1" applyFill="1" applyBorder="1" applyAlignment="1">
      <alignment horizontal="left" vertical="top" wrapText="1"/>
    </xf>
    <xf numFmtId="0" fontId="57" fillId="2" borderId="0" xfId="39" applyNumberFormat="1" applyFont="1" applyFill="1" applyBorder="1" applyAlignment="1">
      <alignment horizontal="left" vertical="top" wrapText="1"/>
    </xf>
    <xf numFmtId="0" fontId="57" fillId="0" borderId="40" xfId="23" applyFont="1" applyBorder="1" applyAlignment="1">
      <alignment horizontal="left" vertical="center" wrapText="1"/>
    </xf>
    <xf numFmtId="49" fontId="57" fillId="2" borderId="69" xfId="23" applyNumberFormat="1" applyFont="1" applyFill="1" applyBorder="1" applyAlignment="1">
      <alignment horizontal="left" vertical="top"/>
    </xf>
    <xf numFmtId="49" fontId="57" fillId="2" borderId="0" xfId="23" applyNumberFormat="1" applyFont="1" applyFill="1" applyBorder="1" applyAlignment="1">
      <alignment horizontal="left" vertical="top"/>
    </xf>
    <xf numFmtId="49" fontId="57" fillId="2" borderId="70" xfId="23" applyNumberFormat="1" applyFont="1" applyFill="1" applyBorder="1" applyAlignment="1">
      <alignment horizontal="left" vertical="top"/>
    </xf>
    <xf numFmtId="0" fontId="58" fillId="0" borderId="69" xfId="23" applyFont="1" applyBorder="1" applyAlignment="1">
      <alignment horizontal="left" wrapText="1"/>
    </xf>
    <xf numFmtId="0" fontId="58" fillId="0" borderId="0" xfId="23" applyFont="1" applyBorder="1" applyAlignment="1">
      <alignment horizontal="left" wrapText="1"/>
    </xf>
    <xf numFmtId="0" fontId="85" fillId="0" borderId="0" xfId="23" applyFont="1" applyBorder="1" applyAlignment="1">
      <alignment horizontal="center" wrapText="1"/>
    </xf>
    <xf numFmtId="0" fontId="57" fillId="0" borderId="69" xfId="23" applyFont="1" applyBorder="1" applyAlignment="1">
      <alignment horizontal="center" wrapText="1"/>
    </xf>
    <xf numFmtId="0" fontId="57" fillId="0" borderId="0" xfId="23" applyFont="1" applyBorder="1" applyAlignment="1">
      <alignment horizontal="center" wrapText="1"/>
    </xf>
    <xf numFmtId="0" fontId="57" fillId="0" borderId="70" xfId="23" applyFont="1" applyBorder="1" applyAlignment="1">
      <alignment horizontal="center" wrapText="1"/>
    </xf>
    <xf numFmtId="49" fontId="57" fillId="2" borderId="70" xfId="0" applyNumberFormat="1" applyFont="1" applyFill="1" applyBorder="1" applyAlignment="1">
      <alignment horizontal="left" vertical="top" wrapText="1"/>
    </xf>
    <xf numFmtId="0" fontId="57" fillId="2" borderId="69" xfId="23" applyFont="1" applyFill="1" applyBorder="1" applyAlignment="1">
      <alignment horizontal="left" vertical="center"/>
    </xf>
    <xf numFmtId="0" fontId="57" fillId="2" borderId="0" xfId="23" applyFont="1" applyFill="1" applyBorder="1" applyAlignment="1">
      <alignment horizontal="left" vertical="center"/>
    </xf>
    <xf numFmtId="0" fontId="57" fillId="2" borderId="70" xfId="23" applyFont="1" applyFill="1" applyBorder="1" applyAlignment="1">
      <alignment horizontal="left" vertical="center"/>
    </xf>
    <xf numFmtId="49" fontId="57" fillId="2" borderId="69" xfId="23" applyNumberFormat="1" applyFont="1" applyFill="1" applyBorder="1" applyAlignment="1">
      <alignment horizontal="left" vertical="center" wrapText="1"/>
    </xf>
    <xf numFmtId="49" fontId="57" fillId="2" borderId="0" xfId="23" applyNumberFormat="1" applyFont="1" applyFill="1" applyBorder="1" applyAlignment="1">
      <alignment horizontal="left" vertical="center" wrapText="1"/>
    </xf>
    <xf numFmtId="49" fontId="57" fillId="2" borderId="70" xfId="23" applyNumberFormat="1" applyFont="1" applyFill="1" applyBorder="1" applyAlignment="1">
      <alignment horizontal="left" vertical="center" wrapText="1"/>
    </xf>
    <xf numFmtId="49" fontId="57" fillId="0" borderId="69" xfId="23" applyNumberFormat="1" applyFont="1" applyBorder="1" applyAlignment="1">
      <alignment horizontal="left" vertical="top" wrapText="1"/>
    </xf>
    <xf numFmtId="49" fontId="57" fillId="0" borderId="0" xfId="23" applyNumberFormat="1" applyFont="1" applyBorder="1" applyAlignment="1">
      <alignment horizontal="left" vertical="top" wrapText="1"/>
    </xf>
    <xf numFmtId="49" fontId="57" fillId="2" borderId="67" xfId="23" applyNumberFormat="1" applyFont="1" applyFill="1" applyBorder="1" applyAlignment="1">
      <alignment horizontal="left" vertical="top" wrapText="1"/>
    </xf>
    <xf numFmtId="49" fontId="57" fillId="2" borderId="48" xfId="23" applyNumberFormat="1" applyFont="1" applyFill="1" applyBorder="1" applyAlignment="1">
      <alignment horizontal="left" vertical="top" wrapText="1"/>
    </xf>
    <xf numFmtId="0" fontId="58" fillId="5" borderId="47" xfId="23" applyFont="1" applyFill="1" applyBorder="1" applyAlignment="1">
      <alignment horizontal="left" vertical="center" wrapText="1"/>
    </xf>
    <xf numFmtId="0" fontId="58" fillId="5" borderId="49" xfId="23" applyFont="1" applyFill="1" applyBorder="1" applyAlignment="1">
      <alignment horizontal="left" vertical="center" wrapText="1"/>
    </xf>
    <xf numFmtId="0" fontId="58" fillId="5" borderId="63" xfId="23" applyFont="1" applyFill="1" applyBorder="1" applyAlignment="1">
      <alignment horizontal="left" vertical="center" wrapText="1"/>
    </xf>
    <xf numFmtId="0" fontId="58" fillId="13" borderId="23" xfId="0" applyFont="1" applyFill="1" applyBorder="1" applyAlignment="1">
      <alignment horizontal="center"/>
    </xf>
    <xf numFmtId="0" fontId="58" fillId="13" borderId="3" xfId="0" applyFont="1" applyFill="1" applyBorder="1" applyAlignment="1">
      <alignment horizontal="center"/>
    </xf>
    <xf numFmtId="0" fontId="58" fillId="13" borderId="75" xfId="0" applyFont="1" applyFill="1" applyBorder="1" applyAlignment="1">
      <alignment horizontal="center"/>
    </xf>
    <xf numFmtId="49" fontId="57" fillId="2" borderId="48" xfId="0" applyNumberFormat="1" applyFont="1" applyFill="1" applyBorder="1" applyAlignment="1">
      <alignment horizontal="left" vertical="top"/>
    </xf>
    <xf numFmtId="49" fontId="57" fillId="2" borderId="68" xfId="0" applyNumberFormat="1" applyFont="1" applyFill="1" applyBorder="1" applyAlignment="1">
      <alignment horizontal="left" vertical="top"/>
    </xf>
    <xf numFmtId="49" fontId="57" fillId="2" borderId="68" xfId="23" applyNumberFormat="1" applyFont="1" applyFill="1" applyBorder="1" applyAlignment="1">
      <alignment horizontal="left" vertical="top" wrapText="1"/>
    </xf>
    <xf numFmtId="49" fontId="57" fillId="2" borderId="70" xfId="23" applyNumberFormat="1" applyFont="1" applyFill="1" applyBorder="1" applyAlignment="1">
      <alignment horizontal="left" vertical="top" wrapText="1"/>
    </xf>
    <xf numFmtId="2" fontId="57" fillId="0" borderId="10" xfId="39" applyNumberFormat="1" applyFont="1" applyBorder="1" applyAlignment="1">
      <alignment horizontal="center"/>
    </xf>
    <xf numFmtId="2" fontId="57" fillId="0" borderId="42" xfId="39" applyNumberFormat="1" applyFont="1" applyBorder="1" applyAlignment="1">
      <alignment horizontal="center"/>
    </xf>
    <xf numFmtId="0" fontId="57" fillId="0" borderId="10" xfId="39" applyNumberFormat="1" applyFont="1" applyBorder="1" applyAlignment="1">
      <alignment horizontal="center"/>
    </xf>
    <xf numFmtId="0" fontId="57" fillId="0" borderId="42" xfId="39" applyNumberFormat="1" applyFont="1" applyBorder="1" applyAlignment="1">
      <alignment horizontal="center"/>
    </xf>
    <xf numFmtId="2" fontId="57" fillId="0" borderId="19" xfId="39" applyNumberFormat="1" applyFont="1" applyBorder="1" applyAlignment="1">
      <alignment horizontal="center"/>
    </xf>
    <xf numFmtId="0" fontId="57" fillId="0" borderId="19" xfId="39" applyNumberFormat="1" applyFont="1" applyBorder="1" applyAlignment="1">
      <alignment horizontal="center"/>
    </xf>
    <xf numFmtId="0" fontId="57" fillId="0" borderId="43" xfId="39" applyNumberFormat="1" applyFont="1" applyBorder="1" applyAlignment="1">
      <alignment horizontal="center"/>
    </xf>
    <xf numFmtId="49" fontId="58" fillId="0" borderId="16" xfId="39" applyNumberFormat="1" applyFont="1" applyFill="1" applyBorder="1" applyAlignment="1">
      <alignment horizontal="left" vertical="center" wrapText="1"/>
    </xf>
    <xf numFmtId="49" fontId="58" fillId="0" borderId="28" xfId="39" applyNumberFormat="1" applyFont="1" applyFill="1" applyBorder="1" applyAlignment="1">
      <alignment horizontal="left" vertical="center" wrapText="1"/>
    </xf>
    <xf numFmtId="0" fontId="58" fillId="13" borderId="54" xfId="39" applyFont="1" applyFill="1" applyBorder="1" applyAlignment="1">
      <alignment horizontal="center"/>
    </xf>
    <xf numFmtId="0" fontId="58" fillId="13" borderId="49" xfId="39" applyFont="1" applyFill="1" applyBorder="1" applyAlignment="1">
      <alignment horizontal="center"/>
    </xf>
    <xf numFmtId="0" fontId="58" fillId="13" borderId="78" xfId="39" applyFont="1" applyFill="1" applyBorder="1" applyAlignment="1">
      <alignment horizontal="center"/>
    </xf>
    <xf numFmtId="2" fontId="57" fillId="0" borderId="8" xfId="39" applyNumberFormat="1" applyFont="1" applyBorder="1" applyAlignment="1">
      <alignment horizontal="center"/>
    </xf>
    <xf numFmtId="2" fontId="57" fillId="0" borderId="3" xfId="39" applyNumberFormat="1" applyFont="1" applyBorder="1" applyAlignment="1">
      <alignment horizontal="center"/>
    </xf>
    <xf numFmtId="2" fontId="57" fillId="0" borderId="75" xfId="39" applyNumberFormat="1" applyFont="1" applyBorder="1" applyAlignment="1">
      <alignment horizontal="center"/>
    </xf>
    <xf numFmtId="2" fontId="57" fillId="0" borderId="26" xfId="39" applyNumberFormat="1" applyFont="1" applyBorder="1" applyAlignment="1">
      <alignment horizontal="center"/>
    </xf>
    <xf numFmtId="2" fontId="57" fillId="0" borderId="51" xfId="39" applyNumberFormat="1" applyFont="1" applyBorder="1" applyAlignment="1">
      <alignment horizontal="center"/>
    </xf>
    <xf numFmtId="2" fontId="57" fillId="0" borderId="77" xfId="39" applyNumberFormat="1" applyFont="1" applyBorder="1" applyAlignment="1">
      <alignment horizontal="center"/>
    </xf>
    <xf numFmtId="0" fontId="58" fillId="13" borderId="63" xfId="39" applyFont="1" applyFill="1" applyBorder="1" applyAlignment="1">
      <alignment horizontal="center"/>
    </xf>
    <xf numFmtId="0" fontId="58" fillId="13" borderId="71" xfId="39" applyFont="1" applyFill="1" applyBorder="1" applyAlignment="1">
      <alignment horizontal="center"/>
    </xf>
    <xf numFmtId="0" fontId="58" fillId="13" borderId="5" xfId="39" applyFont="1" applyFill="1" applyBorder="1" applyAlignment="1">
      <alignment horizontal="center"/>
    </xf>
    <xf numFmtId="0" fontId="58" fillId="13" borderId="2" xfId="39" applyFont="1" applyFill="1" applyBorder="1" applyAlignment="1">
      <alignment horizontal="center"/>
    </xf>
    <xf numFmtId="49" fontId="57" fillId="2" borderId="16" xfId="23" applyNumberFormat="1" applyFont="1" applyFill="1" applyBorder="1" applyAlignment="1">
      <alignment horizontal="left" vertical="top" wrapText="1"/>
    </xf>
    <xf numFmtId="49" fontId="57" fillId="2" borderId="28" xfId="23" applyNumberFormat="1" applyFont="1" applyFill="1" applyBorder="1" applyAlignment="1">
      <alignment horizontal="left" vertical="top" wrapText="1"/>
    </xf>
    <xf numFmtId="0" fontId="73" fillId="22" borderId="32" xfId="23" applyNumberFormat="1" applyFont="1" applyFill="1" applyBorder="1" applyAlignment="1">
      <alignment horizontal="center" vertical="center"/>
    </xf>
    <xf numFmtId="0" fontId="73" fillId="22" borderId="82" xfId="23" applyNumberFormat="1" applyFont="1" applyFill="1" applyBorder="1" applyAlignment="1">
      <alignment horizontal="center" vertical="center"/>
    </xf>
    <xf numFmtId="0" fontId="57" fillId="0" borderId="21"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24" xfId="0" applyFont="1" applyFill="1" applyBorder="1" applyAlignment="1">
      <alignment horizontal="center" vertical="center"/>
    </xf>
    <xf numFmtId="0" fontId="57" fillId="0" borderId="0" xfId="44" applyFont="1" applyAlignment="1">
      <alignment horizontal="center" vertical="center" wrapText="1"/>
    </xf>
    <xf numFmtId="49" fontId="57" fillId="2" borderId="48" xfId="0" applyNumberFormat="1" applyFont="1" applyFill="1" applyBorder="1" applyAlignment="1">
      <alignment horizontal="left" vertical="top" wrapText="1"/>
    </xf>
    <xf numFmtId="0" fontId="57" fillId="0" borderId="0" xfId="23" applyFont="1" applyBorder="1" applyAlignment="1">
      <alignment horizontal="left" vertical="center"/>
    </xf>
    <xf numFmtId="0" fontId="57" fillId="2" borderId="69" xfId="0" applyFont="1" applyFill="1" applyBorder="1" applyAlignment="1">
      <alignment horizontal="center" vertical="center"/>
    </xf>
    <xf numFmtId="0" fontId="57" fillId="2" borderId="0" xfId="0" applyFont="1" applyFill="1" applyBorder="1" applyAlignment="1">
      <alignment horizontal="center" vertical="center"/>
    </xf>
    <xf numFmtId="0" fontId="57" fillId="2" borderId="70" xfId="0" applyFont="1" applyFill="1" applyBorder="1" applyAlignment="1">
      <alignment horizontal="center" vertical="center"/>
    </xf>
    <xf numFmtId="49" fontId="57" fillId="0" borderId="0" xfId="23" applyNumberFormat="1" applyFont="1" applyFill="1" applyBorder="1" applyAlignment="1">
      <alignment horizontal="left" vertical="center" wrapText="1"/>
    </xf>
    <xf numFmtId="49" fontId="57" fillId="0" borderId="70" xfId="23" applyNumberFormat="1" applyFont="1" applyFill="1" applyBorder="1" applyAlignment="1">
      <alignment horizontal="left" vertical="center" wrapText="1"/>
    </xf>
    <xf numFmtId="0" fontId="73" fillId="9" borderId="13" xfId="23" applyNumberFormat="1" applyFont="1" applyFill="1" applyBorder="1" applyAlignment="1">
      <alignment horizontal="center" vertical="center"/>
    </xf>
    <xf numFmtId="0" fontId="73" fillId="9" borderId="14" xfId="23" applyNumberFormat="1" applyFont="1" applyFill="1" applyBorder="1" applyAlignment="1">
      <alignment horizontal="center" vertical="center"/>
    </xf>
    <xf numFmtId="0" fontId="73" fillId="9" borderId="15" xfId="23" applyNumberFormat="1" applyFont="1" applyFill="1" applyBorder="1" applyAlignment="1">
      <alignment horizontal="center" vertical="center"/>
    </xf>
    <xf numFmtId="0" fontId="58" fillId="14" borderId="40" xfId="23" applyFont="1" applyFill="1" applyBorder="1" applyAlignment="1">
      <alignment horizontal="left" vertical="center" wrapText="1"/>
    </xf>
    <xf numFmtId="0" fontId="49" fillId="14" borderId="40" xfId="0" applyFont="1" applyFill="1" applyBorder="1" applyAlignment="1">
      <alignment horizontal="left" vertical="center" wrapText="1"/>
    </xf>
    <xf numFmtId="0" fontId="58" fillId="5" borderId="40" xfId="39" applyFont="1" applyFill="1" applyBorder="1" applyAlignment="1">
      <alignment horizontal="left" vertical="center" wrapText="1"/>
    </xf>
    <xf numFmtId="49" fontId="57" fillId="0" borderId="48" xfId="0" applyNumberFormat="1" applyFont="1" applyBorder="1" applyAlignment="1">
      <alignment horizontal="left" vertical="top" wrapText="1"/>
    </xf>
    <xf numFmtId="4" fontId="50" fillId="20" borderId="10" xfId="0" applyNumberFormat="1" applyFont="1" applyFill="1" applyBorder="1" applyAlignment="1">
      <alignment horizontal="center" vertical="center" wrapText="1"/>
    </xf>
    <xf numFmtId="0" fontId="42" fillId="0" borderId="65" xfId="0" applyFont="1" applyBorder="1" applyAlignment="1">
      <alignment horizontal="center"/>
    </xf>
    <xf numFmtId="0" fontId="14" fillId="5" borderId="8" xfId="0" applyFont="1" applyFill="1" applyBorder="1" applyAlignment="1">
      <alignment horizontal="left" wrapText="1"/>
    </xf>
    <xf numFmtId="0" fontId="14" fillId="5" borderId="3" xfId="0" applyFont="1" applyFill="1" applyBorder="1" applyAlignment="1">
      <alignment horizontal="left" wrapText="1"/>
    </xf>
    <xf numFmtId="0" fontId="14" fillId="5" borderId="1" xfId="0" applyFont="1" applyFill="1" applyBorder="1" applyAlignment="1">
      <alignment horizontal="left" wrapText="1"/>
    </xf>
    <xf numFmtId="0" fontId="22" fillId="0" borderId="30" xfId="0" applyNumberFormat="1" applyFont="1" applyBorder="1" applyAlignment="1">
      <alignment horizontal="center" vertical="center"/>
    </xf>
    <xf numFmtId="0" fontId="22" fillId="0" borderId="4" xfId="0" applyNumberFormat="1" applyFont="1" applyBorder="1" applyAlignment="1">
      <alignment horizontal="center" vertical="center"/>
    </xf>
    <xf numFmtId="0" fontId="22" fillId="0" borderId="7" xfId="0" applyNumberFormat="1" applyFont="1" applyBorder="1" applyAlignment="1">
      <alignment horizontal="center" vertical="center"/>
    </xf>
    <xf numFmtId="0" fontId="22" fillId="0" borderId="21" xfId="0" applyNumberFormat="1" applyFont="1" applyBorder="1" applyAlignment="1">
      <alignment horizontal="center" vertical="center"/>
    </xf>
    <xf numFmtId="0" fontId="22" fillId="0" borderId="0" xfId="0" applyNumberFormat="1" applyFont="1" applyBorder="1" applyAlignment="1">
      <alignment horizontal="center" vertical="center"/>
    </xf>
    <xf numFmtId="0" fontId="22" fillId="0" borderId="24" xfId="0" applyNumberFormat="1" applyFont="1" applyBorder="1" applyAlignment="1">
      <alignment horizontal="center" vertical="center"/>
    </xf>
    <xf numFmtId="165" fontId="33" fillId="14" borderId="8" xfId="5" applyFont="1" applyFill="1" applyBorder="1" applyAlignment="1">
      <alignment horizontal="center" vertical="justify" wrapText="1"/>
    </xf>
    <xf numFmtId="165" fontId="33" fillId="14" borderId="3" xfId="5" applyFont="1" applyFill="1" applyBorder="1" applyAlignment="1">
      <alignment horizontal="center" vertical="justify" wrapText="1"/>
    </xf>
    <xf numFmtId="165" fontId="33" fillId="14" borderId="1" xfId="5" applyFont="1" applyFill="1" applyBorder="1" applyAlignment="1">
      <alignment horizontal="center" vertical="justify" wrapText="1"/>
    </xf>
    <xf numFmtId="0" fontId="8" fillId="4" borderId="47" xfId="0" applyFont="1" applyFill="1" applyBorder="1" applyAlignment="1">
      <alignment horizontal="center" vertical="center" wrapText="1"/>
    </xf>
    <xf numFmtId="0" fontId="8" fillId="4" borderId="49" xfId="0" applyFont="1" applyFill="1" applyBorder="1" applyAlignment="1">
      <alignment horizontal="center" vertical="center" wrapText="1"/>
    </xf>
    <xf numFmtId="0" fontId="8" fillId="4" borderId="63" xfId="0" applyFont="1" applyFill="1" applyBorder="1" applyAlignment="1">
      <alignment horizontal="center" vertical="center" wrapText="1"/>
    </xf>
    <xf numFmtId="165" fontId="12" fillId="14" borderId="8" xfId="5" applyFont="1" applyFill="1" applyBorder="1" applyAlignment="1">
      <alignment horizontal="center" vertical="justify" wrapText="1"/>
    </xf>
    <xf numFmtId="165" fontId="12" fillId="14" borderId="3" xfId="5" applyFont="1" applyFill="1" applyBorder="1" applyAlignment="1">
      <alignment horizontal="center" vertical="justify" wrapText="1"/>
    </xf>
    <xf numFmtId="165" fontId="12" fillId="14" borderId="1" xfId="5" applyFont="1" applyFill="1" applyBorder="1" applyAlignment="1">
      <alignment horizontal="center" vertical="justify" wrapText="1"/>
    </xf>
    <xf numFmtId="165" fontId="41" fillId="14" borderId="8" xfId="5" applyFont="1" applyFill="1" applyBorder="1" applyAlignment="1">
      <alignment horizontal="center" vertical="justify" wrapText="1"/>
    </xf>
    <xf numFmtId="165" fontId="41" fillId="14" borderId="3" xfId="5" applyFont="1" applyFill="1" applyBorder="1" applyAlignment="1">
      <alignment horizontal="center" vertical="justify" wrapText="1"/>
    </xf>
    <xf numFmtId="165" fontId="41" fillId="14" borderId="1" xfId="5" applyFont="1" applyFill="1" applyBorder="1" applyAlignment="1">
      <alignment horizontal="center" vertical="justify" wrapText="1"/>
    </xf>
    <xf numFmtId="0" fontId="13" fillId="0" borderId="4" xfId="0" applyFont="1" applyBorder="1" applyAlignment="1">
      <alignment horizontal="left" vertical="center" wrapText="1"/>
    </xf>
    <xf numFmtId="0" fontId="9" fillId="0" borderId="0" xfId="0" applyFont="1" applyBorder="1" applyAlignment="1">
      <alignment horizontal="left" vertical="center" wrapText="1"/>
    </xf>
    <xf numFmtId="0" fontId="6" fillId="0" borderId="5" xfId="0" applyFont="1" applyBorder="1" applyAlignment="1">
      <alignment horizontal="center" vertical="center"/>
    </xf>
    <xf numFmtId="0" fontId="35" fillId="15" borderId="22" xfId="4" quotePrefix="1" applyFont="1" applyFill="1" applyBorder="1" applyAlignment="1">
      <alignment horizontal="center" vertical="center" wrapText="1"/>
    </xf>
    <xf numFmtId="0" fontId="35" fillId="15" borderId="10" xfId="4" quotePrefix="1" applyFont="1" applyFill="1" applyBorder="1" applyAlignment="1">
      <alignment horizontal="center" vertical="center" wrapText="1"/>
    </xf>
    <xf numFmtId="0" fontId="35" fillId="15" borderId="42" xfId="4" quotePrefix="1" applyFont="1" applyFill="1" applyBorder="1" applyAlignment="1">
      <alignment horizontal="center" vertical="center" wrapText="1"/>
    </xf>
    <xf numFmtId="0" fontId="0" fillId="0" borderId="22" xfId="0" applyBorder="1" applyAlignment="1">
      <alignment horizontal="left" vertical="center" wrapText="1"/>
    </xf>
    <xf numFmtId="0" fontId="0" fillId="0" borderId="10" xfId="0" applyBorder="1" applyAlignment="1">
      <alignment horizontal="left" vertical="center" wrapText="1"/>
    </xf>
    <xf numFmtId="0" fontId="15" fillId="8" borderId="13"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6" fillId="9" borderId="13" xfId="0" applyFont="1" applyFill="1" applyBorder="1" applyAlignment="1">
      <alignment horizontal="center" vertical="center"/>
    </xf>
    <xf numFmtId="0" fontId="16" fillId="9" borderId="14" xfId="0" applyFont="1" applyFill="1" applyBorder="1" applyAlignment="1">
      <alignment horizontal="center" vertical="center"/>
    </xf>
    <xf numFmtId="0" fontId="16" fillId="9" borderId="15" xfId="0" applyFont="1" applyFill="1" applyBorder="1" applyAlignment="1">
      <alignment horizontal="center" vertical="center"/>
    </xf>
    <xf numFmtId="0" fontId="18" fillId="0" borderId="0" xfId="0" applyFont="1" applyFill="1" applyBorder="1" applyAlignment="1">
      <alignment horizontal="center" vertical="center"/>
    </xf>
    <xf numFmtId="0" fontId="19" fillId="11" borderId="11" xfId="0" applyFont="1" applyFill="1" applyBorder="1" applyAlignment="1">
      <alignment horizontal="center" vertical="center"/>
    </xf>
    <xf numFmtId="0" fontId="19" fillId="11" borderId="12" xfId="0" applyFont="1" applyFill="1" applyBorder="1" applyAlignment="1">
      <alignment horizontal="center" vertical="center"/>
    </xf>
    <xf numFmtId="0" fontId="19" fillId="11" borderId="29" xfId="0" applyFont="1" applyFill="1" applyBorder="1" applyAlignment="1">
      <alignment horizontal="center" vertical="center"/>
    </xf>
    <xf numFmtId="0" fontId="0" fillId="0" borderId="0" xfId="0" applyFill="1" applyBorder="1" applyAlignment="1">
      <alignment horizontal="center"/>
    </xf>
    <xf numFmtId="0" fontId="0" fillId="0" borderId="39" xfId="0" applyBorder="1" applyAlignment="1">
      <alignment horizontal="left" vertical="center" wrapText="1"/>
    </xf>
    <xf numFmtId="0" fontId="0" fillId="0" borderId="40" xfId="0" applyBorder="1" applyAlignment="1">
      <alignment horizontal="left" vertical="center" wrapText="1"/>
    </xf>
    <xf numFmtId="0" fontId="2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20" xfId="0" applyBorder="1" applyAlignment="1">
      <alignment horizontal="left" vertical="center" wrapText="1"/>
    </xf>
    <xf numFmtId="0" fontId="0" fillId="0" borderId="27" xfId="0" applyBorder="1" applyAlignment="1">
      <alignment horizontal="left" vertical="center" wrapText="1"/>
    </xf>
    <xf numFmtId="0" fontId="0" fillId="0" borderId="22" xfId="0" applyBorder="1" applyAlignment="1">
      <alignment horizontal="left" vertical="center"/>
    </xf>
    <xf numFmtId="0" fontId="0" fillId="0" borderId="10" xfId="0"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1" xfId="0" applyBorder="1" applyAlignment="1">
      <alignment horizontal="lef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9" fillId="11" borderId="52" xfId="0" applyFont="1" applyFill="1" applyBorder="1" applyAlignment="1">
      <alignment horizontal="center" vertical="center"/>
    </xf>
    <xf numFmtId="0" fontId="19" fillId="11" borderId="53" xfId="0" applyFont="1" applyFill="1" applyBorder="1" applyAlignment="1">
      <alignment horizontal="center" vertical="center"/>
    </xf>
    <xf numFmtId="0" fontId="19" fillId="11" borderId="46" xfId="0" applyFont="1" applyFill="1" applyBorder="1" applyAlignment="1">
      <alignment horizontal="center" vertical="center"/>
    </xf>
    <xf numFmtId="0" fontId="0" fillId="0" borderId="20" xfId="0" applyBorder="1" applyAlignment="1">
      <alignment horizontal="left" vertical="center"/>
    </xf>
    <xf numFmtId="0" fontId="0" fillId="0" borderId="27" xfId="0" applyBorder="1" applyAlignment="1">
      <alignment horizontal="left" vertical="center"/>
    </xf>
    <xf numFmtId="0" fontId="0" fillId="0" borderId="39" xfId="0" applyBorder="1" applyAlignment="1">
      <alignment horizontal="left" vertical="center"/>
    </xf>
    <xf numFmtId="0" fontId="0" fillId="0" borderId="40" xfId="0" applyBorder="1" applyAlignment="1">
      <alignment horizontal="left" vertical="center"/>
    </xf>
    <xf numFmtId="0" fontId="0" fillId="0" borderId="52" xfId="0" applyBorder="1" applyAlignment="1">
      <alignment horizontal="left" vertical="center"/>
    </xf>
    <xf numFmtId="0" fontId="0" fillId="0" borderId="53" xfId="0" applyBorder="1" applyAlignment="1">
      <alignment horizontal="left" vertical="center"/>
    </xf>
    <xf numFmtId="0" fontId="16" fillId="9" borderId="11" xfId="0" applyFont="1" applyFill="1" applyBorder="1" applyAlignment="1">
      <alignment horizontal="center" vertical="center"/>
    </xf>
    <xf numFmtId="0" fontId="16" fillId="9" borderId="12" xfId="0" applyFont="1" applyFill="1" applyBorder="1" applyAlignment="1">
      <alignment horizontal="center" vertical="center"/>
    </xf>
    <xf numFmtId="0" fontId="16" fillId="9" borderId="29" xfId="0" applyFont="1" applyFill="1" applyBorder="1" applyAlignment="1">
      <alignment horizontal="center" vertical="center"/>
    </xf>
    <xf numFmtId="0" fontId="0" fillId="0" borderId="55" xfId="0" applyBorder="1" applyAlignment="1">
      <alignment horizontal="left" vertical="center"/>
    </xf>
    <xf numFmtId="0" fontId="0" fillId="0" borderId="51" xfId="0"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20" fillId="12" borderId="23" xfId="0" applyFont="1" applyFill="1" applyBorder="1" applyAlignment="1">
      <alignment horizontal="center" vertical="center"/>
    </xf>
    <xf numFmtId="0" fontId="20" fillId="12" borderId="3" xfId="0" applyFont="1" applyFill="1" applyBorder="1" applyAlignment="1">
      <alignment horizontal="center" vertical="center"/>
    </xf>
    <xf numFmtId="0" fontId="20" fillId="12" borderId="1" xfId="0" applyFont="1" applyFill="1" applyBorder="1" applyAlignment="1">
      <alignment horizontal="center" vertical="center"/>
    </xf>
    <xf numFmtId="0" fontId="16" fillId="9" borderId="16" xfId="0" applyFont="1" applyFill="1" applyBorder="1" applyAlignment="1">
      <alignment horizontal="center" vertical="center"/>
    </xf>
    <xf numFmtId="0" fontId="16" fillId="9" borderId="28" xfId="0" applyFont="1" applyFill="1" applyBorder="1" applyAlignment="1">
      <alignment horizontal="center" vertical="center"/>
    </xf>
    <xf numFmtId="0" fontId="16" fillId="9" borderId="17" xfId="0" applyFont="1" applyFill="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0" fillId="7" borderId="20" xfId="0" applyFill="1" applyBorder="1" applyAlignment="1">
      <alignment horizontal="center"/>
    </xf>
    <xf numFmtId="0" fontId="0" fillId="7" borderId="27" xfId="0" applyFill="1" applyBorder="1" applyAlignment="1">
      <alignment horizontal="center"/>
    </xf>
    <xf numFmtId="0" fontId="0" fillId="0" borderId="25" xfId="0" applyBorder="1" applyAlignment="1">
      <alignment horizontal="left" vertical="center"/>
    </xf>
    <xf numFmtId="0" fontId="0" fillId="0" borderId="31" xfId="0" applyBorder="1" applyAlignment="1">
      <alignment horizontal="left" vertical="center"/>
    </xf>
    <xf numFmtId="0" fontId="0" fillId="0" borderId="23" xfId="0" applyBorder="1" applyAlignment="1">
      <alignment horizontal="left" vertical="center" wrapText="1"/>
    </xf>
    <xf numFmtId="0" fontId="0" fillId="0" borderId="3" xfId="0" applyBorder="1" applyAlignment="1">
      <alignment horizontal="left" vertical="center" wrapText="1"/>
    </xf>
    <xf numFmtId="0" fontId="0" fillId="0" borderId="1" xfId="0" applyBorder="1" applyAlignment="1">
      <alignment horizontal="left" vertical="center" wrapText="1"/>
    </xf>
    <xf numFmtId="0" fontId="0" fillId="0" borderId="25" xfId="0" applyBorder="1" applyAlignment="1">
      <alignment horizontal="left" vertical="center" wrapText="1"/>
    </xf>
    <xf numFmtId="0" fontId="0" fillId="0" borderId="31" xfId="0" applyBorder="1" applyAlignment="1">
      <alignment horizontal="left" vertical="center" wrapText="1"/>
    </xf>
    <xf numFmtId="0" fontId="0" fillId="0" borderId="55" xfId="0" applyBorder="1" applyAlignment="1">
      <alignment horizontal="left" vertical="center" wrapText="1"/>
    </xf>
    <xf numFmtId="0" fontId="0" fillId="0" borderId="51" xfId="0" applyBorder="1" applyAlignment="1">
      <alignment horizontal="left" vertical="center" wrapText="1"/>
    </xf>
    <xf numFmtId="0" fontId="0" fillId="0" borderId="56" xfId="0" applyBorder="1" applyAlignment="1">
      <alignment horizontal="left" vertical="center" wrapText="1"/>
    </xf>
    <xf numFmtId="0" fontId="19" fillId="11" borderId="13" xfId="0" applyFont="1" applyFill="1" applyBorder="1" applyAlignment="1">
      <alignment horizontal="center" vertical="center"/>
    </xf>
    <xf numFmtId="0" fontId="19" fillId="11" borderId="14" xfId="0" applyFont="1" applyFill="1" applyBorder="1" applyAlignment="1">
      <alignment horizontal="center" vertical="center"/>
    </xf>
    <xf numFmtId="0" fontId="16" fillId="9" borderId="52" xfId="0" applyFont="1" applyFill="1" applyBorder="1" applyAlignment="1">
      <alignment horizontal="center" vertical="center"/>
    </xf>
    <xf numFmtId="0" fontId="16" fillId="9" borderId="53" xfId="0" applyFont="1" applyFill="1" applyBorder="1" applyAlignment="1">
      <alignment horizontal="center" vertical="center"/>
    </xf>
    <xf numFmtId="0" fontId="16" fillId="9" borderId="46" xfId="0" applyFont="1" applyFill="1" applyBorder="1" applyAlignment="1">
      <alignment horizontal="center" vertical="center"/>
    </xf>
    <xf numFmtId="0" fontId="0" fillId="2" borderId="20" xfId="0" applyFill="1" applyBorder="1" applyAlignment="1">
      <alignment horizontal="left" vertical="center" wrapText="1"/>
    </xf>
    <xf numFmtId="0" fontId="0" fillId="2" borderId="27" xfId="0" applyFill="1" applyBorder="1" applyAlignment="1">
      <alignment horizontal="left" vertical="center" wrapText="1"/>
    </xf>
    <xf numFmtId="0" fontId="27" fillId="12" borderId="23" xfId="0" applyFont="1" applyFill="1" applyBorder="1" applyAlignment="1">
      <alignment horizontal="center" vertical="center"/>
    </xf>
    <xf numFmtId="0" fontId="27" fillId="12" borderId="3" xfId="0" applyFont="1" applyFill="1" applyBorder="1" applyAlignment="1">
      <alignment horizontal="center" vertical="center"/>
    </xf>
    <xf numFmtId="0" fontId="27" fillId="12" borderId="1" xfId="0" applyFont="1" applyFill="1" applyBorder="1" applyAlignment="1">
      <alignment horizontal="center" vertical="center"/>
    </xf>
    <xf numFmtId="0" fontId="26" fillId="8" borderId="13"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17" fillId="2" borderId="25" xfId="0" applyFont="1" applyFill="1" applyBorder="1" applyAlignment="1">
      <alignment horizontal="left" vertical="center" wrapText="1"/>
    </xf>
    <xf numFmtId="0" fontId="17" fillId="2" borderId="31" xfId="0" applyFont="1" applyFill="1" applyBorder="1" applyAlignment="1">
      <alignment horizontal="left" vertical="center" wrapText="1"/>
    </xf>
    <xf numFmtId="0" fontId="0" fillId="2" borderId="22" xfId="0" applyFill="1" applyBorder="1" applyAlignment="1">
      <alignment horizontal="left" vertical="center" wrapText="1"/>
    </xf>
    <xf numFmtId="0" fontId="0" fillId="2" borderId="10" xfId="0" applyFill="1" applyBorder="1" applyAlignment="1">
      <alignment horizontal="left" vertical="center" wrapText="1"/>
    </xf>
    <xf numFmtId="0" fontId="27" fillId="12" borderId="23" xfId="0" applyFont="1" applyFill="1" applyBorder="1" applyAlignment="1">
      <alignment horizontal="center" vertical="center" wrapText="1"/>
    </xf>
    <xf numFmtId="0" fontId="27" fillId="12" borderId="3"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0" fillId="2" borderId="22" xfId="0" applyFill="1" applyBorder="1" applyAlignment="1">
      <alignment horizontal="left" vertical="center"/>
    </xf>
    <xf numFmtId="0" fontId="0" fillId="2" borderId="10" xfId="0" applyFill="1" applyBorder="1" applyAlignment="1">
      <alignment horizontal="left" vertical="center"/>
    </xf>
    <xf numFmtId="0" fontId="17" fillId="2" borderId="22" xfId="0" applyFont="1" applyFill="1" applyBorder="1" applyAlignment="1">
      <alignment horizontal="left" vertical="center"/>
    </xf>
    <xf numFmtId="0" fontId="17" fillId="2" borderId="10" xfId="0" applyFont="1" applyFill="1" applyBorder="1" applyAlignment="1">
      <alignment horizontal="left" vertical="center"/>
    </xf>
    <xf numFmtId="0" fontId="17" fillId="2" borderId="25" xfId="0" applyFont="1" applyFill="1" applyBorder="1" applyAlignment="1">
      <alignment horizontal="left" vertical="center"/>
    </xf>
    <xf numFmtId="0" fontId="17" fillId="2" borderId="31" xfId="0" applyFont="1" applyFill="1" applyBorder="1" applyAlignment="1">
      <alignment horizontal="left" vertical="center"/>
    </xf>
    <xf numFmtId="0" fontId="17" fillId="2" borderId="23" xfId="0" applyFont="1" applyFill="1" applyBorder="1" applyAlignment="1">
      <alignment horizontal="left" vertical="center" wrapText="1"/>
    </xf>
    <xf numFmtId="0" fontId="17" fillId="2" borderId="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0" fillId="2" borderId="16" xfId="0" applyFill="1" applyBorder="1" applyAlignment="1">
      <alignment horizontal="left" vertical="center" wrapText="1"/>
    </xf>
    <xf numFmtId="0" fontId="0" fillId="2" borderId="28" xfId="0" applyFill="1" applyBorder="1" applyAlignment="1">
      <alignment horizontal="left" vertical="center" wrapText="1"/>
    </xf>
    <xf numFmtId="0" fontId="0" fillId="2" borderId="35" xfId="0" applyFill="1" applyBorder="1" applyAlignment="1">
      <alignment horizontal="left" vertical="center" wrapText="1"/>
    </xf>
    <xf numFmtId="0" fontId="17" fillId="2" borderId="20" xfId="0" applyFont="1" applyFill="1" applyBorder="1" applyAlignment="1">
      <alignment horizontal="left" vertical="center"/>
    </xf>
    <xf numFmtId="0" fontId="17" fillId="2" borderId="27" xfId="0" applyFont="1" applyFill="1" applyBorder="1" applyAlignment="1">
      <alignment horizontal="left" vertical="center"/>
    </xf>
    <xf numFmtId="0" fontId="0" fillId="2" borderId="20" xfId="0" applyFill="1" applyBorder="1" applyAlignment="1">
      <alignment horizontal="left" vertical="center"/>
    </xf>
    <xf numFmtId="0" fontId="0" fillId="2" borderId="27" xfId="0" applyFill="1" applyBorder="1" applyAlignment="1">
      <alignment horizontal="left" vertical="center"/>
    </xf>
    <xf numFmtId="0" fontId="29" fillId="11" borderId="11" xfId="0" applyFont="1" applyFill="1" applyBorder="1" applyAlignment="1">
      <alignment horizontal="center" vertical="center"/>
    </xf>
    <xf numFmtId="0" fontId="29" fillId="11" borderId="12" xfId="0" applyFont="1" applyFill="1" applyBorder="1" applyAlignment="1">
      <alignment horizontal="center" vertical="center"/>
    </xf>
    <xf numFmtId="0" fontId="29" fillId="11" borderId="29" xfId="0" applyFont="1" applyFill="1" applyBorder="1" applyAlignment="1">
      <alignment horizontal="center" vertical="center"/>
    </xf>
    <xf numFmtId="0" fontId="0" fillId="2" borderId="18" xfId="0" applyFill="1" applyBorder="1" applyAlignment="1">
      <alignment horizontal="left" vertical="center"/>
    </xf>
    <xf numFmtId="0" fontId="0" fillId="2" borderId="19" xfId="0" applyFill="1" applyBorder="1" applyAlignment="1">
      <alignment horizontal="left" vertical="center"/>
    </xf>
    <xf numFmtId="0" fontId="19" fillId="11" borderId="32" xfId="0" applyFont="1" applyFill="1" applyBorder="1" applyAlignment="1">
      <alignment horizontal="center" vertical="center"/>
    </xf>
    <xf numFmtId="0" fontId="19" fillId="11" borderId="58" xfId="0" applyFont="1" applyFill="1" applyBorder="1" applyAlignment="1">
      <alignment horizontal="center" vertical="center"/>
    </xf>
    <xf numFmtId="0" fontId="19" fillId="11" borderId="59" xfId="0" applyFont="1" applyFill="1" applyBorder="1" applyAlignment="1">
      <alignment horizontal="center" vertical="center"/>
    </xf>
    <xf numFmtId="0" fontId="19" fillId="11" borderId="60" xfId="0" applyFont="1" applyFill="1" applyBorder="1" applyAlignment="1">
      <alignment horizontal="center" vertical="center"/>
    </xf>
  </cellXfs>
  <cellStyles count="47">
    <cellStyle name="Euro" xfId="13"/>
    <cellStyle name="Hiperlink 4" xfId="43"/>
    <cellStyle name="Hyperlink" xfId="34" builtinId="8"/>
    <cellStyle name="Moeda" xfId="1" builtinId="4"/>
    <cellStyle name="Moeda 2" xfId="15"/>
    <cellStyle name="Moeda 2 10" xfId="31"/>
    <cellStyle name="Moeda 2 2" xfId="19"/>
    <cellStyle name="Moeda 2 2 10" xfId="24"/>
    <cellStyle name="Moeda 2 2 2 2 2" xfId="46"/>
    <cellStyle name="Moeda 3" xfId="14"/>
    <cellStyle name="Moeda 3 2 2 2 2" xfId="25"/>
    <cellStyle name="Moeda 4" xfId="33"/>
    <cellStyle name="Normal" xfId="0" builtinId="0"/>
    <cellStyle name="Normal 2" xfId="4"/>
    <cellStyle name="Normal 2 2" xfId="7"/>
    <cellStyle name="Normal 2 2 10" xfId="23"/>
    <cellStyle name="Normal 2 2 2" xfId="9"/>
    <cellStyle name="Normal 2 2 2 2 2" xfId="39"/>
    <cellStyle name="Normal 2 2 3 2 2" xfId="38"/>
    <cellStyle name="Normal 202" xfId="37"/>
    <cellStyle name="Normal 210" xfId="32"/>
    <cellStyle name="Normal 210 2 2" xfId="44"/>
    <cellStyle name="Normal 3" xfId="6"/>
    <cellStyle name="Normal 3 3" xfId="18"/>
    <cellStyle name="Normal 35" xfId="8"/>
    <cellStyle name="Normal 4" xfId="17"/>
    <cellStyle name="Normal 409" xfId="22"/>
    <cellStyle name="Normal 6" xfId="21"/>
    <cellStyle name="Normal 6 2" xfId="26"/>
    <cellStyle name="Normal 7 2 2" xfId="29"/>
    <cellStyle name="Normal_Pesquisa no referencial 10 de maio de 2013" xfId="20"/>
    <cellStyle name="Normal_Pesquisa no referencial 10 de maio de 2013 2" xfId="36"/>
    <cellStyle name="Porcentagem" xfId="2" builtinId="5"/>
    <cellStyle name="Porcentagem 2" xfId="12"/>
    <cellStyle name="Porcentagem 2 10" xfId="27"/>
    <cellStyle name="Porcentagem 2 2 2 2" xfId="35"/>
    <cellStyle name="Separador de milhares" xfId="3" builtinId="3"/>
    <cellStyle name="Separador de milhares 2" xfId="10"/>
    <cellStyle name="Separador de milhares 3" xfId="11"/>
    <cellStyle name="Vírgula 2" xfId="5"/>
    <cellStyle name="Vírgula 2 10" xfId="30"/>
    <cellStyle name="Vírgula 2 10 2" xfId="42"/>
    <cellStyle name="Vírgula 2 2 10" xfId="40"/>
    <cellStyle name="Vírgula 2 2 2 2 2" xfId="45"/>
    <cellStyle name="Vírgula 2 3 2 2" xfId="28"/>
    <cellStyle name="Vírgula 2 3 2 2 2" xfId="41"/>
    <cellStyle name="Vírgula 3" xfId="16"/>
  </cellStyles>
  <dxfs count="27">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ont>
        <color rgb="FF9C0006"/>
      </font>
      <fill>
        <patternFill>
          <bgColor rgb="FFFFC7CE"/>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lor rgb="FF9C0006"/>
      </font>
      <fill>
        <patternFill>
          <bgColor rgb="FFFFC7CE"/>
        </patternFill>
      </fill>
    </dxf>
  </dxfs>
  <tableStyles count="0" defaultTableStyle="TableStyleMedium9" defaultPivotStyle="PivotStyleLight16"/>
  <colors>
    <mruColors>
      <color rgb="FFFFFF00"/>
      <color rgb="FFFFCCFF"/>
      <color rgb="FFFF0000"/>
      <color rgb="FF99CC00"/>
      <color rgb="FFFF9933"/>
      <color rgb="FF3333FF"/>
      <color rgb="FFFF6600"/>
      <color rgb="FFFF33CC"/>
      <color rgb="FFFF3300"/>
      <color rgb="FFDC36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5486400</xdr:colOff>
      <xdr:row>0</xdr:row>
      <xdr:rowOff>95250</xdr:rowOff>
    </xdr:from>
    <xdr:to>
      <xdr:col>2</xdr:col>
      <xdr:colOff>781050</xdr:colOff>
      <xdr:row>5</xdr:row>
      <xdr:rowOff>123421</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486400" y="95250"/>
          <a:ext cx="1304925" cy="9806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166959</xdr:colOff>
      <xdr:row>13</xdr:row>
      <xdr:rowOff>85725</xdr:rowOff>
    </xdr:from>
    <xdr:to>
      <xdr:col>19</xdr:col>
      <xdr:colOff>438150</xdr:colOff>
      <xdr:row>30</xdr:row>
      <xdr:rowOff>76200</xdr:rowOff>
    </xdr:to>
    <xdr:pic>
      <xdr:nvPicPr>
        <xdr:cNvPr id="2" name="Imagem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9358584" y="4171950"/>
          <a:ext cx="5043216" cy="3371850"/>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SUPO\COQO\OR&#199;AMENTOS%202019\ELIANA-2019\PLANILHAS%20OR&#199;AMENT&#193;RIAS\E%20E%20BENEDITO%20DE%20CARVALHO\Planilha%20Or&#231;ament&#225;ria%20E%20E%20BENEDIT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APHAE~1.POR\CONFIG~1\Temp\Rar$DI00.610\Acabamentos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X13502561\Documents\Projetos\Teofilo%20Otoni\Levantamentos%20LUCAS\Calculadora%20de%20Quantitativos%20R02%20-%20Te&#243;filo%20Otoni.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X13502561\Documents\Projetos\Teofilo%20Otoni\Levantamentos%20LUCAS\Levantamento%20de%20acabamento%20de%20pared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iversos\PROTOTIPO%20DE%20MEDI&#199;&#195;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SUMO"/>
      <sheetName val="CRONOGRAMA"/>
      <sheetName val="PLANILHA ORÇAMENTARIA"/>
      <sheetName val="ins_nãodesonerada"/>
      <sheetName val="comp_nãodesonerada"/>
      <sheetName val="COMP-ARQ-EST"/>
    </sheetNames>
    <sheetDataSet>
      <sheetData sheetId="0" refreshError="1"/>
      <sheetData sheetId="1" refreshError="1"/>
      <sheetData sheetId="2" refreshError="1"/>
      <sheetData sheetId="3">
        <row r="1">
          <cell r="A1">
            <v>7325</v>
          </cell>
          <cell r="B1" t="str">
            <v>!EM PROCESSO DE DESATIVACAO! ADITIVO IMPERMEABILIZANTE DE PEGA NORMAL PARA ARGAMASSAS E CONCRETOS SEM ARMACAO</v>
          </cell>
          <cell r="C1" t="str">
            <v xml:space="preserve">KG    </v>
          </cell>
          <cell r="D1">
            <v>4.6500000000000004</v>
          </cell>
        </row>
        <row r="2">
          <cell r="A2">
            <v>39847</v>
          </cell>
          <cell r="B2" t="str">
            <v>!EM PROCESSO DE DESATIVACAO! AR-CONDICIONADO FRIO SPLIT HI-WALL (PAREDE) 12000 BTU/H</v>
          </cell>
          <cell r="C2" t="str">
            <v xml:space="preserve">UN    </v>
          </cell>
          <cell r="D2">
            <v>1613.52</v>
          </cell>
        </row>
        <row r="3">
          <cell r="A3">
            <v>39844</v>
          </cell>
          <cell r="B3" t="str">
            <v>!EM PROCESSO DE DESATIVACAO! AR-CONDICIONADO FRIO SPLIT HI-WALL (PAREDE) 18000 BTU/H</v>
          </cell>
          <cell r="C3" t="str">
            <v xml:space="preserve">UN    </v>
          </cell>
          <cell r="D3">
            <v>2381.2399999999998</v>
          </cell>
        </row>
        <row r="4">
          <cell r="A4">
            <v>39846</v>
          </cell>
          <cell r="B4" t="str">
            <v>!EM PROCESSO DE DESATIVACAO! AR-CONDICIONADO FRIO SPLIT HI-WALL (PAREDE) 9000 BTU/H</v>
          </cell>
          <cell r="C4" t="str">
            <v xml:space="preserve">UN    </v>
          </cell>
          <cell r="D4">
            <v>1454.89</v>
          </cell>
        </row>
        <row r="5">
          <cell r="A5">
            <v>39838</v>
          </cell>
          <cell r="B5" t="str">
            <v>!EM PROCESSO DE DESATIVACAO! AR-CONDICIONADO FRIO SPLIT PISO-TETO 18000 BTU/H</v>
          </cell>
          <cell r="C5" t="str">
            <v xml:space="preserve">UN    </v>
          </cell>
          <cell r="D5">
            <v>4032.46</v>
          </cell>
        </row>
        <row r="6">
          <cell r="A6">
            <v>39839</v>
          </cell>
          <cell r="B6" t="str">
            <v>!EM PROCESSO DE DESATIVACAO! AR-CONDICIONADO FRIO SPLIT PISO-TETO 24000 BTU/H</v>
          </cell>
          <cell r="C6" t="str">
            <v xml:space="preserve">UN    </v>
          </cell>
          <cell r="D6">
            <v>4213.0200000000004</v>
          </cell>
        </row>
        <row r="7">
          <cell r="A7">
            <v>39841</v>
          </cell>
          <cell r="B7" t="str">
            <v>!EM PROCESSO DE DESATIVACAO! AR-CONDICIONADO FRIO SPLIT PISO-TETO 36000 BTU/H</v>
          </cell>
          <cell r="C7" t="str">
            <v xml:space="preserve">UN    </v>
          </cell>
          <cell r="D7">
            <v>5708.85</v>
          </cell>
        </row>
        <row r="8">
          <cell r="A8">
            <v>39842</v>
          </cell>
          <cell r="B8" t="str">
            <v>!EM PROCESSO DE DESATIVACAO! AR-CONDICIONADO FRIO SPLIT PISO-TETO 48000 BTU/H</v>
          </cell>
          <cell r="C8" t="str">
            <v xml:space="preserve">UN    </v>
          </cell>
          <cell r="D8">
            <v>7252.37</v>
          </cell>
        </row>
        <row r="9">
          <cell r="A9">
            <v>39843</v>
          </cell>
          <cell r="B9" t="str">
            <v>!EM PROCESSO DE DESATIVACAO! AR-CONDICIONADO FRIO SPLIT PISO-TETO 60000 BTU/H</v>
          </cell>
          <cell r="C9" t="str">
            <v xml:space="preserve">UN    </v>
          </cell>
          <cell r="D9">
            <v>8005.8</v>
          </cell>
        </row>
        <row r="10">
          <cell r="A10">
            <v>2404</v>
          </cell>
          <cell r="B10" t="str">
            <v>!EM PROCESSO DE DESATIVACAO! DIVISORIA COLMEIA CEGA COM MONTANTE E RODAPE DE ALUMINIO ANODIZADO SIMPLES (SEM COLOCACAO)</v>
          </cell>
          <cell r="C10" t="str">
            <v xml:space="preserve">M2    </v>
          </cell>
          <cell r="D10">
            <v>93</v>
          </cell>
        </row>
        <row r="11">
          <cell r="A11">
            <v>2720</v>
          </cell>
          <cell r="B11" t="str">
            <v>!EM PROCESSO DE DESATIVACAO! ESCAVADEIRA DRAGA DE ARRASTE, CAP. 3/4 JC 140HP (INCL MANUTENCAO/OPERACAO)</v>
          </cell>
          <cell r="C11" t="str">
            <v xml:space="preserve">H     </v>
          </cell>
          <cell r="D11">
            <v>156.66999999999999</v>
          </cell>
        </row>
        <row r="12">
          <cell r="A12">
            <v>2719</v>
          </cell>
          <cell r="B12" t="str">
            <v>!EM PROCESSO DE DESATIVACAO! ESCAVADEIRA HIDRAULICA SOBRE ESTEIRAS DE 99 HP, PESO OPERACIONAL DE *16* T E CAPACIDADE DE 0,85 A 1,00 M3 (LOCACAO COM OPERADOR, COMBUSTIVEL E MANUTENCAO)</v>
          </cell>
          <cell r="C12" t="str">
            <v xml:space="preserve">H     </v>
          </cell>
          <cell r="D12">
            <v>132.75</v>
          </cell>
        </row>
        <row r="13">
          <cell r="A13">
            <v>3378</v>
          </cell>
          <cell r="B13" t="str">
            <v>!EM PROCESSO DE DESATIVACAO! HASTE DE ATERRAMENTO EM ACO COM 3,00 M DE COMPRIMENTO E DN = 3/4", REVESTIDA COM BAIXA CAMADA DE COBRE, SEM CONECTOR</v>
          </cell>
          <cell r="C13" t="str">
            <v xml:space="preserve">UN    </v>
          </cell>
          <cell r="D13">
            <v>48.01</v>
          </cell>
        </row>
        <row r="14">
          <cell r="A14">
            <v>3380</v>
          </cell>
          <cell r="B14" t="str">
            <v>!EM PROCESSO DE DESATIVACAO! HASTE DE ATERRAMENTO EM ACO COM 3,00 M DE COMPRIMENTO E DN = 5/8", REVESTIDA COM BAIXA CAMADA DE COBRE, COM CONECTOR TIPO GRAMPO</v>
          </cell>
          <cell r="C14" t="str">
            <v xml:space="preserve">UN    </v>
          </cell>
          <cell r="D14">
            <v>33.61</v>
          </cell>
        </row>
        <row r="15">
          <cell r="A15">
            <v>3379</v>
          </cell>
          <cell r="B15" t="str">
            <v>!EM PROCESSO DE DESATIVACAO! HASTE DE ATERRAMENTO EM ACO COM 3,00 M DE COMPRIMENTO E DN = 5/8", REVESTIDA COM BAIXA CAMADA DE COBRE, SEM CONECTOR</v>
          </cell>
          <cell r="C15" t="str">
            <v xml:space="preserve">UN    </v>
          </cell>
          <cell r="D15">
            <v>32.450000000000003</v>
          </cell>
        </row>
        <row r="16">
          <cell r="A16">
            <v>3346</v>
          </cell>
          <cell r="B16" t="str">
            <v>!EM PROCESSO DE DESATIVACAO! LOCACAO DE GRUPO GERADOR *80 A 125* KVA, MOTOR DIESEL, REBOCAVEL, ACIONAMENTO MANUAL</v>
          </cell>
          <cell r="C16" t="str">
            <v xml:space="preserve">H     </v>
          </cell>
          <cell r="D16">
            <v>13.5</v>
          </cell>
        </row>
        <row r="17">
          <cell r="A17">
            <v>3348</v>
          </cell>
          <cell r="B17" t="str">
            <v>!EM PROCESSO DE DESATIVACAO! LOCACAO DE GRUPO GERADOR ACIMA DE * 125 ATE 180* KVA, MOTOR DIESEL, REBOCAVEL, ACIONAMENTO MANUAL</v>
          </cell>
          <cell r="C17" t="str">
            <v xml:space="preserve">H     </v>
          </cell>
          <cell r="D17">
            <v>16.149999999999999</v>
          </cell>
        </row>
        <row r="18">
          <cell r="A18">
            <v>3345</v>
          </cell>
          <cell r="B18" t="str">
            <v>!EM PROCESSO DE DESATIVACAO! LOCACAO DE GRUPO GERADOR ACIMA DE * 20 A 80* KVA, MOTOR DIESEL, REBOCAVEL, ACIONAMENTO MANUAL</v>
          </cell>
          <cell r="C18" t="str">
            <v xml:space="preserve">H     </v>
          </cell>
          <cell r="D18">
            <v>10.43</v>
          </cell>
        </row>
        <row r="19">
          <cell r="A19">
            <v>39833</v>
          </cell>
          <cell r="B19" t="str">
            <v>!EM PROCESSO DE DESATIVACAO! LOCACAO DE GRUPO GERADOR DE *260* KVA, DIESEL REBOCAVEL, ACIONAMENTO MANUAL</v>
          </cell>
          <cell r="C19" t="str">
            <v xml:space="preserve">H     </v>
          </cell>
          <cell r="D19">
            <v>22.12</v>
          </cell>
        </row>
        <row r="20">
          <cell r="A20">
            <v>39834</v>
          </cell>
          <cell r="B20" t="str">
            <v>!EM PROCESSO DE DESATIVACAO! LOCACAO DE GRUPO GERADOR DE *400* KVA, DIESEL REBOCAVEL, ACIONAMENTO MANUAL</v>
          </cell>
          <cell r="C20" t="str">
            <v xml:space="preserve">H     </v>
          </cell>
          <cell r="D20">
            <v>37.96</v>
          </cell>
        </row>
        <row r="21">
          <cell r="A21">
            <v>39835</v>
          </cell>
          <cell r="B21" t="str">
            <v>!EM PROCESSO DE DESATIVACAO! LOCACAO DE GRUPO GERADOR DE *550* KVA, DIESEL REBOCAVEL, ACIONAMENTO MANUAL</v>
          </cell>
          <cell r="C21" t="str">
            <v xml:space="preserve">H     </v>
          </cell>
          <cell r="D21">
            <v>46.28</v>
          </cell>
        </row>
        <row r="22">
          <cell r="A22">
            <v>13382</v>
          </cell>
          <cell r="B22" t="str">
            <v>!EM PROCESSO DE DESATIVACAO! LUMINARIA FECHADA P/ ILUMINACAO PUBLICA, TIPO ABL 50/F OU EQUIV, P/ LAMPADA A VAPOR DE MERCURIO 400W</v>
          </cell>
          <cell r="C22" t="str">
            <v xml:space="preserve">UN    </v>
          </cell>
          <cell r="D22">
            <v>189.76</v>
          </cell>
        </row>
        <row r="23">
          <cell r="A23">
            <v>4126</v>
          </cell>
          <cell r="B23" t="str">
            <v>!EM PROCESSO DE DESATIVACAO! TERMINAL DE PORCELANA (MUFLA) UNIPOLAR, USO EXTERNO, TENSAO 3,6/6 KV, PARA CABO DE 10/16 MM2, COM ISOLAMENTO EPR</v>
          </cell>
          <cell r="C23" t="str">
            <v xml:space="preserve">UN    </v>
          </cell>
          <cell r="D23">
            <v>209.97</v>
          </cell>
        </row>
        <row r="24">
          <cell r="A24">
            <v>10615</v>
          </cell>
          <cell r="B24" t="str">
            <v>!EM PROCESSO DE DESATIVACAO! VEICULO DE PASSEIO COM MOTOR 1.0 FLEX, POTENCIA 72/85 CV, 5 PORTAS, COR SOLIDA, BASICO</v>
          </cell>
          <cell r="C24" t="str">
            <v xml:space="preserve">UN    </v>
          </cell>
          <cell r="D24">
            <v>42990</v>
          </cell>
        </row>
        <row r="25">
          <cell r="A25">
            <v>21136</v>
          </cell>
          <cell r="B25" t="str">
            <v>!EM PROCESSO DESATIVACAO! ELETRODUTO EM ACO GALVANIZADO ELETROLITICO, LEVE, DIAMETRO 1", PAREDE DE 0,90 MM</v>
          </cell>
          <cell r="C25" t="str">
            <v xml:space="preserve">M     </v>
          </cell>
          <cell r="D25">
            <v>11.84</v>
          </cell>
        </row>
        <row r="26">
          <cell r="A26">
            <v>21128</v>
          </cell>
          <cell r="B26" t="str">
            <v>!EM PROCESSO DESATIVACAO! ELETRODUTO EM ACO GALVANIZADO ELETROLITICO, LEVE, DIAMETRO 3/4", PAREDE DE 0,90 MM</v>
          </cell>
          <cell r="C26" t="str">
            <v xml:space="preserve">M     </v>
          </cell>
          <cell r="D26">
            <v>9.16</v>
          </cell>
        </row>
        <row r="27">
          <cell r="A27">
            <v>21130</v>
          </cell>
          <cell r="B27" t="str">
            <v>!EM PROCESSO DESATIVACAO! ELETRODUTO EM ACO GALVANIZADO ELETROLITICO, SEMI-PESADO, DIAMETRO 1 1/2", PAREDE DE 1,20 MM</v>
          </cell>
          <cell r="C27" t="str">
            <v xml:space="preserve">M     </v>
          </cell>
          <cell r="D27">
            <v>23.13</v>
          </cell>
        </row>
        <row r="28">
          <cell r="A28">
            <v>21135</v>
          </cell>
          <cell r="B28" t="str">
            <v>!EM PROCESSO DESATIVACAO! ELETRODUTO EM ACO GALVANIZADO ELETROLITICO, SEMI-PESADO, DIAMETRO 1 1/4", PAREDE DE 1,20 MM</v>
          </cell>
          <cell r="C28" t="str">
            <v xml:space="preserve">M     </v>
          </cell>
          <cell r="D28">
            <v>22.77</v>
          </cell>
        </row>
        <row r="29">
          <cell r="A29">
            <v>38605</v>
          </cell>
          <cell r="B29" t="str">
            <v>ABERTURA PARA ENCAIXE DE CUBA OU LAVATORIO EM BANCADA DE MARMORE/ GRANITO OU OUTRO TIPO DE PEDRA NATURAL</v>
          </cell>
          <cell r="C29" t="str">
            <v xml:space="preserve">UN    </v>
          </cell>
          <cell r="D29">
            <v>94.18</v>
          </cell>
        </row>
        <row r="30">
          <cell r="A30">
            <v>11270</v>
          </cell>
          <cell r="B30" t="str">
            <v>ABRACADEIRA DE LATAO PARA FIXACAO DE CABO PARA-RAIO, DIMENSOES 32 X 24 X 24 MM</v>
          </cell>
          <cell r="C30" t="str">
            <v xml:space="preserve">UN    </v>
          </cell>
          <cell r="D30">
            <v>2.04</v>
          </cell>
        </row>
        <row r="31">
          <cell r="A31">
            <v>412</v>
          </cell>
          <cell r="B31" t="str">
            <v>ABRACADEIRA DE NYLON PARA AMARRACAO DE CABOS, COMPRIMENTO DE *230* X *7,6* MM</v>
          </cell>
          <cell r="C31" t="str">
            <v xml:space="preserve">UN    </v>
          </cell>
          <cell r="D31">
            <v>1.02</v>
          </cell>
        </row>
        <row r="32">
          <cell r="A32">
            <v>414</v>
          </cell>
          <cell r="B32" t="str">
            <v>ABRACADEIRA DE NYLON PARA AMARRACAO DE CABOS, COMPRIMENTO DE 100 X 2,5 MM</v>
          </cell>
          <cell r="C32" t="str">
            <v xml:space="preserve">UN    </v>
          </cell>
          <cell r="D32">
            <v>0.06</v>
          </cell>
        </row>
        <row r="33">
          <cell r="A33">
            <v>410</v>
          </cell>
          <cell r="B33" t="str">
            <v>ABRACADEIRA DE NYLON PARA AMARRACAO DE CABOS, COMPRIMENTO DE 150 X *3,6* MM</v>
          </cell>
          <cell r="C33" t="str">
            <v xml:space="preserve">UN    </v>
          </cell>
          <cell r="D33">
            <v>0.15</v>
          </cell>
        </row>
        <row r="34">
          <cell r="A34">
            <v>411</v>
          </cell>
          <cell r="B34" t="str">
            <v>ABRACADEIRA DE NYLON PARA AMARRACAO DE CABOS, COMPRIMENTO DE 200 X *4,6* MM</v>
          </cell>
          <cell r="C34" t="str">
            <v xml:space="preserve">UN    </v>
          </cell>
          <cell r="D34">
            <v>0.2</v>
          </cell>
        </row>
        <row r="35">
          <cell r="A35">
            <v>408</v>
          </cell>
          <cell r="B35" t="str">
            <v>ABRACADEIRA DE NYLON PARA AMARRACAO DE CABOS, COMPRIMENTO DE 390 X *4,6* MM</v>
          </cell>
          <cell r="C35" t="str">
            <v xml:space="preserve">UN    </v>
          </cell>
          <cell r="D35">
            <v>0.99</v>
          </cell>
        </row>
        <row r="36">
          <cell r="A36">
            <v>39131</v>
          </cell>
          <cell r="B36" t="str">
            <v>ABRACADEIRA EM ACO PARA AMARRACAO DE ELETRODUTOS, TIPO D, COM 1 1/2" E CUNHA DE FIXACAO</v>
          </cell>
          <cell r="C36" t="str">
            <v xml:space="preserve">UN    </v>
          </cell>
          <cell r="D36">
            <v>2.6</v>
          </cell>
        </row>
        <row r="37">
          <cell r="A37">
            <v>394</v>
          </cell>
          <cell r="B37" t="str">
            <v>ABRACADEIRA EM ACO PARA AMARRACAO DE ELETRODUTOS, TIPO D, COM 1 1/2" E PARAFUSO DE FIXACAO</v>
          </cell>
          <cell r="C37" t="str">
            <v xml:space="preserve">UN    </v>
          </cell>
          <cell r="D37">
            <v>2.63</v>
          </cell>
        </row>
        <row r="38">
          <cell r="A38">
            <v>39130</v>
          </cell>
          <cell r="B38" t="str">
            <v>ABRACADEIRA EM ACO PARA AMARRACAO DE ELETRODUTOS, TIPO D, COM 1 1/4" E CUNHA DE FIXACAO</v>
          </cell>
          <cell r="C38" t="str">
            <v xml:space="preserve">UN    </v>
          </cell>
          <cell r="D38">
            <v>2.37</v>
          </cell>
        </row>
        <row r="39">
          <cell r="A39">
            <v>395</v>
          </cell>
          <cell r="B39" t="str">
            <v>ABRACADEIRA EM ACO PARA AMARRACAO DE ELETRODUTOS, TIPO D, COM 1 1/4" E PARAFUSO DE FIXACAO</v>
          </cell>
          <cell r="C39" t="str">
            <v xml:space="preserve">UN    </v>
          </cell>
          <cell r="D39">
            <v>2.5299999999999998</v>
          </cell>
        </row>
        <row r="40">
          <cell r="A40">
            <v>39127</v>
          </cell>
          <cell r="B40" t="str">
            <v>ABRACADEIRA EM ACO PARA AMARRACAO DE ELETRODUTOS, TIPO D, COM 1/2" E CUNHA DE FIXACAO</v>
          </cell>
          <cell r="C40" t="str">
            <v xml:space="preserve">UN    </v>
          </cell>
          <cell r="D40">
            <v>1.25</v>
          </cell>
        </row>
        <row r="41">
          <cell r="A41">
            <v>392</v>
          </cell>
          <cell r="B41" t="str">
            <v>ABRACADEIRA EM ACO PARA AMARRACAO DE ELETRODUTOS, TIPO D, COM 1/2" E PARAFUSO DE FIXACAO</v>
          </cell>
          <cell r="C41" t="str">
            <v xml:space="preserve">UN    </v>
          </cell>
          <cell r="D41">
            <v>1.28</v>
          </cell>
        </row>
        <row r="42">
          <cell r="A42">
            <v>39129</v>
          </cell>
          <cell r="B42" t="str">
            <v>ABRACADEIRA EM ACO PARA AMARRACAO DE ELETRODUTOS, TIPO D, COM 1" E CUNHA DE FIXACAO</v>
          </cell>
          <cell r="C42" t="str">
            <v xml:space="preserve">UN    </v>
          </cell>
          <cell r="D42">
            <v>1.46</v>
          </cell>
        </row>
        <row r="43">
          <cell r="A43">
            <v>393</v>
          </cell>
          <cell r="B43" t="str">
            <v>ABRACADEIRA EM ACO PARA AMARRACAO DE ELETRODUTOS, TIPO D, COM 1" E PARAFUSO DE FIXACAO</v>
          </cell>
          <cell r="C43" t="str">
            <v xml:space="preserve">UN    </v>
          </cell>
          <cell r="D43">
            <v>1.53</v>
          </cell>
        </row>
        <row r="44">
          <cell r="A44">
            <v>39133</v>
          </cell>
          <cell r="B44" t="str">
            <v>ABRACADEIRA EM ACO PARA AMARRACAO DE ELETRODUTOS, TIPO D, COM 2 1/2" E CUNHA DE FIXACAO</v>
          </cell>
          <cell r="C44" t="str">
            <v xml:space="preserve">UN    </v>
          </cell>
          <cell r="D44">
            <v>3.41</v>
          </cell>
        </row>
        <row r="45">
          <cell r="A45">
            <v>397</v>
          </cell>
          <cell r="B45" t="str">
            <v>ABRACADEIRA EM ACO PARA AMARRACAO DE ELETRODUTOS, TIPO D, COM 2 1/2" E PARAFUSO DE FIXACAO</v>
          </cell>
          <cell r="C45" t="str">
            <v xml:space="preserve">UN    </v>
          </cell>
          <cell r="D45">
            <v>3.77</v>
          </cell>
        </row>
        <row r="46">
          <cell r="A46">
            <v>39132</v>
          </cell>
          <cell r="B46" t="str">
            <v>ABRACADEIRA EM ACO PARA AMARRACAO DE ELETRODUTOS, TIPO D, COM 2" E CUNHA DE FIXACAO</v>
          </cell>
          <cell r="C46" t="str">
            <v xml:space="preserve">UN    </v>
          </cell>
          <cell r="D46">
            <v>2.73</v>
          </cell>
        </row>
        <row r="47">
          <cell r="A47">
            <v>396</v>
          </cell>
          <cell r="B47" t="str">
            <v>ABRACADEIRA EM ACO PARA AMARRACAO DE ELETRODUTOS, TIPO D, COM 2" E PARAFUSO DE FIXACAO</v>
          </cell>
          <cell r="C47" t="str">
            <v xml:space="preserve">UN    </v>
          </cell>
          <cell r="D47">
            <v>2.92</v>
          </cell>
        </row>
        <row r="48">
          <cell r="A48">
            <v>39135</v>
          </cell>
          <cell r="B48" t="str">
            <v>ABRACADEIRA EM ACO PARA AMARRACAO DE ELETRODUTOS, TIPO D, COM 3 1/2" E CUNHA DE FIXACAO</v>
          </cell>
          <cell r="C48" t="str">
            <v xml:space="preserve">UN    </v>
          </cell>
          <cell r="D48">
            <v>5.46</v>
          </cell>
        </row>
        <row r="49">
          <cell r="A49">
            <v>39128</v>
          </cell>
          <cell r="B49" t="str">
            <v>ABRACADEIRA EM ACO PARA AMARRACAO DE ELETRODUTOS, TIPO D, COM 3/4" E CUNHA DE FIXACAO</v>
          </cell>
          <cell r="C49" t="str">
            <v xml:space="preserve">UN    </v>
          </cell>
          <cell r="D49">
            <v>1.36</v>
          </cell>
        </row>
        <row r="50">
          <cell r="A50">
            <v>400</v>
          </cell>
          <cell r="B50" t="str">
            <v>ABRACADEIRA EM ACO PARA AMARRACAO DE ELETRODUTOS, TIPO D, COM 3/4" E PARAFUSO DE FIXACAO</v>
          </cell>
          <cell r="C50" t="str">
            <v xml:space="preserve">UN    </v>
          </cell>
          <cell r="D50">
            <v>1.33</v>
          </cell>
        </row>
        <row r="51">
          <cell r="A51">
            <v>39125</v>
          </cell>
          <cell r="B51" t="str">
            <v>ABRACADEIRA EM ACO PARA AMARRACAO DE ELETRODUTOS, TIPO D, COM 3/8" E PARAFUSO DE FIXACAO</v>
          </cell>
          <cell r="C51" t="str">
            <v xml:space="preserve">UN    </v>
          </cell>
          <cell r="D51">
            <v>1.36</v>
          </cell>
        </row>
        <row r="52">
          <cell r="A52">
            <v>39134</v>
          </cell>
          <cell r="B52" t="str">
            <v>ABRACADEIRA EM ACO PARA AMARRACAO DE ELETRODUTOS, TIPO D, COM 3" E CUNHA DE FIXACAO</v>
          </cell>
          <cell r="C52" t="str">
            <v xml:space="preserve">UN    </v>
          </cell>
          <cell r="D52">
            <v>4.55</v>
          </cell>
        </row>
        <row r="53">
          <cell r="A53">
            <v>398</v>
          </cell>
          <cell r="B53" t="str">
            <v>ABRACADEIRA EM ACO PARA AMARRACAO DE ELETRODUTOS, TIPO D, COM 3" E PARAFUSO DE FIXACAO</v>
          </cell>
          <cell r="C53" t="str">
            <v xml:space="preserve">UN    </v>
          </cell>
          <cell r="D53">
            <v>4.1900000000000004</v>
          </cell>
        </row>
        <row r="54">
          <cell r="A54">
            <v>39126</v>
          </cell>
          <cell r="B54" t="str">
            <v>ABRACADEIRA EM ACO PARA AMARRACAO DE ELETRODUTOS, TIPO D, COM 4" E CUNHA DE FIXACAO</v>
          </cell>
          <cell r="C54" t="str">
            <v xml:space="preserve">UN    </v>
          </cell>
          <cell r="D54">
            <v>6.15</v>
          </cell>
        </row>
        <row r="55">
          <cell r="A55">
            <v>399</v>
          </cell>
          <cell r="B55" t="str">
            <v>ABRACADEIRA EM ACO PARA AMARRACAO DE ELETRODUTOS, TIPO D, COM 4" E PARAFUSO DE FIXACAO</v>
          </cell>
          <cell r="C55" t="str">
            <v xml:space="preserve">UN    </v>
          </cell>
          <cell r="D55">
            <v>5.42</v>
          </cell>
        </row>
        <row r="56">
          <cell r="A56">
            <v>39158</v>
          </cell>
          <cell r="B56" t="str">
            <v>ABRACADEIRA EM ACO PARA AMARRACAO DE ELETRODUTOS, TIPO ECONOMICA (GOTA), COM 8"</v>
          </cell>
          <cell r="C56" t="str">
            <v xml:space="preserve">UN    </v>
          </cell>
          <cell r="D56">
            <v>14.55</v>
          </cell>
        </row>
        <row r="57">
          <cell r="A57">
            <v>39141</v>
          </cell>
          <cell r="B57" t="str">
            <v>ABRACADEIRA EM ACO PARA AMARRACAO DE ELETRODUTOS, TIPO U SIMPLES, COM 1 1/2"</v>
          </cell>
          <cell r="C57" t="str">
            <v xml:space="preserve">UN    </v>
          </cell>
          <cell r="D57">
            <v>1.05</v>
          </cell>
        </row>
        <row r="58">
          <cell r="A58">
            <v>39140</v>
          </cell>
          <cell r="B58" t="str">
            <v>ABRACADEIRA EM ACO PARA AMARRACAO DE ELETRODUTOS, TIPO U SIMPLES, COM 1 1/4"</v>
          </cell>
          <cell r="C58" t="str">
            <v xml:space="preserve">UN    </v>
          </cell>
          <cell r="D58">
            <v>0.96</v>
          </cell>
        </row>
        <row r="59">
          <cell r="A59">
            <v>39137</v>
          </cell>
          <cell r="B59" t="str">
            <v>ABRACADEIRA EM ACO PARA AMARRACAO DE ELETRODUTOS, TIPO U SIMPLES, COM 1/2"</v>
          </cell>
          <cell r="C59" t="str">
            <v xml:space="preserve">UN    </v>
          </cell>
          <cell r="D59">
            <v>0.55000000000000004</v>
          </cell>
        </row>
        <row r="60">
          <cell r="A60">
            <v>39139</v>
          </cell>
          <cell r="B60" t="str">
            <v>ABRACADEIRA EM ACO PARA AMARRACAO DE ELETRODUTOS, TIPO U SIMPLES, COM 1"</v>
          </cell>
          <cell r="C60" t="str">
            <v xml:space="preserve">UN    </v>
          </cell>
          <cell r="D60">
            <v>0.79</v>
          </cell>
        </row>
        <row r="61">
          <cell r="A61">
            <v>39143</v>
          </cell>
          <cell r="B61" t="str">
            <v>ABRACADEIRA EM ACO PARA AMARRACAO DE ELETRODUTOS, TIPO U SIMPLES, COM 2 1/2"</v>
          </cell>
          <cell r="C61" t="str">
            <v xml:space="preserve">UN    </v>
          </cell>
          <cell r="D61">
            <v>2.1800000000000002</v>
          </cell>
        </row>
        <row r="62">
          <cell r="A62">
            <v>39142</v>
          </cell>
          <cell r="B62" t="str">
            <v>ABRACADEIRA EM ACO PARA AMARRACAO DE ELETRODUTOS, TIPO U SIMPLES, COM 2"</v>
          </cell>
          <cell r="C62" t="str">
            <v xml:space="preserve">UN    </v>
          </cell>
          <cell r="D62">
            <v>1.56</v>
          </cell>
        </row>
        <row r="63">
          <cell r="A63">
            <v>39138</v>
          </cell>
          <cell r="B63" t="str">
            <v>ABRACADEIRA EM ACO PARA AMARRACAO DE ELETRODUTOS, TIPO U SIMPLES, COM 3/4"</v>
          </cell>
          <cell r="C63" t="str">
            <v xml:space="preserve">UN    </v>
          </cell>
          <cell r="D63">
            <v>0.57999999999999996</v>
          </cell>
        </row>
        <row r="64">
          <cell r="A64">
            <v>39136</v>
          </cell>
          <cell r="B64" t="str">
            <v>ABRACADEIRA EM ACO PARA AMARRACAO DE ELETRODUTOS, TIPO U SIMPLES, COM 3/8"</v>
          </cell>
          <cell r="C64" t="str">
            <v xml:space="preserve">UN    </v>
          </cell>
          <cell r="D64">
            <v>0.39</v>
          </cell>
        </row>
        <row r="65">
          <cell r="A65">
            <v>39144</v>
          </cell>
          <cell r="B65" t="str">
            <v>ABRACADEIRA EM ACO PARA AMARRACAO DE ELETRODUTOS, TIPO U SIMPLES, COM 3"</v>
          </cell>
          <cell r="C65" t="str">
            <v xml:space="preserve">UN    </v>
          </cell>
          <cell r="D65">
            <v>2.5299999999999998</v>
          </cell>
        </row>
        <row r="66">
          <cell r="A66">
            <v>39145</v>
          </cell>
          <cell r="B66" t="str">
            <v>ABRACADEIRA EM ACO PARA AMARRACAO DE ELETRODUTOS, TIPO U SIMPLES, COM 4"</v>
          </cell>
          <cell r="C66" t="str">
            <v xml:space="preserve">UN    </v>
          </cell>
          <cell r="D66">
            <v>4.18</v>
          </cell>
        </row>
        <row r="67">
          <cell r="A67">
            <v>12615</v>
          </cell>
          <cell r="B67" t="str">
            <v>ABRACADEIRA PVC, PARA CALHA PLUVIAL, DIAMETRO ENTRE 80 E 100 MM, PARA DRENAGEM PREDIAL</v>
          </cell>
          <cell r="C67" t="str">
            <v xml:space="preserve">UN    </v>
          </cell>
          <cell r="D67">
            <v>3.7</v>
          </cell>
        </row>
        <row r="68">
          <cell r="A68">
            <v>11927</v>
          </cell>
          <cell r="B68" t="str">
            <v>ABRACADEIRA, GALVANIZADA/ZINCADA, ROSCA SEM FIM, PARAFUSO INOX, LARGURA  FITA *12,6 A *14 MM, D = 2" A 2 1/2"</v>
          </cell>
          <cell r="C68" t="str">
            <v xml:space="preserve">UN    </v>
          </cell>
          <cell r="D68">
            <v>6.09</v>
          </cell>
        </row>
        <row r="69">
          <cell r="A69">
            <v>11928</v>
          </cell>
          <cell r="B69" t="str">
            <v>ABRACADEIRA, GALVANIZADA/ZINCADA, ROSCA SEM FIM, PARAFUSO INOX, LARGURA  FITA *12,6 A *14 MM, D = 3" A 3 3/4"</v>
          </cell>
          <cell r="C69" t="str">
            <v xml:space="preserve">UN    </v>
          </cell>
          <cell r="D69">
            <v>6.97</v>
          </cell>
        </row>
        <row r="70">
          <cell r="A70">
            <v>11929</v>
          </cell>
          <cell r="B70" t="str">
            <v>ABRACADEIRA, GALVANIZADA/ZINCADA, ROSCA SEM FIM, PARAFUSO INOX, LARGURA  FITA *12,6 A *14 MM, D = 4" A 4 3/4"</v>
          </cell>
          <cell r="C70" t="str">
            <v xml:space="preserve">UN    </v>
          </cell>
          <cell r="D70">
            <v>10.79</v>
          </cell>
        </row>
        <row r="71">
          <cell r="A71">
            <v>36801</v>
          </cell>
          <cell r="B71" t="str">
            <v>ACABAMENTO CROMADO PARA REGISTRO PEQUENO, 1/2 " OU 3/4 "</v>
          </cell>
          <cell r="C71" t="str">
            <v xml:space="preserve">UN    </v>
          </cell>
          <cell r="D71">
            <v>20.65</v>
          </cell>
        </row>
        <row r="72">
          <cell r="A72">
            <v>36246</v>
          </cell>
          <cell r="B72" t="str">
            <v>ACABAMENTO SIMPLES/CONVENCIONAL PARA FORRO PVC, TIPO "U" OU "C", COR BRANCA, COMPRIMENTO 6 M</v>
          </cell>
          <cell r="C72" t="str">
            <v xml:space="preserve">M     </v>
          </cell>
          <cell r="D72">
            <v>2.27</v>
          </cell>
        </row>
        <row r="73">
          <cell r="A73">
            <v>37600</v>
          </cell>
          <cell r="B73" t="str">
            <v>ACESSORIO DE LIGACAO NAO ELETRICO PARA CARGAS EXPLOSIVAS, TUBO DE 6 M</v>
          </cell>
          <cell r="C73" t="str">
            <v xml:space="preserve">UN    </v>
          </cell>
          <cell r="D73">
            <v>51.99</v>
          </cell>
        </row>
        <row r="74">
          <cell r="A74">
            <v>37599</v>
          </cell>
          <cell r="B74" t="str">
            <v>ACESSORIO INICIADOR NAO ELETRICO, TUBO DE 6 M, TEMPO DE RETARDO DE *160* MS</v>
          </cell>
          <cell r="C74" t="str">
            <v xml:space="preserve">UN    </v>
          </cell>
          <cell r="D74">
            <v>48.39</v>
          </cell>
        </row>
        <row r="75">
          <cell r="A75">
            <v>1</v>
          </cell>
          <cell r="B75" t="str">
            <v>ACETILENO (RECARGA PARA CILINDRO DE CONJUNTO OXICORTE GRANDE)</v>
          </cell>
          <cell r="C75" t="str">
            <v xml:space="preserve">KG    </v>
          </cell>
          <cell r="D75">
            <v>53.56</v>
          </cell>
        </row>
        <row r="76">
          <cell r="A76">
            <v>3</v>
          </cell>
          <cell r="B76" t="str">
            <v>ACIDO MURIATICO, DILUICAO 10% A 12% PARA USO EM LIMPEZA</v>
          </cell>
          <cell r="C76" t="str">
            <v xml:space="preserve">L     </v>
          </cell>
          <cell r="D76">
            <v>4.71</v>
          </cell>
        </row>
        <row r="77">
          <cell r="A77">
            <v>26</v>
          </cell>
          <cell r="B77" t="str">
            <v>ACO CA-25, 10,0 MM, VERGALHAO</v>
          </cell>
          <cell r="C77" t="str">
            <v xml:space="preserve">KG    </v>
          </cell>
          <cell r="D77">
            <v>4.33</v>
          </cell>
        </row>
        <row r="78">
          <cell r="A78">
            <v>20</v>
          </cell>
          <cell r="B78" t="str">
            <v>ACO CA-25, 12,5 MM, VERGALHAO</v>
          </cell>
          <cell r="C78" t="str">
            <v xml:space="preserve">KG    </v>
          </cell>
          <cell r="D78">
            <v>4.3600000000000003</v>
          </cell>
        </row>
        <row r="79">
          <cell r="A79">
            <v>21</v>
          </cell>
          <cell r="B79" t="str">
            <v>ACO CA-25, 16,0 MM, VERGALHAO</v>
          </cell>
          <cell r="C79" t="str">
            <v xml:space="preserve">KG    </v>
          </cell>
          <cell r="D79">
            <v>4.3600000000000003</v>
          </cell>
        </row>
        <row r="80">
          <cell r="A80">
            <v>24</v>
          </cell>
          <cell r="B80" t="str">
            <v>ACO CA-25, 20,0 MM, VERGALHAO</v>
          </cell>
          <cell r="C80" t="str">
            <v xml:space="preserve">KG    </v>
          </cell>
          <cell r="D80">
            <v>4.3600000000000003</v>
          </cell>
        </row>
        <row r="81">
          <cell r="A81">
            <v>25</v>
          </cell>
          <cell r="B81" t="str">
            <v>ACO CA-25, 25,0 MM, VERGALHAO</v>
          </cell>
          <cell r="C81" t="str">
            <v xml:space="preserve">KG    </v>
          </cell>
          <cell r="D81">
            <v>4.3600000000000003</v>
          </cell>
        </row>
        <row r="82">
          <cell r="A82">
            <v>43065</v>
          </cell>
          <cell r="B82" t="str">
            <v>ACO CA-25, 32,0 MM, BARRA DE TRANSFERENCIA (COLETADO CAIXA)</v>
          </cell>
          <cell r="C82" t="str">
            <v xml:space="preserve">KG    </v>
          </cell>
          <cell r="D82">
            <v>7.17</v>
          </cell>
        </row>
        <row r="83">
          <cell r="A83">
            <v>34341</v>
          </cell>
          <cell r="B83" t="str">
            <v>ACO CA-25, 32,0 MM, VERGALHAO</v>
          </cell>
          <cell r="C83" t="str">
            <v xml:space="preserve">KG    </v>
          </cell>
          <cell r="D83">
            <v>4.0999999999999996</v>
          </cell>
        </row>
        <row r="84">
          <cell r="A84">
            <v>22</v>
          </cell>
          <cell r="B84" t="str">
            <v>ACO CA-25, 6,3 MM, VERGALHAO</v>
          </cell>
          <cell r="C84" t="str">
            <v xml:space="preserve">KG    </v>
          </cell>
          <cell r="D84">
            <v>4.67</v>
          </cell>
        </row>
        <row r="85">
          <cell r="A85">
            <v>23</v>
          </cell>
          <cell r="B85" t="str">
            <v>ACO CA-25, 8,0 MM, VERGALHAO</v>
          </cell>
          <cell r="C85" t="str">
            <v xml:space="preserve">KG    </v>
          </cell>
          <cell r="D85">
            <v>4.62</v>
          </cell>
        </row>
        <row r="86">
          <cell r="A86">
            <v>34439</v>
          </cell>
          <cell r="B86" t="str">
            <v>ACO CA-50, 10,0 MM, DOBRADO E CORTADO</v>
          </cell>
          <cell r="C86" t="str">
            <v xml:space="preserve">KG    </v>
          </cell>
          <cell r="D86">
            <v>5.55</v>
          </cell>
        </row>
        <row r="87">
          <cell r="A87">
            <v>34</v>
          </cell>
          <cell r="B87" t="str">
            <v>ACO CA-50, 10,0 MM, VERGALHAO</v>
          </cell>
          <cell r="C87" t="str">
            <v xml:space="preserve">KG    </v>
          </cell>
          <cell r="D87">
            <v>4.9400000000000004</v>
          </cell>
        </row>
        <row r="88">
          <cell r="A88">
            <v>34441</v>
          </cell>
          <cell r="B88" t="str">
            <v>ACO CA-50, 12,5 MM, DOBRADO E CORTADO</v>
          </cell>
          <cell r="C88" t="str">
            <v xml:space="preserve">KG    </v>
          </cell>
          <cell r="D88">
            <v>5.27</v>
          </cell>
        </row>
        <row r="89">
          <cell r="A89">
            <v>31</v>
          </cell>
          <cell r="B89" t="str">
            <v>ACO CA-50, 12,5 MM, VERGALHAO</v>
          </cell>
          <cell r="C89" t="str">
            <v xml:space="preserve">KG    </v>
          </cell>
          <cell r="D89">
            <v>4.7</v>
          </cell>
        </row>
        <row r="90">
          <cell r="A90">
            <v>34443</v>
          </cell>
          <cell r="B90" t="str">
            <v>ACO CA-50, 16 MM, DOBRADO E CORTADO</v>
          </cell>
          <cell r="C90" t="str">
            <v xml:space="preserve">KG    </v>
          </cell>
          <cell r="D90">
            <v>5.27</v>
          </cell>
        </row>
        <row r="91">
          <cell r="A91">
            <v>27</v>
          </cell>
          <cell r="B91" t="str">
            <v>ACO CA-50, 16,0 MM, VERGALHAO</v>
          </cell>
          <cell r="C91" t="str">
            <v xml:space="preserve">KG    </v>
          </cell>
          <cell r="D91">
            <v>4.7</v>
          </cell>
        </row>
        <row r="92">
          <cell r="A92">
            <v>34446</v>
          </cell>
          <cell r="B92" t="str">
            <v>ACO CA-50, 20 MM, DOBRADO E CORTADO</v>
          </cell>
          <cell r="C92" t="str">
            <v xml:space="preserve">KG    </v>
          </cell>
          <cell r="D92">
            <v>5.27</v>
          </cell>
        </row>
        <row r="93">
          <cell r="A93">
            <v>29</v>
          </cell>
          <cell r="B93" t="str">
            <v>ACO CA-50, 20,0 MM, VERGALHAO</v>
          </cell>
          <cell r="C93" t="str">
            <v xml:space="preserve">KG    </v>
          </cell>
          <cell r="D93">
            <v>4.3899999999999997</v>
          </cell>
        </row>
        <row r="94">
          <cell r="A94">
            <v>28</v>
          </cell>
          <cell r="B94" t="str">
            <v>ACO CA-50, 25,0 MM, VERGALHAO</v>
          </cell>
          <cell r="C94" t="str">
            <v xml:space="preserve">KG    </v>
          </cell>
          <cell r="D94">
            <v>5.08</v>
          </cell>
        </row>
        <row r="95">
          <cell r="A95">
            <v>34449</v>
          </cell>
          <cell r="B95" t="str">
            <v>ACO CA-50, 6,3 MM, DOBRADO E CORTADO</v>
          </cell>
          <cell r="C95" t="str">
            <v xml:space="preserve">KG    </v>
          </cell>
          <cell r="D95">
            <v>5.8</v>
          </cell>
        </row>
        <row r="96">
          <cell r="A96">
            <v>32</v>
          </cell>
          <cell r="B96" t="str">
            <v>ACO CA-50, 6,3 MM, VERGALHAO</v>
          </cell>
          <cell r="C96" t="str">
            <v xml:space="preserve">KG    </v>
          </cell>
          <cell r="D96">
            <v>5.17</v>
          </cell>
        </row>
        <row r="97">
          <cell r="A97">
            <v>33</v>
          </cell>
          <cell r="B97" t="str">
            <v>ACO CA-50, 8,0 MM, VERGALHAO</v>
          </cell>
          <cell r="C97" t="str">
            <v xml:space="preserve">KG    </v>
          </cell>
          <cell r="D97">
            <v>5.81</v>
          </cell>
        </row>
        <row r="98">
          <cell r="A98">
            <v>34343</v>
          </cell>
          <cell r="B98" t="str">
            <v>ACO CA-60, VERGALHAO, 9,5 MM</v>
          </cell>
          <cell r="C98" t="str">
            <v xml:space="preserve">KG    </v>
          </cell>
          <cell r="D98">
            <v>5.58</v>
          </cell>
        </row>
        <row r="99">
          <cell r="A99">
            <v>34452</v>
          </cell>
          <cell r="B99" t="str">
            <v>ACO CA-60, 4,2 MM, DOBRADO E CORTADO</v>
          </cell>
          <cell r="C99" t="str">
            <v xml:space="preserve">KG    </v>
          </cell>
          <cell r="D99">
            <v>5.14</v>
          </cell>
        </row>
        <row r="100">
          <cell r="A100">
            <v>36</v>
          </cell>
          <cell r="B100" t="str">
            <v>ACO CA-60, 4,2 MM, VERGALHAO</v>
          </cell>
          <cell r="C100" t="str">
            <v xml:space="preserve">KG    </v>
          </cell>
          <cell r="D100">
            <v>4.9000000000000004</v>
          </cell>
        </row>
        <row r="101">
          <cell r="A101">
            <v>34456</v>
          </cell>
          <cell r="B101" t="str">
            <v>ACO CA-60, 5,0 MM, DOBRADO E CORTADO</v>
          </cell>
          <cell r="C101" t="str">
            <v xml:space="preserve">KG    </v>
          </cell>
          <cell r="D101">
            <v>5.14</v>
          </cell>
        </row>
        <row r="102">
          <cell r="A102">
            <v>39</v>
          </cell>
          <cell r="B102" t="str">
            <v>ACO CA-60, 5,0 MM, VERGALHAO</v>
          </cell>
          <cell r="C102" t="str">
            <v xml:space="preserve">KG    </v>
          </cell>
          <cell r="D102">
            <v>4.9000000000000004</v>
          </cell>
        </row>
        <row r="103">
          <cell r="A103">
            <v>34457</v>
          </cell>
          <cell r="B103" t="str">
            <v>ACO CA-60, 6,0 MM, DOBRADO E CORTADO</v>
          </cell>
          <cell r="C103" t="str">
            <v xml:space="preserve">KG    </v>
          </cell>
          <cell r="D103">
            <v>5.51</v>
          </cell>
        </row>
        <row r="104">
          <cell r="A104">
            <v>40</v>
          </cell>
          <cell r="B104" t="str">
            <v>ACO CA-60, 6,0 MM, VERGALHAO</v>
          </cell>
          <cell r="C104" t="str">
            <v xml:space="preserve">KG    </v>
          </cell>
          <cell r="D104">
            <v>5.01</v>
          </cell>
        </row>
        <row r="105">
          <cell r="A105">
            <v>34460</v>
          </cell>
          <cell r="B105" t="str">
            <v>ACO CA-60, 7,0 MM, DOBRADO E CORTADO</v>
          </cell>
          <cell r="C105" t="str">
            <v xml:space="preserve">KG    </v>
          </cell>
          <cell r="D105">
            <v>5.63</v>
          </cell>
        </row>
        <row r="106">
          <cell r="A106">
            <v>42</v>
          </cell>
          <cell r="B106" t="str">
            <v>ACO CA-60, 7,0 MM, VERGALHAO</v>
          </cell>
          <cell r="C106" t="str">
            <v xml:space="preserve">KG    </v>
          </cell>
          <cell r="D106">
            <v>5.08</v>
          </cell>
        </row>
        <row r="107">
          <cell r="A107">
            <v>38</v>
          </cell>
          <cell r="B107" t="str">
            <v>ACO CA-60, 8,0 MM, VERGALHAO</v>
          </cell>
          <cell r="C107" t="str">
            <v xml:space="preserve">KG    </v>
          </cell>
          <cell r="D107">
            <v>5.66</v>
          </cell>
        </row>
        <row r="108">
          <cell r="A108">
            <v>20063</v>
          </cell>
          <cell r="B108" t="str">
            <v>ACOPLAMENTO DE CONDUTOR PLUVIAL, EM PVC, DIAMETRO ENTRE 80 E 100 MM, PARA DRENAGEM PREDIAL</v>
          </cell>
          <cell r="C108" t="str">
            <v xml:space="preserve">UN    </v>
          </cell>
          <cell r="D108">
            <v>3.68</v>
          </cell>
        </row>
        <row r="109">
          <cell r="A109">
            <v>40410</v>
          </cell>
          <cell r="B109" t="str">
            <v>ACOPLAMENTO RIGIDO EM FERRO FUNDIDO PARA SISTEMA DE TUBULACAO RANHURADA, DN 50 MM (2")</v>
          </cell>
          <cell r="C109" t="str">
            <v xml:space="preserve">UN    </v>
          </cell>
          <cell r="D109">
            <v>13.58</v>
          </cell>
        </row>
        <row r="110">
          <cell r="A110">
            <v>40411</v>
          </cell>
          <cell r="B110" t="str">
            <v>ACOPLAMENTO RIGIDO EM FERRO FUNDIDO PARA SISTEMA DE TUBULACAO RANHURADA, DN 65 MM (2 1/2")</v>
          </cell>
          <cell r="C110" t="str">
            <v xml:space="preserve">UN    </v>
          </cell>
          <cell r="D110">
            <v>14.73</v>
          </cell>
        </row>
        <row r="111">
          <cell r="A111">
            <v>40412</v>
          </cell>
          <cell r="B111" t="str">
            <v>ACOPLAMENTO RIGIDO EM FERRO FUNDIDO PARA SISTEMA DE TUBULACAO RANHURADA, DN 80 MM (3")</v>
          </cell>
          <cell r="C111" t="str">
            <v xml:space="preserve">UN    </v>
          </cell>
          <cell r="D111">
            <v>16.54</v>
          </cell>
        </row>
        <row r="112">
          <cell r="A112">
            <v>38838</v>
          </cell>
          <cell r="B112" t="str">
            <v>ADAPTADOR DE COBRE PARA TUBULACAO PEX, DN 16 X 15 MM</v>
          </cell>
          <cell r="C112" t="str">
            <v xml:space="preserve">UN    </v>
          </cell>
          <cell r="D112">
            <v>6.78</v>
          </cell>
        </row>
        <row r="113">
          <cell r="A113">
            <v>38839</v>
          </cell>
          <cell r="B113" t="str">
            <v>ADAPTADOR DE COBRE PARA TUBULACAO PEX, DN 20 X 22 MM</v>
          </cell>
          <cell r="C113" t="str">
            <v xml:space="preserve">UN    </v>
          </cell>
          <cell r="D113">
            <v>7.98</v>
          </cell>
        </row>
        <row r="114">
          <cell r="A114">
            <v>55</v>
          </cell>
          <cell r="B114" t="str">
            <v>ADAPTADOR DE COMPRESSAO EM POLIPROPILENO (PP), PARA TUBO EM PEAD, 20 MM X 1/2", PARA LIGACAO PREDIAL DE AGUA (NTS 179)</v>
          </cell>
          <cell r="C114" t="str">
            <v xml:space="preserve">UN    </v>
          </cell>
          <cell r="D114">
            <v>3</v>
          </cell>
        </row>
        <row r="115">
          <cell r="A115">
            <v>61</v>
          </cell>
          <cell r="B115" t="str">
            <v>ADAPTADOR DE COMPRESSAO EM POLIPROPILENO (PP), PARA TUBO EM PEAD, 20 MM X 3/4", PARA LIGACAO PREDIAL DE AGUA (NTS 179)</v>
          </cell>
          <cell r="C115" t="str">
            <v xml:space="preserve">UN    </v>
          </cell>
          <cell r="D115">
            <v>2.83</v>
          </cell>
        </row>
        <row r="116">
          <cell r="A116">
            <v>62</v>
          </cell>
          <cell r="B116" t="str">
            <v>ADAPTADOR DE COMPRESSAO EM POLIPROPILENO (PP), PARA TUBO EM PEAD, 32 MM X 1", PARA LIGACAO PREDIAL DE AGUA (NTS 179)</v>
          </cell>
          <cell r="C116" t="str">
            <v xml:space="preserve">UN    </v>
          </cell>
          <cell r="D116">
            <v>5.88</v>
          </cell>
        </row>
        <row r="117">
          <cell r="A117">
            <v>77</v>
          </cell>
          <cell r="B117" t="str">
            <v>ADAPTADOR PVC PARA SIFAO METALICO, SOLDAVEL, COM ANEL BORRACHA (JE), 40 MM X 1 1/2"</v>
          </cell>
          <cell r="C117" t="str">
            <v xml:space="preserve">UN    </v>
          </cell>
          <cell r="D117">
            <v>0.76</v>
          </cell>
        </row>
        <row r="118">
          <cell r="A118">
            <v>76</v>
          </cell>
          <cell r="B118" t="str">
            <v>ADAPTADOR PVC PARA SIFAO, ROSCAVEL, 40 MM X 1 1/4"</v>
          </cell>
          <cell r="C118" t="str">
            <v xml:space="preserve">UN    </v>
          </cell>
          <cell r="D118">
            <v>0.77</v>
          </cell>
        </row>
        <row r="119">
          <cell r="A119">
            <v>67</v>
          </cell>
          <cell r="B119" t="str">
            <v>ADAPTADOR PVC ROSCAVEL, COM FLANGES E ANEL DE VEDACAO, 1/2", PARA CAIXA D' AGUA</v>
          </cell>
          <cell r="C119" t="str">
            <v xml:space="preserve">UN    </v>
          </cell>
          <cell r="D119">
            <v>7.49</v>
          </cell>
        </row>
        <row r="120">
          <cell r="A120">
            <v>71</v>
          </cell>
          <cell r="B120" t="str">
            <v>ADAPTADOR PVC ROSCAVEL, COM FLANGES E ANEL DE VEDACAO, 1", PARA CAIXA D' AGUA</v>
          </cell>
          <cell r="C120" t="str">
            <v xml:space="preserve">UN    </v>
          </cell>
          <cell r="D120">
            <v>13.76</v>
          </cell>
        </row>
        <row r="121">
          <cell r="A121">
            <v>73</v>
          </cell>
          <cell r="B121" t="str">
            <v>ADAPTADOR PVC ROSCAVEL, COM FLANGES E ANEL DE VEDACAO, 3/4", PARA CAIXA D' AGUA</v>
          </cell>
          <cell r="C121" t="str">
            <v xml:space="preserve">UN    </v>
          </cell>
          <cell r="D121">
            <v>10.28</v>
          </cell>
        </row>
        <row r="122">
          <cell r="A122">
            <v>103</v>
          </cell>
          <cell r="B122" t="str">
            <v>ADAPTADOR PVC SOLDAVEL CURTO COM BOLSA E ROSCA, 110 MM X 4", PARA AGUA FRIA</v>
          </cell>
          <cell r="C122" t="str">
            <v xml:space="preserve">UN    </v>
          </cell>
          <cell r="D122">
            <v>30.57</v>
          </cell>
        </row>
        <row r="123">
          <cell r="A123">
            <v>107</v>
          </cell>
          <cell r="B123" t="str">
            <v>ADAPTADOR PVC SOLDAVEL CURTO COM BOLSA E ROSCA, 20 MM X 1/2", PARA AGUA FRIA</v>
          </cell>
          <cell r="C123" t="str">
            <v xml:space="preserve">UN    </v>
          </cell>
          <cell r="D123">
            <v>0.48</v>
          </cell>
        </row>
        <row r="124">
          <cell r="A124">
            <v>65</v>
          </cell>
          <cell r="B124" t="str">
            <v>ADAPTADOR PVC SOLDAVEL CURTO COM BOLSA E ROSCA, 25 MM X 3/4", PARA AGUA FRIA</v>
          </cell>
          <cell r="C124" t="str">
            <v xml:space="preserve">UN    </v>
          </cell>
          <cell r="D124">
            <v>0.59</v>
          </cell>
        </row>
        <row r="125">
          <cell r="A125">
            <v>108</v>
          </cell>
          <cell r="B125" t="str">
            <v>ADAPTADOR PVC SOLDAVEL CURTO COM BOLSA E ROSCA, 32 MM X 1", PARA AGUA FRIA</v>
          </cell>
          <cell r="C125" t="str">
            <v xml:space="preserve">UN    </v>
          </cell>
          <cell r="D125">
            <v>1.22</v>
          </cell>
        </row>
        <row r="126">
          <cell r="A126">
            <v>110</v>
          </cell>
          <cell r="B126" t="str">
            <v>ADAPTADOR PVC SOLDAVEL CURTO COM BOLSA E ROSCA, 40 MM X 1 1/2", PARA AGUA FRIA</v>
          </cell>
          <cell r="C126" t="str">
            <v xml:space="preserve">UN    </v>
          </cell>
          <cell r="D126">
            <v>4.72</v>
          </cell>
        </row>
        <row r="127">
          <cell r="A127">
            <v>109</v>
          </cell>
          <cell r="B127" t="str">
            <v>ADAPTADOR PVC SOLDAVEL CURTO COM BOLSA E ROSCA, 40 MM X 1 1/4", PARA AGUA FRIA</v>
          </cell>
          <cell r="C127" t="str">
            <v xml:space="preserve">UN    </v>
          </cell>
          <cell r="D127">
            <v>2.3199999999999998</v>
          </cell>
        </row>
        <row r="128">
          <cell r="A128">
            <v>111</v>
          </cell>
          <cell r="B128" t="str">
            <v>ADAPTADOR PVC SOLDAVEL CURTO COM BOLSA E ROSCA, 50 MM X 1 1/4", PARA AGUA FRIA</v>
          </cell>
          <cell r="C128" t="str">
            <v xml:space="preserve">UN    </v>
          </cell>
          <cell r="D128">
            <v>5.44</v>
          </cell>
        </row>
        <row r="129">
          <cell r="A129">
            <v>112</v>
          </cell>
          <cell r="B129" t="str">
            <v>ADAPTADOR PVC SOLDAVEL CURTO COM BOLSA E ROSCA, 50 MM X1 1/2", PARA AGUA FRIA</v>
          </cell>
          <cell r="C129" t="str">
            <v xml:space="preserve">UN    </v>
          </cell>
          <cell r="D129">
            <v>2.96</v>
          </cell>
        </row>
        <row r="130">
          <cell r="A130">
            <v>113</v>
          </cell>
          <cell r="B130" t="str">
            <v>ADAPTADOR PVC SOLDAVEL CURTO COM BOLSA E ROSCA, 60 MM X 2", PARA AGUA FRIA</v>
          </cell>
          <cell r="C130" t="str">
            <v xml:space="preserve">UN    </v>
          </cell>
          <cell r="D130">
            <v>8.0399999999999991</v>
          </cell>
        </row>
        <row r="131">
          <cell r="A131">
            <v>104</v>
          </cell>
          <cell r="B131" t="str">
            <v>ADAPTADOR PVC SOLDAVEL CURTO COM BOLSA E ROSCA, 75 MM X 2 1/2", PARA AGUA FRIA</v>
          </cell>
          <cell r="C131" t="str">
            <v xml:space="preserve">UN    </v>
          </cell>
          <cell r="D131">
            <v>11.69</v>
          </cell>
        </row>
        <row r="132">
          <cell r="A132">
            <v>102</v>
          </cell>
          <cell r="B132" t="str">
            <v>ADAPTADOR PVC SOLDAVEL CURTO COM BOLSA E ROSCA, 85 MM X 3", PARA AGUA FRIA</v>
          </cell>
          <cell r="C132" t="str">
            <v xml:space="preserve">UN    </v>
          </cell>
          <cell r="D132">
            <v>19.2</v>
          </cell>
        </row>
        <row r="133">
          <cell r="A133">
            <v>95</v>
          </cell>
          <cell r="B133" t="str">
            <v>ADAPTADOR PVC SOLDAVEL, COM FLANGE E ANEL DE VEDACAO, 20 MM X 1/2", PARA CAIXA D'AGUA</v>
          </cell>
          <cell r="C133" t="str">
            <v xml:space="preserve">UN    </v>
          </cell>
          <cell r="D133">
            <v>6.5</v>
          </cell>
        </row>
        <row r="134">
          <cell r="A134">
            <v>96</v>
          </cell>
          <cell r="B134" t="str">
            <v>ADAPTADOR PVC SOLDAVEL, COM FLANGE E ANEL DE VEDACAO, 25 MM X 3/4", PARA CAIXA D'AGUA</v>
          </cell>
          <cell r="C134" t="str">
            <v xml:space="preserve">UN    </v>
          </cell>
          <cell r="D134">
            <v>7.47</v>
          </cell>
        </row>
        <row r="135">
          <cell r="A135">
            <v>97</v>
          </cell>
          <cell r="B135" t="str">
            <v>ADAPTADOR PVC SOLDAVEL, COM FLANGE E ANEL DE VEDACAO, 32 MM X 1", PARA CAIXA D'AGUA</v>
          </cell>
          <cell r="C135" t="str">
            <v xml:space="preserve">UN    </v>
          </cell>
          <cell r="D135">
            <v>9.6999999999999993</v>
          </cell>
        </row>
        <row r="136">
          <cell r="A136">
            <v>98</v>
          </cell>
          <cell r="B136" t="str">
            <v>ADAPTADOR PVC SOLDAVEL, COM FLANGE E ANEL DE VEDACAO, 40 MM X 1 1/4", PARA CAIXA D'AGUA</v>
          </cell>
          <cell r="C136" t="str">
            <v xml:space="preserve">UN    </v>
          </cell>
          <cell r="D136">
            <v>13.08</v>
          </cell>
        </row>
        <row r="137">
          <cell r="A137">
            <v>99</v>
          </cell>
          <cell r="B137" t="str">
            <v>ADAPTADOR PVC SOLDAVEL, COM FLANGE E ANEL DE VEDACAO, 50 MM X 1 1/2", PARA CAIXA D'AGUA</v>
          </cell>
          <cell r="C137" t="str">
            <v xml:space="preserve">UN    </v>
          </cell>
          <cell r="D137">
            <v>15.86</v>
          </cell>
        </row>
        <row r="138">
          <cell r="A138">
            <v>100</v>
          </cell>
          <cell r="B138" t="str">
            <v>ADAPTADOR PVC SOLDAVEL, COM FLANGES E ANEL DE VEDACAO, 60 MM X 2", PARA CAIXA D' AGUA</v>
          </cell>
          <cell r="C138" t="str">
            <v xml:space="preserve">UN    </v>
          </cell>
          <cell r="D138">
            <v>22.13</v>
          </cell>
        </row>
        <row r="139">
          <cell r="A139">
            <v>75</v>
          </cell>
          <cell r="B139" t="str">
            <v>ADAPTADOR PVC SOLDAVEL, COM FLANGES LIVRES, 110 MM X 4", PARA CAIXA D' AGUA</v>
          </cell>
          <cell r="C139" t="str">
            <v xml:space="preserve">UN    </v>
          </cell>
          <cell r="D139">
            <v>230.69</v>
          </cell>
        </row>
        <row r="140">
          <cell r="A140">
            <v>114</v>
          </cell>
          <cell r="B140" t="str">
            <v>ADAPTADOR PVC SOLDAVEL, COM FLANGES LIVRES, 25 MM X 3/4", PARA CAIXA D' AGUA</v>
          </cell>
          <cell r="C140" t="str">
            <v xml:space="preserve">UN    </v>
          </cell>
          <cell r="D140">
            <v>8.4</v>
          </cell>
        </row>
        <row r="141">
          <cell r="A141">
            <v>68</v>
          </cell>
          <cell r="B141" t="str">
            <v>ADAPTADOR PVC SOLDAVEL, COM FLANGES LIVRES, 32 MM X 1", PARA CAIXA D' AGUA</v>
          </cell>
          <cell r="C141" t="str">
            <v xml:space="preserve">UN    </v>
          </cell>
          <cell r="D141">
            <v>12.85</v>
          </cell>
        </row>
        <row r="142">
          <cell r="A142">
            <v>86</v>
          </cell>
          <cell r="B142" t="str">
            <v>ADAPTADOR PVC SOLDAVEL, COM FLANGES LIVRES, 40 MM X 1  1/4", PARA CAIXA D' AGUA</v>
          </cell>
          <cell r="C142" t="str">
            <v xml:space="preserve">UN    </v>
          </cell>
          <cell r="D142">
            <v>23.89</v>
          </cell>
        </row>
        <row r="143">
          <cell r="A143">
            <v>66</v>
          </cell>
          <cell r="B143" t="str">
            <v>ADAPTADOR PVC SOLDAVEL, COM FLANGES LIVRES, 50 MM X 1  1/2", PARA CAIXA D' AGUA</v>
          </cell>
          <cell r="C143" t="str">
            <v xml:space="preserve">UN    </v>
          </cell>
          <cell r="D143">
            <v>23.98</v>
          </cell>
        </row>
        <row r="144">
          <cell r="A144">
            <v>69</v>
          </cell>
          <cell r="B144" t="str">
            <v>ADAPTADOR PVC SOLDAVEL, COM FLANGES LIVRES, 60 MM X 2", PARA CAIXA D' AGUA</v>
          </cell>
          <cell r="C144" t="str">
            <v xml:space="preserve">UN    </v>
          </cell>
          <cell r="D144">
            <v>36.65</v>
          </cell>
        </row>
        <row r="145">
          <cell r="A145">
            <v>83</v>
          </cell>
          <cell r="B145" t="str">
            <v>ADAPTADOR PVC SOLDAVEL, COM FLANGES LIVRES, 75 MM X 2  1/2", PARA CAIXA D' AGUA</v>
          </cell>
          <cell r="C145" t="str">
            <v xml:space="preserve">UN    </v>
          </cell>
          <cell r="D145">
            <v>117.07</v>
          </cell>
        </row>
        <row r="146">
          <cell r="A146">
            <v>74</v>
          </cell>
          <cell r="B146" t="str">
            <v>ADAPTADOR PVC SOLDAVEL, COM FLANGES LIVRES, 85 MM X 3", PARA CAIXA D' AGUA</v>
          </cell>
          <cell r="C146" t="str">
            <v xml:space="preserve">UN    </v>
          </cell>
          <cell r="D146">
            <v>163.44</v>
          </cell>
        </row>
        <row r="147">
          <cell r="A147">
            <v>106</v>
          </cell>
          <cell r="B147" t="str">
            <v>ADAPTADOR PVC SOLDAVEL, LONGO, COM FLANGE LIVRE,  110 MM X 4", PARA CAIXA D' AGUA</v>
          </cell>
          <cell r="C147" t="str">
            <v xml:space="preserve">UN    </v>
          </cell>
          <cell r="D147">
            <v>248.3</v>
          </cell>
        </row>
        <row r="148">
          <cell r="A148">
            <v>87</v>
          </cell>
          <cell r="B148" t="str">
            <v>ADAPTADOR PVC SOLDAVEL, LONGO, COM FLANGE LIVRE,  25 MM X 3/4", PARA CAIXA D' AGUA</v>
          </cell>
          <cell r="C148" t="str">
            <v xml:space="preserve">UN    </v>
          </cell>
          <cell r="D148">
            <v>11.8</v>
          </cell>
        </row>
        <row r="149">
          <cell r="A149">
            <v>88</v>
          </cell>
          <cell r="B149" t="str">
            <v>ADAPTADOR PVC SOLDAVEL, LONGO, COM FLANGE LIVRE,  32 MM X 1", PARA CAIXA D' AGUA</v>
          </cell>
          <cell r="C149" t="str">
            <v xml:space="preserve">UN    </v>
          </cell>
          <cell r="D149">
            <v>13.17</v>
          </cell>
        </row>
        <row r="150">
          <cell r="A150">
            <v>89</v>
          </cell>
          <cell r="B150" t="str">
            <v>ADAPTADOR PVC SOLDAVEL, LONGO, COM FLANGE LIVRE,  40 MM X 1 1/4", PARA CAIXA D' AGUA</v>
          </cell>
          <cell r="C150" t="str">
            <v xml:space="preserve">UN    </v>
          </cell>
          <cell r="D150">
            <v>19.47</v>
          </cell>
        </row>
        <row r="151">
          <cell r="A151">
            <v>90</v>
          </cell>
          <cell r="B151" t="str">
            <v>ADAPTADOR PVC SOLDAVEL, LONGO, COM FLANGE LIVRE,  50 MM X 1 1/2", PARA CAIXA D' AGUA</v>
          </cell>
          <cell r="C151" t="str">
            <v xml:space="preserve">UN    </v>
          </cell>
          <cell r="D151">
            <v>22.31</v>
          </cell>
        </row>
        <row r="152">
          <cell r="A152">
            <v>81</v>
          </cell>
          <cell r="B152" t="str">
            <v>ADAPTADOR PVC SOLDAVEL, LONGO, COM FLANGE LIVRE,  60 MM X 2", PARA CAIXA D' AGUA</v>
          </cell>
          <cell r="C152" t="str">
            <v xml:space="preserve">UN    </v>
          </cell>
          <cell r="D152">
            <v>38.159999999999997</v>
          </cell>
        </row>
        <row r="153">
          <cell r="A153">
            <v>82</v>
          </cell>
          <cell r="B153" t="str">
            <v>ADAPTADOR PVC SOLDAVEL, LONGO, COM FLANGE LIVRE,  75 MM X 2 1/2", PARA CAIXA D' AGUA</v>
          </cell>
          <cell r="C153" t="str">
            <v xml:space="preserve">UN    </v>
          </cell>
          <cell r="D153">
            <v>148.15</v>
          </cell>
        </row>
        <row r="154">
          <cell r="A154">
            <v>105</v>
          </cell>
          <cell r="B154" t="str">
            <v>ADAPTADOR PVC SOLDAVEL, LONGO, COM FLANGE LIVRE,  85 MM X 3", PARA CAIXA D' AGUA</v>
          </cell>
          <cell r="C154" t="str">
            <v xml:space="preserve">UN    </v>
          </cell>
          <cell r="D154">
            <v>173.45</v>
          </cell>
        </row>
        <row r="155">
          <cell r="A155">
            <v>60</v>
          </cell>
          <cell r="B155" t="str">
            <v>ADAPTADOR PVC, COM REGISTRO, PARA PEAD, 20 MM X 3/4", PARA LIGACAO PREDIAL DE AGUA</v>
          </cell>
          <cell r="C155" t="str">
            <v xml:space="preserve">UN    </v>
          </cell>
          <cell r="D155">
            <v>3.89</v>
          </cell>
        </row>
        <row r="156">
          <cell r="A156">
            <v>72</v>
          </cell>
          <cell r="B156" t="str">
            <v>ADAPTADOR PVC, ROSCAVEL, COM FLANGES E ANEL DE VEDACAO, 1 1/2", PARA CAIXA D'AGUA</v>
          </cell>
          <cell r="C156" t="str">
            <v xml:space="preserve">UN    </v>
          </cell>
          <cell r="D156">
            <v>23.33</v>
          </cell>
        </row>
        <row r="157">
          <cell r="A157">
            <v>70</v>
          </cell>
          <cell r="B157" t="str">
            <v>ADAPTADOR PVC, ROSCAVEL, COM FLANGES E ANEL DE VEDACAO, 1 1/4", PARA CAIXA D' AGUA</v>
          </cell>
          <cell r="C157" t="str">
            <v xml:space="preserve">UN    </v>
          </cell>
          <cell r="D157">
            <v>19.510000000000002</v>
          </cell>
        </row>
        <row r="158">
          <cell r="A158">
            <v>85</v>
          </cell>
          <cell r="B158" t="str">
            <v>ADAPTADOR PVC, ROSCAVEL, COM FLANGES E ANEL DE VEDACAO, 2", PARA CAIXA D' AGUA</v>
          </cell>
          <cell r="C158" t="str">
            <v xml:space="preserve">UN    </v>
          </cell>
          <cell r="D158">
            <v>28.31</v>
          </cell>
        </row>
        <row r="159">
          <cell r="A159">
            <v>84</v>
          </cell>
          <cell r="B159" t="str">
            <v>ADAPTADOR PVC, ROSCAVEL, PARA VALVULA PIA OU LAVATORIO, 40 MM</v>
          </cell>
          <cell r="C159" t="str">
            <v xml:space="preserve">UN    </v>
          </cell>
          <cell r="D159">
            <v>0.32</v>
          </cell>
        </row>
        <row r="160">
          <cell r="A160">
            <v>37997</v>
          </cell>
          <cell r="B160" t="str">
            <v>ADAPTADOR, CPVC, SOLDAVEL, 15 MM, PARA AGUA QUENTE</v>
          </cell>
          <cell r="C160" t="str">
            <v xml:space="preserve">UN    </v>
          </cell>
          <cell r="D160">
            <v>7.22</v>
          </cell>
        </row>
        <row r="161">
          <cell r="A161">
            <v>37998</v>
          </cell>
          <cell r="B161" t="str">
            <v>ADAPTADOR, CPVC, SOLDAVEL, 22 MM, PARA AGUA QUENTE</v>
          </cell>
          <cell r="C161" t="str">
            <v xml:space="preserve">UN    </v>
          </cell>
          <cell r="D161">
            <v>7.48</v>
          </cell>
        </row>
        <row r="162">
          <cell r="A162">
            <v>10899</v>
          </cell>
          <cell r="B162" t="str">
            <v>ADAPTADOR, EM LATAO, ENGATE RAPIDO 2 1/2" X ROSCA INTERNA 5 FIOS 2 1/2",  PARA INSTALACAO PREDIAL DE COMBATE A INCENDIO</v>
          </cell>
          <cell r="C162" t="str">
            <v xml:space="preserve">UN    </v>
          </cell>
          <cell r="D162">
            <v>44.68</v>
          </cell>
        </row>
        <row r="163">
          <cell r="A163">
            <v>10900</v>
          </cell>
          <cell r="B163" t="str">
            <v>ADAPTADOR, EM LATAO, ENGATE RAPIDO1 1/2" X ROSCA INTERNA 5 FIOS 2 1/2",  PARA INSTALACAO PREDIAL DE COMBATE A INCENDIO</v>
          </cell>
          <cell r="C163" t="str">
            <v xml:space="preserve">UN    </v>
          </cell>
          <cell r="D163">
            <v>34.97</v>
          </cell>
        </row>
        <row r="164">
          <cell r="A164">
            <v>46</v>
          </cell>
          <cell r="B164" t="str">
            <v>ADAPTADOR, PVC PBA,  BOLSA/ROSCA, JE, DN 75 / DE  85 MM</v>
          </cell>
          <cell r="C164" t="str">
            <v xml:space="preserve">UN    </v>
          </cell>
          <cell r="D164">
            <v>35.380000000000003</v>
          </cell>
        </row>
        <row r="165">
          <cell r="A165">
            <v>51</v>
          </cell>
          <cell r="B165" t="str">
            <v>ADAPTADOR, PVC PBA, A BOLSA DEFOFO, JE, DN 100 / DE 110 MM</v>
          </cell>
          <cell r="C165" t="str">
            <v xml:space="preserve">UN    </v>
          </cell>
          <cell r="D165">
            <v>97.6</v>
          </cell>
        </row>
        <row r="166">
          <cell r="A166">
            <v>12863</v>
          </cell>
          <cell r="B166" t="str">
            <v>ADAPTADOR, PVC PBA, A BOLSA DEFOFO, JE, DN 50 / DE 60 MM</v>
          </cell>
          <cell r="C166" t="str">
            <v xml:space="preserve">UN    </v>
          </cell>
          <cell r="D166">
            <v>22.48</v>
          </cell>
        </row>
        <row r="167">
          <cell r="A167">
            <v>50</v>
          </cell>
          <cell r="B167" t="str">
            <v>ADAPTADOR, PVC PBA, A BOLSA DEFOFO, JE, DN 75 / DE  85 MM</v>
          </cell>
          <cell r="C167" t="str">
            <v xml:space="preserve">UN    </v>
          </cell>
          <cell r="D167">
            <v>50.97</v>
          </cell>
        </row>
        <row r="168">
          <cell r="A168">
            <v>47</v>
          </cell>
          <cell r="B168" t="str">
            <v>ADAPTADOR, PVC PBA, BOLSA/ROSCA, JE, DN 100 / DE 110 MM</v>
          </cell>
          <cell r="C168" t="str">
            <v xml:space="preserve">UN    </v>
          </cell>
          <cell r="D168">
            <v>60.49</v>
          </cell>
        </row>
        <row r="169">
          <cell r="A169">
            <v>48</v>
          </cell>
          <cell r="B169" t="str">
            <v>ADAPTADOR, PVC PBA, BOLSA/ROSCA, JE, DN 50 / DE 60 MM</v>
          </cell>
          <cell r="C169" t="str">
            <v xml:space="preserve">UN    </v>
          </cell>
          <cell r="D169">
            <v>15.78</v>
          </cell>
        </row>
        <row r="170">
          <cell r="A170">
            <v>52</v>
          </cell>
          <cell r="B170" t="str">
            <v>ADAPTADOR, PVC PBA, PONTA/ROSCA, JE, DN 50 / DE  60 MM</v>
          </cell>
          <cell r="C170" t="str">
            <v xml:space="preserve">UN    </v>
          </cell>
          <cell r="D170">
            <v>11.99</v>
          </cell>
        </row>
        <row r="171">
          <cell r="A171">
            <v>43</v>
          </cell>
          <cell r="B171" t="str">
            <v>ADAPTADOR, PVC PBA, PONTA/ROSCA, JE, DN 75 / DE  85 MM</v>
          </cell>
          <cell r="C171" t="str">
            <v xml:space="preserve">UN    </v>
          </cell>
          <cell r="D171">
            <v>40.46</v>
          </cell>
        </row>
        <row r="172">
          <cell r="A172">
            <v>4791</v>
          </cell>
          <cell r="B172" t="str">
            <v>ADESIVO ACRILICO/COLA DE CONTATO</v>
          </cell>
          <cell r="C172" t="str">
            <v xml:space="preserve">KG    </v>
          </cell>
          <cell r="D172">
            <v>12.52</v>
          </cell>
        </row>
        <row r="173">
          <cell r="A173">
            <v>157</v>
          </cell>
          <cell r="B173" t="str">
            <v>ADESIVO ESTRUTURAL A BASE DE RESINA EPOXI PARA INJECAO EM TRINCAS, BICOMPONENTE, BAIXA VISCOSIDADE</v>
          </cell>
          <cell r="C173" t="str">
            <v xml:space="preserve">KG    </v>
          </cell>
          <cell r="D173">
            <v>90.36</v>
          </cell>
        </row>
        <row r="174">
          <cell r="A174">
            <v>156</v>
          </cell>
          <cell r="B174" t="str">
            <v>ADESIVO ESTRUTURAL A BASE DE RESINA EPOXI, BICOMPONENTE, FLUIDO</v>
          </cell>
          <cell r="C174" t="str">
            <v xml:space="preserve">KG    </v>
          </cell>
          <cell r="D174">
            <v>40.33</v>
          </cell>
        </row>
        <row r="175">
          <cell r="A175">
            <v>131</v>
          </cell>
          <cell r="B175" t="str">
            <v>ADESIVO ESTRUTURAL A BASE DE RESINA EPOXI, BICOMPONENTE, PASTOSO (TIXOTROPICO)</v>
          </cell>
          <cell r="C175" t="str">
            <v xml:space="preserve">KG    </v>
          </cell>
          <cell r="D175">
            <v>38.72</v>
          </cell>
        </row>
        <row r="176">
          <cell r="A176">
            <v>39719</v>
          </cell>
          <cell r="B176" t="str">
            <v>ADESIVO LIQUIDO A BASE DE RESINAS PARA COLAGEM DE ESPUMA DE ISOLAMENTO TERMICO FLEXIVEL</v>
          </cell>
          <cell r="C176" t="str">
            <v xml:space="preserve">L     </v>
          </cell>
          <cell r="D176">
            <v>85.17</v>
          </cell>
        </row>
        <row r="177">
          <cell r="A177">
            <v>21114</v>
          </cell>
          <cell r="B177" t="str">
            <v>ADESIVO PARA TUBOS CPVC, *75* G</v>
          </cell>
          <cell r="C177" t="str">
            <v xml:space="preserve">UN    </v>
          </cell>
          <cell r="D177">
            <v>18.25</v>
          </cell>
        </row>
        <row r="178">
          <cell r="A178">
            <v>119</v>
          </cell>
          <cell r="B178" t="str">
            <v>ADESIVO PLASTICO PARA PVC, BISNAGA COM 75 GR</v>
          </cell>
          <cell r="C178" t="str">
            <v xml:space="preserve">UN    </v>
          </cell>
          <cell r="D178">
            <v>7.2</v>
          </cell>
        </row>
        <row r="179">
          <cell r="A179">
            <v>20080</v>
          </cell>
          <cell r="B179" t="str">
            <v>ADESIVO PLASTICO PARA PVC, FRASCO COM 175 GR</v>
          </cell>
          <cell r="C179" t="str">
            <v xml:space="preserve">UN    </v>
          </cell>
          <cell r="D179">
            <v>20.64</v>
          </cell>
        </row>
        <row r="180">
          <cell r="A180">
            <v>122</v>
          </cell>
          <cell r="B180" t="str">
            <v>ADESIVO PLASTICO PARA PVC, FRASCO COM 850 GR</v>
          </cell>
          <cell r="C180" t="str">
            <v xml:space="preserve">UN    </v>
          </cell>
          <cell r="D180">
            <v>65.040000000000006</v>
          </cell>
        </row>
        <row r="181">
          <cell r="A181">
            <v>3410</v>
          </cell>
          <cell r="B181" t="str">
            <v>ADESIVO/COLA PARA EPS (ISOPOR) E OUTROS MATERIAIS</v>
          </cell>
          <cell r="C181" t="str">
            <v xml:space="preserve">KG    </v>
          </cell>
          <cell r="D181">
            <v>23.43</v>
          </cell>
        </row>
        <row r="182">
          <cell r="A182">
            <v>124</v>
          </cell>
          <cell r="B182" t="str">
            <v>ADITIVO ACELERADOR DE PEGA E ENDURECIMENTO PARA ARGAMASSAS E CONCRETOS</v>
          </cell>
          <cell r="C182" t="str">
            <v xml:space="preserve">L     </v>
          </cell>
          <cell r="D182">
            <v>10.06</v>
          </cell>
        </row>
        <row r="183">
          <cell r="A183">
            <v>7334</v>
          </cell>
          <cell r="B183" t="str">
            <v>ADITIVO ADESIVO LIQUIDO PARA ARGAMASSAS DE REVESTIMENTOS CIMENTICIOS</v>
          </cell>
          <cell r="C183" t="str">
            <v xml:space="preserve">L     </v>
          </cell>
          <cell r="D183">
            <v>8.7899999999999991</v>
          </cell>
        </row>
        <row r="184">
          <cell r="A184">
            <v>123</v>
          </cell>
          <cell r="B184" t="str">
            <v>ADITIVO IMPERMEABILIZANTE DE PEGA NORMAL PARA ARGAMASSAS E CONCRETOS SEM ARMACAO</v>
          </cell>
          <cell r="C184" t="str">
            <v xml:space="preserve">L     </v>
          </cell>
          <cell r="D184">
            <v>4.47</v>
          </cell>
        </row>
        <row r="185">
          <cell r="A185">
            <v>127</v>
          </cell>
          <cell r="B185" t="str">
            <v>ADITIVO IMPERMEABILIZANTE DE PEGA ULTRARRAPIDA</v>
          </cell>
          <cell r="C185" t="str">
            <v xml:space="preserve">L     </v>
          </cell>
          <cell r="D185">
            <v>10.5</v>
          </cell>
        </row>
        <row r="186">
          <cell r="A186">
            <v>133</v>
          </cell>
          <cell r="B186" t="str">
            <v>ADITIVO LIQUIDO INCORPORADOR DE AR PARA CONCRETO E ARGAMASSA</v>
          </cell>
          <cell r="C186" t="str">
            <v xml:space="preserve">L     </v>
          </cell>
          <cell r="D186">
            <v>4.5</v>
          </cell>
        </row>
        <row r="187">
          <cell r="A187">
            <v>37538</v>
          </cell>
          <cell r="B187" t="str">
            <v>ADITIVO PLASTIFICANTE E ESTABILIZADOR PARA ARGAMASSAS DE ASSENTAMENTO E REBOCO</v>
          </cell>
          <cell r="C187" t="str">
            <v xml:space="preserve">18L   </v>
          </cell>
          <cell r="D187">
            <v>111.91</v>
          </cell>
        </row>
        <row r="188">
          <cell r="A188">
            <v>132</v>
          </cell>
          <cell r="B188" t="str">
            <v>ADITIVO PLASTIFICANTE RETARDADOR DE PEGA E REDUTOR DE AGUA PARA CONCRETO</v>
          </cell>
          <cell r="C188" t="str">
            <v xml:space="preserve">L     </v>
          </cell>
          <cell r="D188">
            <v>4.96</v>
          </cell>
        </row>
        <row r="189">
          <cell r="A189">
            <v>13408</v>
          </cell>
          <cell r="B189" t="str">
            <v>ADITIVO SUPERPLASTIFICANTE DE PEGA NORMAL PARA CONCRETO (TAMBOR 200 KG)</v>
          </cell>
          <cell r="C189" t="str">
            <v xml:space="preserve">200KG </v>
          </cell>
          <cell r="D189">
            <v>1763.04</v>
          </cell>
        </row>
        <row r="190">
          <cell r="A190">
            <v>37476</v>
          </cell>
          <cell r="B190" t="str">
            <v>ADUELA/GALERIA DE CONCRETO ARMADO, SECAO RETANGULAR 1.50 X 1.50 M (L X A), C = 1.00 M, E = 20 CM</v>
          </cell>
          <cell r="C190" t="str">
            <v xml:space="preserve">UN    </v>
          </cell>
          <cell r="D190">
            <v>1883.72</v>
          </cell>
        </row>
        <row r="191">
          <cell r="A191">
            <v>37478</v>
          </cell>
          <cell r="B191" t="str">
            <v>ADUELA/GALERIA DE CONCRETO ARMADO, SECAO RETANGULAR 2.00 X 2.00 M (L X A), C = 1.00 M, E = 20 CM</v>
          </cell>
          <cell r="C191" t="str">
            <v xml:space="preserve">UN    </v>
          </cell>
          <cell r="D191">
            <v>2664.97</v>
          </cell>
        </row>
        <row r="192">
          <cell r="A192">
            <v>37477</v>
          </cell>
          <cell r="B192" t="str">
            <v>ADUELA/GALERIA DE CONCRETO ARMADO, SECAO RETANGULAR 2.50 X 2.50 M (L X A), C = 1.00 M, E = 20 CM</v>
          </cell>
          <cell r="C192" t="str">
            <v xml:space="preserve">UN    </v>
          </cell>
          <cell r="D192">
            <v>3260.98</v>
          </cell>
        </row>
        <row r="193">
          <cell r="A193">
            <v>37479</v>
          </cell>
          <cell r="B193" t="str">
            <v>ADUELA/GALERIA DE CONCRETO ARMADO, SECAO RETANGULAR 3.00 X 3.00 M (L X A), C = 1.00 M, E = 20 CM</v>
          </cell>
          <cell r="C193" t="str">
            <v xml:space="preserve">UN    </v>
          </cell>
          <cell r="D193">
            <v>4077.48</v>
          </cell>
        </row>
        <row r="194">
          <cell r="A194">
            <v>4319</v>
          </cell>
          <cell r="B194" t="str">
            <v>AFASTADOR PARA TELHA DE FIBROCIMENTO CANALETE 90 OU KALHETAO</v>
          </cell>
          <cell r="C194" t="str">
            <v xml:space="preserve">UN    </v>
          </cell>
          <cell r="D194">
            <v>1.05</v>
          </cell>
        </row>
        <row r="195">
          <cell r="A195">
            <v>43064</v>
          </cell>
          <cell r="B195" t="str">
            <v>AGENTE DE CURA, PROTETOR DA EVAPORACAO DA AGUA DE HIDRATACAO DO CONCRETO (COLETADO CAIXA)</v>
          </cell>
          <cell r="C195" t="str">
            <v xml:space="preserve">KG    </v>
          </cell>
          <cell r="D195">
            <v>6.42</v>
          </cell>
        </row>
        <row r="196">
          <cell r="A196">
            <v>40553</v>
          </cell>
          <cell r="B196" t="str">
            <v>AGREGADO RECICLADO, TIPO RACHAO RECICLADO CINZA, CLASSE A</v>
          </cell>
          <cell r="C196" t="str">
            <v xml:space="preserve">M3    </v>
          </cell>
          <cell r="D196">
            <v>32.08</v>
          </cell>
        </row>
        <row r="197">
          <cell r="A197">
            <v>13003</v>
          </cell>
          <cell r="B197" t="str">
            <v>AGUA SANITARIA</v>
          </cell>
          <cell r="C197" t="str">
            <v xml:space="preserve">L     </v>
          </cell>
          <cell r="D197">
            <v>2.3199999999999998</v>
          </cell>
        </row>
        <row r="198">
          <cell r="A198">
            <v>6114</v>
          </cell>
          <cell r="B198" t="str">
            <v>AJUDANTE DE ARMADOR</v>
          </cell>
          <cell r="C198" t="str">
            <v xml:space="preserve">H     </v>
          </cell>
          <cell r="D198">
            <v>10.43</v>
          </cell>
        </row>
        <row r="199">
          <cell r="A199">
            <v>40912</v>
          </cell>
          <cell r="B199" t="str">
            <v>AJUDANTE DE ARMADOR (MENSALISTA)</v>
          </cell>
          <cell r="C199" t="str">
            <v xml:space="preserve">MES   </v>
          </cell>
          <cell r="D199">
            <v>1850.32</v>
          </cell>
        </row>
        <row r="200">
          <cell r="A200">
            <v>247</v>
          </cell>
          <cell r="B200" t="str">
            <v>AJUDANTE DE ELETRICISTA</v>
          </cell>
          <cell r="C200" t="str">
            <v xml:space="preserve">H     </v>
          </cell>
          <cell r="D200">
            <v>10.89</v>
          </cell>
        </row>
        <row r="201">
          <cell r="A201">
            <v>40919</v>
          </cell>
          <cell r="B201" t="str">
            <v>AJUDANTE DE ELETRICISTA (MENSALISTA)</v>
          </cell>
          <cell r="C201" t="str">
            <v xml:space="preserve">MES   </v>
          </cell>
          <cell r="D201">
            <v>1930.32</v>
          </cell>
        </row>
        <row r="202">
          <cell r="A202">
            <v>25958</v>
          </cell>
          <cell r="B202" t="str">
            <v>AJUDANTE DE ESTRUTURAS METALICAS</v>
          </cell>
          <cell r="C202" t="str">
            <v xml:space="preserve">H     </v>
          </cell>
          <cell r="D202">
            <v>7.74</v>
          </cell>
        </row>
        <row r="203">
          <cell r="A203">
            <v>40984</v>
          </cell>
          <cell r="B203" t="str">
            <v>AJUDANTE DE ESTRUTURAS METALICAS (MENSALISTA)</v>
          </cell>
          <cell r="C203" t="str">
            <v xml:space="preserve">MES   </v>
          </cell>
          <cell r="D203">
            <v>1370.76</v>
          </cell>
        </row>
        <row r="204">
          <cell r="A204">
            <v>248</v>
          </cell>
          <cell r="B204" t="str">
            <v>AJUDANTE DE OPERACAO EM GERAL</v>
          </cell>
          <cell r="C204" t="str">
            <v xml:space="preserve">H     </v>
          </cell>
          <cell r="D204">
            <v>10.8</v>
          </cell>
        </row>
        <row r="205">
          <cell r="A205">
            <v>41086</v>
          </cell>
          <cell r="B205" t="str">
            <v>AJUDANTE DE OPERACAO EM GERAL (MENSALISTA)</v>
          </cell>
          <cell r="C205" t="str">
            <v xml:space="preserve">MES   </v>
          </cell>
          <cell r="D205">
            <v>1914.64</v>
          </cell>
        </row>
        <row r="206">
          <cell r="A206">
            <v>34466</v>
          </cell>
          <cell r="B206" t="str">
            <v>AJUDANTE DE PINTOR</v>
          </cell>
          <cell r="C206" t="str">
            <v xml:space="preserve">H     </v>
          </cell>
          <cell r="D206">
            <v>10.8</v>
          </cell>
        </row>
        <row r="207">
          <cell r="A207">
            <v>41083</v>
          </cell>
          <cell r="B207" t="str">
            <v>AJUDANTE DE PINTOR (MENSALISTA)</v>
          </cell>
          <cell r="C207" t="str">
            <v xml:space="preserve">MES   </v>
          </cell>
          <cell r="D207">
            <v>1914.64</v>
          </cell>
        </row>
        <row r="208">
          <cell r="A208">
            <v>252</v>
          </cell>
          <cell r="B208" t="str">
            <v>AJUDANTE DE SERRALHEIRO</v>
          </cell>
          <cell r="C208" t="str">
            <v xml:space="preserve">H     </v>
          </cell>
          <cell r="D208">
            <v>11.21</v>
          </cell>
        </row>
        <row r="209">
          <cell r="A209">
            <v>40909</v>
          </cell>
          <cell r="B209" t="str">
            <v>AJUDANTE DE SERRALHEIRO (MENSALISTA)</v>
          </cell>
          <cell r="C209" t="str">
            <v xml:space="preserve">MES   </v>
          </cell>
          <cell r="D209">
            <v>1984.64</v>
          </cell>
        </row>
        <row r="210">
          <cell r="A210">
            <v>242</v>
          </cell>
          <cell r="B210" t="str">
            <v>AJUDANTE ESPECIALIZADO</v>
          </cell>
          <cell r="C210" t="str">
            <v xml:space="preserve">H     </v>
          </cell>
          <cell r="D210">
            <v>14.45</v>
          </cell>
        </row>
        <row r="211">
          <cell r="A211">
            <v>41085</v>
          </cell>
          <cell r="B211" t="str">
            <v>AJUDANTE ESPECIALIZADO (MENSALISTA)</v>
          </cell>
          <cell r="C211" t="str">
            <v xml:space="preserve">MES   </v>
          </cell>
          <cell r="D211">
            <v>2560.89</v>
          </cell>
        </row>
        <row r="212">
          <cell r="A212">
            <v>427</v>
          </cell>
          <cell r="B212" t="str">
            <v>ALCA PREFORMADA DE CONTRA POSTE, EM ACO GALVANIZADO, PARA CABO 3/16", COMPRIMENTO *860* MM</v>
          </cell>
          <cell r="C212" t="str">
            <v xml:space="preserve">UN    </v>
          </cell>
          <cell r="D212">
            <v>4.76</v>
          </cell>
        </row>
        <row r="213">
          <cell r="A213">
            <v>417</v>
          </cell>
          <cell r="B213" t="str">
            <v>ALCA PREFORMADA DE DISTRIBUICAO, EM ACO GALVANIZADO, PARA CABO DE ALUMINIO DIAMETRO 16 A 25 MM</v>
          </cell>
          <cell r="C213" t="str">
            <v xml:space="preserve">UN    </v>
          </cell>
          <cell r="D213">
            <v>2.2400000000000002</v>
          </cell>
        </row>
        <row r="214">
          <cell r="A214">
            <v>11273</v>
          </cell>
          <cell r="B214" t="str">
            <v>ALCA PREFORMADA DE DISTRIBUICAO, EM ACO GALVANIZADO, PARA CONDUTORES DE ALUMINIO AWG 1/0 (CAA 6/1 OU CA 7 FIOS)</v>
          </cell>
          <cell r="C214" t="str">
            <v xml:space="preserve">UN    </v>
          </cell>
          <cell r="D214">
            <v>6.96</v>
          </cell>
        </row>
        <row r="215">
          <cell r="A215">
            <v>11272</v>
          </cell>
          <cell r="B215" t="str">
            <v>ALCA PREFORMADA DE DISTRIBUICAO, EM ACO GALVANIZADO, PARA CONDUTORES DE ALUMINIO AWG 2 (CAA 6/1 OU CA 7 FIOS)</v>
          </cell>
          <cell r="C215" t="str">
            <v xml:space="preserve">UN    </v>
          </cell>
          <cell r="D215">
            <v>4.2</v>
          </cell>
        </row>
        <row r="216">
          <cell r="A216">
            <v>11275</v>
          </cell>
          <cell r="B216" t="str">
            <v>ALCA PREFORMADA DE SERVICO, EM ACO GALVANIZADO, PARA CONDUTORES DE ALUMINIO AWG 4 (CAA 6/1)</v>
          </cell>
          <cell r="C216" t="str">
            <v xml:space="preserve">UN    </v>
          </cell>
          <cell r="D216">
            <v>1.68</v>
          </cell>
        </row>
        <row r="217">
          <cell r="A217">
            <v>11274</v>
          </cell>
          <cell r="B217" t="str">
            <v>ALCA PREFORMADA DE SERVICO, EM ACO GALVANIZADO, PARA CONDUTORES DE ALUMINIO AWG 6 (CAA 6/1)</v>
          </cell>
          <cell r="C217" t="str">
            <v xml:space="preserve">UN    </v>
          </cell>
          <cell r="D217">
            <v>1.28</v>
          </cell>
        </row>
        <row r="218">
          <cell r="A218">
            <v>38470</v>
          </cell>
          <cell r="B218" t="str">
            <v>ALICATE DE CORTE DIAGONAL 6 " COM ISOLAMENTO</v>
          </cell>
          <cell r="C218" t="str">
            <v xml:space="preserve">UN    </v>
          </cell>
          <cell r="D218">
            <v>41.25</v>
          </cell>
        </row>
        <row r="219">
          <cell r="A219">
            <v>38547</v>
          </cell>
          <cell r="B219" t="str">
            <v>ALICATE DE CRIMPAR RJ11, RJ12 E RJ45</v>
          </cell>
          <cell r="C219" t="str">
            <v xml:space="preserve">UN    </v>
          </cell>
          <cell r="D219">
            <v>112.56</v>
          </cell>
        </row>
        <row r="220">
          <cell r="A220">
            <v>38469</v>
          </cell>
          <cell r="B220" t="str">
            <v>ALICATE DE PRESSAO PARA SOLDA DE CHAPA 18 "</v>
          </cell>
          <cell r="C220" t="str">
            <v xml:space="preserve">UN    </v>
          </cell>
          <cell r="D220">
            <v>121.03</v>
          </cell>
        </row>
        <row r="221">
          <cell r="A221">
            <v>38467</v>
          </cell>
          <cell r="B221" t="str">
            <v>ALICATE DE PRESSAO 11 " PARA SOLDA, TIPO C</v>
          </cell>
          <cell r="C221" t="str">
            <v xml:space="preserve">UN    </v>
          </cell>
          <cell r="D221">
            <v>68.099999999999994</v>
          </cell>
        </row>
        <row r="222">
          <cell r="A222">
            <v>38468</v>
          </cell>
          <cell r="B222" t="str">
            <v>ALICATE DE PRESSAO 11 " PARA SOLDA, TIPO U</v>
          </cell>
          <cell r="C222" t="str">
            <v xml:space="preserve">UN    </v>
          </cell>
          <cell r="D222">
            <v>74.94</v>
          </cell>
        </row>
        <row r="223">
          <cell r="A223">
            <v>38471</v>
          </cell>
          <cell r="B223" t="str">
            <v>ALICATE PARA ANEIS DE PISTAO, CAPACIDADE 50 A 100 MM</v>
          </cell>
          <cell r="C223" t="str">
            <v xml:space="preserve">UN    </v>
          </cell>
          <cell r="D223">
            <v>97.32</v>
          </cell>
        </row>
        <row r="224">
          <cell r="A224">
            <v>37370</v>
          </cell>
          <cell r="B224" t="str">
            <v>ALIMENTACAO - HORISTA (COLETADO CAIXA)</v>
          </cell>
          <cell r="C224" t="str">
            <v xml:space="preserve">H     </v>
          </cell>
          <cell r="D224">
            <v>2.5299999999999998</v>
          </cell>
        </row>
        <row r="225">
          <cell r="A225">
            <v>40862</v>
          </cell>
          <cell r="B225" t="str">
            <v>ALIMENTACAO - MENSALISTA (COLETADO CAIXA)</v>
          </cell>
          <cell r="C225" t="str">
            <v xml:space="preserve">MES   </v>
          </cell>
          <cell r="D225">
            <v>477.21</v>
          </cell>
        </row>
        <row r="226">
          <cell r="A226">
            <v>10658</v>
          </cell>
          <cell r="B226" t="str">
            <v>ALISADORA DE CONCRETO COM MOTOR A GASOLINA DE 5,5 HP, PESO COM MOTOR DE 78 KG, 4 PAS</v>
          </cell>
          <cell r="C226" t="str">
            <v xml:space="preserve">UN    </v>
          </cell>
          <cell r="D226">
            <v>6100</v>
          </cell>
        </row>
        <row r="227">
          <cell r="A227">
            <v>253</v>
          </cell>
          <cell r="B227" t="str">
            <v>ALMOXARIFE</v>
          </cell>
          <cell r="C227" t="str">
            <v xml:space="preserve">H     </v>
          </cell>
          <cell r="D227">
            <v>14.99</v>
          </cell>
        </row>
        <row r="228">
          <cell r="A228">
            <v>40809</v>
          </cell>
          <cell r="B228" t="str">
            <v>ALMOXARIFE (MENSALISTA)</v>
          </cell>
          <cell r="C228" t="str">
            <v xml:space="preserve">MES   </v>
          </cell>
          <cell r="D228">
            <v>2652.5</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27.6</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94.21</v>
          </cell>
        </row>
        <row r="263">
          <cell r="A263">
            <v>13113</v>
          </cell>
          <cell r="B263" t="str">
            <v>ANEL DE CONCRETO ARMADO, D = 0,60 M, H = 0,10 M</v>
          </cell>
          <cell r="C263" t="str">
            <v xml:space="preserve">UN    </v>
          </cell>
          <cell r="D263">
            <v>38.61</v>
          </cell>
        </row>
        <row r="264">
          <cell r="A264">
            <v>13114</v>
          </cell>
          <cell r="B264" t="str">
            <v>ANEL DE CONCRETO ARMADO, D = 0,60 M, H = 0,15 M</v>
          </cell>
          <cell r="C264" t="str">
            <v xml:space="preserve">UN    </v>
          </cell>
          <cell r="D264">
            <v>47</v>
          </cell>
        </row>
        <row r="265">
          <cell r="A265">
            <v>12530</v>
          </cell>
          <cell r="B265" t="str">
            <v>ANEL DE CONCRETO ARMADO, D = 0,60 M, H = 0,30 M</v>
          </cell>
          <cell r="C265" t="str">
            <v xml:space="preserve">UN    </v>
          </cell>
          <cell r="D265">
            <v>57.27</v>
          </cell>
        </row>
        <row r="266">
          <cell r="A266">
            <v>12531</v>
          </cell>
          <cell r="B266" t="str">
            <v>ANEL DE CONCRETO ARMADO, D = 0,60 M, H = 0,40 M</v>
          </cell>
          <cell r="C266" t="str">
            <v xml:space="preserve">UN    </v>
          </cell>
          <cell r="D266">
            <v>64.06</v>
          </cell>
        </row>
        <row r="267">
          <cell r="A267">
            <v>12532</v>
          </cell>
          <cell r="B267" t="str">
            <v>ANEL DE CONCRETO ARMADO, D = 0,60 M, H = 0,50 M</v>
          </cell>
          <cell r="C267" t="str">
            <v xml:space="preserve">UN    </v>
          </cell>
          <cell r="D267">
            <v>78.34</v>
          </cell>
        </row>
        <row r="268">
          <cell r="A268">
            <v>12533</v>
          </cell>
          <cell r="B268" t="str">
            <v>ANEL DE CONCRETO ARMADO, D = 0,80 M, H = 0,30 M</v>
          </cell>
          <cell r="C268" t="str">
            <v xml:space="preserve">UN    </v>
          </cell>
          <cell r="D268">
            <v>93.45</v>
          </cell>
        </row>
        <row r="269">
          <cell r="A269">
            <v>12544</v>
          </cell>
          <cell r="B269" t="str">
            <v>ANEL DE CONCRETO ARMADO, D = 0,80 M, H = 0,50 M</v>
          </cell>
          <cell r="C269" t="str">
            <v xml:space="preserve">UN    </v>
          </cell>
          <cell r="D269">
            <v>114.16</v>
          </cell>
        </row>
        <row r="270">
          <cell r="A270">
            <v>12546</v>
          </cell>
          <cell r="B270" t="str">
            <v>ANEL DE CONCRETO ARMADO, D = 1,00 M, H = 0,40 M</v>
          </cell>
          <cell r="C270" t="str">
            <v xml:space="preserve">UN    </v>
          </cell>
          <cell r="D270">
            <v>118.17</v>
          </cell>
        </row>
        <row r="271">
          <cell r="A271">
            <v>12547</v>
          </cell>
          <cell r="B271" t="str">
            <v>ANEL DE CONCRETO ARMADO, D = 1,00 M, H = 0,50 M</v>
          </cell>
          <cell r="C271" t="str">
            <v xml:space="preserve">UN    </v>
          </cell>
          <cell r="D271">
            <v>137.41999999999999</v>
          </cell>
        </row>
        <row r="272">
          <cell r="A272">
            <v>12551</v>
          </cell>
          <cell r="B272" t="str">
            <v>ANEL DE CONCRETO ARMADO, D = 1,20 M, H = 0,50 M</v>
          </cell>
          <cell r="C272" t="str">
            <v xml:space="preserve">UN    </v>
          </cell>
          <cell r="D272">
            <v>149.63999999999999</v>
          </cell>
        </row>
        <row r="273">
          <cell r="A273">
            <v>12563</v>
          </cell>
          <cell r="B273" t="str">
            <v>ANEL DE CONCRETO ARMADO, D = 1,50 M, H = 0,50 M</v>
          </cell>
          <cell r="C273" t="str">
            <v xml:space="preserve">UN    </v>
          </cell>
          <cell r="D273">
            <v>235.04</v>
          </cell>
        </row>
        <row r="274">
          <cell r="A274">
            <v>12565</v>
          </cell>
          <cell r="B274" t="str">
            <v>ANEL DE CONCRETO ARMADO, D = 2,00 M, H = 0,50 M</v>
          </cell>
          <cell r="C274" t="str">
            <v xml:space="preserve">UN    </v>
          </cell>
          <cell r="D274">
            <v>369.87</v>
          </cell>
        </row>
        <row r="275">
          <cell r="A275">
            <v>12567</v>
          </cell>
          <cell r="B275" t="str">
            <v>ANEL DE CONCRETO ARMADO, D = 2,50 M, H = 0,50 M</v>
          </cell>
          <cell r="C275" t="str">
            <v xml:space="preserve">UN    </v>
          </cell>
          <cell r="D275">
            <v>481.28</v>
          </cell>
        </row>
        <row r="276">
          <cell r="A276">
            <v>12568</v>
          </cell>
          <cell r="B276" t="str">
            <v>ANEL DE CONCRETO ARMADO, D = 3,00 M, H = 0,50 M</v>
          </cell>
          <cell r="C276" t="str">
            <v xml:space="preserve">UN    </v>
          </cell>
          <cell r="D276">
            <v>794.67</v>
          </cell>
        </row>
        <row r="277">
          <cell r="A277">
            <v>11789</v>
          </cell>
          <cell r="B277" t="str">
            <v>ANEL DE DISTRIBUICAO EM ACO GALVANIZADO PARA FIO FE-160</v>
          </cell>
          <cell r="C277" t="str">
            <v xml:space="preserve">UN    </v>
          </cell>
          <cell r="D277">
            <v>0.63</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3915.2</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1754.94</v>
          </cell>
        </row>
        <row r="297">
          <cell r="A297">
            <v>6122</v>
          </cell>
          <cell r="B297" t="str">
            <v>APONTADOR OU APROPRIADOR</v>
          </cell>
          <cell r="C297" t="str">
            <v xml:space="preserve">H     </v>
          </cell>
          <cell r="D297">
            <v>14.4</v>
          </cell>
        </row>
        <row r="298">
          <cell r="A298">
            <v>40810</v>
          </cell>
          <cell r="B298" t="str">
            <v>APONTADOR OU APROPRIADOR DE MAO DE OBRA (MENSALISTA)</v>
          </cell>
          <cell r="C298" t="str">
            <v xml:space="preserve">MES   </v>
          </cell>
          <cell r="D298">
            <v>2552.15</v>
          </cell>
        </row>
        <row r="299">
          <cell r="A299">
            <v>21100</v>
          </cell>
          <cell r="B299" t="str">
            <v>AQUECEDOR DE AGUA A GAS GLP/GN COM CAPACIDADE DE ARMAZENAMENTO DE 50 A 80 L</v>
          </cell>
          <cell r="C299" t="str">
            <v xml:space="preserve">UN    </v>
          </cell>
          <cell r="D299">
            <v>2378.8000000000002</v>
          </cell>
        </row>
        <row r="300">
          <cell r="A300">
            <v>11816</v>
          </cell>
          <cell r="B300" t="str">
            <v>AQUECEDOR DE AGUA ELETRICO  RESERVATORIO DE 100 L CILINDRICO EM COBRE, REFORCADO COM ACO CARBONO, MONOFASICO, TENSAO NOMINAL 220 V</v>
          </cell>
          <cell r="C300" t="str">
            <v xml:space="preserve">UN    </v>
          </cell>
          <cell r="D300">
            <v>2536.5</v>
          </cell>
        </row>
        <row r="301">
          <cell r="A301">
            <v>11814</v>
          </cell>
          <cell r="B301" t="str">
            <v>AQUECEDOR DE AGUA ELETRICO  RESERVATORIO DE 500 L CILINDRICO EM COBRE, REFORCADO COM ACO CARBONO, MONOFASICO, TENSAO NOMINAL 220 V</v>
          </cell>
          <cell r="C301" t="str">
            <v xml:space="preserve">UN    </v>
          </cell>
          <cell r="D301">
            <v>5521.32</v>
          </cell>
        </row>
        <row r="302">
          <cell r="A302">
            <v>14186</v>
          </cell>
          <cell r="B302" t="str">
            <v>AQUECEDOR DE AGUA ELETRICO  RESERVATORIO DE 500 L CILINDRICO EM COBRE, REFORCADO COM ACO CARBONO, TRIFASICO, TENSAO NOMINAL 220/380/400 V, POTENCIA 24 KW</v>
          </cell>
          <cell r="C302" t="str">
            <v xml:space="preserve">UN    </v>
          </cell>
          <cell r="D302">
            <v>6932.76</v>
          </cell>
        </row>
        <row r="303">
          <cell r="A303">
            <v>14185</v>
          </cell>
          <cell r="B303" t="str">
            <v>AQUECEDOR DE AGUA ELETRICO  RESERVATORIO DE 700 L CILINDRICO EM COBRE, REFORCADO COM ACO CARBONO, MONOFASICO, TENSAO NOMINAL 220 V</v>
          </cell>
          <cell r="C303" t="str">
            <v xml:space="preserve">UN    </v>
          </cell>
          <cell r="D303">
            <v>8980.6299999999992</v>
          </cell>
        </row>
        <row r="304">
          <cell r="A304">
            <v>11811</v>
          </cell>
          <cell r="B304" t="str">
            <v>AQUECEDOR DE AGUA ELETRICO HORIZONTAL, RESERVATORIO DE 200 L CILINDRICO EM COBRE, REFORCADO COM ACO CARBONO, MONOFASICO, TENSAO NOMINAL 220 V</v>
          </cell>
          <cell r="C304" t="str">
            <v xml:space="preserve">UN    </v>
          </cell>
          <cell r="D304">
            <v>3433.85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4202.34</v>
          </cell>
        </row>
        <row r="307">
          <cell r="A307">
            <v>34469</v>
          </cell>
          <cell r="B307" t="str">
            <v>AQUECEDOR SOLAR CAPACIDADE DO RESERVATORIO 1000 L, INCLUI 10 PLACAS COLETORAS DE 1,42 M2</v>
          </cell>
          <cell r="C307" t="str">
            <v xml:space="preserve">UN    </v>
          </cell>
          <cell r="D307">
            <v>6500.5</v>
          </cell>
        </row>
        <row r="308">
          <cell r="A308">
            <v>34472</v>
          </cell>
          <cell r="B308" t="str">
            <v>AQUECEDOR SOLAR CAPACIDADE DO RESERVATORIO 200 L, INCLUI 2 PLACAS COLETORAS DE 1,42 M2</v>
          </cell>
          <cell r="C308" t="str">
            <v xml:space="preserve">UN    </v>
          </cell>
          <cell r="D308">
            <v>2000</v>
          </cell>
        </row>
        <row r="309">
          <cell r="A309">
            <v>34476</v>
          </cell>
          <cell r="B309" t="str">
            <v>AQUECEDOR SOLAR CAPACIDADE DO RESERVATORIO 400L, INCLUI 4 PLACAS COLETORAS DE 1,42 M2</v>
          </cell>
          <cell r="C309" t="str">
            <v xml:space="preserve">UN    </v>
          </cell>
          <cell r="D309">
            <v>3390.28</v>
          </cell>
        </row>
        <row r="310">
          <cell r="A310">
            <v>34477</v>
          </cell>
          <cell r="B310" t="str">
            <v>AQUECEDOR SOLAR CAPACIDADE DO RESERVATORIO 600 L, INCLUI 6 PLACAS COLETORAS DE 1,42 M2</v>
          </cell>
          <cell r="C310" t="str">
            <v xml:space="preserve">UN    </v>
          </cell>
          <cell r="D310">
            <v>4499.5600000000004</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42424</v>
          </cell>
          <cell r="B313" t="str">
            <v>AR CONDICIONADO SPLIT INVERTER, HI-WALL (PAREDE), 9000 BTU/H, CICLO FRIO, 60HZ, CLASSIFICACAO A (SELO PROCEL), GAS HFC, CONTROLE S/FIO</v>
          </cell>
          <cell r="C313" t="str">
            <v xml:space="preserve">UN    </v>
          </cell>
          <cell r="D313">
            <v>1636.33</v>
          </cell>
        </row>
        <row r="314">
          <cell r="A314">
            <v>42416</v>
          </cell>
          <cell r="B314" t="str">
            <v>AR CONDICIONADO SPLIT INVERTER, PISO TETO, 18000 BTU/H, CICLO FRIO, 60HZ, CLASSIFICACAO ENERGETICA A OU B (SELO PROCEL), GAS HFC, CONTROLE S/FIO</v>
          </cell>
          <cell r="C314" t="str">
            <v xml:space="preserve">UN    </v>
          </cell>
          <cell r="D314">
            <v>7054.06</v>
          </cell>
        </row>
        <row r="315">
          <cell r="A315">
            <v>42417</v>
          </cell>
          <cell r="B315" t="str">
            <v>AR CONDICIONADO SPLIT INVERTER, PISO TETO, 24000 BTU/H, CICLO FRIO, 60HZ, CLASSIFICACAO ENERGETICA A OU B (SELO PROCEL), GAS HFC, CONTROLE S/FIO</v>
          </cell>
          <cell r="C315" t="str">
            <v xml:space="preserve">UN    </v>
          </cell>
          <cell r="D315">
            <v>7908.18</v>
          </cell>
        </row>
        <row r="316">
          <cell r="A316">
            <v>42419</v>
          </cell>
          <cell r="B316" t="str">
            <v>AR CONDICIONADO SPLIT INVERTER, PISO TETO, 36000 BTU/H, CICLO FRIO, 60HZ, CLASSIFICACAO ENERGETICA A OU B (SELO PROCEL), GAS HFC, CONTROLE S/FIO</v>
          </cell>
          <cell r="C316" t="str">
            <v xml:space="preserve">UN    </v>
          </cell>
          <cell r="D316">
            <v>8934.56</v>
          </cell>
        </row>
        <row r="317">
          <cell r="A317">
            <v>42420</v>
          </cell>
          <cell r="B317" t="str">
            <v>AR CONDICIONADO SPLIT INVERTER, PISO TETO, 48000 BTU/H, CICLO FRIO, 60HZ, CLASSIFICACAO ENERGETICA A OU B (SELO PROCEL), GAS HFC, CONTROLE S/FIO</v>
          </cell>
          <cell r="C317" t="str">
            <v xml:space="preserve">UN    </v>
          </cell>
          <cell r="D317">
            <v>12279.89</v>
          </cell>
        </row>
        <row r="318">
          <cell r="A318">
            <v>42421</v>
          </cell>
          <cell r="B318" t="str">
            <v>AR CONDICIONADO SPLIT INVERTER, PISO TETO, 60000 BTU/H, CICLO FRIO, 60HZ, CLASSIFICACAO ENERGETICA A OU B (SELO PROCEL), GAS HFC, CONTROLE S/FIO</v>
          </cell>
          <cell r="C318" t="str">
            <v xml:space="preserve">UN    </v>
          </cell>
          <cell r="D318">
            <v>14898.67</v>
          </cell>
        </row>
        <row r="319">
          <cell r="A319">
            <v>39556</v>
          </cell>
          <cell r="B319" t="str">
            <v>AR CONDICIONADO SPLIT ON/OFF, CASSETE (TETO), 18000 BTUS/H, CICLO QUENTE/FRIO, 60 HZ, CLASSIFICACAO ENERGETICA C - SELO PROCEL, GAS HFC, CONTROLE S/ FIO</v>
          </cell>
          <cell r="C319" t="str">
            <v xml:space="preserve">UN    </v>
          </cell>
          <cell r="D319">
            <v>5173.97</v>
          </cell>
        </row>
        <row r="320">
          <cell r="A320">
            <v>39557</v>
          </cell>
          <cell r="B320" t="str">
            <v>AR CONDICIONADO SPLIT ON/OFF, CASSETE (TETO), 24000 BTUS/H, CICLO QUENTE/FRIO, 60 HZ, CLASSIFICACAO ENERGETICA C - SELO PROCEL, GAS HFC, CONTROLE S/ FIO</v>
          </cell>
          <cell r="C320" t="str">
            <v xml:space="preserve">UN    </v>
          </cell>
          <cell r="D320">
            <v>5571.24</v>
          </cell>
        </row>
        <row r="321">
          <cell r="A321">
            <v>39558</v>
          </cell>
          <cell r="B321" t="str">
            <v>AR CONDICIONADO SPLIT ON/OFF, CASSETE (TETO), 30000 BTUS/H, CICLO QUENTE/FRIO, 60 HZ, CLASSIFICACAO ENERGETICA A - SELO PROCEL, GAS HFC, CONTROLE S/ FIO</v>
          </cell>
          <cell r="C321" t="str">
            <v xml:space="preserve">UN    </v>
          </cell>
          <cell r="D321">
            <v>5713.84</v>
          </cell>
        </row>
        <row r="322">
          <cell r="A322">
            <v>39559</v>
          </cell>
          <cell r="B322" t="str">
            <v>AR CONDICIONADO SPLIT ON/OFF, CASSETE (TETO), 36000 BTUS/H, CICLO QUENTE/FRIO, 60 HZ, CLASSIFICACAO ENERGETICA A - SELO PROCEL, GAS HFC, CONTROLE S/ FIO</v>
          </cell>
          <cell r="C322" t="str">
            <v xml:space="preserve">UN    </v>
          </cell>
          <cell r="D322">
            <v>8233.2199999999993</v>
          </cell>
        </row>
        <row r="323">
          <cell r="A323">
            <v>39560</v>
          </cell>
          <cell r="B323" t="str">
            <v>AR CONDICIONADO SPLIT ON/OFF, CASSETE (TETO), 48000 BTUS/H, CICLO QUENTE/FRIO, 60 HZ, CLASSIFICACAO ENERGETICA A - SELO PROCEL, GAS HFC, CONTROLE S/ FIO</v>
          </cell>
          <cell r="C323" t="str">
            <v xml:space="preserve">UN    </v>
          </cell>
          <cell r="D323">
            <v>9525.0300000000007</v>
          </cell>
        </row>
        <row r="324">
          <cell r="A324">
            <v>39561</v>
          </cell>
          <cell r="B324" t="str">
            <v>AR CONDICIONADO SPLIT ON/OFF, CASSETE (TETO), 60000 BTUS/H, CICLO QUENTE/FRIO, 60 HZ, CLASSIFICACAO ENERGETICA A - SELO PROCEL, GAS HFC, CONTROLE S/ FIO</v>
          </cell>
          <cell r="C324" t="str">
            <v xml:space="preserve">UN    </v>
          </cell>
          <cell r="D324">
            <v>9964.4</v>
          </cell>
        </row>
        <row r="325">
          <cell r="A325">
            <v>39555</v>
          </cell>
          <cell r="B325" t="str">
            <v>AR CONDICIONADO SPLIT ON/OFF, HI-WALL (PAREDE), 12000 BTUS/H, CICLO QUENTE/FRIO, 60 HZ, CLASSIFICACAO ENERGETICA A - SELO PROCEL, GAS HFC, CONTROLE S/ FIO</v>
          </cell>
          <cell r="C325" t="str">
            <v xml:space="preserve">UN    </v>
          </cell>
          <cell r="D325">
            <v>1590.68</v>
          </cell>
        </row>
        <row r="326">
          <cell r="A326">
            <v>39548</v>
          </cell>
          <cell r="B326" t="str">
            <v>AR CONDICIONADO SPLIT ON/OFF, HI-WALL (PAREDE), 18000 BTUS/H, CICLO QUENTE/FRIO, 60 HZ, CLASSIFICACAO ENERGETICA A - SELO PROCEL, GAS HFC, CONTROLE S/ FIO</v>
          </cell>
          <cell r="C326" t="str">
            <v xml:space="preserve">UN    </v>
          </cell>
          <cell r="D326">
            <v>2359.4699999999998</v>
          </cell>
        </row>
        <row r="327">
          <cell r="A327">
            <v>39554</v>
          </cell>
          <cell r="B327" t="str">
            <v>AR CONDICIONADO SPLIT ON/OFF, HI-WALL (PAREDE), 24000 BTUS/H, CICLO QUENTE/FRIO, 60 HZ, CLASSIFICACAO ENERGETICA A - SELO PROCEL, GAS HFC, CONTROLE S/ FIO</v>
          </cell>
          <cell r="C327" t="str">
            <v xml:space="preserve">UN    </v>
          </cell>
          <cell r="D327">
            <v>3120.05</v>
          </cell>
        </row>
        <row r="328">
          <cell r="A328">
            <v>39550</v>
          </cell>
          <cell r="B328" t="str">
            <v>AR CONDICIONADO SPLIT ON/OFF, HI-WALL (PAREDE), 7000 BTUS/H, CICLO QUENTE/FRIO, 60 HZ, CLASSIFICACAO ENERGETICA A - SELO PROCEL, GAS HFC, CONTROLE S/ FIO</v>
          </cell>
          <cell r="C328" t="str">
            <v xml:space="preserve">UN    </v>
          </cell>
          <cell r="D328">
            <v>1312.07</v>
          </cell>
        </row>
        <row r="329">
          <cell r="A329">
            <v>39551</v>
          </cell>
          <cell r="B329" t="str">
            <v>AR CONDICIONADO SPLIT ON/OFF, HI-WALL (PAREDE), 9000 BTUS/H, CICLO QUENTE/FRIO, 60 HZ, CLASSIFICACAO ENERGETICA A - SELO PROCEL, GAS HFC, CONTROLE S/ FIO</v>
          </cell>
          <cell r="C329" t="str">
            <v xml:space="preserve">UN    </v>
          </cell>
          <cell r="D329">
            <v>1387.08</v>
          </cell>
        </row>
        <row r="330">
          <cell r="A330">
            <v>39580</v>
          </cell>
          <cell r="B330" t="str">
            <v>AR-CONDICIONADO FRIO SPLITAO INVERTER 30 TR</v>
          </cell>
          <cell r="C330" t="str">
            <v xml:space="preserve">UN    </v>
          </cell>
          <cell r="D330">
            <v>59258.51</v>
          </cell>
        </row>
        <row r="331">
          <cell r="A331">
            <v>39577</v>
          </cell>
          <cell r="B331" t="str">
            <v>AR-CONDICIONADO FRIO SPLITAO MODULAR 10 TR</v>
          </cell>
          <cell r="C331" t="str">
            <v xml:space="preserve">UN    </v>
          </cell>
          <cell r="D331">
            <v>29791.77</v>
          </cell>
        </row>
        <row r="332">
          <cell r="A332">
            <v>39578</v>
          </cell>
          <cell r="B332" t="str">
            <v>AR-CONDICIONADO FRIO SPLITAO MODULAR 15 TR</v>
          </cell>
          <cell r="C332" t="str">
            <v xml:space="preserve">UN    </v>
          </cell>
          <cell r="D332">
            <v>36021.24</v>
          </cell>
        </row>
        <row r="333">
          <cell r="A333">
            <v>39579</v>
          </cell>
          <cell r="B333" t="str">
            <v>AR-CONDICIONADO FRIO SPLITAO MODULAR 20 TR</v>
          </cell>
          <cell r="C333" t="str">
            <v xml:space="preserve">UN    </v>
          </cell>
          <cell r="D333">
            <v>34825.42</v>
          </cell>
        </row>
        <row r="334">
          <cell r="A334">
            <v>39826</v>
          </cell>
          <cell r="B334" t="str">
            <v>AR-CONDICIONADO SPLIT INVERTER, PISO TETO, 24000 BTU/H, QUENTE/FRIO, 60HZ, CLASSIFICACAO ENERGETICA A - SELO PROCEL, GAS HFC, CONTROLE S/FIO</v>
          </cell>
          <cell r="C334" t="str">
            <v xml:space="preserve">UN    </v>
          </cell>
          <cell r="D334">
            <v>4277.1899999999996</v>
          </cell>
        </row>
        <row r="335">
          <cell r="A335">
            <v>10700</v>
          </cell>
          <cell r="B335" t="str">
            <v>ARADO REVERSIVEL COM 3 DISCOS DE 26" X 6MM REBOCAVEL</v>
          </cell>
          <cell r="C335" t="str">
            <v xml:space="preserve">UN    </v>
          </cell>
          <cell r="D335">
            <v>12152.67</v>
          </cell>
        </row>
        <row r="336">
          <cell r="A336">
            <v>346</v>
          </cell>
          <cell r="B336" t="str">
            <v>ARAME DE ACO OVALADO 15 X 17 ( 45,7 KG, 700 KGF), ROLO 1000 M</v>
          </cell>
          <cell r="C336" t="str">
            <v xml:space="preserve">KG    </v>
          </cell>
          <cell r="D336">
            <v>12.52</v>
          </cell>
        </row>
        <row r="337">
          <cell r="A337">
            <v>3312</v>
          </cell>
          <cell r="B337" t="str">
            <v>ARAME DE AMARRACAO PARA GABIAO GALVANIZADO, DIAMETRO 2,2 MM</v>
          </cell>
          <cell r="C337" t="str">
            <v xml:space="preserve">KG    </v>
          </cell>
          <cell r="D337">
            <v>21.12</v>
          </cell>
        </row>
        <row r="338">
          <cell r="A338">
            <v>339</v>
          </cell>
          <cell r="B338" t="str">
            <v>ARAME FARPADO GALVANIZADO 14 BWG, CLASSE 250</v>
          </cell>
          <cell r="C338" t="str">
            <v xml:space="preserve">M     </v>
          </cell>
          <cell r="D338">
            <v>0.6</v>
          </cell>
        </row>
        <row r="339">
          <cell r="A339">
            <v>340</v>
          </cell>
          <cell r="B339" t="str">
            <v>ARAME FARPADO GALVANIZADO, 16 BWG (1,65 MM), CLASSE 250</v>
          </cell>
          <cell r="C339" t="str">
            <v xml:space="preserve">M     </v>
          </cell>
          <cell r="D339">
            <v>0.83</v>
          </cell>
        </row>
        <row r="340">
          <cell r="A340">
            <v>338</v>
          </cell>
          <cell r="B340" t="str">
            <v>ARAME FARPADO 16 BWG (0,047 KG/M)</v>
          </cell>
          <cell r="C340" t="str">
            <v xml:space="preserve">KG    </v>
          </cell>
          <cell r="D340">
            <v>15.76</v>
          </cell>
        </row>
        <row r="341">
          <cell r="A341">
            <v>334</v>
          </cell>
          <cell r="B341" t="str">
            <v>ARAME GALVANIZADO  8 BWG, D = 4,19MM (0,101 KG/M)</v>
          </cell>
          <cell r="C341" t="str">
            <v xml:space="preserve">KG    </v>
          </cell>
          <cell r="D341">
            <v>11.32</v>
          </cell>
        </row>
        <row r="342">
          <cell r="A342">
            <v>335</v>
          </cell>
          <cell r="B342" t="str">
            <v>ARAME GALVANIZADO 10 BWG, 3,40 MM (0,0713 KG/M)</v>
          </cell>
          <cell r="C342" t="str">
            <v xml:space="preserve">KG    </v>
          </cell>
          <cell r="D342">
            <v>10.37</v>
          </cell>
        </row>
        <row r="343">
          <cell r="A343">
            <v>342</v>
          </cell>
          <cell r="B343" t="str">
            <v>ARAME GALVANIZADO 12 BWG, 2,76 MM (0,048 KG/M)</v>
          </cell>
          <cell r="C343" t="str">
            <v xml:space="preserve">KG    </v>
          </cell>
          <cell r="D343">
            <v>11.72</v>
          </cell>
        </row>
        <row r="344">
          <cell r="A344">
            <v>333</v>
          </cell>
          <cell r="B344" t="str">
            <v>ARAME GALVANIZADO 14 BWG, D = 2,11 MM (0,026 KG/M)</v>
          </cell>
          <cell r="C344" t="str">
            <v xml:space="preserve">KG    </v>
          </cell>
          <cell r="D344">
            <v>12</v>
          </cell>
        </row>
        <row r="345">
          <cell r="A345">
            <v>343</v>
          </cell>
          <cell r="B345" t="str">
            <v>ARAME GALVANIZADO 14 BWG, 2,10MM (0,0272 KG/M)</v>
          </cell>
          <cell r="C345" t="str">
            <v xml:space="preserve">M     </v>
          </cell>
          <cell r="D345">
            <v>0.32</v>
          </cell>
        </row>
        <row r="346">
          <cell r="A346">
            <v>344</v>
          </cell>
          <cell r="B346" t="str">
            <v>ARAME GALVANIZADO 16 BWG, 1,65MM (0,0166 KG/M)</v>
          </cell>
          <cell r="C346" t="str">
            <v xml:space="preserve">KG    </v>
          </cell>
          <cell r="D346">
            <v>12.98</v>
          </cell>
        </row>
        <row r="347">
          <cell r="A347">
            <v>345</v>
          </cell>
          <cell r="B347" t="str">
            <v>ARAME GALVANIZADO 18 BWG, 1,24MM (0,009 KG/M)</v>
          </cell>
          <cell r="C347" t="str">
            <v xml:space="preserve">KG    </v>
          </cell>
          <cell r="D347">
            <v>15.86</v>
          </cell>
        </row>
        <row r="348">
          <cell r="A348">
            <v>341</v>
          </cell>
          <cell r="B348" t="str">
            <v>ARAME GALVANIZADO 18 BWG, 1,24MM (0,009 KG/M)</v>
          </cell>
          <cell r="C348" t="str">
            <v xml:space="preserve">M     </v>
          </cell>
          <cell r="D348">
            <v>0.15</v>
          </cell>
        </row>
        <row r="349">
          <cell r="A349">
            <v>11107</v>
          </cell>
          <cell r="B349" t="str">
            <v>ARAME GALVANIZADO 6 BWG, 5,16 MM (0,157 KG/M)</v>
          </cell>
          <cell r="C349" t="str">
            <v xml:space="preserve">KG    </v>
          </cell>
          <cell r="D349">
            <v>10.3</v>
          </cell>
        </row>
        <row r="350">
          <cell r="A350">
            <v>3313</v>
          </cell>
          <cell r="B350" t="str">
            <v>ARAME PROTEGIDO COM POLIMERO PARA GABIAO, DIAMETRO 2,2 MM</v>
          </cell>
          <cell r="C350" t="str">
            <v xml:space="preserve">KG    </v>
          </cell>
          <cell r="D350">
            <v>27.18</v>
          </cell>
        </row>
        <row r="351">
          <cell r="A351">
            <v>34562</v>
          </cell>
          <cell r="B351" t="str">
            <v>ARAME RECOZIDO 16 BWG, 1,60 MM (0,016 KG/M)</v>
          </cell>
          <cell r="C351" t="str">
            <v xml:space="preserve">KG    </v>
          </cell>
          <cell r="D351">
            <v>12.31</v>
          </cell>
        </row>
        <row r="352">
          <cell r="A352">
            <v>337</v>
          </cell>
          <cell r="B352" t="str">
            <v>ARAME RECOZIDO 18 BWG, 1,25 MM (0,01 KG/M)</v>
          </cell>
          <cell r="C352" t="str">
            <v xml:space="preserve">KG    </v>
          </cell>
          <cell r="D352">
            <v>11.9</v>
          </cell>
        </row>
        <row r="353">
          <cell r="A353">
            <v>369</v>
          </cell>
          <cell r="B353" t="str">
            <v>AREIA AMARELA, AREIA BARRADA OU ARENOSO (RETIRADA NO AREAL, SEM TRANSPORTE)</v>
          </cell>
          <cell r="C353" t="str">
            <v xml:space="preserve">M3    </v>
          </cell>
          <cell r="D353">
            <v>66.72</v>
          </cell>
        </row>
        <row r="354">
          <cell r="A354">
            <v>366</v>
          </cell>
          <cell r="B354" t="str">
            <v>AREIA FINA - POSTO JAZIDA/FORNECEDOR (RETIRADO NA JAZIDA, SEM TRANSPORTE)</v>
          </cell>
          <cell r="C354" t="str">
            <v xml:space="preserve">M3    </v>
          </cell>
          <cell r="D354">
            <v>63</v>
          </cell>
        </row>
        <row r="355">
          <cell r="A355">
            <v>367</v>
          </cell>
          <cell r="B355" t="str">
            <v>AREIA GROSSA - POSTO JAZIDA/FORNECEDOR (RETIRADO NA JAZIDA, SEM TRANSPORTE)</v>
          </cell>
          <cell r="C355" t="str">
            <v xml:space="preserve">M3    </v>
          </cell>
          <cell r="D355">
            <v>56.5</v>
          </cell>
        </row>
        <row r="356">
          <cell r="A356">
            <v>370</v>
          </cell>
          <cell r="B356" t="str">
            <v>AREIA MEDIA - POSTO JAZIDA/FORNECEDOR (RETIRADO NA JAZIDA, SEM TRANSPORTE)</v>
          </cell>
          <cell r="C356" t="str">
            <v xml:space="preserve">M3    </v>
          </cell>
          <cell r="D356">
            <v>61.25</v>
          </cell>
        </row>
        <row r="357">
          <cell r="A357">
            <v>368</v>
          </cell>
          <cell r="B357" t="str">
            <v>AREIA PARA ATERRO - POSTO JAZIDA/FORNECEDOR (RETIRADO NA JAZIDA, SEM TRANSPORTE)</v>
          </cell>
          <cell r="C357" t="str">
            <v xml:space="preserve">M3    </v>
          </cell>
          <cell r="D357">
            <v>42.37</v>
          </cell>
        </row>
        <row r="358">
          <cell r="A358">
            <v>11075</v>
          </cell>
          <cell r="B358" t="str">
            <v>AREIA PARA LEITO FILTRANTE (0,42 A 1,68 MM) - POSTO JAZIDA/FORNECEDOR (RETIRADO NA JAZIDA, SEM TRANSPORTE)</v>
          </cell>
          <cell r="C358" t="str">
            <v xml:space="preserve">M3    </v>
          </cell>
          <cell r="D358">
            <v>925.18</v>
          </cell>
        </row>
        <row r="359">
          <cell r="A359">
            <v>11076</v>
          </cell>
          <cell r="B359" t="str">
            <v>AREIA PRETA PARA EMBOCO - POSTO JAZIDA/FORNECEDOR (RETIRADO NA JAZIDA, SEM TRANSPORTE)</v>
          </cell>
          <cell r="C359" t="str">
            <v xml:space="preserve">M3    </v>
          </cell>
          <cell r="D359">
            <v>70.62</v>
          </cell>
        </row>
        <row r="360">
          <cell r="A360">
            <v>1381</v>
          </cell>
          <cell r="B360" t="str">
            <v>ARGAMASSA COLANTE AC I PARA CERAMICAS</v>
          </cell>
          <cell r="C360" t="str">
            <v xml:space="preserve">KG    </v>
          </cell>
          <cell r="D360">
            <v>0.59</v>
          </cell>
        </row>
        <row r="361">
          <cell r="A361">
            <v>34353</v>
          </cell>
          <cell r="B361" t="str">
            <v>ARGAMASSA COLANTE AC-II</v>
          </cell>
          <cell r="C361" t="str">
            <v xml:space="preserve">KG    </v>
          </cell>
          <cell r="D361">
            <v>1.18</v>
          </cell>
        </row>
        <row r="362">
          <cell r="A362">
            <v>37595</v>
          </cell>
          <cell r="B362" t="str">
            <v>ARGAMASSA COLANTE TIPO ACIII</v>
          </cell>
          <cell r="C362" t="str">
            <v xml:space="preserve">KG    </v>
          </cell>
          <cell r="D362">
            <v>1.8</v>
          </cell>
        </row>
        <row r="363">
          <cell r="A363">
            <v>37596</v>
          </cell>
          <cell r="B363" t="str">
            <v>ARGAMASSA COLANTE TIPO ACIII E</v>
          </cell>
          <cell r="C363" t="str">
            <v xml:space="preserve">KG    </v>
          </cell>
          <cell r="D363">
            <v>2.67</v>
          </cell>
        </row>
        <row r="364">
          <cell r="A364">
            <v>371</v>
          </cell>
          <cell r="B364" t="str">
            <v>ARGAMASSA INDUSTRIALIZADA MULTIUSO, PARA REVESTIMENTO INTERNO E EXTERNO E ASSENTAMENTO DE BLOCOS DIVERSOS</v>
          </cell>
          <cell r="C364" t="str">
            <v xml:space="preserve">KG    </v>
          </cell>
          <cell r="D364">
            <v>0.53</v>
          </cell>
        </row>
        <row r="365">
          <cell r="A365">
            <v>37553</v>
          </cell>
          <cell r="B365" t="str">
            <v>ARGAMASSA INDUSTRIALIZADA PARA CHAPISCO COLANTE</v>
          </cell>
          <cell r="C365" t="str">
            <v xml:space="preserve">KG    </v>
          </cell>
          <cell r="D365">
            <v>2</v>
          </cell>
        </row>
        <row r="366">
          <cell r="A366">
            <v>37552</v>
          </cell>
          <cell r="B366" t="str">
            <v>ARGAMASSA INDUSTRIALIZADA PARA CHAPISCO ROLADO</v>
          </cell>
          <cell r="C366" t="str">
            <v xml:space="preserve">KG    </v>
          </cell>
          <cell r="D366">
            <v>2.56</v>
          </cell>
        </row>
        <row r="367">
          <cell r="A367">
            <v>36880</v>
          </cell>
          <cell r="B367" t="str">
            <v>ARGAMASSA PARA REVESTIMENTO DECORATIVO MONOCAMADA, CORES CLARAS</v>
          </cell>
          <cell r="C367" t="str">
            <v xml:space="preserve">KG    </v>
          </cell>
          <cell r="D367">
            <v>1.99</v>
          </cell>
        </row>
        <row r="368">
          <cell r="A368">
            <v>34355</v>
          </cell>
          <cell r="B368" t="str">
            <v>ARGAMASSA PISO SOBRE PISO</v>
          </cell>
          <cell r="C368" t="str">
            <v xml:space="preserve">KG    </v>
          </cell>
          <cell r="D368">
            <v>1.63</v>
          </cell>
        </row>
        <row r="369">
          <cell r="A369">
            <v>130</v>
          </cell>
          <cell r="B369" t="str">
            <v>ARGAMASSA POLIMERICA DE REPARO ESTRUTURAL, BICOMPONENTE</v>
          </cell>
          <cell r="C369" t="str">
            <v xml:space="preserve">KG    </v>
          </cell>
          <cell r="D369">
            <v>3.61</v>
          </cell>
        </row>
        <row r="370">
          <cell r="A370">
            <v>135</v>
          </cell>
          <cell r="B370" t="str">
            <v>ARGAMASSA POLIMERICA IMPERMEABILIZANTE SEMIFLEXIVEL, BICOMPONENTE (MEMBRANA IMPERMEABILIZANTE ACRILICA)</v>
          </cell>
          <cell r="C370" t="str">
            <v xml:space="preserve">KG    </v>
          </cell>
          <cell r="D370">
            <v>4.6500000000000004</v>
          </cell>
        </row>
        <row r="371">
          <cell r="A371">
            <v>36886</v>
          </cell>
          <cell r="B371" t="str">
            <v>ARGAMASSA PRONTA PARA CONTRAPISO</v>
          </cell>
          <cell r="C371" t="str">
            <v xml:space="preserve">KG    </v>
          </cell>
          <cell r="D371">
            <v>0.63</v>
          </cell>
        </row>
        <row r="372">
          <cell r="A372">
            <v>374</v>
          </cell>
          <cell r="B372" t="str">
            <v>ARGAMASSA PRONTA PARA REVESTIMENTO INTERNO EM PAREDES</v>
          </cell>
          <cell r="C372" t="str">
            <v xml:space="preserve">KG    </v>
          </cell>
          <cell r="D372">
            <v>0.45</v>
          </cell>
        </row>
        <row r="373">
          <cell r="A373">
            <v>38546</v>
          </cell>
          <cell r="B373" t="str">
            <v>ARGAMASSA USINADA AUTOADENSAVEL E AUTONIVELANTE PARA CONTRAPISO, INCLUI BOMBEAMENTO</v>
          </cell>
          <cell r="C373" t="str">
            <v xml:space="preserve">M3    </v>
          </cell>
          <cell r="D373">
            <v>437.66</v>
          </cell>
        </row>
        <row r="374">
          <cell r="A374">
            <v>34549</v>
          </cell>
          <cell r="B374" t="str">
            <v>ARGILA EXPANDIDA, GRANULOMETRIA 2215</v>
          </cell>
          <cell r="C374" t="str">
            <v xml:space="preserve">M3    </v>
          </cell>
          <cell r="D374">
            <v>200.17</v>
          </cell>
        </row>
        <row r="375">
          <cell r="A375">
            <v>6081</v>
          </cell>
          <cell r="B375" t="str">
            <v>ARGILA OU BARRO PARA ATERRO/REATERRO (COM TRANSPORTE ATE 10 KM)</v>
          </cell>
          <cell r="C375" t="str">
            <v xml:space="preserve">M3    </v>
          </cell>
          <cell r="D375">
            <v>28.35</v>
          </cell>
        </row>
        <row r="376">
          <cell r="A376">
            <v>6077</v>
          </cell>
          <cell r="B376" t="str">
            <v>ARGILA OU BARRO PARA ATERRO/REATERRO (RETIRADO NA JAZIDA, SEM TRANSPORTE)</v>
          </cell>
          <cell r="C376" t="str">
            <v xml:space="preserve">M3    </v>
          </cell>
          <cell r="D376">
            <v>16.34</v>
          </cell>
        </row>
        <row r="377">
          <cell r="A377">
            <v>6079</v>
          </cell>
          <cell r="B377" t="str">
            <v>ARGILA, ARGILA VERMELHA OU ARGILA ARENOSA (RETIRADA NA JAZIDA, SEM TRANSPORTE)</v>
          </cell>
          <cell r="C377" t="str">
            <v xml:space="preserve">M3    </v>
          </cell>
          <cell r="D377">
            <v>9.34</v>
          </cell>
        </row>
        <row r="378">
          <cell r="A378">
            <v>1091</v>
          </cell>
          <cell r="B378" t="str">
            <v>ARMACAO VERTICAL COM HASTE E CONTRA-PINO, EM CHAPA DE ACO GALVANIZADO 3/16", COM 1 ESTRIBO E 1 ISOLADOR</v>
          </cell>
          <cell r="C378" t="str">
            <v xml:space="preserve">UN    </v>
          </cell>
          <cell r="D378">
            <v>18.95</v>
          </cell>
        </row>
        <row r="379">
          <cell r="A379">
            <v>1094</v>
          </cell>
          <cell r="B379" t="str">
            <v>ARMACAO VERTICAL COM HASTE E CONTRA-PINO, EM CHAPA DE ACO GALVANIZADO 3/16", COM 1 ESTRIBO, SEM ISOLADOR</v>
          </cell>
          <cell r="C379" t="str">
            <v xml:space="preserve">UN    </v>
          </cell>
          <cell r="D379">
            <v>13.25</v>
          </cell>
        </row>
        <row r="380">
          <cell r="A380">
            <v>1095</v>
          </cell>
          <cell r="B380" t="str">
            <v>ARMACAO VERTICAL COM HASTE E CONTRA-PINO, EM CHAPA DE ACO GALVANIZADO 3/16", COM 2 ESTRIBOS, E 2 ISOLADORES</v>
          </cell>
          <cell r="C380" t="str">
            <v xml:space="preserve">UN    </v>
          </cell>
          <cell r="D380">
            <v>28.17</v>
          </cell>
        </row>
        <row r="381">
          <cell r="A381">
            <v>1092</v>
          </cell>
          <cell r="B381" t="str">
            <v>ARMACAO VERTICAL COM HASTE E CONTRA-PINO, EM CHAPA DE ACO GALVANIZADO 3/16", COM 2 ESTRIBOS, SEM ISOLADOR</v>
          </cell>
          <cell r="C381" t="str">
            <v xml:space="preserve">UN    </v>
          </cell>
          <cell r="D381">
            <v>21.8</v>
          </cell>
        </row>
        <row r="382">
          <cell r="A382">
            <v>1093</v>
          </cell>
          <cell r="B382" t="str">
            <v>ARMACAO VERTICAL COM HASTE E CONTRA-PINO, EM CHAPA DE ACO GALVANIZADO 3/16", COM 3 ESTRIBOS E 3 ISOLADORES</v>
          </cell>
          <cell r="C382" t="str">
            <v xml:space="preserve">UN    </v>
          </cell>
          <cell r="D382">
            <v>50.91</v>
          </cell>
        </row>
        <row r="383">
          <cell r="A383">
            <v>1090</v>
          </cell>
          <cell r="B383" t="str">
            <v>ARMACAO VERTICAL COM HASTE E CONTRA-PINO, EM CHAPA DE ACO GALVANIZADO 3/16", COM 3 ESTRIBOS, SEM ISOLADOR</v>
          </cell>
          <cell r="C383" t="str">
            <v xml:space="preserve">UN    </v>
          </cell>
          <cell r="D383">
            <v>36.450000000000003</v>
          </cell>
        </row>
        <row r="384">
          <cell r="A384">
            <v>1096</v>
          </cell>
          <cell r="B384" t="str">
            <v>ARMACAO VERTICAL COM HASTE E CONTRA-PINO, EM CHAPA DE ACO GALVANIZADO 3/16", COM 4 ESTRIBOS E 4 ISOLADORES</v>
          </cell>
          <cell r="C384" t="str">
            <v xml:space="preserve">UN    </v>
          </cell>
          <cell r="D384">
            <v>65.599999999999994</v>
          </cell>
        </row>
        <row r="385">
          <cell r="A385">
            <v>1097</v>
          </cell>
          <cell r="B385" t="str">
            <v>ARMACAO VERTICAL COM HASTE E CONTRA-PINO, EM CHAPA DE ACO GALVANIZADO 3/16", COM 4 ESTRIBOS, SEM ISOLADOR</v>
          </cell>
          <cell r="C385" t="str">
            <v xml:space="preserve">UN    </v>
          </cell>
          <cell r="D385">
            <v>55.68</v>
          </cell>
        </row>
        <row r="386">
          <cell r="A386">
            <v>378</v>
          </cell>
          <cell r="B386" t="str">
            <v>ARMADOR</v>
          </cell>
          <cell r="C386" t="str">
            <v xml:space="preserve">H     </v>
          </cell>
          <cell r="D386">
            <v>14.99</v>
          </cell>
        </row>
        <row r="387">
          <cell r="A387">
            <v>40911</v>
          </cell>
          <cell r="B387" t="str">
            <v>ARMADOR (MENSALISTA)</v>
          </cell>
          <cell r="C387" t="str">
            <v xml:space="preserve">MES   </v>
          </cell>
          <cell r="D387">
            <v>2652.5</v>
          </cell>
        </row>
        <row r="388">
          <cell r="A388">
            <v>33939</v>
          </cell>
          <cell r="B388" t="str">
            <v>ARQUITETO JUNIOR</v>
          </cell>
          <cell r="C388" t="str">
            <v xml:space="preserve">H     </v>
          </cell>
          <cell r="D388">
            <v>66.84</v>
          </cell>
        </row>
        <row r="389">
          <cell r="A389">
            <v>40815</v>
          </cell>
          <cell r="B389" t="str">
            <v>ARQUITETO JUNIOR (MENSALISTA)</v>
          </cell>
          <cell r="C389" t="str">
            <v xml:space="preserve">MES   </v>
          </cell>
          <cell r="D389">
            <v>11829.44</v>
          </cell>
        </row>
        <row r="390">
          <cell r="A390">
            <v>34760</v>
          </cell>
          <cell r="B390" t="str">
            <v>ARQUITETO PAISAGISTA</v>
          </cell>
          <cell r="C390" t="str">
            <v xml:space="preserve">H     </v>
          </cell>
          <cell r="D390">
            <v>63.11</v>
          </cell>
        </row>
        <row r="391">
          <cell r="A391">
            <v>40935</v>
          </cell>
          <cell r="B391" t="str">
            <v>ARQUITETO PAISAGISTA (MENSALISTA)</v>
          </cell>
          <cell r="C391" t="str">
            <v xml:space="preserve">MES   </v>
          </cell>
          <cell r="D391">
            <v>11169.87</v>
          </cell>
        </row>
        <row r="392">
          <cell r="A392">
            <v>33952</v>
          </cell>
          <cell r="B392" t="str">
            <v>ARQUITETO PLENO</v>
          </cell>
          <cell r="C392" t="str">
            <v xml:space="preserve">H     </v>
          </cell>
          <cell r="D392">
            <v>94.95</v>
          </cell>
        </row>
        <row r="393">
          <cell r="A393">
            <v>40816</v>
          </cell>
          <cell r="B393" t="str">
            <v>ARQUITETO PLENO (MENSALISTA)</v>
          </cell>
          <cell r="C393" t="str">
            <v xml:space="preserve">MES   </v>
          </cell>
          <cell r="D393">
            <v>16802.75</v>
          </cell>
        </row>
        <row r="394">
          <cell r="A394">
            <v>33953</v>
          </cell>
          <cell r="B394" t="str">
            <v>ARQUITETO SENIOR</v>
          </cell>
          <cell r="C394" t="str">
            <v xml:space="preserve">H     </v>
          </cell>
          <cell r="D394">
            <v>125.53</v>
          </cell>
        </row>
        <row r="395">
          <cell r="A395">
            <v>40817</v>
          </cell>
          <cell r="B395" t="str">
            <v>ARQUITETO SENIOR (MENSALISTA)</v>
          </cell>
          <cell r="C395" t="str">
            <v xml:space="preserve">MES   </v>
          </cell>
          <cell r="D395">
            <v>22214.73</v>
          </cell>
        </row>
        <row r="396">
          <cell r="A396">
            <v>13348</v>
          </cell>
          <cell r="B396" t="str">
            <v>ARRUELA  EM ACO GALVANIZADO, DIAMETRO EXTERNO = 35MM, ESPESSURA = 3MM, DIAMETRO DO FURO= 18MM</v>
          </cell>
          <cell r="C396" t="str">
            <v xml:space="preserve">UN    </v>
          </cell>
          <cell r="D396">
            <v>0.53</v>
          </cell>
        </row>
        <row r="397">
          <cell r="A397">
            <v>39211</v>
          </cell>
          <cell r="B397" t="str">
            <v>ARRUELA EM ALUMINIO, COM ROSCA, DE  1 1/4", PARA ELETRODUTO</v>
          </cell>
          <cell r="C397" t="str">
            <v xml:space="preserve">UN    </v>
          </cell>
          <cell r="D397">
            <v>0.79</v>
          </cell>
        </row>
        <row r="398">
          <cell r="A398">
            <v>39212</v>
          </cell>
          <cell r="B398" t="str">
            <v>ARRUELA EM ALUMINIO, COM ROSCA, DE 1 1/2", PARA ELETRODUTO</v>
          </cell>
          <cell r="C398" t="str">
            <v xml:space="preserve">UN    </v>
          </cell>
          <cell r="D398">
            <v>0.89</v>
          </cell>
        </row>
        <row r="399">
          <cell r="A399">
            <v>39208</v>
          </cell>
          <cell r="B399" t="str">
            <v>ARRUELA EM ALUMINIO, COM ROSCA, DE 1/2", PARA ELETRODUTO</v>
          </cell>
          <cell r="C399" t="str">
            <v xml:space="preserve">UN    </v>
          </cell>
          <cell r="D399">
            <v>0.24</v>
          </cell>
        </row>
        <row r="400">
          <cell r="A400">
            <v>39210</v>
          </cell>
          <cell r="B400" t="str">
            <v>ARRUELA EM ALUMINIO, COM ROSCA, DE 1", PARA ELETRODUTO</v>
          </cell>
          <cell r="C400" t="str">
            <v xml:space="preserve">UN    </v>
          </cell>
          <cell r="D400">
            <v>0.44</v>
          </cell>
        </row>
        <row r="401">
          <cell r="A401">
            <v>39214</v>
          </cell>
          <cell r="B401" t="str">
            <v>ARRUELA EM ALUMINIO, COM ROSCA, DE 2 1/2", PARA ELETRODUTO</v>
          </cell>
          <cell r="C401" t="str">
            <v xml:space="preserve">UN    </v>
          </cell>
          <cell r="D401">
            <v>1.64</v>
          </cell>
        </row>
        <row r="402">
          <cell r="A402">
            <v>39213</v>
          </cell>
          <cell r="B402" t="str">
            <v>ARRUELA EM ALUMINIO, COM ROSCA, DE 2", PARA ELETRODUTO</v>
          </cell>
          <cell r="C402" t="str">
            <v xml:space="preserve">UN    </v>
          </cell>
          <cell r="D402">
            <v>1.1599999999999999</v>
          </cell>
        </row>
        <row r="403">
          <cell r="A403">
            <v>39209</v>
          </cell>
          <cell r="B403" t="str">
            <v>ARRUELA EM ALUMINIO, COM ROSCA, DE 3/4", PARA ELETRODUTO</v>
          </cell>
          <cell r="C403" t="str">
            <v xml:space="preserve">UN    </v>
          </cell>
          <cell r="D403">
            <v>0.28000000000000003</v>
          </cell>
        </row>
        <row r="404">
          <cell r="A404">
            <v>39207</v>
          </cell>
          <cell r="B404" t="str">
            <v>ARRUELA EM ALUMINIO, COM ROSCA, DE 3/8", PARA ELETRODUTO</v>
          </cell>
          <cell r="C404" t="str">
            <v xml:space="preserve">UN    </v>
          </cell>
          <cell r="D404">
            <v>0.44</v>
          </cell>
        </row>
        <row r="405">
          <cell r="A405">
            <v>39215</v>
          </cell>
          <cell r="B405" t="str">
            <v>ARRUELA EM ALUMINIO, COM ROSCA, DE 3", PARA ELETRODUTO</v>
          </cell>
          <cell r="C405" t="str">
            <v xml:space="preserve">UN    </v>
          </cell>
          <cell r="D405">
            <v>3</v>
          </cell>
        </row>
        <row r="406">
          <cell r="A406">
            <v>39216</v>
          </cell>
          <cell r="B406" t="str">
            <v>ARRUELA EM ALUMINIO, COM ROSCA, DE 4", PARA ELETRODUTO</v>
          </cell>
          <cell r="C406" t="str">
            <v xml:space="preserve">UN    </v>
          </cell>
          <cell r="D406">
            <v>4.18</v>
          </cell>
        </row>
        <row r="407">
          <cell r="A407">
            <v>379</v>
          </cell>
          <cell r="B407" t="str">
            <v>ARRUELA QUADRADA EM ACO GALVANIZADO, DIMENSAO = 38 MM, ESPESSURA = 3MM, DIAMETRO DO FURO= 18 MM</v>
          </cell>
          <cell r="C407" t="str">
            <v xml:space="preserve">UN    </v>
          </cell>
          <cell r="D407">
            <v>0.46</v>
          </cell>
        </row>
        <row r="408">
          <cell r="A408">
            <v>11267</v>
          </cell>
          <cell r="B408" t="str">
            <v>ARRUELA REDONDA DE LATAO, DIAMETRO EXTERNO = 34 MM, ESPESSURA = 2,5 MM, DIAMETRO DO FURO = 17 MM</v>
          </cell>
          <cell r="C408" t="str">
            <v xml:space="preserve">UN    </v>
          </cell>
          <cell r="D408">
            <v>4.63</v>
          </cell>
        </row>
        <row r="409">
          <cell r="A409">
            <v>41901</v>
          </cell>
          <cell r="B409" t="str">
            <v>ASFALTO DILUIDO DE PETROLEO CM-30 (COLETADO CAIXA NA ANP ACRESCIDO DE ICMS)</v>
          </cell>
          <cell r="C409" t="str">
            <v xml:space="preserve">KG    </v>
          </cell>
          <cell r="D409">
            <v>5.71</v>
          </cell>
        </row>
        <row r="410">
          <cell r="A410">
            <v>510</v>
          </cell>
          <cell r="B410" t="str">
            <v>ASFALTO MODIFICADO TIPO I - NBR 9910 (ASFALTO OXIDADO PARA IMPERMEABILIZACAO, COEFICIENTE DE PENETRACAO 25-40)</v>
          </cell>
          <cell r="C410" t="str">
            <v xml:space="preserve">KG    </v>
          </cell>
          <cell r="D410">
            <v>7.85</v>
          </cell>
        </row>
        <row r="411">
          <cell r="A411">
            <v>516</v>
          </cell>
          <cell r="B411" t="str">
            <v>ASFALTO MODIFICADO TIPO II - NBR 9910 (ASFALTO OXIDADO PARA IMPERMEABILIZACAO, COEFICIENTE DE PENETRACAO 20-35)</v>
          </cell>
          <cell r="C411" t="str">
            <v xml:space="preserve">KG    </v>
          </cell>
          <cell r="D411">
            <v>8.3699999999999992</v>
          </cell>
        </row>
        <row r="412">
          <cell r="A412">
            <v>509</v>
          </cell>
          <cell r="B412" t="str">
            <v>ASFALTO MODIFICADO TIPO III - NBR 9910 (ASFALTO OXIDADO PARA IMPERMEABILIZACAO, COEFICIENTE DE PENETRACAO 15-25)</v>
          </cell>
          <cell r="C412" t="str">
            <v xml:space="preserve">KG    </v>
          </cell>
          <cell r="D412">
            <v>8.5500000000000007</v>
          </cell>
        </row>
        <row r="413">
          <cell r="A413">
            <v>40331</v>
          </cell>
          <cell r="B413" t="str">
            <v>ASSENTADOR DE MANILHAS</v>
          </cell>
          <cell r="C413" t="str">
            <v xml:space="preserve">H     </v>
          </cell>
          <cell r="D413">
            <v>12.57</v>
          </cell>
        </row>
        <row r="414">
          <cell r="A414">
            <v>40930</v>
          </cell>
          <cell r="B414" t="str">
            <v>ASSENTADOR DE MANILHAS (MENSALISTA)</v>
          </cell>
          <cell r="C414" t="str">
            <v xml:space="preserve">MES   </v>
          </cell>
          <cell r="D414">
            <v>2227.5</v>
          </cell>
        </row>
        <row r="415">
          <cell r="A415">
            <v>11761</v>
          </cell>
          <cell r="B415" t="str">
            <v>ASSENTO  VASO SANITARIO INFANTIL EM PLASTICO BRANCO</v>
          </cell>
          <cell r="C415" t="str">
            <v xml:space="preserve">UN    </v>
          </cell>
          <cell r="D415">
            <v>57.39</v>
          </cell>
        </row>
        <row r="416">
          <cell r="A416">
            <v>377</v>
          </cell>
          <cell r="B416" t="str">
            <v>ASSENTO SANITARIO DE PLASTICO, TIPO CONVENCIONAL</v>
          </cell>
          <cell r="C416" t="str">
            <v xml:space="preserve">UN    </v>
          </cell>
          <cell r="D416">
            <v>26.97</v>
          </cell>
        </row>
        <row r="417">
          <cell r="A417">
            <v>7588</v>
          </cell>
          <cell r="B417" t="str">
            <v>AUTOMATICO DE BOIA SUPERIOR / INFERIOR, *15* A / 250 V</v>
          </cell>
          <cell r="C417" t="str">
            <v xml:space="preserve">UN    </v>
          </cell>
          <cell r="D417">
            <v>30.48</v>
          </cell>
        </row>
        <row r="418">
          <cell r="A418">
            <v>34392</v>
          </cell>
          <cell r="B418" t="str">
            <v>AUXILIAR  DE ALMOXARIFE</v>
          </cell>
          <cell r="C418" t="str">
            <v xml:space="preserve">H     </v>
          </cell>
          <cell r="D418">
            <v>11.47</v>
          </cell>
        </row>
        <row r="419">
          <cell r="A419">
            <v>40908</v>
          </cell>
          <cell r="B419" t="str">
            <v>AUXILIAR DE ALMOXARIFE (MENSALISTA)</v>
          </cell>
          <cell r="C419" t="str">
            <v xml:space="preserve">MES   </v>
          </cell>
          <cell r="D419">
            <v>2032.47</v>
          </cell>
        </row>
        <row r="420">
          <cell r="A420">
            <v>34551</v>
          </cell>
          <cell r="B420" t="str">
            <v>AUXILIAR DE AZULEJISTA</v>
          </cell>
          <cell r="C420" t="str">
            <v xml:space="preserve">H     </v>
          </cell>
          <cell r="D420">
            <v>10.91</v>
          </cell>
        </row>
        <row r="421">
          <cell r="A421">
            <v>41078</v>
          </cell>
          <cell r="B421" t="str">
            <v>AUXILIAR DE AZULEJISTA (MENSALISTA)</v>
          </cell>
          <cell r="C421" t="str">
            <v xml:space="preserve">MES   </v>
          </cell>
          <cell r="D421">
            <v>1933.55</v>
          </cell>
        </row>
        <row r="422">
          <cell r="A422">
            <v>246</v>
          </cell>
          <cell r="B422" t="str">
            <v>AUXILIAR DE ENCANADOR OU BOMBEIRO HIDRAULICO</v>
          </cell>
          <cell r="C422" t="str">
            <v xml:space="preserve">H     </v>
          </cell>
          <cell r="D422">
            <v>10.97</v>
          </cell>
        </row>
        <row r="423">
          <cell r="A423">
            <v>40927</v>
          </cell>
          <cell r="B423" t="str">
            <v>AUXILIAR DE ENCANADOR OU BOMBEIRO HIDRAULICO (MENSALISTA)</v>
          </cell>
          <cell r="C423" t="str">
            <v xml:space="preserve">MES   </v>
          </cell>
          <cell r="D423">
            <v>1945.52</v>
          </cell>
        </row>
        <row r="424">
          <cell r="A424">
            <v>2350</v>
          </cell>
          <cell r="B424" t="str">
            <v>AUXILIAR DE ESCRITORIO</v>
          </cell>
          <cell r="C424" t="str">
            <v xml:space="preserve">H     </v>
          </cell>
          <cell r="D424">
            <v>12.07</v>
          </cell>
        </row>
        <row r="425">
          <cell r="A425">
            <v>40812</v>
          </cell>
          <cell r="B425" t="str">
            <v>AUXILIAR DE ESCRITORIO (MENSALISTA)</v>
          </cell>
          <cell r="C425" t="str">
            <v xml:space="preserve">MES   </v>
          </cell>
          <cell r="D425">
            <v>2138.62</v>
          </cell>
        </row>
        <row r="426">
          <cell r="A426">
            <v>245</v>
          </cell>
          <cell r="B426" t="str">
            <v>AUXILIAR DE LABORATORISTA DE SOLOS E CONCRETO</v>
          </cell>
          <cell r="C426" t="str">
            <v xml:space="preserve">H     </v>
          </cell>
          <cell r="D426">
            <v>20.55</v>
          </cell>
        </row>
        <row r="427">
          <cell r="A427">
            <v>41090</v>
          </cell>
          <cell r="B427" t="str">
            <v>AUXILIAR DE LABORATORISTA DE SOLOS E DE CONCRETO (MENSALISTA)</v>
          </cell>
          <cell r="C427" t="str">
            <v xml:space="preserve">MES   </v>
          </cell>
          <cell r="D427">
            <v>3639.45</v>
          </cell>
        </row>
        <row r="428">
          <cell r="A428">
            <v>251</v>
          </cell>
          <cell r="B428" t="str">
            <v>AUXILIAR DE MECANICO</v>
          </cell>
          <cell r="C428" t="str">
            <v xml:space="preserve">H     </v>
          </cell>
          <cell r="D428">
            <v>9.3800000000000008</v>
          </cell>
        </row>
        <row r="429">
          <cell r="A429">
            <v>40975</v>
          </cell>
          <cell r="B429" t="str">
            <v>AUXILIAR DE MECANICO (MENSALISTA)</v>
          </cell>
          <cell r="C429" t="str">
            <v xml:space="preserve">MES   </v>
          </cell>
          <cell r="D429">
            <v>1662.8</v>
          </cell>
        </row>
        <row r="430">
          <cell r="A430">
            <v>6127</v>
          </cell>
          <cell r="B430" t="str">
            <v>AUXILIAR DE PEDREIRO</v>
          </cell>
          <cell r="C430" t="str">
            <v xml:space="preserve">H     </v>
          </cell>
          <cell r="D430">
            <v>11.13</v>
          </cell>
        </row>
        <row r="431">
          <cell r="A431">
            <v>41072</v>
          </cell>
          <cell r="B431" t="str">
            <v>AUXILIAR DE PEDREIRO (MENSALISTA)</v>
          </cell>
          <cell r="C431" t="str">
            <v xml:space="preserve">MES   </v>
          </cell>
          <cell r="D431">
            <v>1970.88</v>
          </cell>
        </row>
        <row r="432">
          <cell r="A432">
            <v>6121</v>
          </cell>
          <cell r="B432" t="str">
            <v>AUXILIAR DE SERVICOS GERAIS</v>
          </cell>
          <cell r="C432" t="str">
            <v xml:space="preserve">H     </v>
          </cell>
          <cell r="D432">
            <v>11.99</v>
          </cell>
        </row>
        <row r="433">
          <cell r="A433">
            <v>41071</v>
          </cell>
          <cell r="B433" t="str">
            <v>AUXILIAR DE SERVICOS GERAIS (MENSALISTA)</v>
          </cell>
          <cell r="C433" t="str">
            <v xml:space="preserve">MES   </v>
          </cell>
          <cell r="D433">
            <v>2124.27</v>
          </cell>
        </row>
        <row r="434">
          <cell r="A434">
            <v>244</v>
          </cell>
          <cell r="B434" t="str">
            <v>AUXILIAR DE TOPOGRAFO</v>
          </cell>
          <cell r="C434" t="str">
            <v xml:space="preserve">H     </v>
          </cell>
          <cell r="D434">
            <v>5.91</v>
          </cell>
        </row>
        <row r="435">
          <cell r="A435">
            <v>41093</v>
          </cell>
          <cell r="B435" t="str">
            <v>AUXILIAR DE TOPOGRAFO (MENSALISTA)</v>
          </cell>
          <cell r="C435" t="str">
            <v xml:space="preserve">MES   </v>
          </cell>
          <cell r="D435">
            <v>1098.26</v>
          </cell>
        </row>
        <row r="436">
          <cell r="A436">
            <v>532</v>
          </cell>
          <cell r="B436" t="str">
            <v>AUXILIAR TECNICO / ASSISTENTE DE ENGENHARIA</v>
          </cell>
          <cell r="C436" t="str">
            <v xml:space="preserve">H     </v>
          </cell>
          <cell r="D436">
            <v>23.42</v>
          </cell>
        </row>
        <row r="437">
          <cell r="A437">
            <v>40931</v>
          </cell>
          <cell r="B437" t="str">
            <v>AUXILIAR TECNICO / ASSISTENTE DE ENGENHARIA (MENSALISTA)</v>
          </cell>
          <cell r="C437" t="str">
            <v xml:space="preserve">MES   </v>
          </cell>
          <cell r="D437">
            <v>4146.1499999999996</v>
          </cell>
        </row>
        <row r="438">
          <cell r="A438">
            <v>36150</v>
          </cell>
          <cell r="B438" t="str">
            <v>AVENTAL DE SEGURANCA DE RASPA DE COURO 1,00 X 0,60 M</v>
          </cell>
          <cell r="C438" t="str">
            <v xml:space="preserve">UN    </v>
          </cell>
          <cell r="D438">
            <v>33.409999999999997</v>
          </cell>
        </row>
        <row r="439">
          <cell r="A439">
            <v>41069</v>
          </cell>
          <cell r="B439" t="str">
            <v>AZULEJISTA OU LADRILHEIRO (MENSALISTA)</v>
          </cell>
          <cell r="C439" t="str">
            <v xml:space="preserve">MES   </v>
          </cell>
          <cell r="D439">
            <v>2652.5</v>
          </cell>
        </row>
        <row r="440">
          <cell r="A440">
            <v>4760</v>
          </cell>
          <cell r="B440" t="str">
            <v>AZULEJISTA OU LADRILHISTA</v>
          </cell>
          <cell r="C440" t="str">
            <v xml:space="preserve">H     </v>
          </cell>
          <cell r="D440">
            <v>14.99</v>
          </cell>
        </row>
        <row r="441">
          <cell r="A441">
            <v>10422</v>
          </cell>
          <cell r="B441" t="str">
            <v>BACIA SANITARIA (VASO) COM CAIXA ACOPLADA, DE LOUCA BRANCA</v>
          </cell>
          <cell r="C441" t="str">
            <v xml:space="preserve">UN    </v>
          </cell>
          <cell r="D441">
            <v>290.63</v>
          </cell>
        </row>
        <row r="442">
          <cell r="A442">
            <v>10420</v>
          </cell>
          <cell r="B442" t="str">
            <v>BACIA SANITARIA (VASO) CONVENCIONAL DE LOUCA BRANCA</v>
          </cell>
          <cell r="C442" t="str">
            <v xml:space="preserve">UN    </v>
          </cell>
          <cell r="D442">
            <v>109</v>
          </cell>
        </row>
        <row r="443">
          <cell r="A443">
            <v>10421</v>
          </cell>
          <cell r="B443" t="str">
            <v>BACIA SANITARIA (VASO) CONVENCIONAL DE LOUCA COR</v>
          </cell>
          <cell r="C443" t="str">
            <v xml:space="preserve">UN    </v>
          </cell>
          <cell r="D443">
            <v>145.88</v>
          </cell>
        </row>
        <row r="444">
          <cell r="A444">
            <v>36520</v>
          </cell>
          <cell r="B444" t="str">
            <v>BACIA SANITARIA (VASO) CONVENCIONAL PARA PCD SEM FURO FRONTAL, DE LOUCA BRANCA, SEM ASSENTO</v>
          </cell>
          <cell r="C444" t="str">
            <v xml:space="preserve">UN    </v>
          </cell>
          <cell r="D444">
            <v>543.04999999999995</v>
          </cell>
        </row>
        <row r="445">
          <cell r="A445">
            <v>11784</v>
          </cell>
          <cell r="B445" t="str">
            <v>BACIA SANITARIA TURCA DE LOUCA BRANCA</v>
          </cell>
          <cell r="C445" t="str">
            <v xml:space="preserve">UN    </v>
          </cell>
          <cell r="D445">
            <v>407.86</v>
          </cell>
        </row>
        <row r="446">
          <cell r="A446">
            <v>10</v>
          </cell>
          <cell r="B446" t="str">
            <v>BALDE PLASTICO CAPACIDADE *10* L</v>
          </cell>
          <cell r="C446" t="str">
            <v xml:space="preserve">UN    </v>
          </cell>
          <cell r="D446">
            <v>9.0500000000000007</v>
          </cell>
        </row>
        <row r="447">
          <cell r="A447">
            <v>4815</v>
          </cell>
          <cell r="B447" t="str">
            <v>BALDE VERMELHO PARA SINALIZACAO DE VIAS</v>
          </cell>
          <cell r="C447" t="str">
            <v xml:space="preserve">UN    </v>
          </cell>
          <cell r="D447">
            <v>4.72</v>
          </cell>
        </row>
        <row r="448">
          <cell r="A448">
            <v>541</v>
          </cell>
          <cell r="B448" t="str">
            <v>BANCADA DE MARMORE SINTETICO COM UMA CUBA, 120 X *60* CM</v>
          </cell>
          <cell r="C448" t="str">
            <v xml:space="preserve">UN    </v>
          </cell>
          <cell r="D448">
            <v>124.21</v>
          </cell>
        </row>
        <row r="449">
          <cell r="A449">
            <v>542</v>
          </cell>
          <cell r="B449" t="str">
            <v>BANCADA DE MARMORE SINTETICO COM UMA CUBA, 150 X *60* CM</v>
          </cell>
          <cell r="C449" t="str">
            <v xml:space="preserve">UN    </v>
          </cell>
          <cell r="D449">
            <v>155.69</v>
          </cell>
        </row>
        <row r="450">
          <cell r="A450">
            <v>540</v>
          </cell>
          <cell r="B450" t="str">
            <v>BANCADA DE MARMORE SINTETICO COM UMA CUBA, 200 X *60* CM</v>
          </cell>
          <cell r="C450" t="str">
            <v xml:space="preserve">UN    </v>
          </cell>
          <cell r="D450">
            <v>350.86</v>
          </cell>
        </row>
        <row r="451">
          <cell r="A451">
            <v>38364</v>
          </cell>
          <cell r="B451" t="str">
            <v>BANCADA/ BANCA EM GRANITO, POLIDO, TIPO ANDORINHA/ QUARTZ/ CASTELO/ CORUMBA OU OUTROS EQUIVALENTES DA REGIAO, COM CUBA INOX, FORMATO *120 X 60* CM, E=  *2* CM</v>
          </cell>
          <cell r="C451" t="str">
            <v xml:space="preserve">UN    </v>
          </cell>
          <cell r="D451">
            <v>605.87</v>
          </cell>
        </row>
        <row r="452">
          <cell r="A452">
            <v>11692</v>
          </cell>
          <cell r="B452" t="str">
            <v>BANCADA/ BANCA EM MARMORE, POLIDO, BRANCO COMUM, E=  *3* CM</v>
          </cell>
          <cell r="C452" t="str">
            <v xml:space="preserve">M2    </v>
          </cell>
          <cell r="D452">
            <v>318.75</v>
          </cell>
        </row>
        <row r="453">
          <cell r="A453">
            <v>1746</v>
          </cell>
          <cell r="B453" t="str">
            <v>BANCADA/BANCA/PIA DE ACO INOXIDAVEL (AISI 430) COM 1 CUBA CENTRAL, COM VALVULA, ESCORREDOR DUPLO, DE *0,55 X 1,20* M</v>
          </cell>
          <cell r="C453" t="str">
            <v xml:space="preserve">UN    </v>
          </cell>
          <cell r="D453">
            <v>174.72</v>
          </cell>
        </row>
        <row r="454">
          <cell r="A454">
            <v>1748</v>
          </cell>
          <cell r="B454" t="str">
            <v>BANCADA/BANCA/PIA DE ACO INOXIDAVEL (AISI 430) COM 1 CUBA CENTRAL, COM VALVULA, ESCORREDOR DUPLO, DE *0,55 X 1,40* M</v>
          </cell>
          <cell r="C454" t="str">
            <v xml:space="preserve">UN    </v>
          </cell>
          <cell r="D454">
            <v>232.33</v>
          </cell>
        </row>
        <row r="455">
          <cell r="A455">
            <v>1749</v>
          </cell>
          <cell r="B455" t="str">
            <v>BANCADA/BANCA/PIA DE ACO INOXIDAVEL (AISI 430) COM 1 CUBA CENTRAL, COM VALVULA, ESCORREDOR DUPLO, DE *0,55 X 1,80* M</v>
          </cell>
          <cell r="C455" t="str">
            <v xml:space="preserve">UN    </v>
          </cell>
          <cell r="D455">
            <v>336.61</v>
          </cell>
        </row>
        <row r="456">
          <cell r="A456">
            <v>37412</v>
          </cell>
          <cell r="B456" t="str">
            <v>BANCADA/BANCA/PIA DE ACO INOXIDAVEL (AISI 430) COM 1 CUBA CENTRAL, COM VALVULA, LISA (SEM ESCORREDOR), DE *0,55 X 1,20* M</v>
          </cell>
          <cell r="C456" t="str">
            <v xml:space="preserve">UN    </v>
          </cell>
          <cell r="D456">
            <v>170.79</v>
          </cell>
        </row>
        <row r="457">
          <cell r="A457">
            <v>1745</v>
          </cell>
          <cell r="B457" t="str">
            <v>BANCADA/BANCA/PIA DE ACO INOXIDAVEL (AISI 430) COM 1 CUBA CENTRAL, SEM VALVULA, ESCORREDOR DUPLO, DE *0,55 X 1,60* M</v>
          </cell>
          <cell r="C457" t="str">
            <v xml:space="preserve">UN    </v>
          </cell>
          <cell r="D457">
            <v>203.09</v>
          </cell>
        </row>
        <row r="458">
          <cell r="A458">
            <v>1750</v>
          </cell>
          <cell r="B458" t="str">
            <v>BANCADA/BANCA/PIA DE ACO INOXIDAVEL (AISI 430) COM 2 CUBAS, COM VALVULAS, ESCORREDOR DUPLO, DE *0,55 X 2,00* M</v>
          </cell>
          <cell r="C458" t="str">
            <v xml:space="preserve">UN    </v>
          </cell>
          <cell r="D458">
            <v>474.59</v>
          </cell>
        </row>
        <row r="459">
          <cell r="A459">
            <v>11687</v>
          </cell>
          <cell r="B459" t="str">
            <v>BANCADA/TAMPO ACO INOX (AISI 304), LARGURA 60 CM, COM RODABANCA (NAO INCLUI PES DE APOIO)</v>
          </cell>
          <cell r="C459" t="str">
            <v xml:space="preserve">M     </v>
          </cell>
          <cell r="D459">
            <v>756.17</v>
          </cell>
        </row>
        <row r="460">
          <cell r="A460">
            <v>11689</v>
          </cell>
          <cell r="B460" t="str">
            <v>BANCADA/TAMPO ACO INOX (AISI 304), LARGURA 70 CM, COM RODABANCA (NAO INCLUI PES DE APOIO)</v>
          </cell>
          <cell r="C460" t="str">
            <v xml:space="preserve">M     </v>
          </cell>
          <cell r="D460">
            <v>947.43</v>
          </cell>
        </row>
        <row r="461">
          <cell r="A461">
            <v>11693</v>
          </cell>
          <cell r="B461" t="str">
            <v>BANCADA/TAMPO LISO (SEM CUBA) EM MARMORE SINTETICO</v>
          </cell>
          <cell r="C461" t="str">
            <v xml:space="preserve">M2    </v>
          </cell>
          <cell r="D461">
            <v>137.72</v>
          </cell>
        </row>
        <row r="462">
          <cell r="A462">
            <v>36215</v>
          </cell>
          <cell r="B462" t="str">
            <v>BANCO ARTICULADO PARA BANHO, EM ACO INOX POLIDO, 70* CM X 45* CM</v>
          </cell>
          <cell r="C462" t="str">
            <v xml:space="preserve">UN    </v>
          </cell>
          <cell r="D462">
            <v>989.46</v>
          </cell>
        </row>
        <row r="463">
          <cell r="A463">
            <v>42439</v>
          </cell>
          <cell r="B463" t="str">
            <v>BANCO COM ENCOSTO, 1,60M* DE COMPRIMENTO, EM TUBO DE ACO CARBONO E PINTURA NO PROCESSO ELETROSTATICO - PARA ACADEMIA AO AR LIVRE / ACADEMIA DA TERCEIRA IDADE - ATI</v>
          </cell>
          <cell r="C463" t="str">
            <v xml:space="preserve">UN    </v>
          </cell>
          <cell r="D463">
            <v>686.09</v>
          </cell>
        </row>
        <row r="464">
          <cell r="A464">
            <v>38381</v>
          </cell>
          <cell r="B464" t="str">
            <v>BANDEJA DE PINTURA PARA ROLO 23 CM</v>
          </cell>
          <cell r="C464" t="str">
            <v xml:space="preserve">UN    </v>
          </cell>
          <cell r="D464">
            <v>7.97</v>
          </cell>
        </row>
        <row r="465">
          <cell r="A465">
            <v>39621</v>
          </cell>
          <cell r="B465" t="str">
            <v>BARRA ANTIPANICO DUPLA, CEGA LADO OPOSTO, COR CINZA</v>
          </cell>
          <cell r="C465" t="str">
            <v xml:space="preserve">PAR   </v>
          </cell>
          <cell r="D465">
            <v>1281.4000000000001</v>
          </cell>
        </row>
        <row r="466">
          <cell r="A466">
            <v>39624</v>
          </cell>
          <cell r="B466" t="str">
            <v>BARRA ANTIPANICO DUPLA, PARA PORTA DE VIDRO, COR CINZA</v>
          </cell>
          <cell r="C466" t="str">
            <v xml:space="preserve">PAR   </v>
          </cell>
          <cell r="D466">
            <v>1296.69</v>
          </cell>
        </row>
        <row r="467">
          <cell r="A467">
            <v>39615</v>
          </cell>
          <cell r="B467" t="str">
            <v>BARRA ANTIPANICO SIMPLES, CEGA LADO OPOSTO, COR CINZA</v>
          </cell>
          <cell r="C467" t="str">
            <v xml:space="preserve">UN    </v>
          </cell>
          <cell r="D467">
            <v>447.04</v>
          </cell>
        </row>
        <row r="468">
          <cell r="A468">
            <v>39620</v>
          </cell>
          <cell r="B468" t="str">
            <v>BARRA ANTIPANICO SIMPLES, COM FECHADURA LADO OPOSTO, COR CINZA</v>
          </cell>
          <cell r="C468" t="str">
            <v xml:space="preserve">UN    </v>
          </cell>
          <cell r="D468">
            <v>683.41</v>
          </cell>
        </row>
        <row r="469">
          <cell r="A469">
            <v>39623</v>
          </cell>
          <cell r="B469" t="str">
            <v>BARRA ANTIPANICO SIMPLES, PARA PORTA DE VIDRO, COR CINZA</v>
          </cell>
          <cell r="C469" t="str">
            <v xml:space="preserve">UN    </v>
          </cell>
          <cell r="D469">
            <v>661.77</v>
          </cell>
        </row>
        <row r="470">
          <cell r="A470">
            <v>36207</v>
          </cell>
          <cell r="B470" t="str">
            <v>BARRA DE APOIO EM "L", EM ACO INOX POLIDO 70 X 70 CM, DIAMETRO MINIMO 3 CM</v>
          </cell>
          <cell r="C470" t="str">
            <v xml:space="preserve">UN    </v>
          </cell>
          <cell r="D470">
            <v>438.26</v>
          </cell>
        </row>
        <row r="471">
          <cell r="A471">
            <v>36209</v>
          </cell>
          <cell r="B471" t="str">
            <v>BARRA DE APOIO EM "L", EM ACO INOX POLIDO 80 X 80 CM, DIAMETRO MINIMO 3 CM</v>
          </cell>
          <cell r="C471" t="str">
            <v xml:space="preserve">UN    </v>
          </cell>
          <cell r="D471">
            <v>502.97</v>
          </cell>
        </row>
        <row r="472">
          <cell r="A472">
            <v>36210</v>
          </cell>
          <cell r="B472" t="str">
            <v>BARRA DE APOIO LATERAL ARTICULADA, COM TRAVA, EM ACO INOX POLIDO, 70 CM, DIAMETRO MINIMO 3 CM</v>
          </cell>
          <cell r="C472" t="str">
            <v xml:space="preserve">UN    </v>
          </cell>
          <cell r="D472">
            <v>544.20000000000005</v>
          </cell>
        </row>
        <row r="473">
          <cell r="A473">
            <v>36204</v>
          </cell>
          <cell r="B473" t="str">
            <v>BARRA DE APOIO RETA, EM ACO INOX POLIDO, COMPRIMENTO 60CM, DIAMETRO MINIMO 3 CM</v>
          </cell>
          <cell r="C473" t="str">
            <v xml:space="preserve">UN    </v>
          </cell>
          <cell r="D473">
            <v>192.95</v>
          </cell>
        </row>
        <row r="474">
          <cell r="A474">
            <v>36205</v>
          </cell>
          <cell r="B474" t="str">
            <v>BARRA DE APOIO RETA, EM ACO INOX POLIDO, COMPRIMENTO 70CM, DIAMETRO MINIMO 3 CM</v>
          </cell>
          <cell r="C474" t="str">
            <v xml:space="preserve">UN    </v>
          </cell>
          <cell r="D474">
            <v>214.29</v>
          </cell>
        </row>
        <row r="475">
          <cell r="A475">
            <v>36081</v>
          </cell>
          <cell r="B475" t="str">
            <v>BARRA DE APOIO RETA, EM ACO INOX POLIDO, COMPRIMENTO 80CM, DIAMETRO MINIMO 3 CM</v>
          </cell>
          <cell r="C475" t="str">
            <v xml:space="preserve">UN    </v>
          </cell>
          <cell r="D475">
            <v>228.49</v>
          </cell>
        </row>
        <row r="476">
          <cell r="A476">
            <v>36206</v>
          </cell>
          <cell r="B476" t="str">
            <v>BARRA DE APOIO RETA, EM ACO INOX POLIDO, COMPRIMENTO 90 CM, DIAMETRO MINIMO 3 CM</v>
          </cell>
          <cell r="C476" t="str">
            <v xml:space="preserve">UN    </v>
          </cell>
          <cell r="D476">
            <v>239.38</v>
          </cell>
        </row>
        <row r="477">
          <cell r="A477">
            <v>36218</v>
          </cell>
          <cell r="B477" t="str">
            <v>BARRA DE APOIO RETA, EM ALUMINIO, COMPRIMENTO 60CM, DIAMETRO MINIMO 3 CM</v>
          </cell>
          <cell r="C477" t="str">
            <v xml:space="preserve">UN    </v>
          </cell>
          <cell r="D477">
            <v>95.78</v>
          </cell>
        </row>
        <row r="478">
          <cell r="A478">
            <v>36220</v>
          </cell>
          <cell r="B478" t="str">
            <v>BARRA DE APOIO RETA, EM ALUMINIO, COMPRIMENTO 70CM, DIAMETRO MINIMO 3 CM</v>
          </cell>
          <cell r="C478" t="str">
            <v xml:space="preserve">UN    </v>
          </cell>
          <cell r="D478">
            <v>109.83</v>
          </cell>
        </row>
        <row r="479">
          <cell r="A479">
            <v>36080</v>
          </cell>
          <cell r="B479" t="str">
            <v>BARRA DE APOIO RETA, EM ALUMINIO, COMPRIMENTO 80 CM, DIAMETRO MINIMO 3 CM</v>
          </cell>
          <cell r="C479" t="str">
            <v xml:space="preserve">UN    </v>
          </cell>
          <cell r="D479">
            <v>118.8</v>
          </cell>
        </row>
        <row r="480">
          <cell r="A480">
            <v>36223</v>
          </cell>
          <cell r="B480" t="str">
            <v>BARRA DE APOIO RETA, EM ALUMINIO, COMPRIMENTO 90 CM, DIAMETRO MINIMO 3 CM</v>
          </cell>
          <cell r="C480" t="str">
            <v xml:space="preserve">UN    </v>
          </cell>
          <cell r="D480">
            <v>124.4</v>
          </cell>
        </row>
        <row r="481">
          <cell r="A481">
            <v>546</v>
          </cell>
          <cell r="B481" t="str">
            <v>BARRA DE FERRO RETANGULAR, BARRA CHATA (QUALQUER DIMENSAO)</v>
          </cell>
          <cell r="C481" t="str">
            <v xml:space="preserve">KG    </v>
          </cell>
          <cell r="D481">
            <v>5.6</v>
          </cell>
        </row>
        <row r="482">
          <cell r="A482">
            <v>557</v>
          </cell>
          <cell r="B482" t="str">
            <v>BARRA DE FERRO RETANGULAR, BARRA CHATA, 1 1/2"  X 1/2" (L X E), 3,79 KG/M</v>
          </cell>
          <cell r="C482" t="str">
            <v xml:space="preserve">M     </v>
          </cell>
          <cell r="D482">
            <v>21.49</v>
          </cell>
        </row>
        <row r="483">
          <cell r="A483">
            <v>552</v>
          </cell>
          <cell r="B483" t="str">
            <v>BARRA DE FERRO RETANGULAR, BARRA CHATA, 1 1/2" X 1/4" (L X E), 1,89 KG/M</v>
          </cell>
          <cell r="C483" t="str">
            <v xml:space="preserve">M     </v>
          </cell>
          <cell r="D483">
            <v>10.58</v>
          </cell>
        </row>
        <row r="484">
          <cell r="A484">
            <v>555</v>
          </cell>
          <cell r="B484" t="str">
            <v>BARRA DE FERRO RETANGULAR, BARRA CHATA, 1" X 1/4" (L X E), 1,2265 KG/M</v>
          </cell>
          <cell r="C484" t="str">
            <v xml:space="preserve">M     </v>
          </cell>
          <cell r="D484">
            <v>6.48</v>
          </cell>
        </row>
        <row r="485">
          <cell r="A485">
            <v>565</v>
          </cell>
          <cell r="B485" t="str">
            <v>BARRA DE FERRO RETANGULAR, BARRA CHATA, 1" X 3/16" (L X E), 1,73 KG/M</v>
          </cell>
          <cell r="C485" t="str">
            <v xml:space="preserve">M     </v>
          </cell>
          <cell r="D485">
            <v>9.91</v>
          </cell>
        </row>
        <row r="486">
          <cell r="A486">
            <v>549</v>
          </cell>
          <cell r="B486" t="str">
            <v>BARRA DE FERRO RETANGULAR, BARRA CHATA, 2" X 1/2" (L X E), 5,06 KG/M</v>
          </cell>
          <cell r="C486" t="str">
            <v xml:space="preserve">M     </v>
          </cell>
          <cell r="D486">
            <v>28.33</v>
          </cell>
        </row>
        <row r="487">
          <cell r="A487">
            <v>559</v>
          </cell>
          <cell r="B487" t="str">
            <v>BARRA DE FERRO RETANGULAR, BARRA CHATA, 2" X 1/4" (L X E), 2,53 KG/M</v>
          </cell>
          <cell r="C487" t="str">
            <v xml:space="preserve">M     </v>
          </cell>
          <cell r="D487">
            <v>14.16</v>
          </cell>
        </row>
        <row r="488">
          <cell r="A488">
            <v>551</v>
          </cell>
          <cell r="B488" t="str">
            <v>BARRA DE FERRO RETANGULAR, BARRA CHATA, 2" X 1" (L X E), 10,12 KG/M</v>
          </cell>
          <cell r="C488" t="str">
            <v xml:space="preserve">M     </v>
          </cell>
          <cell r="D488">
            <v>55.36</v>
          </cell>
        </row>
        <row r="489">
          <cell r="A489">
            <v>547</v>
          </cell>
          <cell r="B489" t="str">
            <v>BARRA DE FERRO RETANGULAR, BARRA CHATA, 2" X 3/8" (L X E), 3,79KG/M</v>
          </cell>
          <cell r="C489" t="str">
            <v xml:space="preserve">M     </v>
          </cell>
          <cell r="D489">
            <v>21.22</v>
          </cell>
        </row>
        <row r="490">
          <cell r="A490">
            <v>560</v>
          </cell>
          <cell r="B490" t="str">
            <v>BARRA DE FERRO RETANGULAR, BARRA CHATA, 2" X 5/16" (L X E), 3,162 KG/M</v>
          </cell>
          <cell r="C490" t="str">
            <v xml:space="preserve">M     </v>
          </cell>
          <cell r="D490">
            <v>17.93</v>
          </cell>
        </row>
        <row r="491">
          <cell r="A491">
            <v>566</v>
          </cell>
          <cell r="B491" t="str">
            <v>BARRA DE FERRO RETANGULAR, BARRA CHATA, 3/4" X 1/8" (L X E), 0,47 KG/M</v>
          </cell>
          <cell r="C491" t="str">
            <v xml:space="preserve">M     </v>
          </cell>
          <cell r="D491">
            <v>2.88</v>
          </cell>
        </row>
        <row r="492">
          <cell r="A492">
            <v>563</v>
          </cell>
          <cell r="B492" t="str">
            <v>BARRA DE FERRO RETANGULAR, BARRA CHATA, 3/8" X 1 1/2" (L X E), 2,84 KG/M</v>
          </cell>
          <cell r="C492" t="str">
            <v xml:space="preserve">M     </v>
          </cell>
          <cell r="D492">
            <v>16.100000000000001</v>
          </cell>
        </row>
        <row r="493">
          <cell r="A493">
            <v>38127</v>
          </cell>
          <cell r="B493" t="str">
            <v>BASE DE MISTURADOR MONOCOMANDO PARA CHUVEIRO</v>
          </cell>
          <cell r="C493" t="str">
            <v xml:space="preserve">UN    </v>
          </cell>
          <cell r="D493">
            <v>361.79</v>
          </cell>
        </row>
        <row r="494">
          <cell r="A494">
            <v>38060</v>
          </cell>
          <cell r="B494" t="str">
            <v>BASE PARA MASTRO DE PARA-RAIOS DIAMETRO NOMINAL 1 1/2"</v>
          </cell>
          <cell r="C494" t="str">
            <v xml:space="preserve">UN    </v>
          </cell>
          <cell r="D494">
            <v>66.349999999999994</v>
          </cell>
        </row>
        <row r="495">
          <cell r="A495">
            <v>10956</v>
          </cell>
          <cell r="B495" t="str">
            <v>BASE PARA MASTRO DE PARA-RAIOS DIAMETRO NOMINAL 2"</v>
          </cell>
          <cell r="C495" t="str">
            <v xml:space="preserve">UN    </v>
          </cell>
          <cell r="D495">
            <v>68.930000000000007</v>
          </cell>
        </row>
        <row r="496">
          <cell r="A496">
            <v>39380</v>
          </cell>
          <cell r="B496" t="str">
            <v>BASE PARA RELE COM SUPORTE METALICO</v>
          </cell>
          <cell r="C496" t="str">
            <v xml:space="preserve">UN    </v>
          </cell>
          <cell r="D496">
            <v>9.8699999999999992</v>
          </cell>
        </row>
        <row r="497">
          <cell r="A497">
            <v>13374</v>
          </cell>
          <cell r="B497" t="str">
            <v>BASE UNIPOLAR PARA FUSIVEL NH1, CORRENTE NOMINAL DE 250 A, SEM CAPA</v>
          </cell>
          <cell r="C497" t="str">
            <v xml:space="preserve">UN    </v>
          </cell>
          <cell r="D497">
            <v>89.96</v>
          </cell>
        </row>
        <row r="498">
          <cell r="A498">
            <v>37597</v>
          </cell>
          <cell r="B498" t="str">
            <v>BATE-ESTACAS POR GRAVIDADE, POTENCIA160 HP, PESO DO MARTELO ATE 3 TONELADAS</v>
          </cell>
          <cell r="C498" t="str">
            <v xml:space="preserve">UN    </v>
          </cell>
          <cell r="D498">
            <v>324587.03000000003</v>
          </cell>
        </row>
        <row r="499">
          <cell r="A499">
            <v>183</v>
          </cell>
          <cell r="B499" t="str">
            <v>BATENTE/ PORTAL/ ADUELA/ MARCO MACICO, E= *3 CM, L= *13 CM, *60 CM A 120* CM X *210 CM,  EM CEDRINHO/ ANGELIM COMERCIAL/ EUCALIPTO/ CURUPIXA/ PEROBA/ CUMARU OU EQUIVALENTE DA REGIAO (NAO INCLUI ALIZARES)</v>
          </cell>
          <cell r="C499" t="str">
            <v xml:space="preserve">JG    </v>
          </cell>
          <cell r="D499">
            <v>94.76</v>
          </cell>
        </row>
        <row r="500">
          <cell r="A500">
            <v>184</v>
          </cell>
          <cell r="B500" t="str">
            <v>BATENTE/ PORTAL/ ADUELA/ MARCO MACICO, E= *3* CM, L= *13* CM, *60 CM A 120* CM X *210* CM, EM PINUS/ TAUARI/ VIROLA OU EQUIVALENTE DA REGIAO (NAO INCLUI ALIZARES)</v>
          </cell>
          <cell r="C500" t="str">
            <v xml:space="preserve">JG    </v>
          </cell>
          <cell r="D500">
            <v>62.63</v>
          </cell>
        </row>
        <row r="501">
          <cell r="A501">
            <v>195</v>
          </cell>
          <cell r="B501" t="str">
            <v>BATENTE/ PORTAL/ ADUELA/ MARCO MACICO, E= *3* CM, L= *7* CM, *60 CM A 120* CM X *210* CM,  EM CEDRINHO/ ANGELIM COMERCIAL/ EUCALIPTO/ CURUPIXA/ PEROBA/ CUMARU OU EQUIVALENTE DA REGIAO (NAO INCLUI ALIZARES)</v>
          </cell>
          <cell r="C501" t="str">
            <v xml:space="preserve">JG    </v>
          </cell>
          <cell r="D501">
            <v>76.98</v>
          </cell>
        </row>
        <row r="502">
          <cell r="A502">
            <v>194</v>
          </cell>
          <cell r="B502" t="str">
            <v>BATENTE/ PORTAL/ ADUELA/ MARCO MACICO, E= *3* CM, L= *7* CM, *60 CM A 120* CM X *210* CM, EM PINUS/ TAUARI/ VIROLA OU EQUIVALENTE DA REGIAO (NAO INCLUI ALIZARES)</v>
          </cell>
          <cell r="C502" t="str">
            <v xml:space="preserve">JG    </v>
          </cell>
          <cell r="D502">
            <v>41.84</v>
          </cell>
        </row>
        <row r="503">
          <cell r="A503">
            <v>20001</v>
          </cell>
          <cell r="B503" t="str">
            <v>BATENTE/ PORTAL/ ADUELA/MARCO MACICO, E= *3* CM, L= *15* CM, *60 CM A 120* CM  X *210* CM, EM PINUS/ TAUARI/ VIROLA OU EQUIVALENTE DA REGIAO</v>
          </cell>
          <cell r="C503" t="str">
            <v xml:space="preserve">JG    </v>
          </cell>
          <cell r="D503">
            <v>76.709999999999994</v>
          </cell>
        </row>
        <row r="504">
          <cell r="A504">
            <v>181</v>
          </cell>
          <cell r="B504" t="str">
            <v>BATENTE/ PORTAL/ADUELA/ MARCO MACICO, E= *3* CM, L= *15* CM, *60 CM A 120* CM  X *210* CM,  EM CEDRINHO/ ANGELIM COMERCIAL/  EUCALIPTO/ CURUPIXA/ PEROBA/ CUMARU OU EQUIVALENTE DA REGIAO (NAO INCLUI ALIZARES)</v>
          </cell>
          <cell r="C504" t="str">
            <v xml:space="preserve">JG    </v>
          </cell>
          <cell r="D504">
            <v>103.78</v>
          </cell>
        </row>
        <row r="505">
          <cell r="A505">
            <v>39837</v>
          </cell>
          <cell r="B505" t="str">
            <v>BATENTE/PORTAL/ADUELA/MARCO, EM MDF/PVC WOOD/POLIESTIRENO OU MADEIRA LAMINADA, L = *9,0* CM COM GUARNICAO REGULAVEL 2 FACES = *35* MM, PRIMER</v>
          </cell>
          <cell r="C505" t="str">
            <v xml:space="preserve">JG    </v>
          </cell>
          <cell r="D505">
            <v>205.57</v>
          </cell>
        </row>
        <row r="506">
          <cell r="A506">
            <v>10535</v>
          </cell>
          <cell r="B506" t="str">
            <v>BETONEIRA CAPACIDADE NOMINAL 400 L, CAPACIDADE DE MISTURA  280 L, MOTOR ELETRICO TRIFASICO 220/380 V POTENCIA 2 CV, SEM CARREGADOR</v>
          </cell>
          <cell r="C506" t="str">
            <v xml:space="preserve">UN    </v>
          </cell>
          <cell r="D506">
            <v>3735</v>
          </cell>
        </row>
        <row r="507">
          <cell r="A507">
            <v>10537</v>
          </cell>
          <cell r="B507" t="str">
            <v>BETONEIRA CAPACIDADE NOMINAL 400 L, CAPACIDADE DE MISTURA 310 L, MOTOR A DIESEL POTENCIA 5 CV, SEM CARREGADOR</v>
          </cell>
          <cell r="C507" t="str">
            <v xml:space="preserve">UN    </v>
          </cell>
          <cell r="D507">
            <v>5093.5200000000004</v>
          </cell>
        </row>
        <row r="508">
          <cell r="A508">
            <v>13891</v>
          </cell>
          <cell r="B508" t="str">
            <v>BETONEIRA CAPACIDADE NOMINAL 400 L, CAPACIDADE DE MISTURA 310 L, MOTOR A GASOLINA POTENCIA 5,5 CV, SEM CARREGADOR</v>
          </cell>
          <cell r="C508" t="str">
            <v xml:space="preserve">UN    </v>
          </cell>
          <cell r="D508">
            <v>4671.91</v>
          </cell>
        </row>
        <row r="509">
          <cell r="A509">
            <v>25975</v>
          </cell>
          <cell r="B509" t="str">
            <v>BETONEIRA CAPACIDADE NOMINAL 600 L, CAPACIDADE DE MISTURA 440 L, MOTOR A GASOLINA POTENCIA 10 HP, COM CARREGADOR</v>
          </cell>
          <cell r="C509" t="str">
            <v xml:space="preserve">UN    </v>
          </cell>
          <cell r="D509">
            <v>20320.93</v>
          </cell>
        </row>
        <row r="510">
          <cell r="A510">
            <v>36396</v>
          </cell>
          <cell r="B510" t="str">
            <v>BETONEIRA, CAPACIDADE NOMINAL 400 L, CAPACIDADE DE MISTURA 310L, MOTOR ELETRICO TRIFASICO 220/380V POTENCIA 2 CV, SEM CARREGADOR</v>
          </cell>
          <cell r="C510" t="str">
            <v xml:space="preserve">UN    </v>
          </cell>
          <cell r="D510">
            <v>4273.09</v>
          </cell>
        </row>
        <row r="511">
          <cell r="A511">
            <v>36397</v>
          </cell>
          <cell r="B511" t="str">
            <v>BETONEIRA, CAPACIDADE NOMINAL 600 L, CAPACIDADE DE MISTURA  360L, MOTOR ELETRICO TRIFASICO 220/380V, POTENCIA 4CV, EXCLUSO CARREGADOR</v>
          </cell>
          <cell r="C511" t="str">
            <v xml:space="preserve">UN    </v>
          </cell>
          <cell r="D511">
            <v>15193.22</v>
          </cell>
        </row>
        <row r="512">
          <cell r="A512">
            <v>36398</v>
          </cell>
          <cell r="B512" t="str">
            <v>BETONEIRA, CAPACIDADE NOMINAL 600 L, CAPACIDADE DE MISTURA 440 L, MOTOR A DIESEL POTENCIA 10 CV, COM CARREGADOR</v>
          </cell>
          <cell r="C512" t="str">
            <v xml:space="preserve">UN    </v>
          </cell>
          <cell r="D512">
            <v>18466.09</v>
          </cell>
        </row>
        <row r="513">
          <cell r="A513">
            <v>647</v>
          </cell>
          <cell r="B513" t="str">
            <v>BLASTER, DINAMITADOR OU CABO DE FOGO</v>
          </cell>
          <cell r="C513" t="str">
            <v xml:space="preserve">H     </v>
          </cell>
          <cell r="D513">
            <v>10.31</v>
          </cell>
        </row>
        <row r="514">
          <cell r="A514">
            <v>40920</v>
          </cell>
          <cell r="B514" t="str">
            <v>BLASTER, DINAMITADOR OU CABO DE FOGO (MENSALISTA)</v>
          </cell>
          <cell r="C514" t="str">
            <v xml:space="preserve">MES   </v>
          </cell>
          <cell r="D514">
            <v>1824.35</v>
          </cell>
        </row>
        <row r="515">
          <cell r="A515">
            <v>7266</v>
          </cell>
          <cell r="B515" t="str">
            <v>BLOCO CERAMICO (ALVENARIA DE VEDACAO), DE 9 X 19 X 19 CM</v>
          </cell>
          <cell r="C515" t="str">
            <v xml:space="preserve">MIL   </v>
          </cell>
          <cell r="D515">
            <v>599.5</v>
          </cell>
        </row>
        <row r="516">
          <cell r="A516">
            <v>7270</v>
          </cell>
          <cell r="B516" t="str">
            <v>BLOCO CERAMICO (ALVENARIA DE VEDACAO), 4 FUROS, DE 9 X 9 X 19 CM</v>
          </cell>
          <cell r="C516" t="str">
            <v xml:space="preserve">UN    </v>
          </cell>
          <cell r="D516">
            <v>0.56999999999999995</v>
          </cell>
        </row>
        <row r="517">
          <cell r="A517">
            <v>7269</v>
          </cell>
          <cell r="B517" t="str">
            <v>BLOCO CERAMICO (ALVENARIA DE VEDACAO), 6 FUROS, DE 9 X 9 X 19 CM</v>
          </cell>
          <cell r="C517" t="str">
            <v xml:space="preserve">UN    </v>
          </cell>
          <cell r="D517">
            <v>0.4</v>
          </cell>
        </row>
        <row r="518">
          <cell r="A518">
            <v>7271</v>
          </cell>
          <cell r="B518" t="str">
            <v>BLOCO CERAMICO (ALVENARIA DE VEDACAO), 8 FUROS, DE 9 X 19 X 19 CM</v>
          </cell>
          <cell r="C518" t="str">
            <v xml:space="preserve">UN    </v>
          </cell>
          <cell r="D518">
            <v>0.59</v>
          </cell>
        </row>
        <row r="519">
          <cell r="A519">
            <v>7268</v>
          </cell>
          <cell r="B519" t="str">
            <v>BLOCO CERAMICO (ALVENARIA DE VEDACAO), 8 FUROS, DE 9 X 19 X 29 CM</v>
          </cell>
          <cell r="C519" t="str">
            <v xml:space="preserve">UN    </v>
          </cell>
          <cell r="D519">
            <v>0.85</v>
          </cell>
        </row>
        <row r="520">
          <cell r="A520">
            <v>7267</v>
          </cell>
          <cell r="B520" t="str">
            <v>BLOCO CERAMICO (ALVENARIA VEDACAO), 6 FUROS, DE 9 X 14 X 19 CM</v>
          </cell>
          <cell r="C520" t="str">
            <v xml:space="preserve">UN    </v>
          </cell>
          <cell r="D520">
            <v>0.41</v>
          </cell>
        </row>
        <row r="521">
          <cell r="A521">
            <v>38783</v>
          </cell>
          <cell r="B521" t="str">
            <v>BLOCO CERAMICO DE VEDACAO COM FUROS NA HORIZONTAL, 11,5 X 19 X 19 CM - 4,5 MPA (NBR 15270)</v>
          </cell>
          <cell r="C521" t="str">
            <v xml:space="preserve">UN    </v>
          </cell>
          <cell r="D521">
            <v>0.74</v>
          </cell>
        </row>
        <row r="522">
          <cell r="A522">
            <v>37593</v>
          </cell>
          <cell r="B522" t="str">
            <v>BLOCO CERAMICO DE VEDACAO COM FUROS NA VERTICAL, 14 X 19 X 39 CM - 4,5 MPA (NBR 15270)</v>
          </cell>
          <cell r="C522" t="str">
            <v xml:space="preserve">UN    </v>
          </cell>
          <cell r="D522">
            <v>1.96</v>
          </cell>
        </row>
        <row r="523">
          <cell r="A523">
            <v>37594</v>
          </cell>
          <cell r="B523" t="str">
            <v>BLOCO CERAMICO DE VEDACAO COM FUROS NA VERTICAL, 19 X 19 X 39 CM - 4,5 MPA (NBR 15270)</v>
          </cell>
          <cell r="C523" t="str">
            <v xml:space="preserve">UN    </v>
          </cell>
          <cell r="D523">
            <v>2.39</v>
          </cell>
        </row>
        <row r="524">
          <cell r="A524">
            <v>37592</v>
          </cell>
          <cell r="B524" t="str">
            <v>BLOCO CERAMICO DE VEDACAO COM FUROS NA VERTICAL, 9 X 19 X 39 CM - 4,5 MPA (NBR 15270)</v>
          </cell>
          <cell r="C524" t="str">
            <v xml:space="preserve">UN    </v>
          </cell>
          <cell r="D524">
            <v>1.46</v>
          </cell>
        </row>
        <row r="525">
          <cell r="A525">
            <v>34556</v>
          </cell>
          <cell r="B525" t="str">
            <v>BLOCO CONCRETO ESTRUTURAL 14 X 19 X 29 CM, FBK 10 MPA (NBR 6136)</v>
          </cell>
          <cell r="C525" t="str">
            <v xml:space="preserve">UN    </v>
          </cell>
          <cell r="D525">
            <v>2.77</v>
          </cell>
        </row>
        <row r="526">
          <cell r="A526">
            <v>37873</v>
          </cell>
          <cell r="B526" t="str">
            <v>BLOCO CONCRETO ESTRUTURAL 14 X 19 X 29 CM, FBK 12 MPA  (NBR 6136)</v>
          </cell>
          <cell r="C526" t="str">
            <v xml:space="preserve">UN    </v>
          </cell>
          <cell r="D526">
            <v>3.03</v>
          </cell>
        </row>
        <row r="527">
          <cell r="A527">
            <v>34564</v>
          </cell>
          <cell r="B527" t="str">
            <v>BLOCO CONCRETO ESTRUTURAL 14 X 19 X 29 CM, FBK 14 MPA (NBR 6136)</v>
          </cell>
          <cell r="C527" t="str">
            <v xml:space="preserve">UN    </v>
          </cell>
          <cell r="D527">
            <v>3.47</v>
          </cell>
        </row>
        <row r="528">
          <cell r="A528">
            <v>34565</v>
          </cell>
          <cell r="B528" t="str">
            <v>BLOCO CONCRETO ESTRUTURAL 14 X 19 X 29 CM, FBK 16 MPA (NBR 6136)</v>
          </cell>
          <cell r="C528" t="str">
            <v xml:space="preserve">UN    </v>
          </cell>
          <cell r="D528">
            <v>4</v>
          </cell>
        </row>
        <row r="529">
          <cell r="A529">
            <v>38590</v>
          </cell>
          <cell r="B529" t="str">
            <v>BLOCO CONCRETO ESTRUTURAL 14 X 19 X 29 CM, FBK 4,5 MPA (NBR 6136)</v>
          </cell>
          <cell r="C529" t="str">
            <v xml:space="preserve">UN    </v>
          </cell>
          <cell r="D529">
            <v>2.3199999999999998</v>
          </cell>
        </row>
        <row r="530">
          <cell r="A530">
            <v>34566</v>
          </cell>
          <cell r="B530" t="str">
            <v>BLOCO CONCRETO ESTRUTURAL 14 X 19 X 29 CM, FBK 6 MPA (NBR 6136)</v>
          </cell>
          <cell r="C530" t="str">
            <v xml:space="preserve">UN    </v>
          </cell>
          <cell r="D530">
            <v>2.17</v>
          </cell>
        </row>
        <row r="531">
          <cell r="A531">
            <v>34567</v>
          </cell>
          <cell r="B531" t="str">
            <v>BLOCO CONCRETO ESTRUTURAL 14 X 19 X 29 CM, FBK 8 MPA (NBR 6136)</v>
          </cell>
          <cell r="C531" t="str">
            <v xml:space="preserve">UN    </v>
          </cell>
          <cell r="D531">
            <v>2.4300000000000002</v>
          </cell>
        </row>
        <row r="532">
          <cell r="A532">
            <v>38591</v>
          </cell>
          <cell r="B532" t="str">
            <v>BLOCO CONCRETO ESTRUTURAL 14 X 19 X 34 CM, FBK 4,5 MPA (NBR 6136)</v>
          </cell>
          <cell r="C532" t="str">
            <v xml:space="preserve">UN    </v>
          </cell>
          <cell r="D532">
            <v>2.63</v>
          </cell>
        </row>
        <row r="533">
          <cell r="A533">
            <v>34568</v>
          </cell>
          <cell r="B533" t="str">
            <v>BLOCO CONCRETO ESTRUTURAL 14 X 19 X 39 CM, FBK 10 MPA (NBR 6136)</v>
          </cell>
          <cell r="C533" t="str">
            <v xml:space="preserve">UN    </v>
          </cell>
          <cell r="D533">
            <v>3.18</v>
          </cell>
        </row>
        <row r="534">
          <cell r="A534">
            <v>34569</v>
          </cell>
          <cell r="B534" t="str">
            <v>BLOCO CONCRETO ESTRUTURAL 14 X 19 X 39 CM, FBK 12 MPA (NBR 6136)</v>
          </cell>
          <cell r="C534" t="str">
            <v xml:space="preserve">UN    </v>
          </cell>
          <cell r="D534">
            <v>3.25</v>
          </cell>
        </row>
        <row r="535">
          <cell r="A535">
            <v>34570</v>
          </cell>
          <cell r="B535" t="str">
            <v>BLOCO CONCRETO ESTRUTURAL 14 X 19 X 39 CM, FBK 14 MPA (NBR 6136)</v>
          </cell>
          <cell r="C535" t="str">
            <v xml:space="preserve">UN    </v>
          </cell>
          <cell r="D535">
            <v>3.48</v>
          </cell>
        </row>
        <row r="536">
          <cell r="A536">
            <v>25070</v>
          </cell>
          <cell r="B536" t="str">
            <v>BLOCO CONCRETO ESTRUTURAL 14 X 19 X 39 CM, FBK 4,5 MPA (NBR 6136)</v>
          </cell>
          <cell r="C536" t="str">
            <v xml:space="preserve">UN    </v>
          </cell>
          <cell r="D536">
            <v>2.66</v>
          </cell>
        </row>
        <row r="537">
          <cell r="A537">
            <v>34571</v>
          </cell>
          <cell r="B537" t="str">
            <v>BLOCO CONCRETO ESTRUTURAL 14 X 19 X 39 CM, FBK 6 MPA (NBR 6136)</v>
          </cell>
          <cell r="C537" t="str">
            <v xml:space="preserve">UN    </v>
          </cell>
          <cell r="D537">
            <v>2.71</v>
          </cell>
        </row>
        <row r="538">
          <cell r="A538">
            <v>34573</v>
          </cell>
          <cell r="B538" t="str">
            <v>BLOCO CONCRETO ESTRUTURAL 14 X 19 X 39 CM, FBK 8 MPA (NBR 6136)</v>
          </cell>
          <cell r="C538" t="str">
            <v xml:space="preserve">UN    </v>
          </cell>
          <cell r="D538">
            <v>2.86</v>
          </cell>
        </row>
        <row r="539">
          <cell r="A539">
            <v>37107</v>
          </cell>
          <cell r="B539" t="str">
            <v>BLOCO CONCRETO ESTRUTURAL 14 X 19 X 39, FCK 16 MPA - NBR 6136/2007</v>
          </cell>
          <cell r="C539" t="str">
            <v xml:space="preserve">UN    </v>
          </cell>
          <cell r="D539">
            <v>4.22</v>
          </cell>
        </row>
        <row r="540">
          <cell r="A540">
            <v>34576</v>
          </cell>
          <cell r="B540" t="str">
            <v>BLOCO CONCRETO ESTRUTURAL 19 X 19 X 39 CM, FBK 10 MPA (NBR 6136)</v>
          </cell>
          <cell r="C540" t="str">
            <v xml:space="preserve">UN    </v>
          </cell>
          <cell r="D540">
            <v>3.96</v>
          </cell>
        </row>
        <row r="541">
          <cell r="A541">
            <v>34577</v>
          </cell>
          <cell r="B541" t="str">
            <v>BLOCO CONCRETO ESTRUTURAL 19 X 19 X 39 CM, FBK 12 MPA (NBR 6136)</v>
          </cell>
          <cell r="C541" t="str">
            <v xml:space="preserve">UN    </v>
          </cell>
          <cell r="D541">
            <v>4.22</v>
          </cell>
        </row>
        <row r="542">
          <cell r="A542">
            <v>34578</v>
          </cell>
          <cell r="B542" t="str">
            <v>BLOCO CONCRETO ESTRUTURAL 19 X 19 X 39 CM, FBK 14 MPA (NBR 6136)</v>
          </cell>
          <cell r="C542" t="str">
            <v xml:space="preserve">UN    </v>
          </cell>
          <cell r="D542">
            <v>4.6900000000000004</v>
          </cell>
        </row>
        <row r="543">
          <cell r="A543">
            <v>34579</v>
          </cell>
          <cell r="B543" t="str">
            <v>BLOCO CONCRETO ESTRUTURAL 19 X 19 X 39 CM, FBK 16 MPA (NBR 6136)</v>
          </cell>
          <cell r="C543" t="str">
            <v xml:space="preserve">UN    </v>
          </cell>
          <cell r="D543">
            <v>6</v>
          </cell>
        </row>
        <row r="544">
          <cell r="A544">
            <v>25067</v>
          </cell>
          <cell r="B544" t="str">
            <v>BLOCO CONCRETO ESTRUTURAL 19 X 19 X 39 CM, FBK 4,5 MPA (NBR 6136)</v>
          </cell>
          <cell r="C544" t="str">
            <v xml:space="preserve">UN    </v>
          </cell>
          <cell r="D544">
            <v>3.47</v>
          </cell>
        </row>
        <row r="545">
          <cell r="A545">
            <v>34580</v>
          </cell>
          <cell r="B545" t="str">
            <v>BLOCO CONCRETO ESTRUTURAL 19 X 19 X 39 CM, FBK 8 MPA (NBR 6136)</v>
          </cell>
          <cell r="C545" t="str">
            <v xml:space="preserve">UN    </v>
          </cell>
          <cell r="D545">
            <v>3.77</v>
          </cell>
        </row>
        <row r="546">
          <cell r="A546">
            <v>25071</v>
          </cell>
          <cell r="B546" t="str">
            <v>BLOCO CONCRETO ESTRUTURAL 9 X 19 X 39 CM, FBK 4,5 MPA (NBR 6136)</v>
          </cell>
          <cell r="C546" t="str">
            <v xml:space="preserve">UN    </v>
          </cell>
          <cell r="D546">
            <v>1.82</v>
          </cell>
        </row>
        <row r="547">
          <cell r="A547">
            <v>38395</v>
          </cell>
          <cell r="B547" t="str">
            <v>BLOCO DE ESPUMA MULTIUSO *23 X 13 X 8* CM</v>
          </cell>
          <cell r="C547" t="str">
            <v xml:space="preserve">UN    </v>
          </cell>
          <cell r="D547">
            <v>6.65</v>
          </cell>
        </row>
        <row r="548">
          <cell r="A548">
            <v>34583</v>
          </cell>
          <cell r="B548" t="str">
            <v>BLOCO DE GESSO COMPACTO, BRANCO, E = 10 CM, *67 X 50* CM</v>
          </cell>
          <cell r="C548" t="str">
            <v xml:space="preserve">M2    </v>
          </cell>
          <cell r="D548">
            <v>66.84</v>
          </cell>
        </row>
        <row r="549">
          <cell r="A549">
            <v>34584</v>
          </cell>
          <cell r="B549" t="str">
            <v>BLOCO DE GESSO VAZADO BRANCO, E = *7* CM, *67 X 50* CM</v>
          </cell>
          <cell r="C549" t="str">
            <v xml:space="preserve">M2    </v>
          </cell>
          <cell r="D549">
            <v>37.409999999999997</v>
          </cell>
        </row>
        <row r="550">
          <cell r="A550">
            <v>709</v>
          </cell>
          <cell r="B550" t="str">
            <v>BLOCO DE POLIETILENO ALTA DENSIDADE, *27* X *30* X *100* CM, ACOMPANHADOS PLACAS  TERMINAIS  E LONGARINAS, PARA FUNDO DE FILTRO</v>
          </cell>
          <cell r="C550" t="str">
            <v xml:space="preserve">M2    </v>
          </cell>
          <cell r="D550">
            <v>475.78</v>
          </cell>
        </row>
        <row r="551">
          <cell r="A551">
            <v>716</v>
          </cell>
          <cell r="B551" t="str">
            <v>BLOCO DE VIDRO INCOLOR XADREZ, DE *20 X 20 X 10* CM</v>
          </cell>
          <cell r="C551" t="str">
            <v xml:space="preserve">UN    </v>
          </cell>
          <cell r="D551">
            <v>15.06</v>
          </cell>
        </row>
        <row r="552">
          <cell r="A552">
            <v>715</v>
          </cell>
          <cell r="B552" t="str">
            <v>BLOCO DE VIDRO INCOLOR, CANELADO, DE *19 X 19 X 8* CM</v>
          </cell>
          <cell r="C552" t="str">
            <v xml:space="preserve">UN    </v>
          </cell>
          <cell r="D552">
            <v>14.9</v>
          </cell>
        </row>
        <row r="553">
          <cell r="A553">
            <v>718</v>
          </cell>
          <cell r="B553" t="str">
            <v>BLOCO DE VIDRO/ELEMENTO VAZADO INCOLOR, VENEZIANA, DE *20 X 20 X 6* CM</v>
          </cell>
          <cell r="C553" t="str">
            <v xml:space="preserve">UN    </v>
          </cell>
          <cell r="D553">
            <v>22.2</v>
          </cell>
        </row>
        <row r="554">
          <cell r="A554">
            <v>11981</v>
          </cell>
          <cell r="B554" t="str">
            <v>BLOCO DE VIDRO/ELEMENTO VAZADO, INCOLOR, VENEZIANA, *20 X 10 X 8* CM</v>
          </cell>
          <cell r="C554" t="str">
            <v xml:space="preserve">UN    </v>
          </cell>
          <cell r="D554">
            <v>15.22</v>
          </cell>
        </row>
        <row r="555">
          <cell r="A555">
            <v>10610</v>
          </cell>
          <cell r="B555" t="str">
            <v>BLOCO ESTRUTURAL CERAMICO - 14 X 19 X 29 CM - 4,0 MPA -  NBR 15270</v>
          </cell>
          <cell r="C555" t="str">
            <v xml:space="preserve">UN    </v>
          </cell>
          <cell r="D555">
            <v>1.62</v>
          </cell>
        </row>
        <row r="556">
          <cell r="A556">
            <v>34585</v>
          </cell>
          <cell r="B556" t="str">
            <v>BLOCO ESTRUTURAL CERAMICO 14 X 19 X 29 CM, 3,0 MPA (NBR 15270)</v>
          </cell>
          <cell r="C556" t="str">
            <v xml:space="preserve">UN    </v>
          </cell>
          <cell r="D556">
            <v>1.64</v>
          </cell>
        </row>
        <row r="557">
          <cell r="A557">
            <v>34586</v>
          </cell>
          <cell r="B557" t="str">
            <v>BLOCO ESTRUTURAL CERAMICO 14 X 19 X 29 CM, 6,0 MPA (NBR 15270)</v>
          </cell>
          <cell r="C557" t="str">
            <v xml:space="preserve">UN    </v>
          </cell>
          <cell r="D557">
            <v>1.66</v>
          </cell>
        </row>
        <row r="558">
          <cell r="A558">
            <v>38603</v>
          </cell>
          <cell r="B558" t="str">
            <v>BLOCO ESTRUTURAL CERAMICO 14 X 19 X 34 CM, 6,0 MPA (NBR 15270)</v>
          </cell>
          <cell r="C558" t="str">
            <v xml:space="preserve">UN    </v>
          </cell>
          <cell r="D558">
            <v>1.93</v>
          </cell>
        </row>
        <row r="559">
          <cell r="A559">
            <v>34588</v>
          </cell>
          <cell r="B559" t="str">
            <v>BLOCO ESTRUTURAL CERAMICO 14 X 19 X 39 CM, 6,0 MPA (NBR 15270)</v>
          </cell>
          <cell r="C559" t="str">
            <v xml:space="preserve">UN    </v>
          </cell>
          <cell r="D559">
            <v>2.14</v>
          </cell>
        </row>
        <row r="560">
          <cell r="A560">
            <v>34590</v>
          </cell>
          <cell r="B560" t="str">
            <v>BLOCO ESTRUTURAL CERAMICO 19 X 19 X 29 CM, 6,0 MPA (NBR 15270)</v>
          </cell>
          <cell r="C560" t="str">
            <v xml:space="preserve">UN    </v>
          </cell>
          <cell r="D560">
            <v>2.31</v>
          </cell>
        </row>
        <row r="561">
          <cell r="A561">
            <v>34591</v>
          </cell>
          <cell r="B561" t="str">
            <v>BLOCO ESTRUTURAL CERAMICO 19 X 19 X 39 CM, 6,0 MPA (NBR 15270)</v>
          </cell>
          <cell r="C561" t="str">
            <v xml:space="preserve">UN    </v>
          </cell>
          <cell r="D561">
            <v>2.88</v>
          </cell>
        </row>
        <row r="562">
          <cell r="A562">
            <v>37103</v>
          </cell>
          <cell r="B562" t="str">
            <v>BLOCO VEDACAO CONCRETO APARENTE 14 X 19 X 39 CM (CLASSE C - NBR 6136)</v>
          </cell>
          <cell r="C562" t="str">
            <v xml:space="preserve">UN    </v>
          </cell>
          <cell r="D562">
            <v>2.2599999999999998</v>
          </cell>
        </row>
        <row r="563">
          <cell r="A563">
            <v>34555</v>
          </cell>
          <cell r="B563" t="str">
            <v>BLOCO VEDACAO CONCRETO APARENTE 19 X 19 X 39 CM  (CLASSE C - NBR 6136)</v>
          </cell>
          <cell r="C563" t="str">
            <v xml:space="preserve">UN    </v>
          </cell>
          <cell r="D563">
            <v>2.84</v>
          </cell>
        </row>
        <row r="564">
          <cell r="A564">
            <v>34599</v>
          </cell>
          <cell r="B564" t="str">
            <v>BLOCO VEDACAO CONCRETO APARENTE 9 X 19 X 39 CM (CLASSE C - NBR 6136)</v>
          </cell>
          <cell r="C564" t="str">
            <v xml:space="preserve">UN    </v>
          </cell>
          <cell r="D564">
            <v>2.0299999999999998</v>
          </cell>
        </row>
        <row r="565">
          <cell r="A565">
            <v>674</v>
          </cell>
          <cell r="B565" t="str">
            <v>BLOCO VEDACAO CONCRETO CELULAR AUTOCLAVADO 10 X 30 X 60 CM (E X A X C)</v>
          </cell>
          <cell r="C565" t="str">
            <v xml:space="preserve">M2    </v>
          </cell>
          <cell r="D565">
            <v>43.85</v>
          </cell>
        </row>
        <row r="566">
          <cell r="A566">
            <v>34600</v>
          </cell>
          <cell r="B566" t="str">
            <v>BLOCO VEDACAO CONCRETO CELULAR AUTOCLAVADO 15 X 30 X 60 CM (E X A X C)</v>
          </cell>
          <cell r="C566" t="str">
            <v xml:space="preserve">M2    </v>
          </cell>
          <cell r="D566">
            <v>71.25</v>
          </cell>
        </row>
        <row r="567">
          <cell r="A567">
            <v>652</v>
          </cell>
          <cell r="B567" t="str">
            <v>BLOCO VEDACAO CONCRETO CELULAR AUTOCLAVADO 20 X 30 X 60 CM</v>
          </cell>
          <cell r="C567" t="str">
            <v xml:space="preserve">M2    </v>
          </cell>
          <cell r="D567">
            <v>90.74</v>
          </cell>
        </row>
        <row r="568">
          <cell r="A568">
            <v>34592</v>
          </cell>
          <cell r="B568" t="str">
            <v>BLOCO VEDACAO CONCRETO 14 X 19 X 29 CM (CLASSE C - NBR 6136)</v>
          </cell>
          <cell r="C568" t="str">
            <v xml:space="preserve">UN    </v>
          </cell>
          <cell r="D568">
            <v>1.93</v>
          </cell>
        </row>
        <row r="569">
          <cell r="A569">
            <v>651</v>
          </cell>
          <cell r="B569" t="str">
            <v>BLOCO VEDACAO CONCRETO 14 X 19 X 39 CM (CLASSE C - NBR 6136)</v>
          </cell>
          <cell r="C569" t="str">
            <v xml:space="preserve">UN    </v>
          </cell>
          <cell r="D569">
            <v>2.21</v>
          </cell>
        </row>
        <row r="570">
          <cell r="A570">
            <v>654</v>
          </cell>
          <cell r="B570" t="str">
            <v>BLOCO VEDACAO CONCRETO 19 X 19 X 39 CM (CLASSE C - NBR 6136)</v>
          </cell>
          <cell r="C570" t="str">
            <v xml:space="preserve">UN    </v>
          </cell>
          <cell r="D570">
            <v>2.85</v>
          </cell>
        </row>
        <row r="571">
          <cell r="A571">
            <v>650</v>
          </cell>
          <cell r="B571" t="str">
            <v>BLOCO VEDACAO CONCRETO 9 X 19 X 39 CM (CLASSE C - NBR 6136)</v>
          </cell>
          <cell r="C571" t="str">
            <v xml:space="preserve">UN    </v>
          </cell>
          <cell r="D571">
            <v>1.88</v>
          </cell>
        </row>
        <row r="572">
          <cell r="A572">
            <v>40517</v>
          </cell>
          <cell r="B572" t="str">
            <v>BLOQUETE/PISO DE CONCRETO - MODELO BLOCO PISOGRAMA/CONCREGRAMA 2 FUROS, *35  CM X 15* CM, E =  *6* CM, COR NATURAL</v>
          </cell>
          <cell r="C572" t="str">
            <v xml:space="preserve">M2    </v>
          </cell>
          <cell r="D572">
            <v>51.53</v>
          </cell>
        </row>
        <row r="573">
          <cell r="A573">
            <v>40520</v>
          </cell>
          <cell r="B573" t="str">
            <v>BLOQUETE/PISO DE CONCRETO - MODELO BLOCO PISOGRAMA/CONCREGRAMA 2 FUROS, *35  CM X 15* CM, E =  *8* CM, COR NATURAL</v>
          </cell>
          <cell r="C573" t="str">
            <v xml:space="preserve">M2    </v>
          </cell>
          <cell r="D573">
            <v>53.98</v>
          </cell>
        </row>
        <row r="574">
          <cell r="A574">
            <v>40515</v>
          </cell>
          <cell r="B574" t="str">
            <v>BLOQUETE/PISO DE CONCRETO - MODELO PISOGRAMA/CONCREGRAMA/PAVI-GRADE/GRAMEIRO, *60  CM X 45* CM, E =  *7* CM, COR NATURAL</v>
          </cell>
          <cell r="C574" t="str">
            <v xml:space="preserve">M2    </v>
          </cell>
          <cell r="D574">
            <v>65.17</v>
          </cell>
        </row>
        <row r="575">
          <cell r="A575">
            <v>40516</v>
          </cell>
          <cell r="B575" t="str">
            <v>BLOQUETE/PISO DE CONCRETO - MODELO PISOGRAMA/CONCREGRAMA/PAVI-GRADE/GRAMEIRO, *60  CM X 45* CM, E =  *9* CM, COR NATURAL</v>
          </cell>
          <cell r="C575" t="str">
            <v xml:space="preserve">M2    </v>
          </cell>
          <cell r="D575">
            <v>77.62</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v>60.61</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v>45.4</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v>55.21</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v>47.85</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v>42.39</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v>56.32</v>
          </cell>
        </row>
        <row r="582">
          <cell r="A582">
            <v>695</v>
          </cell>
          <cell r="B582" t="str">
            <v>BLOQUETE/PISO INTERTRAVADO DE CONCRETO - MODELO RAQUETE, *22 CM X 13,5* CM, E = 6 CM, RESISTENCIA DE 35 MPA (NBR 9781), COR NATURAL</v>
          </cell>
          <cell r="C582" t="str">
            <v xml:space="preserve">M2    </v>
          </cell>
          <cell r="D582">
            <v>41.63</v>
          </cell>
        </row>
        <row r="583">
          <cell r="A583">
            <v>679</v>
          </cell>
          <cell r="B583" t="str">
            <v>BLOQUETE/PISO INTERTRAVADO DE CONCRETO - MODELO SEXTAVADO, 25 CM X 25 CM, E = 10 CM, RESISTENCIA DE 35 MPA (NBR 9781), COR NATURAL</v>
          </cell>
          <cell r="C583" t="str">
            <v xml:space="preserve">M2    </v>
          </cell>
          <cell r="D583">
            <v>57.05</v>
          </cell>
        </row>
        <row r="584">
          <cell r="A584">
            <v>711</v>
          </cell>
          <cell r="B584" t="str">
            <v>BLOQUETE/PISO INTERTRAVADO DE CONCRETO - MODELO SEXTAVADO, 25 CM X 25 CM, E = 6 CM, RESISTENCIA DE 35 MPA (NBR 9781), COR NATURAL</v>
          </cell>
          <cell r="C584" t="str">
            <v xml:space="preserve">M2    </v>
          </cell>
          <cell r="D584">
            <v>43.55</v>
          </cell>
        </row>
        <row r="585">
          <cell r="A585">
            <v>712</v>
          </cell>
          <cell r="B585" t="str">
            <v>BLOQUETE/PISO INTERTRAVADO DE CONCRETO - MODELO SEXTAVADO, 25 CM X 25 CM, E = 8 CM, RESISTENCIA DE 35 MPA (NBR 9781), COR NATURAL</v>
          </cell>
          <cell r="C585" t="str">
            <v xml:space="preserve">M2    </v>
          </cell>
          <cell r="D585">
            <v>45.4</v>
          </cell>
        </row>
        <row r="586">
          <cell r="A586">
            <v>12614</v>
          </cell>
          <cell r="B586" t="str">
            <v>BOCAL PVC, PARA CALHA PLUVIAL, DIAMETRO DA SAIDA ENTRE 80 E 100 MM, PARA DRENAGEM PREDIAL</v>
          </cell>
          <cell r="C586" t="str">
            <v xml:space="preserve">UN    </v>
          </cell>
          <cell r="D586">
            <v>17.2</v>
          </cell>
        </row>
        <row r="587">
          <cell r="A587">
            <v>6140</v>
          </cell>
          <cell r="B587" t="str">
            <v>BOLSA DE LIGACAO EM PVC FLEXIVEL PARA VASO SANITARIO 1.1/2 " (40 MM)</v>
          </cell>
          <cell r="C587" t="str">
            <v xml:space="preserve">UN    </v>
          </cell>
          <cell r="D587">
            <v>2.6</v>
          </cell>
        </row>
        <row r="588">
          <cell r="A588">
            <v>38399</v>
          </cell>
          <cell r="B588" t="str">
            <v>BOLSA DE LONA PARA FERRAMENTAS *50 X 35 X 25* CM</v>
          </cell>
          <cell r="C588" t="str">
            <v xml:space="preserve">UN    </v>
          </cell>
          <cell r="D588">
            <v>148.16</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v>1626.88</v>
          </cell>
        </row>
        <row r="590">
          <cell r="A590">
            <v>736</v>
          </cell>
          <cell r="B590" t="str">
            <v>BOMBA CENTRIFUGA  MOTOR ELETRICO TRIFASICO 2,96HP, DIAMETRO DE SUCCAO X ELEVACAO 1 1/2" X 1 1/4", DIAMETRO DO ROTOR 148 MM, HM/Q: 34 M / 14,80 M3/H A 40 M / 8,60 M3/H</v>
          </cell>
          <cell r="C590" t="str">
            <v xml:space="preserve">UN    </v>
          </cell>
          <cell r="D590">
            <v>1367.91</v>
          </cell>
        </row>
        <row r="591">
          <cell r="A591">
            <v>729</v>
          </cell>
          <cell r="B591" t="str">
            <v>BOMBA CENTRIFUGA COM MOTOR ELETRICO MONOFASICO, POTENCIA 0,33 HP,  BOCAIS 1" X 3/4", DIAMETRO DO ROTOR 99 MM, HM/Q = 4 MCA / 8,5 M3/H A 18 MCA / 0,90 M3/H</v>
          </cell>
          <cell r="C591" t="str">
            <v xml:space="preserve">UN    </v>
          </cell>
          <cell r="D591">
            <v>557.44000000000005</v>
          </cell>
        </row>
        <row r="592">
          <cell r="A592">
            <v>39925</v>
          </cell>
          <cell r="B592" t="str">
            <v>BOMBA CENTRIFUGA MONOESTAGIO COM MOTOR ELETRICO MONOFASICO, POTENCIA 15 HP,  DIAMETRO DO ROTOR *173* MM, HM/Q = *30* MCA / *90* M3/H A *45* MCA / *55* M3/H</v>
          </cell>
          <cell r="C592" t="str">
            <v xml:space="preserve">UN    </v>
          </cell>
          <cell r="D592">
            <v>8054.95</v>
          </cell>
        </row>
        <row r="593">
          <cell r="A593">
            <v>731</v>
          </cell>
          <cell r="B593" t="str">
            <v>BOMBA CENTRIFUGA MOTOR ELETRICO MONOFASICO 0,49 HP  BOCAIS 1" X 3/4", DIAMETRO DO ROTOR 110 MM, HM/Q: 6 M / 8,3 M3/H A 20 M / 1,2 M3/H</v>
          </cell>
          <cell r="C593" t="str">
            <v xml:space="preserve">UN    </v>
          </cell>
          <cell r="D593">
            <v>542.52</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v>846.65</v>
          </cell>
        </row>
        <row r="595">
          <cell r="A595">
            <v>733</v>
          </cell>
          <cell r="B595" t="str">
            <v>BOMBA CENTRIFUGA MOTOR ELETRICO MONOFASICO 0,74HP  DIAMETRO DE SUCCAO X ELEVACAO 1 1/4" X 1", DIAMETRO DO ROTOR 120 MM, HM/Q: 8 M / 7,70 M3/H A 24 M / 2,80 M3/H</v>
          </cell>
          <cell r="C595" t="str">
            <v xml:space="preserve">UN    </v>
          </cell>
          <cell r="D595">
            <v>926.98</v>
          </cell>
        </row>
        <row r="596">
          <cell r="A596">
            <v>732</v>
          </cell>
          <cell r="B596" t="str">
            <v>BOMBA CENTRIFUGA MOTOR ELETRICO TRIFASICO 0,99HP  DIAMETRO DE SUCCAO X ELEVACAO 1" X 1", DIAMETRO DO ROTOR 145 MM, HM/Q: 14 M / 8,4 M3/H A 40 M / 0,60 M3/H</v>
          </cell>
          <cell r="C596" t="str">
            <v xml:space="preserve">UN    </v>
          </cell>
          <cell r="D596">
            <v>914.52</v>
          </cell>
        </row>
        <row r="597">
          <cell r="A597">
            <v>737</v>
          </cell>
          <cell r="B597" t="str">
            <v>BOMBA CENTRIFUGA MOTOR ELETRICO TRIFASICO 14,8 HP, DIAMETRO DE SUCCAO X ELEVACAO 2 1/2" X 2", DIAMETRO DO ROTOR 195 MM, HM/Q: 62 M / 55,5 M3/H A 80 M / 31,50 M3/H</v>
          </cell>
          <cell r="C597" t="str">
            <v xml:space="preserve">UN    </v>
          </cell>
          <cell r="D597">
            <v>5128.3500000000004</v>
          </cell>
        </row>
        <row r="598">
          <cell r="A598">
            <v>738</v>
          </cell>
          <cell r="B598" t="str">
            <v>BOMBA CENTRIFUGA MOTOR ELETRICO TRIFASICO 5HP, DIAMETRO DE SUCCAO X ELEVACAO 2" X 1 1/2", DIAMETRO DO ROTOR 155 MM, HM/Q: 40 M / 20,40 M3/H A 46 M / 9,20 M3/H</v>
          </cell>
          <cell r="C598" t="str">
            <v xml:space="preserve">UN    </v>
          </cell>
          <cell r="D598">
            <v>2377.98</v>
          </cell>
        </row>
        <row r="599">
          <cell r="A599">
            <v>740</v>
          </cell>
          <cell r="B599" t="str">
            <v>BOMBA CENTRIFUGA MOTOR ELETRICO TRIFASICO 9,86 DIAMETRO DE SUCCAO X ELEVACAO 1" X 1", 4 ESTAGIOS, DIAMETRO DOS ROTORES 4 X 146 MM, HM/Q: 85 M / 14,9 M3/H A 140 M / 4,2 M3/H</v>
          </cell>
          <cell r="C599" t="str">
            <v xml:space="preserve">UN    </v>
          </cell>
          <cell r="D599">
            <v>4824.43</v>
          </cell>
        </row>
        <row r="600">
          <cell r="A600">
            <v>734</v>
          </cell>
          <cell r="B600" t="str">
            <v>BOMBA CENTRIFUGA,  MOTOR ELETRICO TRIFASICO 1,48HP  DIAMETRO DE SUCCAO X ELEVACAO 1 1/2" X 1", DIAMETRO DO ROTOR 117 MM, HM/Q: 10 M / 21,9 M3/H A 24 M / 6,1 M3/H</v>
          </cell>
          <cell r="C600" t="str">
            <v xml:space="preserve">UN    </v>
          </cell>
          <cell r="D600">
            <v>980.36</v>
          </cell>
        </row>
        <row r="601">
          <cell r="A601">
            <v>39008</v>
          </cell>
          <cell r="B601" t="str">
            <v>BOMBA DE PROJECAO DE CONCRETO SECO, POTENCIA 10 CV, VAZAO 3 M3/H</v>
          </cell>
          <cell r="C601" t="str">
            <v xml:space="preserve">UN    </v>
          </cell>
          <cell r="D601">
            <v>45530.79</v>
          </cell>
        </row>
        <row r="602">
          <cell r="A602">
            <v>39009</v>
          </cell>
          <cell r="B602" t="str">
            <v>BOMBA DE PROJECAO DE CONCRETO SECO, POTENCIA 10 CV, VAZAO 6 M3/H</v>
          </cell>
          <cell r="C602" t="str">
            <v xml:space="preserve">UN    </v>
          </cell>
          <cell r="D602">
            <v>48780.6</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v>2805.6</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v>4033.9</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v>6837.8</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v>6491.95</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v>26639.81</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v>9797.6299999999992</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v>29054.28</v>
          </cell>
        </row>
        <row r="610">
          <cell r="A610">
            <v>757</v>
          </cell>
          <cell r="B610" t="str">
            <v>BOMBA SUBMERSIVEL,  ELETRICA, TRIFASICA, POTENCIA 6 HP, DIAMETRO DO ROTOR 127 MM, BOCAL DE SAIDA DIAMETRO DE 3 POLEGADAS, HM/Q = 7 M / 66,90 M3/H A 26 M / 2,88 M3/H</v>
          </cell>
          <cell r="C610" t="str">
            <v xml:space="preserve">UN    </v>
          </cell>
          <cell r="D610">
            <v>13192.5</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v>2912.57</v>
          </cell>
        </row>
        <row r="612">
          <cell r="A612">
            <v>10592</v>
          </cell>
          <cell r="B612" t="str">
            <v>BOMBA SUBMERSIVEL, ELETRICA, TRIFASICA, POTENCIA 0,99 HP, DIAMETRO ROTOR 98 MM SEMIABERTO, BOCAL DE SAIDA DIAMETRO 2 POLEGADAS, HM/Q = 2 M / 28,90 M3/H A 14 M / 7 M3/H</v>
          </cell>
          <cell r="C612" t="str">
            <v xml:space="preserve">UN    </v>
          </cell>
          <cell r="D612">
            <v>3518</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v>4726.21</v>
          </cell>
        </row>
        <row r="614">
          <cell r="A614">
            <v>760</v>
          </cell>
          <cell r="B614" t="str">
            <v>BOMBA SUBMERSIVEL, ELETRICA, TRIFASICA, POTENCIA 13 HP, DIAMETRO DO ROTOR 170 MM, BOCAL DE SAIDA DIAMETRO DE 3 POLEGADAS, HM/Q = 11 M / 68,40 M3/H A 72 M / 3,6 M3/H</v>
          </cell>
          <cell r="C614" t="str">
            <v xml:space="preserve">UN    </v>
          </cell>
          <cell r="D614">
            <v>26385</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v>4155.63</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v>6596.25</v>
          </cell>
        </row>
        <row r="617">
          <cell r="A617">
            <v>14013</v>
          </cell>
          <cell r="B617" t="str">
            <v>BOMBA TRIPLEX COM MOTOR A DIESEL, NACIONAL, DIAMETRO DE SUCCAO DE 2 1/2''</v>
          </cell>
          <cell r="C617" t="str">
            <v xml:space="preserve">UN    </v>
          </cell>
          <cell r="D617">
            <v>138579.32999999999</v>
          </cell>
        </row>
        <row r="618">
          <cell r="A618">
            <v>39917</v>
          </cell>
          <cell r="B618" t="str">
            <v>BOMBA TRIPLEX, PARA INJECAO DE CALDA DE CIMENTO, VAZAO MAXIMA DE *100* LITROS/MINUTO, PRESSAO MAXIMA DE *70* BAR, POTENCIA DE 15 CV</v>
          </cell>
          <cell r="C618" t="str">
            <v xml:space="preserve">UN    </v>
          </cell>
          <cell r="D618">
            <v>69938.58</v>
          </cell>
        </row>
        <row r="619">
          <cell r="A619">
            <v>5081</v>
          </cell>
          <cell r="B619" t="str">
            <v>BORBOLETA EM LATAO FUNDIDO CROMADO, PARA TRAVAR JANELA TIPO GUILHOTINA</v>
          </cell>
          <cell r="C619" t="str">
            <v xml:space="preserve">PAR   </v>
          </cell>
          <cell r="D619">
            <v>20.43</v>
          </cell>
        </row>
        <row r="620">
          <cell r="A620">
            <v>38167</v>
          </cell>
          <cell r="B620" t="str">
            <v>BORBOLETA EM ZAMAC CROMADO, PARA TRAVAR JANELA TIPO GUILHOTINA</v>
          </cell>
          <cell r="C620" t="str">
            <v xml:space="preserve">PAR   </v>
          </cell>
          <cell r="D620">
            <v>17.600000000000001</v>
          </cell>
        </row>
        <row r="621">
          <cell r="A621">
            <v>36145</v>
          </cell>
          <cell r="B621" t="str">
            <v>BOTA DE PVC PRETA, CANO MEDIO, SEM FORRO</v>
          </cell>
          <cell r="C621" t="str">
            <v xml:space="preserve">PAR   </v>
          </cell>
          <cell r="D621">
            <v>32.4</v>
          </cell>
        </row>
        <row r="622">
          <cell r="A622">
            <v>12893</v>
          </cell>
          <cell r="B622" t="str">
            <v>BOTA DE SEGURANCA COM BIQUEIRA DE ACO E COLARINHO ACOLCHOADO</v>
          </cell>
          <cell r="C622" t="str">
            <v xml:space="preserve">PAR   </v>
          </cell>
          <cell r="D622">
            <v>54</v>
          </cell>
        </row>
        <row r="623">
          <cell r="A623">
            <v>11685</v>
          </cell>
          <cell r="B623" t="str">
            <v>BRACO / CANO PARA CHUVEIRO ELETRICO, EM ALUMINIO, 30 CM X 1/2 "</v>
          </cell>
          <cell r="C623" t="str">
            <v xml:space="preserve">UN    </v>
          </cell>
          <cell r="D623">
            <v>22.17</v>
          </cell>
        </row>
        <row r="624">
          <cell r="A624">
            <v>11679</v>
          </cell>
          <cell r="B624" t="str">
            <v>BRACO OU HASTE COM CANOPLA PLASTICA, 1/2 ", PARA CHUVEIRO ELETRICO</v>
          </cell>
          <cell r="C624" t="str">
            <v xml:space="preserve">UN    </v>
          </cell>
          <cell r="D624">
            <v>6.55</v>
          </cell>
        </row>
        <row r="625">
          <cell r="A625">
            <v>11680</v>
          </cell>
          <cell r="B625" t="str">
            <v>BRACO OU HASTE COM CANOPLA PLASTICA, 1/2 ", PARA CHUVEIRO SIMPLES</v>
          </cell>
          <cell r="C625" t="str">
            <v xml:space="preserve">UN    </v>
          </cell>
          <cell r="D625">
            <v>5.4</v>
          </cell>
        </row>
        <row r="626">
          <cell r="A626">
            <v>2512</v>
          </cell>
          <cell r="B626" t="str">
            <v>BRACO P/ LUMINARIA PUBLICA 1 X 1,50M ROMAGNOLE OU EQUIV</v>
          </cell>
          <cell r="C626" t="str">
            <v xml:space="preserve">UN    </v>
          </cell>
          <cell r="D626">
            <v>18.97</v>
          </cell>
        </row>
        <row r="627">
          <cell r="A627">
            <v>4374</v>
          </cell>
          <cell r="B627" t="str">
            <v>BUCHA DE NYLON SEM ABA S10</v>
          </cell>
          <cell r="C627" t="str">
            <v xml:space="preserve">UN    </v>
          </cell>
          <cell r="D627">
            <v>0.18</v>
          </cell>
        </row>
        <row r="628">
          <cell r="A628">
            <v>7568</v>
          </cell>
          <cell r="B628" t="str">
            <v>BUCHA DE NYLON SEM ABA S10, COM PARAFUSO DE 6,10 X 65 MM EM ACO ZINCADO COM ROSCA SOBERBA, CABECA CHATA E FENDA PHILLIPS</v>
          </cell>
          <cell r="C628" t="str">
            <v xml:space="preserve">UN    </v>
          </cell>
          <cell r="D628">
            <v>0.3</v>
          </cell>
        </row>
        <row r="629">
          <cell r="A629">
            <v>7584</v>
          </cell>
          <cell r="B629" t="str">
            <v>BUCHA DE NYLON SEM ABA S12, COM PARAFUSO DE 5/16" X 80 MM EM ACO ZINCADO COM ROSCA SOBERBA E CABECA SEXTAVADA</v>
          </cell>
          <cell r="C629" t="str">
            <v xml:space="preserve">UN    </v>
          </cell>
          <cell r="D629">
            <v>0.46</v>
          </cell>
        </row>
        <row r="630">
          <cell r="A630">
            <v>11945</v>
          </cell>
          <cell r="B630" t="str">
            <v>BUCHA DE NYLON SEM ABA S4</v>
          </cell>
          <cell r="C630" t="str">
            <v xml:space="preserve">UN    </v>
          </cell>
          <cell r="D630">
            <v>0.03</v>
          </cell>
        </row>
        <row r="631">
          <cell r="A631">
            <v>11946</v>
          </cell>
          <cell r="B631" t="str">
            <v>BUCHA DE NYLON SEM ABA S5</v>
          </cell>
          <cell r="C631" t="str">
            <v xml:space="preserve">UN    </v>
          </cell>
          <cell r="D631">
            <v>0.03</v>
          </cell>
        </row>
        <row r="632">
          <cell r="A632">
            <v>4375</v>
          </cell>
          <cell r="B632" t="str">
            <v>BUCHA DE NYLON SEM ABA S6</v>
          </cell>
          <cell r="C632" t="str">
            <v xml:space="preserve">UN    </v>
          </cell>
          <cell r="D632">
            <v>0.05</v>
          </cell>
        </row>
        <row r="633">
          <cell r="A633">
            <v>11950</v>
          </cell>
          <cell r="B633" t="str">
            <v>BUCHA DE NYLON SEM ABA S6, COM PARAFUSO DE 4,20 X 40 MM EM ACO ZINCADO COM ROSCA SOBERBA, CABECA CHATA E FENDA PHILLIPS</v>
          </cell>
          <cell r="C633" t="str">
            <v xml:space="preserve">UN    </v>
          </cell>
          <cell r="D633">
            <v>0.1</v>
          </cell>
        </row>
        <row r="634">
          <cell r="A634">
            <v>4376</v>
          </cell>
          <cell r="B634" t="str">
            <v>BUCHA DE NYLON SEM ABA S8</v>
          </cell>
          <cell r="C634" t="str">
            <v xml:space="preserve">UN    </v>
          </cell>
          <cell r="D634">
            <v>0.09</v>
          </cell>
        </row>
        <row r="635">
          <cell r="A635">
            <v>7583</v>
          </cell>
          <cell r="B635" t="str">
            <v>BUCHA DE NYLON SEM ABA S8, COM PARAFUSO DE 4,80 X 50 MM EM ACO ZINCADO COM ROSCA SOBERBA, CABECA CHATA E FENDA PHILLIPS</v>
          </cell>
          <cell r="C635" t="str">
            <v xml:space="preserve">UN    </v>
          </cell>
          <cell r="D635">
            <v>0.2</v>
          </cell>
        </row>
        <row r="636">
          <cell r="A636">
            <v>4350</v>
          </cell>
          <cell r="B636" t="str">
            <v>BUCHA DE NYLON, DIAMETRO DO FURO 8 MM, COMPRIMENTO 40 MM, COM PARAFUSO DE ROSCA SOBERBA, CABECA CHATA, FENDA SIMPLES, 4,8 X 50 MM</v>
          </cell>
          <cell r="C636" t="str">
            <v xml:space="preserve">UN    </v>
          </cell>
          <cell r="D636">
            <v>0.5</v>
          </cell>
        </row>
        <row r="637">
          <cell r="A637">
            <v>39886</v>
          </cell>
          <cell r="B637" t="str">
            <v>BUCHA DE REDUCAO DE COBRE (REF 600-2) SEM ANEL DE SOLDA, PONTA X BOLSA, 22 X 15 MM</v>
          </cell>
          <cell r="C637" t="str">
            <v xml:space="preserve">UN    </v>
          </cell>
          <cell r="D637">
            <v>3.38</v>
          </cell>
        </row>
        <row r="638">
          <cell r="A638">
            <v>39887</v>
          </cell>
          <cell r="B638" t="str">
            <v>BUCHA DE REDUCAO DE COBRE (REF 600-2) SEM ANEL DE SOLDA, PONTA X BOLSA, 28 X 22 MM</v>
          </cell>
          <cell r="C638" t="str">
            <v xml:space="preserve">UN    </v>
          </cell>
          <cell r="D638">
            <v>5.07</v>
          </cell>
        </row>
        <row r="639">
          <cell r="A639">
            <v>39888</v>
          </cell>
          <cell r="B639" t="str">
            <v>BUCHA DE REDUCAO DE COBRE (REF 600-2) SEM ANEL DE SOLDA, PONTA X BOLSA, 35 X 28 MM</v>
          </cell>
          <cell r="C639" t="str">
            <v xml:space="preserve">UN    </v>
          </cell>
          <cell r="D639">
            <v>11.6</v>
          </cell>
        </row>
        <row r="640">
          <cell r="A640">
            <v>39890</v>
          </cell>
          <cell r="B640" t="str">
            <v>BUCHA DE REDUCAO DE COBRE (REF 600-2) SEM ANEL DE SOLDA, PONTA X BOLSA, 42 X 35 MM</v>
          </cell>
          <cell r="C640" t="str">
            <v xml:space="preserve">UN    </v>
          </cell>
          <cell r="D640">
            <v>19.79</v>
          </cell>
        </row>
        <row r="641">
          <cell r="A641">
            <v>39891</v>
          </cell>
          <cell r="B641" t="str">
            <v>BUCHA DE REDUCAO DE COBRE (REF 600-2) SEM ANEL DE SOLDA, PONTA X BOLSA, 54 X 42 MM</v>
          </cell>
          <cell r="C641" t="str">
            <v xml:space="preserve">UN    </v>
          </cell>
          <cell r="D641">
            <v>27.91</v>
          </cell>
        </row>
        <row r="642">
          <cell r="A642">
            <v>39892</v>
          </cell>
          <cell r="B642" t="str">
            <v>BUCHA DE REDUCAO DE COBRE (REF 600-2) SEM ANEL DE SOLDA, PONTA X BOLSA, 66 X 54 MM</v>
          </cell>
          <cell r="C642" t="str">
            <v xml:space="preserve">UN    </v>
          </cell>
          <cell r="D642">
            <v>87.01</v>
          </cell>
        </row>
        <row r="643">
          <cell r="A643">
            <v>790</v>
          </cell>
          <cell r="B643" t="str">
            <v>BUCHA DE REDUCAO DE FERRO GALVANIZADO, COM ROSCA BSP, DE 1 1/2" X 1 1/4"</v>
          </cell>
          <cell r="C643" t="str">
            <v xml:space="preserve">UN    </v>
          </cell>
          <cell r="D643">
            <v>9.51</v>
          </cell>
        </row>
        <row r="644">
          <cell r="A644">
            <v>766</v>
          </cell>
          <cell r="B644" t="str">
            <v>BUCHA DE REDUCAO DE FERRO GALVANIZADO, COM ROSCA BSP, DE 1 1/2" X 1/2"</v>
          </cell>
          <cell r="C644" t="str">
            <v xml:space="preserve">UN    </v>
          </cell>
          <cell r="D644">
            <v>9.51</v>
          </cell>
        </row>
        <row r="645">
          <cell r="A645">
            <v>791</v>
          </cell>
          <cell r="B645" t="str">
            <v>BUCHA DE REDUCAO DE FERRO GALVANIZADO, COM ROSCA BSP, DE 1 1/2" X 1"</v>
          </cell>
          <cell r="C645" t="str">
            <v xml:space="preserve">UN    </v>
          </cell>
          <cell r="D645">
            <v>9.51</v>
          </cell>
        </row>
        <row r="646">
          <cell r="A646">
            <v>767</v>
          </cell>
          <cell r="B646" t="str">
            <v>BUCHA DE REDUCAO DE FERRO GALVANIZADO, COM ROSCA BSP, DE 1 1/2" X 3/4"</v>
          </cell>
          <cell r="C646" t="str">
            <v xml:space="preserve">UN    </v>
          </cell>
          <cell r="D646">
            <v>9.51</v>
          </cell>
        </row>
        <row r="647">
          <cell r="A647">
            <v>768</v>
          </cell>
          <cell r="B647" t="str">
            <v>BUCHA DE REDUCAO DE FERRO GALVANIZADO, COM ROSCA BSP, DE 1 1/4" X 1/2"</v>
          </cell>
          <cell r="C647" t="str">
            <v xml:space="preserve">UN    </v>
          </cell>
          <cell r="D647">
            <v>7.47</v>
          </cell>
        </row>
        <row r="648">
          <cell r="A648">
            <v>789</v>
          </cell>
          <cell r="B648" t="str">
            <v>BUCHA DE REDUCAO DE FERRO GALVANIZADO, COM ROSCA BSP, DE 1 1/4" X 1"</v>
          </cell>
          <cell r="C648" t="str">
            <v xml:space="preserve">UN    </v>
          </cell>
          <cell r="D648">
            <v>7.31</v>
          </cell>
        </row>
        <row r="649">
          <cell r="A649">
            <v>769</v>
          </cell>
          <cell r="B649" t="str">
            <v>BUCHA DE REDUCAO DE FERRO GALVANIZADO, COM ROSCA BSP, DE 1 1/4" X 3/4"</v>
          </cell>
          <cell r="C649" t="str">
            <v xml:space="preserve">UN    </v>
          </cell>
          <cell r="D649">
            <v>7.47</v>
          </cell>
        </row>
        <row r="650">
          <cell r="A650">
            <v>770</v>
          </cell>
          <cell r="B650" t="str">
            <v>BUCHA DE REDUCAO DE FERRO GALVANIZADO, COM ROSCA BSP, DE 1/2" X 1/4"</v>
          </cell>
          <cell r="C650" t="str">
            <v xml:space="preserve">UN    </v>
          </cell>
          <cell r="D650">
            <v>2.63</v>
          </cell>
        </row>
        <row r="651">
          <cell r="A651">
            <v>12394</v>
          </cell>
          <cell r="B651" t="str">
            <v>BUCHA DE REDUCAO DE FERRO GALVANIZADO, COM ROSCA BSP, DE 1/2" X 3/8"</v>
          </cell>
          <cell r="C651" t="str">
            <v xml:space="preserve">UN    </v>
          </cell>
          <cell r="D651">
            <v>2.63</v>
          </cell>
        </row>
        <row r="652">
          <cell r="A652">
            <v>764</v>
          </cell>
          <cell r="B652" t="str">
            <v>BUCHA DE REDUCAO DE FERRO GALVANIZADO, COM ROSCA BSP, DE 1" X 1/2"</v>
          </cell>
          <cell r="C652" t="str">
            <v xml:space="preserve">UN    </v>
          </cell>
          <cell r="D652">
            <v>4.5999999999999996</v>
          </cell>
        </row>
        <row r="653">
          <cell r="A653">
            <v>765</v>
          </cell>
          <cell r="B653" t="str">
            <v>BUCHA DE REDUCAO DE FERRO GALVANIZADO, COM ROSCA BSP, DE 1" X 3/4"</v>
          </cell>
          <cell r="C653" t="str">
            <v xml:space="preserve">UN    </v>
          </cell>
          <cell r="D653">
            <v>4.5999999999999996</v>
          </cell>
        </row>
        <row r="654">
          <cell r="A654">
            <v>787</v>
          </cell>
          <cell r="B654" t="str">
            <v>BUCHA DE REDUCAO DE FERRO GALVANIZADO, COM ROSCA BSP, DE 2 1/2" X 1 1/2"</v>
          </cell>
          <cell r="C654" t="str">
            <v xml:space="preserve">UN    </v>
          </cell>
          <cell r="D654">
            <v>20.54</v>
          </cell>
        </row>
        <row r="655">
          <cell r="A655">
            <v>774</v>
          </cell>
          <cell r="B655" t="str">
            <v>BUCHA DE REDUCAO DE FERRO GALVANIZADO, COM ROSCA BSP, DE 2 1/2" X 1 1/4"</v>
          </cell>
          <cell r="C655" t="str">
            <v xml:space="preserve">UN    </v>
          </cell>
          <cell r="D655">
            <v>20.54</v>
          </cell>
        </row>
        <row r="656">
          <cell r="A656">
            <v>773</v>
          </cell>
          <cell r="B656" t="str">
            <v>BUCHA DE REDUCAO DE FERRO GALVANIZADO, COM ROSCA BSP, DE 2 1/2" X 1"</v>
          </cell>
          <cell r="C656" t="str">
            <v xml:space="preserve">UN    </v>
          </cell>
          <cell r="D656">
            <v>20.54</v>
          </cell>
        </row>
        <row r="657">
          <cell r="A657">
            <v>775</v>
          </cell>
          <cell r="B657" t="str">
            <v>BUCHA DE REDUCAO DE FERRO GALVANIZADO, COM ROSCA BSP, DE 2 1/2" X 2"</v>
          </cell>
          <cell r="C657" t="str">
            <v xml:space="preserve">UN    </v>
          </cell>
          <cell r="D657">
            <v>20.54</v>
          </cell>
        </row>
        <row r="658">
          <cell r="A658">
            <v>788</v>
          </cell>
          <cell r="B658" t="str">
            <v>BUCHA DE REDUCAO DE FERRO GALVANIZADO, COM ROSCA BSP, DE 2" X 1 1/2"</v>
          </cell>
          <cell r="C658" t="str">
            <v xml:space="preserve">UN    </v>
          </cell>
          <cell r="D658">
            <v>12.77</v>
          </cell>
        </row>
        <row r="659">
          <cell r="A659">
            <v>772</v>
          </cell>
          <cell r="B659" t="str">
            <v>BUCHA DE REDUCAO DE FERRO GALVANIZADO, COM ROSCA BSP, DE 2" X 1 1/4"</v>
          </cell>
          <cell r="C659" t="str">
            <v xml:space="preserve">UN    </v>
          </cell>
          <cell r="D659">
            <v>12.77</v>
          </cell>
        </row>
        <row r="660">
          <cell r="A660">
            <v>771</v>
          </cell>
          <cell r="B660" t="str">
            <v>BUCHA DE REDUCAO DE FERRO GALVANIZADO, COM ROSCA BSP, DE 2" X 1"</v>
          </cell>
          <cell r="C660" t="str">
            <v xml:space="preserve">UN    </v>
          </cell>
          <cell r="D660">
            <v>12.77</v>
          </cell>
        </row>
        <row r="661">
          <cell r="A661">
            <v>779</v>
          </cell>
          <cell r="B661" t="str">
            <v>BUCHA DE REDUCAO DE FERRO GALVANIZADO, COM ROSCA BSP, DE 3/4" X 1/2"</v>
          </cell>
          <cell r="C661" t="str">
            <v xml:space="preserve">UN    </v>
          </cell>
          <cell r="D661">
            <v>3.17</v>
          </cell>
        </row>
        <row r="662">
          <cell r="A662">
            <v>776</v>
          </cell>
          <cell r="B662" t="str">
            <v>BUCHA DE REDUCAO DE FERRO GALVANIZADO, COM ROSCA BSP, DE 3" X 1 1/2"</v>
          </cell>
          <cell r="C662" t="str">
            <v xml:space="preserve">UN    </v>
          </cell>
          <cell r="D662">
            <v>30.29</v>
          </cell>
        </row>
        <row r="663">
          <cell r="A663">
            <v>777</v>
          </cell>
          <cell r="B663" t="str">
            <v>BUCHA DE REDUCAO DE FERRO GALVANIZADO, COM ROSCA BSP, DE 3" X 1 1/4"</v>
          </cell>
          <cell r="C663" t="str">
            <v xml:space="preserve">UN    </v>
          </cell>
          <cell r="D663">
            <v>29.44</v>
          </cell>
        </row>
        <row r="664">
          <cell r="A664">
            <v>780</v>
          </cell>
          <cell r="B664" t="str">
            <v>BUCHA DE REDUCAO DE FERRO GALVANIZADO, COM ROSCA BSP, DE 3" X 2 1/2"</v>
          </cell>
          <cell r="C664" t="str">
            <v xml:space="preserve">UN    </v>
          </cell>
          <cell r="D664">
            <v>29.59</v>
          </cell>
        </row>
        <row r="665">
          <cell r="A665">
            <v>778</v>
          </cell>
          <cell r="B665" t="str">
            <v>BUCHA DE REDUCAO DE FERRO GALVANIZADO, COM ROSCA BSP, DE 3" X 2"</v>
          </cell>
          <cell r="C665" t="str">
            <v xml:space="preserve">UN    </v>
          </cell>
          <cell r="D665">
            <v>30.29</v>
          </cell>
        </row>
        <row r="666">
          <cell r="A666">
            <v>781</v>
          </cell>
          <cell r="B666" t="str">
            <v>BUCHA DE REDUCAO DE FERRO GALVANIZADO, COM ROSCA BSP, DE 4" X 2 1/2"</v>
          </cell>
          <cell r="C666" t="str">
            <v xml:space="preserve">UN    </v>
          </cell>
          <cell r="D666">
            <v>55.96</v>
          </cell>
        </row>
        <row r="667">
          <cell r="A667">
            <v>786</v>
          </cell>
          <cell r="B667" t="str">
            <v>BUCHA DE REDUCAO DE FERRO GALVANIZADO, COM ROSCA BSP, DE 4" X 2"</v>
          </cell>
          <cell r="C667" t="str">
            <v xml:space="preserve">UN    </v>
          </cell>
          <cell r="D667">
            <v>55.96</v>
          </cell>
        </row>
        <row r="668">
          <cell r="A668">
            <v>782</v>
          </cell>
          <cell r="B668" t="str">
            <v>BUCHA DE REDUCAO DE FERRO GALVANIZADO, COM ROSCA BSP, DE 4" X 3"</v>
          </cell>
          <cell r="C668" t="str">
            <v xml:space="preserve">UN    </v>
          </cell>
          <cell r="D668">
            <v>55.96</v>
          </cell>
        </row>
        <row r="669">
          <cell r="A669">
            <v>783</v>
          </cell>
          <cell r="B669" t="str">
            <v>BUCHA DE REDUCAO DE FERRO GALVANIZADO, COM ROSCA BSP, DE 5" X 4"</v>
          </cell>
          <cell r="C669" t="str">
            <v xml:space="preserve">UN    </v>
          </cell>
          <cell r="D669">
            <v>153.16999999999999</v>
          </cell>
        </row>
        <row r="670">
          <cell r="A670">
            <v>785</v>
          </cell>
          <cell r="B670" t="str">
            <v>BUCHA DE REDUCAO DE FERRO GALVANIZADO, COM ROSCA BSP, DE 6" X 4"</v>
          </cell>
          <cell r="C670" t="str">
            <v xml:space="preserve">UN    </v>
          </cell>
          <cell r="D670">
            <v>161.84</v>
          </cell>
        </row>
        <row r="671">
          <cell r="A671">
            <v>784</v>
          </cell>
          <cell r="B671" t="str">
            <v>BUCHA DE REDUCAO DE FERRO GALVANIZADO, COM ROSCA BSP, DE 6" X 5"</v>
          </cell>
          <cell r="C671" t="str">
            <v xml:space="preserve">UN    </v>
          </cell>
          <cell r="D671">
            <v>173.61</v>
          </cell>
        </row>
        <row r="672">
          <cell r="A672">
            <v>831</v>
          </cell>
          <cell r="B672" t="str">
            <v>BUCHA DE REDUCAO DE PVC, SOLDAVEL, CURTA, COM 110 X 85 MM, PARA AGUA FRIA PREDIAL</v>
          </cell>
          <cell r="C672" t="str">
            <v xml:space="preserve">UN    </v>
          </cell>
          <cell r="D672">
            <v>50.03</v>
          </cell>
        </row>
        <row r="673">
          <cell r="A673">
            <v>828</v>
          </cell>
          <cell r="B673" t="str">
            <v>BUCHA DE REDUCAO DE PVC, SOLDAVEL, CURTA, COM 25 X 20 MM, PARA AGUA FRIA PREDIAL</v>
          </cell>
          <cell r="C673" t="str">
            <v xml:space="preserve">UN    </v>
          </cell>
          <cell r="D673">
            <v>0.28000000000000003</v>
          </cell>
        </row>
        <row r="674">
          <cell r="A674">
            <v>829</v>
          </cell>
          <cell r="B674" t="str">
            <v>BUCHA DE REDUCAO DE PVC, SOLDAVEL, CURTA, COM 32 X 25 MM, PARA AGUA FRIA PREDIAL</v>
          </cell>
          <cell r="C674" t="str">
            <v xml:space="preserve">UN    </v>
          </cell>
          <cell r="D674">
            <v>0.6</v>
          </cell>
        </row>
        <row r="675">
          <cell r="A675">
            <v>812</v>
          </cell>
          <cell r="B675" t="str">
            <v>BUCHA DE REDUCAO DE PVC, SOLDAVEL, CURTA, COM 40 X 32 MM, PARA AGUA FRIA PREDIAL</v>
          </cell>
          <cell r="C675" t="str">
            <v xml:space="preserve">UN    </v>
          </cell>
          <cell r="D675">
            <v>1.31</v>
          </cell>
        </row>
        <row r="676">
          <cell r="A676">
            <v>819</v>
          </cell>
          <cell r="B676" t="str">
            <v>BUCHA DE REDUCAO DE PVC, SOLDAVEL, CURTA, COM 50 X 40 MM, PARA AGUA FRIA PREDIAL</v>
          </cell>
          <cell r="C676" t="str">
            <v xml:space="preserve">UN    </v>
          </cell>
          <cell r="D676">
            <v>2.16</v>
          </cell>
        </row>
        <row r="677">
          <cell r="A677">
            <v>818</v>
          </cell>
          <cell r="B677" t="str">
            <v>BUCHA DE REDUCAO DE PVC, SOLDAVEL, CURTA, COM 60 X 50 MM, PARA AGUA FRIA PREDIAL</v>
          </cell>
          <cell r="C677" t="str">
            <v xml:space="preserve">UN    </v>
          </cell>
          <cell r="D677">
            <v>3.63</v>
          </cell>
        </row>
        <row r="678">
          <cell r="A678">
            <v>823</v>
          </cell>
          <cell r="B678" t="str">
            <v>BUCHA DE REDUCAO DE PVC, SOLDAVEL, CURTA, COM 75 X 60 MM, PARA AGUA FRIA PREDIAL</v>
          </cell>
          <cell r="C678" t="str">
            <v xml:space="preserve">UN    </v>
          </cell>
          <cell r="D678">
            <v>10.94</v>
          </cell>
        </row>
        <row r="679">
          <cell r="A679">
            <v>830</v>
          </cell>
          <cell r="B679" t="str">
            <v>BUCHA DE REDUCAO DE PVC, SOLDAVEL, CURTA, COM 85 X 75 MM, PARA AGUA FRIA PREDIAL</v>
          </cell>
          <cell r="C679" t="str">
            <v xml:space="preserve">UN    </v>
          </cell>
          <cell r="D679">
            <v>9.01</v>
          </cell>
        </row>
        <row r="680">
          <cell r="A680">
            <v>826</v>
          </cell>
          <cell r="B680" t="str">
            <v>BUCHA DE REDUCAO DE PVC, SOLDAVEL, LONGA, COM 110 X 60 MM, PARA AGUA FRIA PREDIAL</v>
          </cell>
          <cell r="C680" t="str">
            <v xml:space="preserve">UN    </v>
          </cell>
          <cell r="D680">
            <v>28.06</v>
          </cell>
        </row>
        <row r="681">
          <cell r="A681">
            <v>827</v>
          </cell>
          <cell r="B681" t="str">
            <v>BUCHA DE REDUCAO DE PVC, SOLDAVEL, LONGA, COM 110 X 75 MM, PARA AGUA FRIA PREDIAL</v>
          </cell>
          <cell r="C681" t="str">
            <v xml:space="preserve">UN    </v>
          </cell>
          <cell r="D681">
            <v>23.71</v>
          </cell>
        </row>
        <row r="682">
          <cell r="A682">
            <v>832</v>
          </cell>
          <cell r="B682" t="str">
            <v>BUCHA DE REDUCAO DE PVC, SOLDAVEL, LONGA, COM 32 X 20 MM, PARA AGUA FRIA PREDIAL</v>
          </cell>
          <cell r="C682" t="str">
            <v xml:space="preserve">UN    </v>
          </cell>
          <cell r="D682">
            <v>1.64</v>
          </cell>
        </row>
        <row r="683">
          <cell r="A683">
            <v>833</v>
          </cell>
          <cell r="B683" t="str">
            <v>BUCHA DE REDUCAO DE PVC, SOLDAVEL, LONGA, COM 40 X 20 MM, PARA AGUA FRIA PREDIAL</v>
          </cell>
          <cell r="C683" t="str">
            <v xml:space="preserve">UN    </v>
          </cell>
          <cell r="D683">
            <v>2.3199999999999998</v>
          </cell>
        </row>
        <row r="684">
          <cell r="A684">
            <v>834</v>
          </cell>
          <cell r="B684" t="str">
            <v>BUCHA DE REDUCAO DE PVC, SOLDAVEL, LONGA, COM 40 X 25 MM, PARA AGUA FRIA PREDIAL</v>
          </cell>
          <cell r="C684" t="str">
            <v xml:space="preserve">UN    </v>
          </cell>
          <cell r="D684">
            <v>2.5499999999999998</v>
          </cell>
        </row>
        <row r="685">
          <cell r="A685">
            <v>825</v>
          </cell>
          <cell r="B685" t="str">
            <v>BUCHA DE REDUCAO DE PVC, SOLDAVEL, LONGA, COM 50 X 20 MM, PARA AGUA FRIA PREDIAL</v>
          </cell>
          <cell r="C685" t="str">
            <v xml:space="preserve">UN    </v>
          </cell>
          <cell r="D685">
            <v>2.84</v>
          </cell>
        </row>
        <row r="686">
          <cell r="A686">
            <v>813</v>
          </cell>
          <cell r="B686" t="str">
            <v>BUCHA DE REDUCAO DE PVC, SOLDAVEL, LONGA, COM 50 X 25 MM, PARA AGUA FRIA PREDIAL</v>
          </cell>
          <cell r="C686" t="str">
            <v xml:space="preserve">UN    </v>
          </cell>
          <cell r="D686">
            <v>2.79</v>
          </cell>
        </row>
        <row r="687">
          <cell r="A687">
            <v>820</v>
          </cell>
          <cell r="B687" t="str">
            <v>BUCHA DE REDUCAO DE PVC, SOLDAVEL, LONGA, COM 50 X 32 MM, PARA AGUA FRIA PREDIAL</v>
          </cell>
          <cell r="C687" t="str">
            <v xml:space="preserve">UN    </v>
          </cell>
          <cell r="D687">
            <v>3.55</v>
          </cell>
        </row>
        <row r="688">
          <cell r="A688">
            <v>816</v>
          </cell>
          <cell r="B688" t="str">
            <v>BUCHA DE REDUCAO DE PVC, SOLDAVEL, LONGA, COM 60 X 25 MM, PARA AGUA FRIA PREDIAL</v>
          </cell>
          <cell r="C688" t="str">
            <v xml:space="preserve">UN    </v>
          </cell>
          <cell r="D688">
            <v>6.04</v>
          </cell>
        </row>
        <row r="689">
          <cell r="A689">
            <v>814</v>
          </cell>
          <cell r="B689" t="str">
            <v>BUCHA DE REDUCAO DE PVC, SOLDAVEL, LONGA, COM 60 X 32 MM, PARA AGUA FRIA PREDIAL</v>
          </cell>
          <cell r="C689" t="str">
            <v xml:space="preserve">UN    </v>
          </cell>
          <cell r="D689">
            <v>7.3</v>
          </cell>
        </row>
        <row r="690">
          <cell r="A690">
            <v>815</v>
          </cell>
          <cell r="B690" t="str">
            <v>BUCHA DE REDUCAO DE PVC, SOLDAVEL, LONGA, COM 60 X 40 MM, PARA AGUA FRIA PREDIAL</v>
          </cell>
          <cell r="C690" t="str">
            <v xml:space="preserve">UN    </v>
          </cell>
          <cell r="D690">
            <v>7.88</v>
          </cell>
        </row>
        <row r="691">
          <cell r="A691">
            <v>822</v>
          </cell>
          <cell r="B691" t="str">
            <v>BUCHA DE REDUCAO DE PVC, SOLDAVEL, LONGA, COM 60 X 50 MM, PARA AGUA FRIA PREDIAL</v>
          </cell>
          <cell r="C691" t="str">
            <v xml:space="preserve">UN    </v>
          </cell>
          <cell r="D691">
            <v>9.6</v>
          </cell>
        </row>
        <row r="692">
          <cell r="A692">
            <v>821</v>
          </cell>
          <cell r="B692" t="str">
            <v>BUCHA DE REDUCAO DE PVC, SOLDAVEL, LONGA, COM 75 X 50 MM, PARA AGUA FRIA PREDIAL</v>
          </cell>
          <cell r="C692" t="str">
            <v xml:space="preserve">UN    </v>
          </cell>
          <cell r="D692">
            <v>11.23</v>
          </cell>
        </row>
        <row r="693">
          <cell r="A693">
            <v>817</v>
          </cell>
          <cell r="B693" t="str">
            <v>BUCHA DE REDUCAO DE PVC, SOLDAVEL, LONGA, COM 85 X 60 MM, PARA AGUA FRIA PREDIAL</v>
          </cell>
          <cell r="C693" t="str">
            <v xml:space="preserve">UN    </v>
          </cell>
          <cell r="D693">
            <v>13.35</v>
          </cell>
        </row>
        <row r="694">
          <cell r="A694">
            <v>20086</v>
          </cell>
          <cell r="B694" t="str">
            <v>BUCHA DE REDUCAO DE PVC, SOLDAVEL, LONGA, 50 X 40 MM, PARA ESGOTO PREDIAL</v>
          </cell>
          <cell r="C694" t="str">
            <v xml:space="preserve">UN    </v>
          </cell>
          <cell r="D694">
            <v>1.31</v>
          </cell>
        </row>
        <row r="695">
          <cell r="A695">
            <v>39191</v>
          </cell>
          <cell r="B695" t="str">
            <v>BUCHA DE REDUCAO EM ALUMINIO, COM ROSCA, DE 1 1/2" X 1 1/4", PARA ELETRODUTO</v>
          </cell>
          <cell r="C695" t="str">
            <v xml:space="preserve">UN    </v>
          </cell>
          <cell r="D695">
            <v>9.34</v>
          </cell>
        </row>
        <row r="696">
          <cell r="A696">
            <v>39190</v>
          </cell>
          <cell r="B696" t="str">
            <v>BUCHA DE REDUCAO EM ALUMINIO, COM ROSCA, DE 1 1/2" X 1", PARA ELETRODUTO</v>
          </cell>
          <cell r="C696" t="str">
            <v xml:space="preserve">UN    </v>
          </cell>
          <cell r="D696">
            <v>9.76</v>
          </cell>
        </row>
        <row r="697">
          <cell r="A697">
            <v>39189</v>
          </cell>
          <cell r="B697" t="str">
            <v>BUCHA DE REDUCAO EM ALUMINIO, COM ROSCA, DE 1 1/2" X 3/4", PARA ELETRODUTO</v>
          </cell>
          <cell r="C697" t="str">
            <v xml:space="preserve">UN    </v>
          </cell>
          <cell r="D697">
            <v>10.33</v>
          </cell>
        </row>
        <row r="698">
          <cell r="A698">
            <v>39186</v>
          </cell>
          <cell r="B698" t="str">
            <v>BUCHA DE REDUCAO EM ALUMINIO, COM ROSCA, DE 1 1/4" X 1/2", PARA ELETRODUTO</v>
          </cell>
          <cell r="C698" t="str">
            <v xml:space="preserve">UN    </v>
          </cell>
          <cell r="D698">
            <v>9.24</v>
          </cell>
        </row>
        <row r="699">
          <cell r="A699">
            <v>39188</v>
          </cell>
          <cell r="B699" t="str">
            <v>BUCHA DE REDUCAO EM ALUMINIO, COM ROSCA, DE 1 1/4" X 1", PARA ELETRODUTO</v>
          </cell>
          <cell r="C699" t="str">
            <v xml:space="preserve">UN    </v>
          </cell>
          <cell r="D699">
            <v>7.6</v>
          </cell>
        </row>
        <row r="700">
          <cell r="A700">
            <v>39187</v>
          </cell>
          <cell r="B700" t="str">
            <v>BUCHA DE REDUCAO EM ALUMINIO, COM ROSCA, DE 1 1/4" X 3/4", PARA ELETRODUTO</v>
          </cell>
          <cell r="C700" t="str">
            <v xml:space="preserve">UN    </v>
          </cell>
          <cell r="D700">
            <v>7.97</v>
          </cell>
        </row>
        <row r="701">
          <cell r="A701">
            <v>39184</v>
          </cell>
          <cell r="B701" t="str">
            <v>BUCHA DE REDUCAO EM ALUMINIO, COM ROSCA, DE 1" X 1/2", PARA ELETRODUTO</v>
          </cell>
          <cell r="C701" t="str">
            <v xml:space="preserve">UN    </v>
          </cell>
          <cell r="D701">
            <v>3</v>
          </cell>
        </row>
        <row r="702">
          <cell r="A702">
            <v>39185</v>
          </cell>
          <cell r="B702" t="str">
            <v>BUCHA DE REDUCAO EM ALUMINIO, COM ROSCA, DE 1" X 3/4", PARA ELETRODUTO</v>
          </cell>
          <cell r="C702" t="str">
            <v xml:space="preserve">UN    </v>
          </cell>
          <cell r="D702">
            <v>2.73</v>
          </cell>
        </row>
        <row r="703">
          <cell r="A703">
            <v>39198</v>
          </cell>
          <cell r="B703" t="str">
            <v>BUCHA DE REDUCAO EM ALUMINIO, COM ROSCA, DE 2 1/2" X 1 1/2", PARA ELETRODUTO</v>
          </cell>
          <cell r="C703" t="str">
            <v xml:space="preserve">UN    </v>
          </cell>
          <cell r="D703">
            <v>30.66</v>
          </cell>
        </row>
        <row r="704">
          <cell r="A704">
            <v>39197</v>
          </cell>
          <cell r="B704" t="str">
            <v>BUCHA DE REDUCAO EM ALUMINIO, COM ROSCA, DE 2 1/2" X 1 1/4", PARA ELETRODUTO</v>
          </cell>
          <cell r="C704" t="str">
            <v xml:space="preserve">UN    </v>
          </cell>
          <cell r="D704">
            <v>32.03</v>
          </cell>
        </row>
        <row r="705">
          <cell r="A705">
            <v>39196</v>
          </cell>
          <cell r="B705" t="str">
            <v>BUCHA DE REDUCAO EM ALUMINIO, COM ROSCA, DE 2 1/2" X 1", PARA ELETRODUTO</v>
          </cell>
          <cell r="C705" t="str">
            <v xml:space="preserve">UN    </v>
          </cell>
          <cell r="D705">
            <v>33.03</v>
          </cell>
        </row>
        <row r="706">
          <cell r="A706">
            <v>39199</v>
          </cell>
          <cell r="B706" t="str">
            <v>BUCHA DE REDUCAO EM ALUMINIO, COM ROSCA, DE 2 1/2" X 2", PARA ELETRODUTO</v>
          </cell>
          <cell r="C706" t="str">
            <v xml:space="preserve">UN    </v>
          </cell>
          <cell r="D706">
            <v>29.51</v>
          </cell>
        </row>
        <row r="707">
          <cell r="A707">
            <v>39195</v>
          </cell>
          <cell r="B707" t="str">
            <v>BUCHA DE REDUCAO EM ALUMINIO, COM ROSCA, DE 2" X 1 1/2", PARA ELETRODUTO</v>
          </cell>
          <cell r="C707" t="str">
            <v xml:space="preserve">UN    </v>
          </cell>
          <cell r="D707">
            <v>17.03</v>
          </cell>
        </row>
        <row r="708">
          <cell r="A708">
            <v>39194</v>
          </cell>
          <cell r="B708" t="str">
            <v>BUCHA DE REDUCAO EM ALUMINIO, COM ROSCA, DE 2" X 1 1/4", PARA ELETRODUTO</v>
          </cell>
          <cell r="C708" t="str">
            <v xml:space="preserve">UN    </v>
          </cell>
          <cell r="D708">
            <v>18.23</v>
          </cell>
        </row>
        <row r="709">
          <cell r="A709">
            <v>39193</v>
          </cell>
          <cell r="B709" t="str">
            <v>BUCHA DE REDUCAO EM ALUMINIO, COM ROSCA, DE 2" X 1", PARA ELETRODUTO</v>
          </cell>
          <cell r="C709" t="str">
            <v xml:space="preserve">UN    </v>
          </cell>
          <cell r="D709">
            <v>19.98</v>
          </cell>
        </row>
        <row r="710">
          <cell r="A710">
            <v>39192</v>
          </cell>
          <cell r="B710" t="str">
            <v>BUCHA DE REDUCAO EM ALUMINIO, COM ROSCA, DE 2" X 3/4", PARA ELETRODUTO</v>
          </cell>
          <cell r="C710" t="str">
            <v xml:space="preserve">UN    </v>
          </cell>
          <cell r="D710">
            <v>20.78</v>
          </cell>
        </row>
        <row r="711">
          <cell r="A711">
            <v>39920</v>
          </cell>
          <cell r="B711" t="str">
            <v>BUCHA DE REDUCAO EM ALUMINIO, COM ROSCA, DE 3/4" X 1/2",  PARA ELETRODUTO</v>
          </cell>
          <cell r="C711" t="str">
            <v xml:space="preserve">UN    </v>
          </cell>
          <cell r="D711">
            <v>2.5099999999999998</v>
          </cell>
        </row>
        <row r="712">
          <cell r="A712">
            <v>39201</v>
          </cell>
          <cell r="B712" t="str">
            <v>BUCHA DE REDUCAO EM ALUMINIO, COM ROSCA, DE 3" X 1 1/2", PARA ELETRODUTO</v>
          </cell>
          <cell r="C712" t="str">
            <v xml:space="preserve">UN    </v>
          </cell>
          <cell r="D712">
            <v>36.659999999999997</v>
          </cell>
        </row>
        <row r="713">
          <cell r="A713">
            <v>39200</v>
          </cell>
          <cell r="B713" t="str">
            <v>BUCHA DE REDUCAO EM ALUMINIO, COM ROSCA, DE 3" X 1 1/4", PARA ELETRODUTO</v>
          </cell>
          <cell r="C713" t="str">
            <v xml:space="preserve">UN    </v>
          </cell>
          <cell r="D713">
            <v>36.96</v>
          </cell>
        </row>
        <row r="714">
          <cell r="A714">
            <v>39203</v>
          </cell>
          <cell r="B714" t="str">
            <v>BUCHA DE REDUCAO EM ALUMINIO, COM ROSCA, DE 3" X 2 1/2", PARA ELETRODUTO</v>
          </cell>
          <cell r="C714" t="str">
            <v xml:space="preserve">UN    </v>
          </cell>
          <cell r="D714">
            <v>29.84</v>
          </cell>
        </row>
        <row r="715">
          <cell r="A715">
            <v>39202</v>
          </cell>
          <cell r="B715" t="str">
            <v>BUCHA DE REDUCAO EM ALUMINIO, COM ROSCA, DE 3" X 2", PARA ELETRODUTO</v>
          </cell>
          <cell r="C715" t="str">
            <v xml:space="preserve">UN    </v>
          </cell>
          <cell r="D715">
            <v>35.049999999999997</v>
          </cell>
        </row>
        <row r="716">
          <cell r="A716">
            <v>39205</v>
          </cell>
          <cell r="B716" t="str">
            <v>BUCHA DE REDUCAO EM ALUMINIO, COM ROSCA, DE 4" X 2 1/2", PARA ELETRODUTO</v>
          </cell>
          <cell r="C716" t="str">
            <v xml:space="preserve">UN    </v>
          </cell>
          <cell r="D716">
            <v>58.48</v>
          </cell>
        </row>
        <row r="717">
          <cell r="A717">
            <v>39204</v>
          </cell>
          <cell r="B717" t="str">
            <v>BUCHA DE REDUCAO EM ALUMINIO, COM ROSCA, DE 4" X 2", PARA ELETRODUTO</v>
          </cell>
          <cell r="C717" t="str">
            <v xml:space="preserve">UN    </v>
          </cell>
          <cell r="D717">
            <v>59.9</v>
          </cell>
        </row>
        <row r="718">
          <cell r="A718">
            <v>39206</v>
          </cell>
          <cell r="B718" t="str">
            <v>BUCHA DE REDUCAO EM ALUMINIO, COM ROSCA, DE 4" X 3", PARA ELETRODUTO</v>
          </cell>
          <cell r="C718" t="str">
            <v xml:space="preserve">UN    </v>
          </cell>
          <cell r="D718">
            <v>56.83</v>
          </cell>
        </row>
        <row r="719">
          <cell r="A719">
            <v>797</v>
          </cell>
          <cell r="B719" t="str">
            <v>BUCHA DE REDUCAO PVC ROSCAVEL 1 1/2" X 1"</v>
          </cell>
          <cell r="C719" t="str">
            <v xml:space="preserve">UN    </v>
          </cell>
          <cell r="D719">
            <v>5.22</v>
          </cell>
        </row>
        <row r="720">
          <cell r="A720">
            <v>798</v>
          </cell>
          <cell r="B720" t="str">
            <v>BUCHA DE REDUCAO PVC ROSCAVEL 3/4" X 1/2"</v>
          </cell>
          <cell r="C720" t="str">
            <v xml:space="preserve">UN    </v>
          </cell>
          <cell r="D720">
            <v>0.71</v>
          </cell>
        </row>
        <row r="721">
          <cell r="A721">
            <v>796</v>
          </cell>
          <cell r="B721" t="str">
            <v>BUCHA DE REDUCAO PVC ROSCAVEL, 1 1/2" X 3/4"</v>
          </cell>
          <cell r="C721" t="str">
            <v xml:space="preserve">UN    </v>
          </cell>
          <cell r="D721">
            <v>5</v>
          </cell>
        </row>
        <row r="722">
          <cell r="A722">
            <v>799</v>
          </cell>
          <cell r="B722" t="str">
            <v>BUCHA DE REDUCAO PVC ROSCAVEL, 1" X 1/2"</v>
          </cell>
          <cell r="C722" t="str">
            <v xml:space="preserve">UN    </v>
          </cell>
          <cell r="D722">
            <v>2.35</v>
          </cell>
        </row>
        <row r="723">
          <cell r="A723">
            <v>792</v>
          </cell>
          <cell r="B723" t="str">
            <v>BUCHA DE REDUCAO PVC ROSCAVEL, 1" X 3/4"</v>
          </cell>
          <cell r="C723" t="str">
            <v xml:space="preserve">UN    </v>
          </cell>
          <cell r="D723">
            <v>2.39</v>
          </cell>
        </row>
        <row r="724">
          <cell r="A724">
            <v>804</v>
          </cell>
          <cell r="B724" t="str">
            <v>BUCHA DE REDUCAO PVC, ROSCAVEL,  2"  X 1 1/2 "</v>
          </cell>
          <cell r="C724" t="str">
            <v xml:space="preserve">UN    </v>
          </cell>
          <cell r="D724">
            <v>11.86</v>
          </cell>
        </row>
        <row r="725">
          <cell r="A725">
            <v>793</v>
          </cell>
          <cell r="B725" t="str">
            <v>BUCHA DE REDUCAO PVC, ROSCAVEL, 1 1/2"  X1 1/4 "</v>
          </cell>
          <cell r="C725" t="str">
            <v xml:space="preserve">UN    </v>
          </cell>
          <cell r="D725">
            <v>5.09</v>
          </cell>
        </row>
        <row r="726">
          <cell r="A726">
            <v>801</v>
          </cell>
          <cell r="B726" t="str">
            <v>BUCHA DE REDUCAO PVC, ROSCAVEL, 1 1/4"  X 3/4 "</v>
          </cell>
          <cell r="C726" t="str">
            <v xml:space="preserve">UN    </v>
          </cell>
          <cell r="D726">
            <v>3.63</v>
          </cell>
        </row>
        <row r="727">
          <cell r="A727">
            <v>794</v>
          </cell>
          <cell r="B727" t="str">
            <v>BUCHA DE REDUCAO PVC, ROSCAVEL, 1 1/4" X 1 "</v>
          </cell>
          <cell r="C727" t="str">
            <v xml:space="preserve">UN    </v>
          </cell>
          <cell r="D727">
            <v>3.75</v>
          </cell>
        </row>
        <row r="728">
          <cell r="A728">
            <v>802</v>
          </cell>
          <cell r="B728" t="str">
            <v>BUCHA DE REDUCAO PVC, ROSCAVEL, 2"  X 1 "</v>
          </cell>
          <cell r="C728" t="str">
            <v xml:space="preserve">UN    </v>
          </cell>
          <cell r="D728">
            <v>10.46</v>
          </cell>
        </row>
        <row r="729">
          <cell r="A729">
            <v>803</v>
          </cell>
          <cell r="B729" t="str">
            <v>BUCHA DE REDUCAO PVC, ROSCAVEL, 2"  X 1 1/4 "</v>
          </cell>
          <cell r="C729" t="str">
            <v xml:space="preserve">UN    </v>
          </cell>
          <cell r="D729">
            <v>9.1199999999999992</v>
          </cell>
        </row>
        <row r="730">
          <cell r="A730">
            <v>38001</v>
          </cell>
          <cell r="B730" t="str">
            <v>BUCHA DE REDUCAO, CPVC, SOLDAVEL, 22 X 15 MM, PARA AGUA QUENTE</v>
          </cell>
          <cell r="C730" t="str">
            <v xml:space="preserve">UN    </v>
          </cell>
          <cell r="D730">
            <v>1.18</v>
          </cell>
        </row>
        <row r="731">
          <cell r="A731">
            <v>38002</v>
          </cell>
          <cell r="B731" t="str">
            <v>BUCHA DE REDUCAO, CPVC, SOLDAVEL, 28 X 22 MM, PARA AGUA QUENTE</v>
          </cell>
          <cell r="C731" t="str">
            <v xml:space="preserve">UN    </v>
          </cell>
          <cell r="D731">
            <v>2.2000000000000002</v>
          </cell>
        </row>
        <row r="732">
          <cell r="A732">
            <v>38003</v>
          </cell>
          <cell r="B732" t="str">
            <v>BUCHA DE REDUCAO, CPVC, SOLDAVEL, 35 X 28 MM, PARA AGUA QUENTE</v>
          </cell>
          <cell r="C732" t="str">
            <v xml:space="preserve">UN    </v>
          </cell>
          <cell r="D732">
            <v>26.42</v>
          </cell>
        </row>
        <row r="733">
          <cell r="A733">
            <v>38004</v>
          </cell>
          <cell r="B733" t="str">
            <v>BUCHA DE REDUCAO, CPVC, SOLDAVEL, 42 X 22 MM, PARA AGUA QUENTE</v>
          </cell>
          <cell r="C733" t="str">
            <v xml:space="preserve">UN    </v>
          </cell>
          <cell r="D733">
            <v>35.33</v>
          </cell>
        </row>
        <row r="734">
          <cell r="A734">
            <v>36327</v>
          </cell>
          <cell r="B734" t="str">
            <v>BUCHA DE REDUCAO, PPR, DN 25 X 20 MM, PARA AGUA QUENTE PREDIAL</v>
          </cell>
          <cell r="C734" t="str">
            <v xml:space="preserve">UN    </v>
          </cell>
          <cell r="D734">
            <v>1.4</v>
          </cell>
        </row>
        <row r="735">
          <cell r="A735">
            <v>38992</v>
          </cell>
          <cell r="B735" t="str">
            <v>BUCHA DE REDUCAO, PPR, DN 32 X 25 MM, PARA AGUA QUENTE E FRIA PREDIAL</v>
          </cell>
          <cell r="C735" t="str">
            <v xml:space="preserve">UN    </v>
          </cell>
          <cell r="D735">
            <v>2.2400000000000002</v>
          </cell>
        </row>
        <row r="736">
          <cell r="A736">
            <v>38993</v>
          </cell>
          <cell r="B736" t="str">
            <v>BUCHA DE REDUCAO, PPR, DN 40 X 25 MM, PARA AGUA QUENTE E FRIA PREDIAL</v>
          </cell>
          <cell r="C736" t="str">
            <v xml:space="preserve">UN    </v>
          </cell>
          <cell r="D736">
            <v>6.38</v>
          </cell>
        </row>
        <row r="737">
          <cell r="A737">
            <v>38418</v>
          </cell>
          <cell r="B737" t="str">
            <v>BUCHA DE REDUCAO, PVC, LONGA, SERIE R, DN 50 X 40 MM, PARA ESGOTO PREDIAL</v>
          </cell>
          <cell r="C737" t="str">
            <v xml:space="preserve">UN    </v>
          </cell>
          <cell r="D737">
            <v>3.82</v>
          </cell>
        </row>
        <row r="738">
          <cell r="A738">
            <v>39178</v>
          </cell>
          <cell r="B738" t="str">
            <v>BUCHA EM ALUMINIO, COM ROSCA, DE  1 1/2", PARA ELETRODUTO</v>
          </cell>
          <cell r="C738" t="str">
            <v xml:space="preserve">UN    </v>
          </cell>
          <cell r="D738">
            <v>1.01</v>
          </cell>
        </row>
        <row r="739">
          <cell r="A739">
            <v>39177</v>
          </cell>
          <cell r="B739" t="str">
            <v>BUCHA EM ALUMINIO, COM ROSCA, DE 1 1/4", PARA ELETRODUTO</v>
          </cell>
          <cell r="C739" t="str">
            <v xml:space="preserve">UN    </v>
          </cell>
          <cell r="D739">
            <v>0.91</v>
          </cell>
        </row>
        <row r="740">
          <cell r="A740">
            <v>39174</v>
          </cell>
          <cell r="B740" t="str">
            <v>BUCHA EM ALUMINIO, COM ROSCA, DE 1/2", PARA ELETRODUTO</v>
          </cell>
          <cell r="C740" t="str">
            <v xml:space="preserve">UN    </v>
          </cell>
          <cell r="D740">
            <v>0.45</v>
          </cell>
        </row>
        <row r="741">
          <cell r="A741">
            <v>39176</v>
          </cell>
          <cell r="B741" t="str">
            <v>BUCHA EM ALUMINIO, COM ROSCA, DE 1", PARA ELETRODUTO</v>
          </cell>
          <cell r="C741" t="str">
            <v xml:space="preserve">UN    </v>
          </cell>
          <cell r="D741">
            <v>0.6</v>
          </cell>
        </row>
        <row r="742">
          <cell r="A742">
            <v>39180</v>
          </cell>
          <cell r="B742" t="str">
            <v>BUCHA EM ALUMINIO, COM ROSCA, DE 2 1/2", PARA ELETRODUTO</v>
          </cell>
          <cell r="C742" t="str">
            <v xml:space="preserve">UN    </v>
          </cell>
          <cell r="D742">
            <v>2.74</v>
          </cell>
        </row>
        <row r="743">
          <cell r="A743">
            <v>39179</v>
          </cell>
          <cell r="B743" t="str">
            <v>BUCHA EM ALUMINIO, COM ROSCA, DE 2", PARA ELETRODUTO</v>
          </cell>
          <cell r="C743" t="str">
            <v xml:space="preserve">UN    </v>
          </cell>
          <cell r="D743">
            <v>2.4300000000000002</v>
          </cell>
        </row>
        <row r="744">
          <cell r="A744">
            <v>39175</v>
          </cell>
          <cell r="B744" t="str">
            <v>BUCHA EM ALUMINIO, COM ROSCA, DE 3/4", PARA ELETRODUTO</v>
          </cell>
          <cell r="C744" t="str">
            <v xml:space="preserve">UN    </v>
          </cell>
          <cell r="D744">
            <v>0.55000000000000004</v>
          </cell>
        </row>
        <row r="745">
          <cell r="A745">
            <v>39217</v>
          </cell>
          <cell r="B745" t="str">
            <v>BUCHA EM ALUMINIO, COM ROSCA, DE 3/8", PARA ELETRODUTO</v>
          </cell>
          <cell r="C745" t="str">
            <v xml:space="preserve">UN    </v>
          </cell>
          <cell r="D745">
            <v>0.43</v>
          </cell>
        </row>
        <row r="746">
          <cell r="A746">
            <v>39181</v>
          </cell>
          <cell r="B746" t="str">
            <v>BUCHA EM ALUMINIO, COM ROSCA, DE 3", PARA ELETRODUTO</v>
          </cell>
          <cell r="C746" t="str">
            <v xml:space="preserve">UN    </v>
          </cell>
          <cell r="D746">
            <v>3.68</v>
          </cell>
        </row>
        <row r="747">
          <cell r="A747">
            <v>39182</v>
          </cell>
          <cell r="B747" t="str">
            <v>BUCHA EM ALUMINIO, COM ROSCA, DE 4", PARA ELETRODUTO</v>
          </cell>
          <cell r="C747" t="str">
            <v xml:space="preserve">UN    </v>
          </cell>
          <cell r="D747">
            <v>5.17</v>
          </cell>
        </row>
        <row r="748">
          <cell r="A748">
            <v>12616</v>
          </cell>
          <cell r="B748" t="str">
            <v>CABECEIRA DIREITA OU ESQUERDA, PVC, PARA CALHA PLUVIAL, DIAMETRO ENTRE 119 E 170 MM, PARA DRENAGEM PREDIAL</v>
          </cell>
          <cell r="C748" t="str">
            <v xml:space="preserve">UN    </v>
          </cell>
          <cell r="D748">
            <v>5.0999999999999996</v>
          </cell>
        </row>
        <row r="749">
          <cell r="A749">
            <v>1049</v>
          </cell>
          <cell r="B749" t="str">
            <v>CABECOTE PARA ENTRADA DE LINHA DE ALIMENTACAO PARA ELETRODUTO, EM LIGA DE ALUMINIO COM ACABAMENTO ANTI CORROSIVO, COM FIXACAO POR ENCAIXE LISO DE 360 GRAUS, DE 1 1/2"</v>
          </cell>
          <cell r="C749" t="str">
            <v xml:space="preserve">UN    </v>
          </cell>
          <cell r="D749">
            <v>4.33</v>
          </cell>
        </row>
        <row r="750">
          <cell r="A750">
            <v>1099</v>
          </cell>
          <cell r="B750" t="str">
            <v>CABECOTE PARA ENTRADA DE LINHA DE ALIMENTACAO PARA ELETRODUTO, EM LIGA DE ALUMINIO COM ACABAMENTO ANTI CORROSIVO, COM FIXACAO POR ENCAIXE LISO DE 360 GRAUS, DE 1 1/4"</v>
          </cell>
          <cell r="C750" t="str">
            <v xml:space="preserve">UN    </v>
          </cell>
          <cell r="D750">
            <v>3.31</v>
          </cell>
        </row>
        <row r="751">
          <cell r="A751">
            <v>39678</v>
          </cell>
          <cell r="B751" t="str">
            <v>CABECOTE PARA ENTRADA DE LINHA DE ALIMENTACAO PARA ELETRODUTO, EM LIGA DE ALUMINIO COM ACABAMENTO ANTI CORROSIVO, COM FIXACAO POR ENCAIXE LISO DE 360 GRAUS, DE 1/2"</v>
          </cell>
          <cell r="C751" t="str">
            <v xml:space="preserve">UN    </v>
          </cell>
          <cell r="D751">
            <v>1.33</v>
          </cell>
        </row>
        <row r="752">
          <cell r="A752">
            <v>1050</v>
          </cell>
          <cell r="B752" t="str">
            <v>CABECOTE PARA ENTRADA DE LINHA DE ALIMENTACAO PARA ELETRODUTO, EM LIGA DE ALUMINIO COM ACABAMENTO ANTI CORROSIVO, COM FIXACAO POR ENCAIXE LISO DE 360 GRAUS, DE 1"</v>
          </cell>
          <cell r="C752" t="str">
            <v xml:space="preserve">UN    </v>
          </cell>
          <cell r="D752">
            <v>2.2599999999999998</v>
          </cell>
        </row>
        <row r="753">
          <cell r="A753">
            <v>1101</v>
          </cell>
          <cell r="B753" t="str">
            <v>CABECOTE PARA ENTRADA DE LINHA DE ALIMENTACAO PARA ELETRODUTO, EM LIGA DE ALUMINIO COM ACABAMENTO ANTI CORROSIVO, COM FIXACAO POR ENCAIXE LISO DE 360 GRAUS, DE 2 1/2"</v>
          </cell>
          <cell r="C753" t="str">
            <v xml:space="preserve">UN    </v>
          </cell>
          <cell r="D753">
            <v>14.29</v>
          </cell>
        </row>
        <row r="754">
          <cell r="A754">
            <v>1100</v>
          </cell>
          <cell r="B754" t="str">
            <v>CABECOTE PARA ENTRADA DE LINHA DE ALIMENTACAO PARA ELETRODUTO, EM LIGA DE ALUMINIO COM ACABAMENTO ANTI CORROSIVO, COM FIXACAO POR ENCAIXE LISO DE 360 GRAUS, DE 2"</v>
          </cell>
          <cell r="C754" t="str">
            <v xml:space="preserve">UN    </v>
          </cell>
          <cell r="D754">
            <v>7.37</v>
          </cell>
        </row>
        <row r="755">
          <cell r="A755">
            <v>39679</v>
          </cell>
          <cell r="B755" t="str">
            <v>CABECOTE PARA ENTRADA DE LINHA DE ALIMENTACAO PARA ELETRODUTO, EM LIGA DE ALUMINIO COM ACABAMENTO ANTI CORROSIVO, COM FIXACAO POR ENCAIXE LISO DE 360 GRAUS, DE 3 1/2"</v>
          </cell>
          <cell r="C755" t="str">
            <v xml:space="preserve">UN    </v>
          </cell>
          <cell r="D755">
            <v>28.48</v>
          </cell>
        </row>
        <row r="756">
          <cell r="A756">
            <v>1098</v>
          </cell>
          <cell r="B756" t="str">
            <v>CABECOTE PARA ENTRADA DE LINHA DE ALIMENTACAO PARA ELETRODUTO, EM LIGA DE ALUMINIO COM ACABAMENTO ANTI CORROSIVO, COM FIXACAO POR ENCAIXE LISO DE 360 GRAUS, DE 3/4"</v>
          </cell>
          <cell r="C756" t="str">
            <v xml:space="preserve">UN    </v>
          </cell>
          <cell r="D756">
            <v>1.77</v>
          </cell>
        </row>
        <row r="757">
          <cell r="A757">
            <v>1102</v>
          </cell>
          <cell r="B757" t="str">
            <v>CABECOTE PARA ENTRADA DE LINHA DE ALIMENTACAO PARA ELETRODUTO, EM LIGA DE ALUMINIO COM ACABAMENTO ANTI CORROSIVO, COM FIXACAO POR ENCAIXE LISO DE 360 GRAUS, DE 3"</v>
          </cell>
          <cell r="C757" t="str">
            <v xml:space="preserve">UN    </v>
          </cell>
          <cell r="D757">
            <v>21.31</v>
          </cell>
        </row>
        <row r="758">
          <cell r="A758">
            <v>1051</v>
          </cell>
          <cell r="B758" t="str">
            <v>CABECOTE PARA ENTRADA DE LINHA DE ALIMENTACAO PARA ELETRODUTO, EM LIGA DE ALUMINIO COM ACABAMENTO ANTI CORROSIVO, COM FIXACAO POR ENCAIXE LISO DE 360 GRAUS, DE 4"</v>
          </cell>
          <cell r="C758" t="str">
            <v xml:space="preserve">UN    </v>
          </cell>
          <cell r="D758">
            <v>30.97</v>
          </cell>
        </row>
        <row r="759">
          <cell r="A759">
            <v>37399</v>
          </cell>
          <cell r="B759" t="str">
            <v>CABIDE/GANCHO DE BANHEIRO SIMPLES EM METAL CROMADO</v>
          </cell>
          <cell r="C759" t="str">
            <v xml:space="preserve">UN    </v>
          </cell>
          <cell r="D759">
            <v>24.76</v>
          </cell>
        </row>
        <row r="760">
          <cell r="A760">
            <v>42655</v>
          </cell>
          <cell r="B760" t="str">
            <v>CABO DE ACO GALVANIZADO, DIAMETRO 9,53 MM (3/8"), COM ALMA DE FIBRA 6 X 25 F  (COLETADO CAIXA)</v>
          </cell>
          <cell r="C760" t="str">
            <v xml:space="preserve">KG    </v>
          </cell>
          <cell r="D760">
            <v>8.9600000000000009</v>
          </cell>
        </row>
        <row r="761">
          <cell r="A761">
            <v>25004</v>
          </cell>
          <cell r="B761" t="str">
            <v>CABO DE ALUMINIO NU COM ALMA DE ACO, BITOLA 1/0 AWG</v>
          </cell>
          <cell r="C761" t="str">
            <v xml:space="preserve">KG    </v>
          </cell>
          <cell r="D761">
            <v>23.24</v>
          </cell>
        </row>
        <row r="762">
          <cell r="A762">
            <v>25002</v>
          </cell>
          <cell r="B762" t="str">
            <v>CABO DE ALUMINIO NU COM ALMA DE ACO, BITOLA 2 AWG</v>
          </cell>
          <cell r="C762" t="str">
            <v xml:space="preserve">KG    </v>
          </cell>
          <cell r="D762">
            <v>23.43</v>
          </cell>
        </row>
        <row r="763">
          <cell r="A763">
            <v>37409</v>
          </cell>
          <cell r="B763" t="str">
            <v>CABO DE ALUMINIO NU COM ALMA DE ACO, BITOLA 2/0 AWG</v>
          </cell>
          <cell r="C763" t="str">
            <v xml:space="preserve">KG    </v>
          </cell>
          <cell r="D763">
            <v>23.05</v>
          </cell>
        </row>
        <row r="764">
          <cell r="A764">
            <v>841</v>
          </cell>
          <cell r="B764" t="str">
            <v>CABO DE ALUMINIO NU COM ALMA DE ACO, BITOLA 4 AWG</v>
          </cell>
          <cell r="C764" t="str">
            <v xml:space="preserve">KG    </v>
          </cell>
          <cell r="D764">
            <v>23.81</v>
          </cell>
        </row>
        <row r="765">
          <cell r="A765">
            <v>25005</v>
          </cell>
          <cell r="B765" t="str">
            <v>CABO DE ALUMINIO NU SEM ALMA DE ACO, BITOLA 1/0 AWG</v>
          </cell>
          <cell r="C765" t="str">
            <v xml:space="preserve">KG    </v>
          </cell>
          <cell r="D765">
            <v>26.1</v>
          </cell>
        </row>
        <row r="766">
          <cell r="A766">
            <v>25003</v>
          </cell>
          <cell r="B766" t="str">
            <v>CABO DE ALUMINIO NU SEM ALMA DE ACO, BITOLA 2 AWG</v>
          </cell>
          <cell r="C766" t="str">
            <v xml:space="preserve">KG    </v>
          </cell>
          <cell r="D766">
            <v>27.88</v>
          </cell>
        </row>
        <row r="767">
          <cell r="A767">
            <v>37410</v>
          </cell>
          <cell r="B767" t="str">
            <v>CABO DE ALUMINIO NU SEM ALMA DE ACO, BITOLA 2/0 AWG</v>
          </cell>
          <cell r="C767" t="str">
            <v xml:space="preserve">KG    </v>
          </cell>
          <cell r="D767">
            <v>26.1</v>
          </cell>
        </row>
        <row r="768">
          <cell r="A768">
            <v>842</v>
          </cell>
          <cell r="B768" t="str">
            <v>CABO DE ALUMINIO NU SEM ALMA DE ACO, BITOLA 4 AWG</v>
          </cell>
          <cell r="C768" t="str">
            <v xml:space="preserve">KG    </v>
          </cell>
          <cell r="D768">
            <v>29.37</v>
          </cell>
        </row>
        <row r="769">
          <cell r="A769">
            <v>862</v>
          </cell>
          <cell r="B769" t="str">
            <v>CABO DE COBRE NU 10 MM2 MEIO-DURO</v>
          </cell>
          <cell r="C769" t="str">
            <v xml:space="preserve">M     </v>
          </cell>
          <cell r="D769">
            <v>5.28</v>
          </cell>
        </row>
        <row r="770">
          <cell r="A770">
            <v>866</v>
          </cell>
          <cell r="B770" t="str">
            <v>CABO DE COBRE NU 120 MM2 MEIO-DURO</v>
          </cell>
          <cell r="C770" t="str">
            <v xml:space="preserve">M     </v>
          </cell>
          <cell r="D770">
            <v>64.959999999999994</v>
          </cell>
        </row>
        <row r="771">
          <cell r="A771">
            <v>892</v>
          </cell>
          <cell r="B771" t="str">
            <v>CABO DE COBRE NU 150 MM2 MEIO-DURO</v>
          </cell>
          <cell r="C771" t="str">
            <v xml:space="preserve">M     </v>
          </cell>
          <cell r="D771">
            <v>82.61</v>
          </cell>
        </row>
        <row r="772">
          <cell r="A772">
            <v>857</v>
          </cell>
          <cell r="B772" t="str">
            <v>CABO DE COBRE NU 16 MM2 MEIO-DURO</v>
          </cell>
          <cell r="C772" t="str">
            <v xml:space="preserve">M     </v>
          </cell>
          <cell r="D772">
            <v>8.41</v>
          </cell>
        </row>
        <row r="773">
          <cell r="A773">
            <v>37404</v>
          </cell>
          <cell r="B773" t="str">
            <v>CABO DE COBRE NU 185 MM2 MEIO-DURO</v>
          </cell>
          <cell r="C773" t="str">
            <v xml:space="preserve">M     </v>
          </cell>
          <cell r="D773">
            <v>99.34</v>
          </cell>
        </row>
        <row r="774">
          <cell r="A774">
            <v>868</v>
          </cell>
          <cell r="B774" t="str">
            <v>CABO DE COBRE NU 25 MM2 MEIO-DURO</v>
          </cell>
          <cell r="C774" t="str">
            <v xml:space="preserve">M     </v>
          </cell>
          <cell r="D774">
            <v>12.98</v>
          </cell>
        </row>
        <row r="775">
          <cell r="A775">
            <v>870</v>
          </cell>
          <cell r="B775" t="str">
            <v>CABO DE COBRE NU 300 MM2 MEIO-DURO</v>
          </cell>
          <cell r="C775" t="str">
            <v xml:space="preserve">M     </v>
          </cell>
          <cell r="D775">
            <v>171.18</v>
          </cell>
        </row>
        <row r="776">
          <cell r="A776">
            <v>863</v>
          </cell>
          <cell r="B776" t="str">
            <v>CABO DE COBRE NU 35 MM2 MEIO-DURO</v>
          </cell>
          <cell r="C776" t="str">
            <v xml:space="preserve">M     </v>
          </cell>
          <cell r="D776">
            <v>17.940000000000001</v>
          </cell>
        </row>
        <row r="777">
          <cell r="A777">
            <v>867</v>
          </cell>
          <cell r="B777" t="str">
            <v>CABO DE COBRE NU 50 MM2 MEIO-DURO</v>
          </cell>
          <cell r="C777" t="str">
            <v xml:space="preserve">M     </v>
          </cell>
          <cell r="D777">
            <v>24.99</v>
          </cell>
        </row>
        <row r="778">
          <cell r="A778">
            <v>891</v>
          </cell>
          <cell r="B778" t="str">
            <v>CABO DE COBRE NU 500 MM2 MEIO-DURO</v>
          </cell>
          <cell r="C778" t="str">
            <v xml:space="preserve">M     </v>
          </cell>
          <cell r="D778">
            <v>287.48</v>
          </cell>
        </row>
        <row r="779">
          <cell r="A779">
            <v>864</v>
          </cell>
          <cell r="B779" t="str">
            <v>CABO DE COBRE NU 70 MM2 MEIO-DURO</v>
          </cell>
          <cell r="C779" t="str">
            <v xml:space="preserve">M     </v>
          </cell>
          <cell r="D779">
            <v>35.21</v>
          </cell>
        </row>
        <row r="780">
          <cell r="A780">
            <v>865</v>
          </cell>
          <cell r="B780" t="str">
            <v>CABO DE COBRE NU 95 MM2 MEIO-DURO</v>
          </cell>
          <cell r="C780" t="str">
            <v xml:space="preserve">M     </v>
          </cell>
          <cell r="D780">
            <v>49.59</v>
          </cell>
        </row>
        <row r="781">
          <cell r="A781">
            <v>1006</v>
          </cell>
          <cell r="B781" t="str">
            <v>CABO DE COBRE RIGIDO, CLASSE 2, ISOLACAO EM PVC, ANTI-CHAMA BWF-B, 1 CONDUTOR, 450/750 V, DIAMETRO 120 MM2</v>
          </cell>
          <cell r="C781" t="str">
            <v xml:space="preserve">M     </v>
          </cell>
          <cell r="D781">
            <v>62.56</v>
          </cell>
        </row>
        <row r="782">
          <cell r="A782">
            <v>948</v>
          </cell>
          <cell r="B782" t="str">
            <v>CABO DE COBRE UNIPOLAR 10 MM2, BLINDADO, ISOLACAO 3,6/6 KV EPR, COBERTURA EM PVC</v>
          </cell>
          <cell r="C782" t="str">
            <v xml:space="preserve">M     </v>
          </cell>
          <cell r="D782">
            <v>13.1</v>
          </cell>
        </row>
        <row r="783">
          <cell r="A783">
            <v>947</v>
          </cell>
          <cell r="B783" t="str">
            <v>CABO DE COBRE UNIPOLAR 16 MM2, BLINDADO, ISOLACAO 3,6/6 KV EPR, COBERTURA EM PVC</v>
          </cell>
          <cell r="C783" t="str">
            <v xml:space="preserve">M     </v>
          </cell>
          <cell r="D783">
            <v>13.33</v>
          </cell>
        </row>
        <row r="784">
          <cell r="A784">
            <v>911</v>
          </cell>
          <cell r="B784" t="str">
            <v>CABO DE COBRE UNIPOLAR 16 MM2, BLINDADO, ISOLACAO 6/10 KV EPR, COBERTURA EM PVC</v>
          </cell>
          <cell r="C784" t="str">
            <v xml:space="preserve">M     </v>
          </cell>
          <cell r="D784">
            <v>19.39</v>
          </cell>
        </row>
        <row r="785">
          <cell r="A785">
            <v>925</v>
          </cell>
          <cell r="B785" t="str">
            <v>CABO DE COBRE UNIPOLAR 25 MM2, BLINDADO, ISOLACAO 3,6/6 KV EPR, COBERTURA EM PVC</v>
          </cell>
          <cell r="C785" t="str">
            <v xml:space="preserve">M     </v>
          </cell>
          <cell r="D785">
            <v>17.920000000000002</v>
          </cell>
        </row>
        <row r="786">
          <cell r="A786">
            <v>954</v>
          </cell>
          <cell r="B786" t="str">
            <v>CABO DE COBRE UNIPOLAR 25MM2, BLINDADO, ISOLACAO 6/10 KV EPR, COBERTURA EM PVC</v>
          </cell>
          <cell r="C786" t="str">
            <v xml:space="preserve">M     </v>
          </cell>
          <cell r="D786">
            <v>19.8</v>
          </cell>
        </row>
        <row r="787">
          <cell r="A787">
            <v>901</v>
          </cell>
          <cell r="B787" t="str">
            <v>CABO DE COBRE UNIPOLAR 35 MM2, BLINDADO, ISOLACAO 12/20 KV EPR, COBERTURA EM PVC</v>
          </cell>
          <cell r="C787" t="str">
            <v xml:space="preserve">M     </v>
          </cell>
          <cell r="D787">
            <v>21.19</v>
          </cell>
        </row>
        <row r="788">
          <cell r="A788">
            <v>926</v>
          </cell>
          <cell r="B788" t="str">
            <v>CABO DE COBRE UNIPOLAR 35 MM2, BLINDADO, ISOLACAO 3,6/6 KV EPR, COBERTURA EM PVC</v>
          </cell>
          <cell r="C788" t="str">
            <v xml:space="preserve">M     </v>
          </cell>
          <cell r="D788">
            <v>22.39</v>
          </cell>
        </row>
        <row r="789">
          <cell r="A789">
            <v>912</v>
          </cell>
          <cell r="B789" t="str">
            <v>CABO DE COBRE UNIPOLAR 35 MM2, BLINDADO, ISOLACAO 6/10 KV EPR, COBERTURA EM PVC</v>
          </cell>
          <cell r="C789" t="str">
            <v xml:space="preserve">M     </v>
          </cell>
          <cell r="D789">
            <v>22.53</v>
          </cell>
        </row>
        <row r="790">
          <cell r="A790">
            <v>955</v>
          </cell>
          <cell r="B790" t="str">
            <v>CABO DE COBRE UNIPOLAR 50 MM2, BLINDADO, ISOLACAO 12/20 KV EPR, COBERTURA EM PVC</v>
          </cell>
          <cell r="C790" t="str">
            <v xml:space="preserve">M     </v>
          </cell>
          <cell r="D790">
            <v>26.89</v>
          </cell>
        </row>
        <row r="791">
          <cell r="A791">
            <v>946</v>
          </cell>
          <cell r="B791" t="str">
            <v>CABO DE COBRE UNIPOLAR 50 MM2, BLINDADO, ISOLACAO 3,6/6 KV EPR, COBERTURA EM PVC</v>
          </cell>
          <cell r="C791" t="str">
            <v xml:space="preserve">M     </v>
          </cell>
          <cell r="D791">
            <v>30.23</v>
          </cell>
        </row>
        <row r="792">
          <cell r="A792">
            <v>953</v>
          </cell>
          <cell r="B792" t="str">
            <v>CABO DE COBRE UNIPOLAR 50 MM2, BLINDADO, ISOLACAO 6/10 KV EPR, COBERTURA EM PVC</v>
          </cell>
          <cell r="C792" t="str">
            <v xml:space="preserve">M     </v>
          </cell>
          <cell r="D792">
            <v>27.51</v>
          </cell>
        </row>
        <row r="793">
          <cell r="A793">
            <v>902</v>
          </cell>
          <cell r="B793" t="str">
            <v>CABO DE COBRE UNIPOLAR 70 MM2, BLINDADO, ISOLACAO 12/20 KV EPR, COBERTURA EM PVC</v>
          </cell>
          <cell r="C793" t="str">
            <v xml:space="preserve">M     </v>
          </cell>
          <cell r="D793">
            <v>33.44</v>
          </cell>
        </row>
        <row r="794">
          <cell r="A794">
            <v>927</v>
          </cell>
          <cell r="B794" t="str">
            <v>CABO DE COBRE UNIPOLAR 70 MM2, BLINDADO, ISOLACAO 3,6/6 KV EPR, COBERTURA EM PVC</v>
          </cell>
          <cell r="C794" t="str">
            <v xml:space="preserve">M     </v>
          </cell>
          <cell r="D794">
            <v>32.42</v>
          </cell>
        </row>
        <row r="795">
          <cell r="A795">
            <v>913</v>
          </cell>
          <cell r="B795" t="str">
            <v>CABO DE COBRE UNIPOLAR 70 MM2, BLINDADO, ISOLACAO 6/10 KV EPR, COBERTURA EM PVC</v>
          </cell>
          <cell r="C795" t="str">
            <v xml:space="preserve">M     </v>
          </cell>
          <cell r="D795">
            <v>36.18</v>
          </cell>
        </row>
        <row r="796">
          <cell r="A796">
            <v>903</v>
          </cell>
          <cell r="B796" t="str">
            <v>CABO DE COBRE UNIPOLAR 95 MM2, BLINDADO, ISOLACAO 12/20 KV EPR, COBERTURA EM PVC</v>
          </cell>
          <cell r="C796" t="str">
            <v xml:space="preserve">M     </v>
          </cell>
          <cell r="D796">
            <v>40.950000000000003</v>
          </cell>
        </row>
        <row r="797">
          <cell r="A797">
            <v>945</v>
          </cell>
          <cell r="B797" t="str">
            <v>CABO DE COBRE UNIPOLAR 95 MM2, BLINDADO, ISOLACAO 3,6/6 KV EPR, COBERTURA EM PVC</v>
          </cell>
          <cell r="C797" t="str">
            <v xml:space="preserve">M     </v>
          </cell>
          <cell r="D797">
            <v>43.32</v>
          </cell>
        </row>
        <row r="798">
          <cell r="A798">
            <v>914</v>
          </cell>
          <cell r="B798" t="str">
            <v>CABO DE COBRE UNIPOLAR 95 MM2, BLINDADO, ISOLACAO 6/10 KV EPR, COBERTURA EM PVC</v>
          </cell>
          <cell r="C798" t="str">
            <v xml:space="preserve">M     </v>
          </cell>
          <cell r="D798">
            <v>44.38</v>
          </cell>
        </row>
        <row r="799">
          <cell r="A799">
            <v>993</v>
          </cell>
          <cell r="B799" t="str">
            <v>CABO DE COBRE, FLEXIVEL, CLASSE 4 OU 5, ISOLACAO EM PVC/A, ANTICHAMA BWF-B, COBERTURA PVC-ST1, ANTICHAMA BWF-B, 1 CONDUTOR, 0,6/1 KV, SECAO NOMINAL 1,5 MM2</v>
          </cell>
          <cell r="C799" t="str">
            <v xml:space="preserve">M     </v>
          </cell>
          <cell r="D799">
            <v>1.34</v>
          </cell>
        </row>
        <row r="800">
          <cell r="A800">
            <v>1020</v>
          </cell>
          <cell r="B800" t="str">
            <v>CABO DE COBRE, FLEXIVEL, CLASSE 4 OU 5, ISOLACAO EM PVC/A, ANTICHAMA BWF-B, COBERTURA PVC-ST1, ANTICHAMA BWF-B, 1 CONDUTOR, 0,6/1 KV, SECAO NOMINAL 10 MM2</v>
          </cell>
          <cell r="C800" t="str">
            <v xml:space="preserve">M     </v>
          </cell>
          <cell r="D800">
            <v>5.86</v>
          </cell>
        </row>
        <row r="801">
          <cell r="A801">
            <v>1017</v>
          </cell>
          <cell r="B801" t="str">
            <v>CABO DE COBRE, FLEXIVEL, CLASSE 4 OU 5, ISOLACAO EM PVC/A, ANTICHAMA BWF-B, COBERTURA PVC-ST1, ANTICHAMA BWF-B, 1 CONDUTOR, 0,6/1 KV, SECAO NOMINAL 120 MM2</v>
          </cell>
          <cell r="C801" t="str">
            <v xml:space="preserve">M     </v>
          </cell>
          <cell r="D801">
            <v>64.45</v>
          </cell>
        </row>
        <row r="802">
          <cell r="A802">
            <v>999</v>
          </cell>
          <cell r="B802" t="str">
            <v>CABO DE COBRE, FLEXIVEL, CLASSE 4 OU 5, ISOLACAO EM PVC/A, ANTICHAMA BWF-B, COBERTURA PVC-ST1, ANTICHAMA BWF-B, 1 CONDUTOR, 0,6/1 KV, SECAO NOMINAL 150 MM2</v>
          </cell>
          <cell r="C802" t="str">
            <v xml:space="preserve">M     </v>
          </cell>
          <cell r="D802">
            <v>79.86</v>
          </cell>
        </row>
        <row r="803">
          <cell r="A803">
            <v>995</v>
          </cell>
          <cell r="B803" t="str">
            <v>CABO DE COBRE, FLEXIVEL, CLASSE 4 OU 5, ISOLACAO EM PVC/A, ANTICHAMA BWF-B, COBERTURA PVC-ST1, ANTICHAMA BWF-B, 1 CONDUTOR, 0,6/1 KV, SECAO NOMINAL 16 MM2</v>
          </cell>
          <cell r="C803" t="str">
            <v xml:space="preserve">M     </v>
          </cell>
          <cell r="D803">
            <v>8.99</v>
          </cell>
        </row>
        <row r="804">
          <cell r="A804">
            <v>1000</v>
          </cell>
          <cell r="B804" t="str">
            <v>CABO DE COBRE, FLEXIVEL, CLASSE 4 OU 5, ISOLACAO EM PVC/A, ANTICHAMA BWF-B, COBERTURA PVC-ST1, ANTICHAMA BWF-B, 1 CONDUTOR, 0,6/1 KV, SECAO NOMINAL 185 MM2</v>
          </cell>
          <cell r="C804" t="str">
            <v xml:space="preserve">M     </v>
          </cell>
          <cell r="D804">
            <v>97.89</v>
          </cell>
        </row>
        <row r="805">
          <cell r="A805">
            <v>1022</v>
          </cell>
          <cell r="B805" t="str">
            <v>CABO DE COBRE, FLEXIVEL, CLASSE 4 OU 5, ISOLACAO EM PVC/A, ANTICHAMA BWF-B, COBERTURA PVC-ST1, ANTICHAMA BWF-B, 1 CONDUTOR, 0,6/1 KV, SECAO NOMINAL 2,5 MM2</v>
          </cell>
          <cell r="C805" t="str">
            <v xml:space="preserve">M     </v>
          </cell>
          <cell r="D805">
            <v>1.87</v>
          </cell>
        </row>
        <row r="806">
          <cell r="A806">
            <v>1015</v>
          </cell>
          <cell r="B806" t="str">
            <v>CABO DE COBRE, FLEXIVEL, CLASSE 4 OU 5, ISOLACAO EM PVC/A, ANTICHAMA BWF-B, COBERTURA PVC-ST1, ANTICHAMA BWF-B, 1 CONDUTOR, 0,6/1 KV, SECAO NOMINAL 240 MM2</v>
          </cell>
          <cell r="C806" t="str">
            <v xml:space="preserve">M     </v>
          </cell>
          <cell r="D806">
            <v>128.91</v>
          </cell>
        </row>
        <row r="807">
          <cell r="A807">
            <v>996</v>
          </cell>
          <cell r="B807" t="str">
            <v>CABO DE COBRE, FLEXIVEL, CLASSE 4 OU 5, ISOLACAO EM PVC/A, ANTICHAMA BWF-B, COBERTURA PVC-ST1, ANTICHAMA BWF-B, 1 CONDUTOR, 0,6/1 KV, SECAO NOMINAL 25 MM2</v>
          </cell>
          <cell r="C807" t="str">
            <v xml:space="preserve">M     </v>
          </cell>
          <cell r="D807">
            <v>13.69</v>
          </cell>
        </row>
        <row r="808">
          <cell r="A808">
            <v>1001</v>
          </cell>
          <cell r="B808" t="str">
            <v>CABO DE COBRE, FLEXIVEL, CLASSE 4 OU 5, ISOLACAO EM PVC/A, ANTICHAMA BWF-B, COBERTURA PVC-ST1, ANTICHAMA BWF-B, 1 CONDUTOR, 0,6/1 KV, SECAO NOMINAL 300 MM2</v>
          </cell>
          <cell r="C808" t="str">
            <v xml:space="preserve">M     </v>
          </cell>
          <cell r="D808">
            <v>161.32</v>
          </cell>
        </row>
        <row r="809">
          <cell r="A809">
            <v>1019</v>
          </cell>
          <cell r="B809" t="str">
            <v>CABO DE COBRE, FLEXIVEL, CLASSE 4 OU 5, ISOLACAO EM PVC/A, ANTICHAMA BWF-B, COBERTURA PVC-ST1, ANTICHAMA BWF-B, 1 CONDUTOR, 0,6/1 KV, SECAO NOMINAL 35 MM2</v>
          </cell>
          <cell r="C809" t="str">
            <v xml:space="preserve">M     </v>
          </cell>
          <cell r="D809">
            <v>18.88</v>
          </cell>
        </row>
        <row r="810">
          <cell r="A810">
            <v>1021</v>
          </cell>
          <cell r="B810" t="str">
            <v>CABO DE COBRE, FLEXIVEL, CLASSE 4 OU 5, ISOLACAO EM PVC/A, ANTICHAMA BWF-B, COBERTURA PVC-ST1, ANTICHAMA BWF-B, 1 CONDUTOR, 0,6/1 KV, SECAO NOMINAL 4 MM2</v>
          </cell>
          <cell r="C810" t="str">
            <v xml:space="preserve">M     </v>
          </cell>
          <cell r="D810">
            <v>2.68</v>
          </cell>
        </row>
        <row r="811">
          <cell r="A811">
            <v>39249</v>
          </cell>
          <cell r="B811" t="str">
            <v>CABO DE COBRE, FLEXIVEL, CLASSE 4 OU 5, ISOLACAO EM PVC/A, ANTICHAMA BWF-B, COBERTURA PVC-ST1, ANTICHAMA BWF-B, 1 CONDUTOR, 0,6/1 KV, SECAO NOMINAL 400 MM2</v>
          </cell>
          <cell r="C811" t="str">
            <v xml:space="preserve">M     </v>
          </cell>
          <cell r="D811">
            <v>210.45</v>
          </cell>
        </row>
        <row r="812">
          <cell r="A812">
            <v>1018</v>
          </cell>
          <cell r="B812" t="str">
            <v>CABO DE COBRE, FLEXIVEL, CLASSE 4 OU 5, ISOLACAO EM PVC/A, ANTICHAMA BWF-B, COBERTURA PVC-ST1, ANTICHAMA BWF-B, 1 CONDUTOR, 0,6/1 KV, SECAO NOMINAL 50 MM2</v>
          </cell>
          <cell r="C812" t="str">
            <v xml:space="preserve">M     </v>
          </cell>
          <cell r="D812">
            <v>26.9</v>
          </cell>
        </row>
        <row r="813">
          <cell r="A813">
            <v>39250</v>
          </cell>
          <cell r="B813" t="str">
            <v>CABO DE COBRE, FLEXIVEL, CLASSE 4 OU 5, ISOLACAO EM PVC/A, ANTICHAMA BWF-B, COBERTURA PVC-ST1, ANTICHAMA BWF-B, 1 CONDUTOR, 0,6/1 KV, SECAO NOMINAL 500 MM2</v>
          </cell>
          <cell r="C813" t="str">
            <v xml:space="preserve">M     </v>
          </cell>
          <cell r="D813">
            <v>270.33999999999997</v>
          </cell>
        </row>
        <row r="814">
          <cell r="A814">
            <v>994</v>
          </cell>
          <cell r="B814" t="str">
            <v>CABO DE COBRE, FLEXIVEL, CLASSE 4 OU 5, ISOLACAO EM PVC/A, ANTICHAMA BWF-B, COBERTURA PVC-ST1, ANTICHAMA BWF-B, 1 CONDUTOR, 0,6/1 KV, SECAO NOMINAL 6 MM2</v>
          </cell>
          <cell r="C814" t="str">
            <v xml:space="preserve">M     </v>
          </cell>
          <cell r="D814">
            <v>3.66</v>
          </cell>
        </row>
        <row r="815">
          <cell r="A815">
            <v>977</v>
          </cell>
          <cell r="B815" t="str">
            <v>CABO DE COBRE, FLEXIVEL, CLASSE 4 OU 5, ISOLACAO EM PVC/A, ANTICHAMA BWF-B, COBERTURA PVC-ST1, ANTICHAMA BWF-B, 1 CONDUTOR, 0,6/1 KV, SECAO NOMINAL 70 MM2</v>
          </cell>
          <cell r="C815" t="str">
            <v xml:space="preserve">M     </v>
          </cell>
          <cell r="D815">
            <v>37.270000000000003</v>
          </cell>
        </row>
        <row r="816">
          <cell r="A816">
            <v>998</v>
          </cell>
          <cell r="B816" t="str">
            <v>CABO DE COBRE, FLEXIVEL, CLASSE 4 OU 5, ISOLACAO EM PVC/A, ANTICHAMA BWF-B, COBERTURA PVC-ST1, ANTICHAMA BWF-B, 1 CONDUTOR, 0,6/1 KV, SECAO NOMINAL 95 MM2</v>
          </cell>
          <cell r="C816" t="str">
            <v xml:space="preserve">M     </v>
          </cell>
          <cell r="D816">
            <v>49.51</v>
          </cell>
        </row>
        <row r="817">
          <cell r="A817">
            <v>39251</v>
          </cell>
          <cell r="B817" t="str">
            <v>CABO DE COBRE, FLEXIVEL, CLASSE 4 OU 5, ISOLACAO EM PVC/A, ANTICHAMA BWF-B, 1 CONDUTOR, 450/750 V, SECAO NOMINAL 0,5 MM2</v>
          </cell>
          <cell r="C817" t="str">
            <v xml:space="preserve">M     </v>
          </cell>
          <cell r="D817">
            <v>0.35</v>
          </cell>
        </row>
        <row r="818">
          <cell r="A818">
            <v>1011</v>
          </cell>
          <cell r="B818" t="str">
            <v>CABO DE COBRE, FLEXIVEL, CLASSE 4 OU 5, ISOLACAO EM PVC/A, ANTICHAMA BWF-B, 1 CONDUTOR, 450/750 V, SECAO NOMINAL 0,75 MM2</v>
          </cell>
          <cell r="C818" t="str">
            <v xml:space="preserve">M     </v>
          </cell>
          <cell r="D818">
            <v>0.49</v>
          </cell>
        </row>
        <row r="819">
          <cell r="A819">
            <v>39252</v>
          </cell>
          <cell r="B819" t="str">
            <v>CABO DE COBRE, FLEXIVEL, CLASSE 4 OU 5, ISOLACAO EM PVC/A, ANTICHAMA BWF-B, 1 CONDUTOR, 450/750 V, SECAO NOMINAL 1,0 MM2</v>
          </cell>
          <cell r="C819" t="str">
            <v xml:space="preserve">M     </v>
          </cell>
          <cell r="D819">
            <v>0.59</v>
          </cell>
        </row>
        <row r="820">
          <cell r="A820">
            <v>1013</v>
          </cell>
          <cell r="B820" t="str">
            <v>CABO DE COBRE, FLEXIVEL, CLASSE 4 OU 5, ISOLACAO EM PVC/A, ANTICHAMA BWF-B, 1 CONDUTOR, 450/750 V, SECAO NOMINAL 1,5 MM2</v>
          </cell>
          <cell r="C820" t="str">
            <v xml:space="preserve">M     </v>
          </cell>
          <cell r="D820">
            <v>0.79</v>
          </cell>
        </row>
        <row r="821">
          <cell r="A821">
            <v>980</v>
          </cell>
          <cell r="B821" t="str">
            <v>CABO DE COBRE, FLEXIVEL, CLASSE 4 OU 5, ISOLACAO EM PVC/A, ANTICHAMA BWF-B, 1 CONDUTOR, 450/750 V, SECAO NOMINAL 10 MM2</v>
          </cell>
          <cell r="C821" t="str">
            <v xml:space="preserve">M     </v>
          </cell>
          <cell r="D821">
            <v>5.38</v>
          </cell>
        </row>
        <row r="822">
          <cell r="A822">
            <v>39237</v>
          </cell>
          <cell r="B822" t="str">
            <v>CABO DE COBRE, FLEXIVEL, CLASSE 4 OU 5, ISOLACAO EM PVC/A, ANTICHAMA BWF-B, 1 CONDUTOR, 450/750 V, SECAO NOMINAL 120 MM2</v>
          </cell>
          <cell r="C822" t="str">
            <v xml:space="preserve">M     </v>
          </cell>
          <cell r="D822">
            <v>63.78</v>
          </cell>
        </row>
        <row r="823">
          <cell r="A823">
            <v>39238</v>
          </cell>
          <cell r="B823" t="str">
            <v>CABO DE COBRE, FLEXIVEL, CLASSE 4 OU 5, ISOLACAO EM PVC/A, ANTICHAMA BWF-B, 1 CONDUTOR, 450/750 V, SECAO NOMINAL 150 MM2</v>
          </cell>
          <cell r="C823" t="str">
            <v xml:space="preserve">M     </v>
          </cell>
          <cell r="D823">
            <v>79.63</v>
          </cell>
        </row>
        <row r="824">
          <cell r="A824">
            <v>979</v>
          </cell>
          <cell r="B824" t="str">
            <v>CABO DE COBRE, FLEXIVEL, CLASSE 4 OU 5, ISOLACAO EM PVC/A, ANTICHAMA BWF-B, 1 CONDUTOR, 450/750 V, SECAO NOMINAL 16 MM2</v>
          </cell>
          <cell r="C824" t="str">
            <v xml:space="preserve">M     </v>
          </cell>
          <cell r="D824">
            <v>8.2899999999999991</v>
          </cell>
        </row>
        <row r="825">
          <cell r="A825">
            <v>39239</v>
          </cell>
          <cell r="B825" t="str">
            <v>CABO DE COBRE, FLEXIVEL, CLASSE 4 OU 5, ISOLACAO EM PVC/A, ANTICHAMA BWF-B, 1 CONDUTOR, 450/750 V, SECAO NOMINAL 185 MM2</v>
          </cell>
          <cell r="C825" t="str">
            <v xml:space="preserve">M     </v>
          </cell>
          <cell r="D825">
            <v>96.91</v>
          </cell>
        </row>
        <row r="826">
          <cell r="A826">
            <v>1014</v>
          </cell>
          <cell r="B826" t="str">
            <v>CABO DE COBRE, FLEXIVEL, CLASSE 4 OU 5, ISOLACAO EM PVC/A, ANTICHAMA BWF-B, 1 CONDUTOR, 450/750 V, SECAO NOMINAL 2,5 MM2</v>
          </cell>
          <cell r="C826" t="str">
            <v xml:space="preserve">M     </v>
          </cell>
          <cell r="D826">
            <v>1.25</v>
          </cell>
        </row>
        <row r="827">
          <cell r="A827">
            <v>39240</v>
          </cell>
          <cell r="B827" t="str">
            <v>CABO DE COBRE, FLEXIVEL, CLASSE 4 OU 5, ISOLACAO EM PVC/A, ANTICHAMA BWF-B, 1 CONDUTOR, 450/750 V, SECAO NOMINAL 240 MM2</v>
          </cell>
          <cell r="C827" t="str">
            <v xml:space="preserve">M     </v>
          </cell>
          <cell r="D827">
            <v>128.08000000000001</v>
          </cell>
        </row>
        <row r="828">
          <cell r="A828">
            <v>39232</v>
          </cell>
          <cell r="B828" t="str">
            <v>CABO DE COBRE, FLEXIVEL, CLASSE 4 OU 5, ISOLACAO EM PVC/A, ANTICHAMA BWF-B, 1 CONDUTOR, 450/750 V, SECAO NOMINAL 25 MM2</v>
          </cell>
          <cell r="C828" t="str">
            <v xml:space="preserve">M     </v>
          </cell>
          <cell r="D828">
            <v>13.3</v>
          </cell>
        </row>
        <row r="829">
          <cell r="A829">
            <v>39233</v>
          </cell>
          <cell r="B829" t="str">
            <v>CABO DE COBRE, FLEXIVEL, CLASSE 4 OU 5, ISOLACAO EM PVC/A, ANTICHAMA BWF-B, 1 CONDUTOR, 450/750 V, SECAO NOMINAL 35 MM2</v>
          </cell>
          <cell r="C829" t="str">
            <v xml:space="preserve">M     </v>
          </cell>
          <cell r="D829">
            <v>18.28</v>
          </cell>
        </row>
        <row r="830">
          <cell r="A830">
            <v>981</v>
          </cell>
          <cell r="B830" t="str">
            <v>CABO DE COBRE, FLEXIVEL, CLASSE 4 OU 5, ISOLACAO EM PVC/A, ANTICHAMA BWF-B, 1 CONDUTOR, 450/750 V, SECAO NOMINAL 4 MM2</v>
          </cell>
          <cell r="C830" t="str">
            <v xml:space="preserve">M     </v>
          </cell>
          <cell r="D830">
            <v>2.2400000000000002</v>
          </cell>
        </row>
        <row r="831">
          <cell r="A831">
            <v>39234</v>
          </cell>
          <cell r="B831" t="str">
            <v>CABO DE COBRE, FLEXIVEL, CLASSE 4 OU 5, ISOLACAO EM PVC/A, ANTICHAMA BWF-B, 1 CONDUTOR, 450/750 V, SECAO NOMINAL 50 MM2</v>
          </cell>
          <cell r="C831" t="str">
            <v xml:space="preserve">M     </v>
          </cell>
          <cell r="D831">
            <v>26.83</v>
          </cell>
        </row>
        <row r="832">
          <cell r="A832">
            <v>982</v>
          </cell>
          <cell r="B832" t="str">
            <v>CABO DE COBRE, FLEXIVEL, CLASSE 4 OU 5, ISOLACAO EM PVC/A, ANTICHAMA BWF-B, 1 CONDUTOR, 450/750 V, SECAO NOMINAL 6 MM2</v>
          </cell>
          <cell r="C832" t="str">
            <v xml:space="preserve">M     </v>
          </cell>
          <cell r="D832">
            <v>3.14</v>
          </cell>
        </row>
        <row r="833">
          <cell r="A833">
            <v>39235</v>
          </cell>
          <cell r="B833" t="str">
            <v>CABO DE COBRE, FLEXIVEL, CLASSE 4 OU 5, ISOLACAO EM PVC/A, ANTICHAMA BWF-B, 1 CONDUTOR, 450/750 V, SECAO NOMINAL 70 MM2</v>
          </cell>
          <cell r="C833" t="str">
            <v xml:space="preserve">M     </v>
          </cell>
          <cell r="D833">
            <v>37.74</v>
          </cell>
        </row>
        <row r="834">
          <cell r="A834">
            <v>39236</v>
          </cell>
          <cell r="B834" t="str">
            <v>CABO DE COBRE, FLEXIVEL, CLASSE 4 OU 5, ISOLACAO EM PVC/A, ANTICHAMA BWF-B, 1 CONDUTOR, 450/750 V, SECAO NOMINAL 95 MM2</v>
          </cell>
          <cell r="C834" t="str">
            <v xml:space="preserve">M     </v>
          </cell>
          <cell r="D834">
            <v>49.48</v>
          </cell>
        </row>
        <row r="835">
          <cell r="A835">
            <v>876</v>
          </cell>
          <cell r="B835" t="str">
            <v>CABO DE COBRE, RIGIDO, CLASSE 2, COMPACTADO, BLINDADO, ISOLACAO EM EPR OU XLPE, COBERTURA ANTICHAMA EM PVC, PEAD OU HFFR, 1 CONDUTOR, 20/35 KV, SECAO NOMINAL 120 MM2</v>
          </cell>
          <cell r="C835" t="str">
            <v xml:space="preserve">M     </v>
          </cell>
          <cell r="D835">
            <v>127.72</v>
          </cell>
        </row>
        <row r="836">
          <cell r="A836">
            <v>877</v>
          </cell>
          <cell r="B836" t="str">
            <v>CABO DE COBRE, RIGIDO, CLASSE 2, COMPACTADO, BLINDADO, ISOLACAO EM EPR OU XLPE, COBERTURA ANTICHAMA EM PVC, PEAD OU HFFR, 1 CONDUTOR, 20/35 KV, SECAO NOMINAL 150 MM2</v>
          </cell>
          <cell r="C836" t="str">
            <v xml:space="preserve">M     </v>
          </cell>
          <cell r="D836">
            <v>150.15</v>
          </cell>
        </row>
        <row r="837">
          <cell r="A837">
            <v>882</v>
          </cell>
          <cell r="B837" t="str">
            <v>CABO DE COBRE, RIGIDO, CLASSE 2, COMPACTADO, BLINDADO, ISOLACAO EM EPR OU XLPE, COBERTURA ANTICHAMA EM PVC, PEAD OU HFFR, 1 CONDUTOR, 20/35 KV, SECAO NOMINAL 185 MM2</v>
          </cell>
          <cell r="C837" t="str">
            <v xml:space="preserve">M     </v>
          </cell>
          <cell r="D837">
            <v>163.61000000000001</v>
          </cell>
        </row>
        <row r="838">
          <cell r="A838">
            <v>878</v>
          </cell>
          <cell r="B838" t="str">
            <v>CABO DE COBRE, RIGIDO, CLASSE 2, COMPACTADO, BLINDADO, ISOLACAO EM EPR OU XLPE, COBERTURA ANTICHAMA EM PVC, PEAD OU HFFR, 1 CONDUTOR, 20/35 KV, SECAO NOMINAL 240 MM2</v>
          </cell>
          <cell r="C838" t="str">
            <v xml:space="preserve">M     </v>
          </cell>
          <cell r="D838">
            <v>203.41</v>
          </cell>
        </row>
        <row r="839">
          <cell r="A839">
            <v>879</v>
          </cell>
          <cell r="B839" t="str">
            <v>CABO DE COBRE, RIGIDO, CLASSE 2, COMPACTADO, BLINDADO, ISOLACAO EM EPR OU XLPE, COBERTURA ANTICHAMA EM PVC, PEAD OU HFFR, 1 CONDUTOR, 20/35 KV, SECAO NOMINAL 300 MM2</v>
          </cell>
          <cell r="C839" t="str">
            <v xml:space="preserve">M     </v>
          </cell>
          <cell r="D839">
            <v>239.75</v>
          </cell>
        </row>
        <row r="840">
          <cell r="A840">
            <v>880</v>
          </cell>
          <cell r="B840" t="str">
            <v>CABO DE COBRE, RIGIDO, CLASSE 2, COMPACTADO, BLINDADO, ISOLACAO EM EPR OU XLPE, COBERTURA ANTICHAMA EM PVC, PEAD OU HFFR, 1 CONDUTOR, 20/35 KV, SECAO NOMINAL 400 MM2</v>
          </cell>
          <cell r="C840" t="str">
            <v xml:space="preserve">M     </v>
          </cell>
          <cell r="D840">
            <v>282.08999999999997</v>
          </cell>
        </row>
        <row r="841">
          <cell r="A841">
            <v>873</v>
          </cell>
          <cell r="B841" t="str">
            <v>CABO DE COBRE, RIGIDO, CLASSE 2, COMPACTADO, BLINDADO, ISOLACAO EM EPR OU XLPE, COBERTURA ANTICHAMA EM PVC, PEAD OU HFFR, 1 CONDUTOR, 20/35 KV, SECAO NOMINAL 50 MM2</v>
          </cell>
          <cell r="C841" t="str">
            <v xml:space="preserve">M     </v>
          </cell>
          <cell r="D841">
            <v>85.77</v>
          </cell>
        </row>
        <row r="842">
          <cell r="A842">
            <v>881</v>
          </cell>
          <cell r="B842" t="str">
            <v>CABO DE COBRE, RIGIDO, CLASSE 2, COMPACTADO, BLINDADO, ISOLACAO EM EPR OU XLPE, COBERTURA ANTICHAMA EM PVC, PEAD OU HFFR, 1 CONDUTOR, 20/35 KV, SECAO NOMINAL 500 MM2</v>
          </cell>
          <cell r="C842" t="str">
            <v xml:space="preserve">M     </v>
          </cell>
          <cell r="D842">
            <v>385.57</v>
          </cell>
        </row>
        <row r="843">
          <cell r="A843">
            <v>874</v>
          </cell>
          <cell r="B843" t="str">
            <v>CABO DE COBRE, RIGIDO, CLASSE 2, COMPACTADO, BLINDADO, ISOLACAO EM EPR OU XLPE, COBERTURA ANTICHAMA EM PVC, PEAD OU HFFR, 1 CONDUTOR, 20/35 KV, SECAO NOMINAL 70 MM2</v>
          </cell>
          <cell r="C843" t="str">
            <v xml:space="preserve">M     </v>
          </cell>
          <cell r="D843">
            <v>101.79</v>
          </cell>
        </row>
        <row r="844">
          <cell r="A844">
            <v>875</v>
          </cell>
          <cell r="B844" t="str">
            <v>CABO DE COBRE, RIGIDO, CLASSE 2, COMPACTADO, BLINDADO, ISOLACAO EM EPR OU XLPE, COBERTURA ANTICHAMA EM PVC, PEAD OU HFFR, 1 CONDUTOR, 20/35 KV, SECAO NOMINAL 95 MM2</v>
          </cell>
          <cell r="C844" t="str">
            <v xml:space="preserve">M     </v>
          </cell>
          <cell r="D844">
            <v>121.45</v>
          </cell>
        </row>
        <row r="845">
          <cell r="A845">
            <v>983</v>
          </cell>
          <cell r="B845" t="str">
            <v>CABO DE COBRE, RIGIDO, CLASSE 2, ISOLACAO EM PVC/A, ANTICHAMA BWF-B, 1 CONDUTOR, 450/750 V, SECAO NOMINAL 1,5 MM2</v>
          </cell>
          <cell r="C845" t="str">
            <v xml:space="preserve">M     </v>
          </cell>
          <cell r="D845">
            <v>0.76</v>
          </cell>
        </row>
        <row r="846">
          <cell r="A846">
            <v>985</v>
          </cell>
          <cell r="B846" t="str">
            <v>CABO DE COBRE, RIGIDO, CLASSE 2, ISOLACAO EM PVC/A, ANTICHAMA BWF-B, 1 CONDUTOR, 450/750 V, SECAO NOMINAL 10 MM2</v>
          </cell>
          <cell r="C846" t="str">
            <v xml:space="preserve">M     </v>
          </cell>
          <cell r="D846">
            <v>5.7</v>
          </cell>
        </row>
        <row r="847">
          <cell r="A847">
            <v>990</v>
          </cell>
          <cell r="B847" t="str">
            <v>CABO DE COBRE, RIGIDO, CLASSE 2, ISOLACAO EM PVC/A, ANTICHAMA BWF-B, 1 CONDUTOR, 450/750 V, SECAO NOMINAL 150 MM2</v>
          </cell>
          <cell r="C847" t="str">
            <v xml:space="preserve">M     </v>
          </cell>
          <cell r="D847">
            <v>78.069999999999993</v>
          </cell>
        </row>
        <row r="848">
          <cell r="A848">
            <v>39241</v>
          </cell>
          <cell r="B848" t="str">
            <v>CABO DE COBRE, RIGIDO, CLASSE 2, ISOLACAO EM PVC/A, ANTICHAMA BWF-B, 1 CONDUTOR, 450/750 V, SECAO NOMINAL 16 MM2</v>
          </cell>
          <cell r="C848" t="str">
            <v xml:space="preserve">M     </v>
          </cell>
          <cell r="D848">
            <v>8.92</v>
          </cell>
        </row>
        <row r="849">
          <cell r="A849">
            <v>1005</v>
          </cell>
          <cell r="B849" t="str">
            <v>CABO DE COBRE, RIGIDO, CLASSE 2, ISOLACAO EM PVC/A, ANTICHAMA BWF-B, 1 CONDUTOR, 450/750 V, SECAO NOMINAL 185 MM2</v>
          </cell>
          <cell r="C849" t="str">
            <v xml:space="preserve">M     </v>
          </cell>
          <cell r="D849">
            <v>95.83</v>
          </cell>
        </row>
        <row r="850">
          <cell r="A850">
            <v>984</v>
          </cell>
          <cell r="B850" t="str">
            <v>CABO DE COBRE, RIGIDO, CLASSE 2, ISOLACAO EM PVC/A, ANTICHAMA BWF-B, 1 CONDUTOR, 450/750 V, SECAO NOMINAL 2,5 MM2</v>
          </cell>
          <cell r="C850" t="str">
            <v xml:space="preserve">M     </v>
          </cell>
          <cell r="D850">
            <v>1.97</v>
          </cell>
        </row>
        <row r="851">
          <cell r="A851">
            <v>991</v>
          </cell>
          <cell r="B851" t="str">
            <v>CABO DE COBRE, RIGIDO, CLASSE 2, ISOLACAO EM PVC/A, ANTICHAMA BWF-B, 1 CONDUTOR, 450/750 V, SECAO NOMINAL 240 MM2</v>
          </cell>
          <cell r="C851" t="str">
            <v xml:space="preserve">M     </v>
          </cell>
          <cell r="D851">
            <v>126.62</v>
          </cell>
        </row>
        <row r="852">
          <cell r="A852">
            <v>986</v>
          </cell>
          <cell r="B852" t="str">
            <v>CABO DE COBRE, RIGIDO, CLASSE 2, ISOLACAO EM PVC/A, ANTICHAMA BWF-B, 1 CONDUTOR, 450/750 V, SECAO NOMINAL 25 MM2</v>
          </cell>
          <cell r="C852" t="str">
            <v xml:space="preserve">M     </v>
          </cell>
          <cell r="D852">
            <v>13.64</v>
          </cell>
        </row>
        <row r="853">
          <cell r="A853">
            <v>1024</v>
          </cell>
          <cell r="B853" t="str">
            <v>CABO DE COBRE, RIGIDO, CLASSE 2, ISOLACAO EM PVC/A, ANTICHAMA BWF-B, 1 CONDUTOR, 450/750 V, SECAO NOMINAL 300 MM2</v>
          </cell>
          <cell r="C853" t="str">
            <v xml:space="preserve">M     </v>
          </cell>
          <cell r="D853">
            <v>156.72</v>
          </cell>
        </row>
        <row r="854">
          <cell r="A854">
            <v>987</v>
          </cell>
          <cell r="B854" t="str">
            <v>CABO DE COBRE, RIGIDO, CLASSE 2, ISOLACAO EM PVC/A, ANTICHAMA BWF-B, 1 CONDUTOR, 450/750 V, SECAO NOMINAL 35 MM2</v>
          </cell>
          <cell r="C854" t="str">
            <v xml:space="preserve">M     </v>
          </cell>
          <cell r="D854">
            <v>18.53</v>
          </cell>
        </row>
        <row r="855">
          <cell r="A855">
            <v>1003</v>
          </cell>
          <cell r="B855" t="str">
            <v>CABO DE COBRE, RIGIDO, CLASSE 2, ISOLACAO EM PVC/A, ANTICHAMA BWF-B, 1 CONDUTOR, 450/750 V, SECAO NOMINAL 4 MM2</v>
          </cell>
          <cell r="C855" t="str">
            <v xml:space="preserve">M     </v>
          </cell>
          <cell r="D855">
            <v>2.88</v>
          </cell>
        </row>
        <row r="856">
          <cell r="A856">
            <v>992</v>
          </cell>
          <cell r="B856" t="str">
            <v>CABO DE COBRE, RIGIDO, CLASSE 2, ISOLACAO EM PVC/A, ANTICHAMA BWF-B, 1 CONDUTOR, 450/750 V, SECAO NOMINAL 400 MM2</v>
          </cell>
          <cell r="C856" t="str">
            <v xml:space="preserve">M     </v>
          </cell>
          <cell r="D856">
            <v>202.76</v>
          </cell>
        </row>
        <row r="857">
          <cell r="A857">
            <v>1007</v>
          </cell>
          <cell r="B857" t="str">
            <v>CABO DE COBRE, RIGIDO, CLASSE 2, ISOLACAO EM PVC/A, ANTICHAMA BWF-B, 1 CONDUTOR, 450/750 V, SECAO NOMINAL 50 MM2</v>
          </cell>
          <cell r="C857" t="str">
            <v xml:space="preserve">M     </v>
          </cell>
          <cell r="D857">
            <v>26.29</v>
          </cell>
        </row>
        <row r="858">
          <cell r="A858">
            <v>39242</v>
          </cell>
          <cell r="B858" t="str">
            <v>CABO DE COBRE, RIGIDO, CLASSE 2, ISOLACAO EM PVC/A, ANTICHAMA BWF-B, 1 CONDUTOR, 450/750 V, SECAO NOMINAL 500 MM2</v>
          </cell>
          <cell r="C858" t="str">
            <v xml:space="preserve">M     </v>
          </cell>
          <cell r="D858">
            <v>251.22</v>
          </cell>
        </row>
        <row r="859">
          <cell r="A859">
            <v>1008</v>
          </cell>
          <cell r="B859" t="str">
            <v>CABO DE COBRE, RIGIDO, CLASSE 2, ISOLACAO EM PVC/A, ANTICHAMA BWF-B, 1 CONDUTOR, 450/750 V, SECAO NOMINAL 6 MM2</v>
          </cell>
          <cell r="C859" t="str">
            <v xml:space="preserve">M     </v>
          </cell>
          <cell r="D859">
            <v>3.27</v>
          </cell>
        </row>
        <row r="860">
          <cell r="A860">
            <v>988</v>
          </cell>
          <cell r="B860" t="str">
            <v>CABO DE COBRE, RIGIDO, CLASSE 2, ISOLACAO EM PVC/A, ANTICHAMA BWF-B, 1 CONDUTOR, 450/750 V, SECAO NOMINAL 70 MM2</v>
          </cell>
          <cell r="C860" t="str">
            <v xml:space="preserve">M     </v>
          </cell>
          <cell r="D860">
            <v>36.32</v>
          </cell>
        </row>
        <row r="861">
          <cell r="A861">
            <v>989</v>
          </cell>
          <cell r="B861" t="str">
            <v>CABO DE COBRE, RIGIDO, CLASSE 2, ISOLACAO EM PVC/A, ANTICHAMA BWF-B, 1 CONDUTOR, 450/750 V, SECAO NOMINAL 95 MM2</v>
          </cell>
          <cell r="C861" t="str">
            <v xml:space="preserve">M     </v>
          </cell>
          <cell r="D861">
            <v>49.2</v>
          </cell>
        </row>
        <row r="862">
          <cell r="A862">
            <v>39598</v>
          </cell>
          <cell r="B862" t="str">
            <v>CABO DE PAR TRANCADO UTP, 4 PARES, CATEGORIA 5E</v>
          </cell>
          <cell r="C862" t="str">
            <v xml:space="preserve">M     </v>
          </cell>
          <cell r="D862">
            <v>1.04</v>
          </cell>
        </row>
        <row r="863">
          <cell r="A863">
            <v>39599</v>
          </cell>
          <cell r="B863" t="str">
            <v>CABO DE PAR TRANCADO UTP, 4 PARES, CATEGORIA 6</v>
          </cell>
          <cell r="C863" t="str">
            <v xml:space="preserve">M     </v>
          </cell>
          <cell r="D863">
            <v>1.58</v>
          </cell>
        </row>
        <row r="864">
          <cell r="A864">
            <v>34602</v>
          </cell>
          <cell r="B864" t="str">
            <v>CABO FLEXIVEL PVC 750 V, 2 CONDUTORES DE 1,5 MM2</v>
          </cell>
          <cell r="C864" t="str">
            <v xml:space="preserve">M     </v>
          </cell>
          <cell r="D864">
            <v>1.23</v>
          </cell>
        </row>
        <row r="865">
          <cell r="A865">
            <v>34603</v>
          </cell>
          <cell r="B865" t="str">
            <v>CABO FLEXIVEL PVC 750 V, 2 CONDUTORES DE 10,0 MM2</v>
          </cell>
          <cell r="C865" t="str">
            <v xml:space="preserve">M     </v>
          </cell>
          <cell r="D865">
            <v>5.94</v>
          </cell>
        </row>
        <row r="866">
          <cell r="A866">
            <v>34607</v>
          </cell>
          <cell r="B866" t="str">
            <v>CABO FLEXIVEL PVC 750 V, 2 CONDUTORES DE 4,0 MM2</v>
          </cell>
          <cell r="C866" t="str">
            <v xml:space="preserve">M     </v>
          </cell>
          <cell r="D866">
            <v>2.64</v>
          </cell>
        </row>
        <row r="867">
          <cell r="A867">
            <v>34609</v>
          </cell>
          <cell r="B867" t="str">
            <v>CABO FLEXIVEL PVC 750 V, 2 CONDUTORES DE 6,0 MM2</v>
          </cell>
          <cell r="C867" t="str">
            <v xml:space="preserve">M     </v>
          </cell>
          <cell r="D867">
            <v>3.97</v>
          </cell>
        </row>
        <row r="868">
          <cell r="A868">
            <v>34618</v>
          </cell>
          <cell r="B868" t="str">
            <v>CABO FLEXIVEL PVC 750 V, 3 CONDUTORES DE 1,5 MM2</v>
          </cell>
          <cell r="C868" t="str">
            <v xml:space="preserve">M     </v>
          </cell>
          <cell r="D868">
            <v>1.63</v>
          </cell>
        </row>
        <row r="869">
          <cell r="A869">
            <v>34620</v>
          </cell>
          <cell r="B869" t="str">
            <v>CABO FLEXIVEL PVC 750 V, 3 CONDUTORES DE 10,0 MM2</v>
          </cell>
          <cell r="C869" t="str">
            <v xml:space="preserve">M     </v>
          </cell>
          <cell r="D869">
            <v>8.19</v>
          </cell>
        </row>
        <row r="870">
          <cell r="A870">
            <v>34621</v>
          </cell>
          <cell r="B870" t="str">
            <v>CABO FLEXIVEL PVC 750 V, 3 CONDUTORES DE 4,0 MM2</v>
          </cell>
          <cell r="C870" t="str">
            <v xml:space="preserve">M     </v>
          </cell>
          <cell r="D870">
            <v>3.8</v>
          </cell>
        </row>
        <row r="871">
          <cell r="A871">
            <v>34622</v>
          </cell>
          <cell r="B871" t="str">
            <v>CABO FLEXIVEL PVC 750 V, 3 CONDUTORES DE 6,0 MM2</v>
          </cell>
          <cell r="C871" t="str">
            <v xml:space="preserve">M     </v>
          </cell>
          <cell r="D871">
            <v>5.38</v>
          </cell>
        </row>
        <row r="872">
          <cell r="A872">
            <v>34624</v>
          </cell>
          <cell r="B872" t="str">
            <v>CABO FLEXIVEL PVC 750 V, 4 CONDUTORES DE 1,5 MM2</v>
          </cell>
          <cell r="C872" t="str">
            <v xml:space="preserve">M     </v>
          </cell>
          <cell r="D872">
            <v>2.09</v>
          </cell>
        </row>
        <row r="873">
          <cell r="A873">
            <v>34626</v>
          </cell>
          <cell r="B873" t="str">
            <v>CABO FLEXIVEL PVC 750 V, 4 CONDUTORES DE 10,0 MM2</v>
          </cell>
          <cell r="C873" t="str">
            <v xml:space="preserve">M     </v>
          </cell>
          <cell r="D873">
            <v>11.26</v>
          </cell>
        </row>
        <row r="874">
          <cell r="A874">
            <v>34627</v>
          </cell>
          <cell r="B874" t="str">
            <v>CABO FLEXIVEL PVC 750 V, 4 CONDUTORES DE 4,0 MM2</v>
          </cell>
          <cell r="C874" t="str">
            <v xml:space="preserve">M     </v>
          </cell>
          <cell r="D874">
            <v>4.8499999999999996</v>
          </cell>
        </row>
        <row r="875">
          <cell r="A875">
            <v>34629</v>
          </cell>
          <cell r="B875" t="str">
            <v>CABO FLEXIVEL PVC 750 V, 4 CONDUTORES DE 6,0 MM2</v>
          </cell>
          <cell r="C875" t="str">
            <v xml:space="preserve">M     </v>
          </cell>
          <cell r="D875">
            <v>7.1</v>
          </cell>
        </row>
        <row r="876">
          <cell r="A876">
            <v>39257</v>
          </cell>
          <cell r="B876" t="str">
            <v>CABO MULTIPOLAR DE COBRE, FLEXIVEL, CLASSE 4 OU 5, ISOLACAO EM HEPR, COBERTURA EM PVC-ST2, ANTICHAMA BWF-B, 0,6/1 KV, 3 CONDUTORES DE 1,5 MM2</v>
          </cell>
          <cell r="C876" t="str">
            <v xml:space="preserve">M     </v>
          </cell>
          <cell r="D876">
            <v>3.43</v>
          </cell>
        </row>
        <row r="877">
          <cell r="A877">
            <v>39261</v>
          </cell>
          <cell r="B877" t="str">
            <v>CABO MULTIPOLAR DE COBRE, FLEXIVEL, CLASSE 4 OU 5, ISOLACAO EM HEPR, COBERTURA EM PVC-ST2, ANTICHAMA BWF-B, 0,6/1 KV, 3 CONDUTORES DE 10 MM2</v>
          </cell>
          <cell r="C877" t="str">
            <v xml:space="preserve">M     </v>
          </cell>
          <cell r="D877">
            <v>18.3</v>
          </cell>
        </row>
        <row r="878">
          <cell r="A878">
            <v>39268</v>
          </cell>
          <cell r="B878" t="str">
            <v>CABO MULTIPOLAR DE COBRE, FLEXIVEL, CLASSE 4 OU 5, ISOLACAO EM HEPR, COBERTURA EM PVC-ST2, ANTICHAMA BWF-B, 0,6/1 KV, 3 CONDUTORES DE 120 MM2</v>
          </cell>
          <cell r="C878" t="str">
            <v xml:space="preserve">M     </v>
          </cell>
          <cell r="D878">
            <v>211.17</v>
          </cell>
        </row>
        <row r="879">
          <cell r="A879">
            <v>39262</v>
          </cell>
          <cell r="B879" t="str">
            <v>CABO MULTIPOLAR DE COBRE, FLEXIVEL, CLASSE 4 OU 5, ISOLACAO EM HEPR, COBERTURA EM PVC-ST2, ANTICHAMA BWF-B, 0,6/1 KV, 3 CONDUTORES DE 16 MM2</v>
          </cell>
          <cell r="C879" t="str">
            <v xml:space="preserve">M     </v>
          </cell>
          <cell r="D879">
            <v>28.61</v>
          </cell>
        </row>
        <row r="880">
          <cell r="A880">
            <v>39258</v>
          </cell>
          <cell r="B880" t="str">
            <v>CABO MULTIPOLAR DE COBRE, FLEXIVEL, CLASSE 4 OU 5, ISOLACAO EM HEPR, COBERTURA EM PVC-ST2, ANTICHAMA BWF-B, 0,6/1 KV, 3 CONDUTORES DE 2,5 MM2</v>
          </cell>
          <cell r="C880" t="str">
            <v xml:space="preserve">M     </v>
          </cell>
          <cell r="D880">
            <v>5.09</v>
          </cell>
        </row>
        <row r="881">
          <cell r="A881">
            <v>39263</v>
          </cell>
          <cell r="B881" t="str">
            <v>CABO MULTIPOLAR DE COBRE, FLEXIVEL, CLASSE 4 OU 5, ISOLACAO EM HEPR, COBERTURA EM PVC-ST2, ANTICHAMA BWF-B, 0,6/1 KV, 3 CONDUTORES DE 25 MM2</v>
          </cell>
          <cell r="C881" t="str">
            <v xml:space="preserve">M     </v>
          </cell>
          <cell r="D881">
            <v>44.27</v>
          </cell>
        </row>
        <row r="882">
          <cell r="A882">
            <v>39264</v>
          </cell>
          <cell r="B882" t="str">
            <v>CABO MULTIPOLAR DE COBRE, FLEXIVEL, CLASSE 4 OU 5, ISOLACAO EM HEPR, COBERTURA EM PVC-ST2, ANTICHAMA BWF-B, 0,6/1 KV, 3 CONDUTORES DE 35 MM2</v>
          </cell>
          <cell r="C882" t="str">
            <v xml:space="preserve">M     </v>
          </cell>
          <cell r="D882">
            <v>59.95</v>
          </cell>
        </row>
        <row r="883">
          <cell r="A883">
            <v>39259</v>
          </cell>
          <cell r="B883" t="str">
            <v>CABO MULTIPOLAR DE COBRE, FLEXIVEL, CLASSE 4 OU 5, ISOLACAO EM HEPR, COBERTURA EM PVC-ST2, ANTICHAMA BWF-B, 0,6/1 KV, 3 CONDUTORES DE 4 MM2</v>
          </cell>
          <cell r="C883" t="str">
            <v xml:space="preserve">M     </v>
          </cell>
          <cell r="D883">
            <v>7.75</v>
          </cell>
        </row>
        <row r="884">
          <cell r="A884">
            <v>39265</v>
          </cell>
          <cell r="B884" t="str">
            <v>CABO MULTIPOLAR DE COBRE, FLEXIVEL, CLASSE 4 OU 5, ISOLACAO EM HEPR, COBERTURA EM PVC-ST2, ANTICHAMA BWF-B, 0,6/1 KV, 3 CONDUTORES DE 50 MM2</v>
          </cell>
          <cell r="C884" t="str">
            <v xml:space="preserve">M     </v>
          </cell>
          <cell r="D884">
            <v>88.32</v>
          </cell>
        </row>
        <row r="885">
          <cell r="A885">
            <v>39260</v>
          </cell>
          <cell r="B885" t="str">
            <v>CABO MULTIPOLAR DE COBRE, FLEXIVEL, CLASSE 4 OU 5, ISOLACAO EM HEPR, COBERTURA EM PVC-ST2, ANTICHAMA BWF-B, 0,6/1 KV, 3 CONDUTORES DE 6 MM2</v>
          </cell>
          <cell r="C885" t="str">
            <v xml:space="preserve">M     </v>
          </cell>
          <cell r="D885">
            <v>11.04</v>
          </cell>
        </row>
        <row r="886">
          <cell r="A886">
            <v>39266</v>
          </cell>
          <cell r="B886" t="str">
            <v>CABO MULTIPOLAR DE COBRE, FLEXIVEL, CLASSE 4 OU 5, ISOLACAO EM HEPR, COBERTURA EM PVC-ST2, ANTICHAMA BWF-B, 0,6/1 KV, 3 CONDUTORES DE 70 MM2</v>
          </cell>
          <cell r="C886" t="str">
            <v xml:space="preserve">M     </v>
          </cell>
          <cell r="D886">
            <v>123.92</v>
          </cell>
        </row>
        <row r="887">
          <cell r="A887">
            <v>39267</v>
          </cell>
          <cell r="B887" t="str">
            <v>CABO MULTIPOLAR DE COBRE, FLEXIVEL, CLASSE 4 OU 5, ISOLACAO EM HEPR, COBERTURA EM PVC-ST2, ANTICHAMA BWF-B, 0,6/1 KV, 3 CONDUTORES DE 95 MM2</v>
          </cell>
          <cell r="C887" t="str">
            <v xml:space="preserve">M     </v>
          </cell>
          <cell r="D887">
            <v>162.44</v>
          </cell>
        </row>
        <row r="888">
          <cell r="A888">
            <v>11901</v>
          </cell>
          <cell r="B888" t="str">
            <v>CABO TELEFONICO CCI 50, 1 PAR, USO INTERNO, SEM BLINDAGEM</v>
          </cell>
          <cell r="C888" t="str">
            <v xml:space="preserve">M     </v>
          </cell>
          <cell r="D888">
            <v>0.61</v>
          </cell>
        </row>
        <row r="889">
          <cell r="A889">
            <v>11902</v>
          </cell>
          <cell r="B889" t="str">
            <v>CABO TELEFONICO CCI 50, 2 PARES, USO INTERNO, SEM BLINDAGEM</v>
          </cell>
          <cell r="C889" t="str">
            <v xml:space="preserve">M     </v>
          </cell>
          <cell r="D889">
            <v>1.06</v>
          </cell>
        </row>
        <row r="890">
          <cell r="A890">
            <v>11903</v>
          </cell>
          <cell r="B890" t="str">
            <v>CABO TELEFONICO CCI 50, 3 PARES, USO INTERNO, SEM BLINDAGEM</v>
          </cell>
          <cell r="C890" t="str">
            <v xml:space="preserve">M     </v>
          </cell>
          <cell r="D890">
            <v>1.64</v>
          </cell>
        </row>
        <row r="891">
          <cell r="A891">
            <v>11904</v>
          </cell>
          <cell r="B891" t="str">
            <v>CABO TELEFONICO CCI 50, 4 PARES, USO INTERNO, SEM BLINDAGEM</v>
          </cell>
          <cell r="C891" t="str">
            <v xml:space="preserve">M     </v>
          </cell>
          <cell r="D891">
            <v>2.09</v>
          </cell>
        </row>
        <row r="892">
          <cell r="A892">
            <v>11905</v>
          </cell>
          <cell r="B892" t="str">
            <v>CABO TELEFONICO CCI 50, 5 PARES, USO INTERNO, SEM BLINDAGEM</v>
          </cell>
          <cell r="C892" t="str">
            <v xml:space="preserve">M     </v>
          </cell>
          <cell r="D892">
            <v>2.81</v>
          </cell>
        </row>
        <row r="893">
          <cell r="A893">
            <v>11906</v>
          </cell>
          <cell r="B893" t="str">
            <v>CABO TELEFONICO CCI 50, 6 PARES, USO INTERNO, SEM BLINDAGEM</v>
          </cell>
          <cell r="C893" t="str">
            <v xml:space="preserve">M     </v>
          </cell>
          <cell r="D893">
            <v>3.24</v>
          </cell>
        </row>
        <row r="894">
          <cell r="A894">
            <v>11919</v>
          </cell>
          <cell r="B894" t="str">
            <v>CABO TELEFONICO CI 50, 10 PARES, USO INTERNO</v>
          </cell>
          <cell r="C894" t="str">
            <v xml:space="preserve">M     </v>
          </cell>
          <cell r="D894">
            <v>6.35</v>
          </cell>
        </row>
        <row r="895">
          <cell r="A895">
            <v>11920</v>
          </cell>
          <cell r="B895" t="str">
            <v>CABO TELEFONICO CI 50, 20 PARES, USO INTERNO</v>
          </cell>
          <cell r="C895" t="str">
            <v xml:space="preserve">M     </v>
          </cell>
          <cell r="D895">
            <v>12.31</v>
          </cell>
        </row>
        <row r="896">
          <cell r="A896">
            <v>11924</v>
          </cell>
          <cell r="B896" t="str">
            <v>CABO TELEFONICO CI 50, 200 PARES, USO INTERNO</v>
          </cell>
          <cell r="C896" t="str">
            <v xml:space="preserve">M     </v>
          </cell>
          <cell r="D896">
            <v>119.71</v>
          </cell>
        </row>
        <row r="897">
          <cell r="A897">
            <v>11921</v>
          </cell>
          <cell r="B897" t="str">
            <v>CABO TELEFONICO CI 50, 30 PARES, USO INTERNO</v>
          </cell>
          <cell r="C897" t="str">
            <v xml:space="preserve">M     </v>
          </cell>
          <cell r="D897">
            <v>16.760000000000002</v>
          </cell>
        </row>
        <row r="898">
          <cell r="A898">
            <v>11922</v>
          </cell>
          <cell r="B898" t="str">
            <v>CABO TELEFONICO CI 50, 50 PARES, USO INTERNO</v>
          </cell>
          <cell r="C898" t="str">
            <v xml:space="preserve">M     </v>
          </cell>
          <cell r="D898">
            <v>29.75</v>
          </cell>
        </row>
        <row r="899">
          <cell r="A899">
            <v>11923</v>
          </cell>
          <cell r="B899" t="str">
            <v>CABO TELEFONICO CI 50, 75 PARES, USO INTERNO</v>
          </cell>
          <cell r="C899" t="str">
            <v xml:space="preserve">M     </v>
          </cell>
          <cell r="D899">
            <v>48.59</v>
          </cell>
        </row>
        <row r="900">
          <cell r="A900">
            <v>11916</v>
          </cell>
          <cell r="B900" t="str">
            <v>CABO TELEFONICO CTP - APL - 50, 10 PARES, USO EXTERNO</v>
          </cell>
          <cell r="C900" t="str">
            <v xml:space="preserve">M     </v>
          </cell>
          <cell r="D900">
            <v>8.24</v>
          </cell>
        </row>
        <row r="901">
          <cell r="A901">
            <v>11914</v>
          </cell>
          <cell r="B901" t="str">
            <v>CABO TELEFONICO CTP - APL - 50, 100 PARES, USO EXTERNO</v>
          </cell>
          <cell r="C901" t="str">
            <v xml:space="preserve">M     </v>
          </cell>
          <cell r="D901">
            <v>59.87</v>
          </cell>
        </row>
        <row r="902">
          <cell r="A902">
            <v>11917</v>
          </cell>
          <cell r="B902" t="str">
            <v>CABO TELEFONICO CTP - APL - 50, 20 PARES, USO EXTERNO</v>
          </cell>
          <cell r="C902" t="str">
            <v xml:space="preserve">M     </v>
          </cell>
          <cell r="D902">
            <v>14.35</v>
          </cell>
        </row>
        <row r="903">
          <cell r="A903">
            <v>11918</v>
          </cell>
          <cell r="B903" t="str">
            <v>CABO TELEFONICO CTP - APL - 50, 30 PARES, USO EXTERNO</v>
          </cell>
          <cell r="C903" t="str">
            <v xml:space="preserve">M     </v>
          </cell>
          <cell r="D903">
            <v>19.47</v>
          </cell>
        </row>
        <row r="904">
          <cell r="A904">
            <v>37734</v>
          </cell>
          <cell r="B904" t="str">
            <v>CACAMBA METALICA BASCULANTE COM CAPACIDADE DE 10 M3 (INCLUI MONTAGEM, NAO INCLUI CAMINHAO)</v>
          </cell>
          <cell r="C904" t="str">
            <v xml:space="preserve">UN    </v>
          </cell>
          <cell r="D904">
            <v>40756.99</v>
          </cell>
        </row>
        <row r="905">
          <cell r="A905">
            <v>42251</v>
          </cell>
          <cell r="B905" t="str">
            <v>CACAMBA METALICA BASCULANTE COM CAPACIDADE DE 12 M3 (INCLUI MONTAGEM, NAO INCLUI CAMINHAO)</v>
          </cell>
          <cell r="C905" t="str">
            <v xml:space="preserve">UN    </v>
          </cell>
          <cell r="D905">
            <v>46282.05</v>
          </cell>
        </row>
        <row r="906">
          <cell r="A906">
            <v>37733</v>
          </cell>
          <cell r="B906" t="str">
            <v>CACAMBA METALICA BASCULANTE COM CAPACIDADE DE 6 M3 (INCLUI MONTAGEM, NAO INCLUI CAMINHAO)</v>
          </cell>
          <cell r="C906" t="str">
            <v xml:space="preserve">UN    </v>
          </cell>
          <cell r="D906">
            <v>30559.439999999999</v>
          </cell>
        </row>
        <row r="907">
          <cell r="A907">
            <v>37735</v>
          </cell>
          <cell r="B907" t="str">
            <v>CACAMBA METALICA BASCULANTE COM CAPACIDADE DE 8 M3 (INCLUI MONTAGEM, NAO INCLUI CAMINHAO)</v>
          </cell>
          <cell r="C907" t="str">
            <v xml:space="preserve">UN    </v>
          </cell>
          <cell r="D907">
            <v>36824.120000000003</v>
          </cell>
        </row>
        <row r="908">
          <cell r="A908">
            <v>41758</v>
          </cell>
          <cell r="B908" t="str">
            <v>CADEADO EM ACO INOX, LARGURA DE *50* MM, COM HASTE EM ACO TEMPERADO, SEM MOLA - CHAVES INCLUIDAS</v>
          </cell>
          <cell r="C908" t="str">
            <v xml:space="preserve">UN    </v>
          </cell>
          <cell r="D908">
            <v>141.85</v>
          </cell>
        </row>
        <row r="909">
          <cell r="A909">
            <v>5090</v>
          </cell>
          <cell r="B909" t="str">
            <v>CADEADO SIMPLES/COMUM, EM LATAO MACICO CROMADO, LARGURA DE 25 MM,  HASTE DE ACO TEMPERADO, CEMENTADO (NAO LONGA), INCLUI 2 CHAVES</v>
          </cell>
          <cell r="C909" t="str">
            <v xml:space="preserve">UN    </v>
          </cell>
          <cell r="D909">
            <v>16.25</v>
          </cell>
        </row>
        <row r="910">
          <cell r="A910">
            <v>5085</v>
          </cell>
          <cell r="B910" t="str">
            <v>CADEADO SIMPLES, EM LATAO MACICO CROMADO, LARGURA DE 35 MM,  HASTE DE ACO TEMPERADO, CEMENTADO (NAO LONGA), INCLUI 2 CHAVES</v>
          </cell>
          <cell r="C910" t="str">
            <v xml:space="preserve">UN    </v>
          </cell>
          <cell r="D910">
            <v>18.12</v>
          </cell>
        </row>
        <row r="911">
          <cell r="A911">
            <v>38374</v>
          </cell>
          <cell r="B911" t="str">
            <v>CADEIRA SUSPENSA MANUAL / BALANCIM INDIVIDUAL (NBR 14751)</v>
          </cell>
          <cell r="C911" t="str">
            <v xml:space="preserve">UN    </v>
          </cell>
          <cell r="D911">
            <v>812.19</v>
          </cell>
        </row>
        <row r="912">
          <cell r="A912">
            <v>20212</v>
          </cell>
          <cell r="B912" t="str">
            <v>CAIBRO DE MADEIRA APARELHADA *6 X 8* CM, MACARANDUBA, ANGELIM OU EQUIVALENTE DA REGIAO</v>
          </cell>
          <cell r="C912" t="str">
            <v xml:space="preserve">M     </v>
          </cell>
          <cell r="D912">
            <v>8.66</v>
          </cell>
        </row>
        <row r="913">
          <cell r="A913">
            <v>4430</v>
          </cell>
          <cell r="B913" t="str">
            <v>CAIBRO DE MADEIRA NAO APARELHADA *5 X 6* CM, MACARANDUBA, ANGELIM OU EQUIVALENTE DA REGIAO</v>
          </cell>
          <cell r="C913" t="str">
            <v xml:space="preserve">M     </v>
          </cell>
          <cell r="D913">
            <v>5.5</v>
          </cell>
        </row>
        <row r="914">
          <cell r="A914">
            <v>4400</v>
          </cell>
          <cell r="B914" t="str">
            <v>CAIBRO DE MADEIRA NAO APARELHADA *6 X 8* CM, MACARANDUBA, ANGELIM OU EQUIVALENTE DA REGIAO</v>
          </cell>
          <cell r="C914" t="str">
            <v xml:space="preserve">M     </v>
          </cell>
          <cell r="D914">
            <v>6.94</v>
          </cell>
        </row>
        <row r="915">
          <cell r="A915">
            <v>4500</v>
          </cell>
          <cell r="B915" t="str">
            <v>CAIBRO DE MADEIRA NAO APARELHADA *7,5 X 10 CM (3 X 4 ") PINUS, MISTA OU EQUIVALENTE DA REGIAO</v>
          </cell>
          <cell r="C915" t="str">
            <v xml:space="preserve">M     </v>
          </cell>
          <cell r="D915">
            <v>17.760000000000002</v>
          </cell>
        </row>
        <row r="916">
          <cell r="A916">
            <v>4513</v>
          </cell>
          <cell r="B916" t="str">
            <v>CAIBRO DE MADEIRA NAO APARELHADA 5 X 5 CM (2 X 2 ") PINUS, MISTA OU EQUIVALENTE DA REGIAO</v>
          </cell>
          <cell r="C916" t="str">
            <v xml:space="preserve">M     </v>
          </cell>
          <cell r="D916">
            <v>4.76</v>
          </cell>
        </row>
        <row r="917">
          <cell r="A917">
            <v>4496</v>
          </cell>
          <cell r="B917" t="str">
            <v>CAIBRO DE MADEIRA NAO APARELHADA 5 X 5 CM, CEDRINHO OU EQUIVALENTE DA REGIAO</v>
          </cell>
          <cell r="C917" t="str">
            <v xml:space="preserve">M     </v>
          </cell>
          <cell r="D917">
            <v>3.72</v>
          </cell>
        </row>
        <row r="918">
          <cell r="A918">
            <v>11871</v>
          </cell>
          <cell r="B918" t="str">
            <v>CAIXA D'AGUA DE FIBRA DE VIDRO, PARA 500 LITROS, COM TAMPA</v>
          </cell>
          <cell r="C918" t="str">
            <v xml:space="preserve">UN    </v>
          </cell>
          <cell r="D918">
            <v>275</v>
          </cell>
        </row>
        <row r="919">
          <cell r="A919">
            <v>34636</v>
          </cell>
          <cell r="B919" t="str">
            <v>CAIXA D'AGUA EM POLIETILENO 1000 LITROS, COM TAMPA</v>
          </cell>
          <cell r="C919" t="str">
            <v xml:space="preserve">UN    </v>
          </cell>
          <cell r="D919">
            <v>274.45</v>
          </cell>
        </row>
        <row r="920">
          <cell r="A920">
            <v>34639</v>
          </cell>
          <cell r="B920" t="str">
            <v>CAIXA D'AGUA EM POLIETILENO 1500 LITROS, COM TAMPA</v>
          </cell>
          <cell r="C920" t="str">
            <v xml:space="preserve">UN    </v>
          </cell>
          <cell r="D920">
            <v>557.4</v>
          </cell>
        </row>
        <row r="921">
          <cell r="A921">
            <v>34640</v>
          </cell>
          <cell r="B921" t="str">
            <v>CAIXA D'AGUA EM POLIETILENO 2000 LITROS, COM TAMPA</v>
          </cell>
          <cell r="C921" t="str">
            <v xml:space="preserve">UN    </v>
          </cell>
          <cell r="D921">
            <v>626.11</v>
          </cell>
        </row>
        <row r="922">
          <cell r="A922">
            <v>34637</v>
          </cell>
          <cell r="B922" t="str">
            <v>CAIXA D'AGUA EM POLIETILENO 500 LITROS, COM TAMPA</v>
          </cell>
          <cell r="C922" t="str">
            <v xml:space="preserve">UN    </v>
          </cell>
          <cell r="D922">
            <v>157.57</v>
          </cell>
        </row>
        <row r="923">
          <cell r="A923">
            <v>34638</v>
          </cell>
          <cell r="B923" t="str">
            <v>CAIXA D'AGUA EM POLIETILENO 750 LITROS, COM TAMPA</v>
          </cell>
          <cell r="C923" t="str">
            <v xml:space="preserve">UN    </v>
          </cell>
          <cell r="D923">
            <v>270.22000000000003</v>
          </cell>
        </row>
        <row r="924">
          <cell r="A924">
            <v>11868</v>
          </cell>
          <cell r="B924" t="str">
            <v>CAIXA D'AGUA FIBRA DE VIDRO PARA 1000 LITROS, COM TAMPA</v>
          </cell>
          <cell r="C924" t="str">
            <v xml:space="preserve">UN    </v>
          </cell>
          <cell r="D924">
            <v>377.95</v>
          </cell>
        </row>
        <row r="925">
          <cell r="A925">
            <v>37106</v>
          </cell>
          <cell r="B925" t="str">
            <v>CAIXA D'AGUA FIBRA DE VIDRO PARA 10000 LITROS, COM TAMPA</v>
          </cell>
          <cell r="C925" t="str">
            <v xml:space="preserve">UN    </v>
          </cell>
          <cell r="D925">
            <v>3650.56</v>
          </cell>
        </row>
        <row r="926">
          <cell r="A926">
            <v>11869</v>
          </cell>
          <cell r="B926" t="str">
            <v>CAIXA D'AGUA FIBRA DE VIDRO PARA 1500 LITROS, COM TAMPA</v>
          </cell>
          <cell r="C926" t="str">
            <v xml:space="preserve">UN    </v>
          </cell>
          <cell r="D926">
            <v>613.21</v>
          </cell>
        </row>
        <row r="927">
          <cell r="A927">
            <v>37104</v>
          </cell>
          <cell r="B927" t="str">
            <v>CAIXA D'AGUA FIBRA DE VIDRO PARA 2000 LITROS, COM TAMPA</v>
          </cell>
          <cell r="C927" t="str">
            <v xml:space="preserve">UN    </v>
          </cell>
          <cell r="D927">
            <v>790.47</v>
          </cell>
        </row>
        <row r="928">
          <cell r="A928">
            <v>37105</v>
          </cell>
          <cell r="B928" t="str">
            <v>CAIXA D'AGUA FIBRA DE VIDRO PARA 5000 LITROS, COM TAMPA</v>
          </cell>
          <cell r="C928" t="str">
            <v xml:space="preserve">UN    </v>
          </cell>
          <cell r="D928">
            <v>1760.51</v>
          </cell>
        </row>
        <row r="929">
          <cell r="A929">
            <v>11638</v>
          </cell>
          <cell r="B929" t="str">
            <v>CAIXA DE CONCRETO PRE-MOLDADO PARA AR-CONDICIONADO DE JANELA, DE *80 X 54 X 76,5* CM (L X A X P)</v>
          </cell>
          <cell r="C929" t="str">
            <v xml:space="preserve">UN    </v>
          </cell>
          <cell r="D929">
            <v>111.85</v>
          </cell>
        </row>
        <row r="930">
          <cell r="A930">
            <v>1030</v>
          </cell>
          <cell r="B930" t="str">
            <v>CAIXA DE DESCARGA DE PLASTICO EXTERNA, DE *9* L, PUXADOR FIO DE NYLON, NAO INCLUSO CANO, BOLSA, ENGATE</v>
          </cell>
          <cell r="C930" t="str">
            <v xml:space="preserve">UN    </v>
          </cell>
          <cell r="D930">
            <v>29.95</v>
          </cell>
        </row>
        <row r="931">
          <cell r="A931">
            <v>11694</v>
          </cell>
          <cell r="B931" t="str">
            <v>CAIXA DE DESCARGA PLASTICA DE EMBUTIR COMPLETA, COM ESPELHO PLASTICO, CAPACIDADE 6 A 10 L, ACESSORIOS INCLUSOS</v>
          </cell>
          <cell r="C931" t="str">
            <v xml:space="preserve">UN    </v>
          </cell>
          <cell r="D931">
            <v>662.05</v>
          </cell>
        </row>
        <row r="932">
          <cell r="A932">
            <v>35277</v>
          </cell>
          <cell r="B932" t="str">
            <v>CAIXA DE GORDURA EM PVC, DIAMETRO MINIMO 300 MM, DIAMETRO DE SAIDA 100 MM, CAPACIDADE  APROXIMADA 18 LITROS, COM TAMPA</v>
          </cell>
          <cell r="C932" t="str">
            <v xml:space="preserve">UN    </v>
          </cell>
          <cell r="D932">
            <v>381.17</v>
          </cell>
        </row>
        <row r="933">
          <cell r="A933">
            <v>10521</v>
          </cell>
          <cell r="B933" t="str">
            <v>CAIXA DE INCENDIO/ABRIGO PARA MANGUEIRA, DE EMBUTIR/INTERNA, COM 75 X 45 X 17 CM, EM CHAPA DE ACO, PORTA COM VENTILACAO, VISOR COM A INSCRICAO "INCENDIO", SUPORTE/CESTA INTERNA PARA A MANGUEIRA, PINTURA ELETROSTATICA VERMELHA</v>
          </cell>
          <cell r="C933" t="str">
            <v xml:space="preserve">UN    </v>
          </cell>
          <cell r="D933">
            <v>184.45</v>
          </cell>
        </row>
        <row r="934">
          <cell r="A934">
            <v>10885</v>
          </cell>
          <cell r="B934" t="str">
            <v>CAIXA DE INCENDIO/ABRIGO PARA MANGUEIRA, DE EMBUTIR/INTERNA, COM 90 X 60 X 17 CM, EM CHAPA DE ACO, PORTA COM VENTILACAO, VISOR COM A INSCRICAO "INCENDIO", SUPORTE/CESTA INTERNA PARA A MANGUEIRA, PINTURA ELETROSTATICA VERMELHA</v>
          </cell>
          <cell r="C934" t="str">
            <v xml:space="preserve">UN    </v>
          </cell>
          <cell r="D934">
            <v>233.31</v>
          </cell>
        </row>
        <row r="935">
          <cell r="A935">
            <v>20962</v>
          </cell>
          <cell r="B935" t="str">
            <v>CAIXA DE INCENDIO/ABRIGO PARA MANGUEIRA, DE SOBREPOR/EXTERNA, COM 75 X 45 X 17 CM, EM CHAPA DE ACO, PORTA COM VENTILACAO, VISOR COM A INSCRICAO "INCENDIO", SUPORTE/CESTA INTERNA PARA A MANGUEIRA, PINTURA ELETROSTATICA VERMELHA</v>
          </cell>
          <cell r="C935" t="str">
            <v xml:space="preserve">UN    </v>
          </cell>
          <cell r="D935">
            <v>193.24</v>
          </cell>
        </row>
        <row r="936">
          <cell r="A936">
            <v>20963</v>
          </cell>
          <cell r="B936" t="str">
            <v>CAIXA DE INCENDIO/ABRIGO PARA MANGUEIRA, DE SOBREPOR/EXTERNA, COM 90 X 60 X 17 CM, EM CHAPA DE ACO, PORTA COM VENTILACAO, VISOR COM A INSCRICAO "INCENDIO", SUPORTE/CESTA INTERNA PARA A MANGUEIRA, PINTURA ELETROSTATICA VERMELHA</v>
          </cell>
          <cell r="C936" t="str">
            <v xml:space="preserve">UN    </v>
          </cell>
          <cell r="D936">
            <v>236.06</v>
          </cell>
        </row>
        <row r="937">
          <cell r="A937">
            <v>2555</v>
          </cell>
          <cell r="B937" t="str">
            <v>CAIXA DE LUZ "3 X 3" EM ACO ESMALTADA</v>
          </cell>
          <cell r="C937" t="str">
            <v xml:space="preserve">UN    </v>
          </cell>
          <cell r="D937">
            <v>1.33</v>
          </cell>
        </row>
        <row r="938">
          <cell r="A938">
            <v>2556</v>
          </cell>
          <cell r="B938" t="str">
            <v>CAIXA DE LUZ "4 X 2" EM ACO ESMALTADA</v>
          </cell>
          <cell r="C938" t="str">
            <v xml:space="preserve">UN    </v>
          </cell>
          <cell r="D938">
            <v>1.23</v>
          </cell>
        </row>
        <row r="939">
          <cell r="A939">
            <v>2557</v>
          </cell>
          <cell r="B939" t="str">
            <v>CAIXA DE LUZ "4 X 4" EM ACO ESMALTADA</v>
          </cell>
          <cell r="C939" t="str">
            <v xml:space="preserve">UN    </v>
          </cell>
          <cell r="D939">
            <v>2.6</v>
          </cell>
        </row>
        <row r="940">
          <cell r="A940">
            <v>39810</v>
          </cell>
          <cell r="B940" t="str">
            <v>CAIXA DE PASSAGEM DE PAREDE, DE EMBUTIR, EM PVC, DIMENSOES *120 X 120 X 75* MM</v>
          </cell>
          <cell r="C940" t="str">
            <v xml:space="preserve">UN    </v>
          </cell>
          <cell r="D940">
            <v>15.79</v>
          </cell>
        </row>
        <row r="941">
          <cell r="A941">
            <v>39811</v>
          </cell>
          <cell r="B941" t="str">
            <v>CAIXA DE PASSAGEM DE PAREDE, DE EMBUTIR, EM PVC, DIMENSOES *150 X 150 X 75* MM</v>
          </cell>
          <cell r="C941" t="str">
            <v xml:space="preserve">UN    </v>
          </cell>
          <cell r="D941">
            <v>20</v>
          </cell>
        </row>
        <row r="942">
          <cell r="A942">
            <v>39812</v>
          </cell>
          <cell r="B942" t="str">
            <v>CAIXA DE PASSAGEM DE PAREDE, DE EMBUTIR, EM PVC, DIMENSOES *200 X 200 X 90* MM</v>
          </cell>
          <cell r="C942" t="str">
            <v xml:space="preserve">UN    </v>
          </cell>
          <cell r="D942">
            <v>30.5</v>
          </cell>
        </row>
        <row r="943">
          <cell r="A943">
            <v>20254</v>
          </cell>
          <cell r="B943" t="str">
            <v>CAIXA DE PASSAGEM METALICA DE SOBREPOR COM TAMPA PARAFUSADA, DIMENSOES 15 X 15 X 10 CM</v>
          </cell>
          <cell r="C943" t="str">
            <v xml:space="preserve">UN    </v>
          </cell>
          <cell r="D943">
            <v>14.34</v>
          </cell>
        </row>
        <row r="944">
          <cell r="A944">
            <v>39771</v>
          </cell>
          <cell r="B944" t="str">
            <v>CAIXA DE PASSAGEM METALICA DE SOBREPOR COM TAMPA PARAFUSADA, DIMENSOES 20 X 20 X 10 CM</v>
          </cell>
          <cell r="C944" t="str">
            <v xml:space="preserve">UN    </v>
          </cell>
          <cell r="D944">
            <v>23.75</v>
          </cell>
        </row>
        <row r="945">
          <cell r="A945">
            <v>20255</v>
          </cell>
          <cell r="B945" t="str">
            <v>CAIXA DE PASSAGEM METALICA DE SOBREPOR COM TAMPA PARAFUSADA, DIMENSOES 25 X 25 X 10 CM</v>
          </cell>
          <cell r="C945" t="str">
            <v xml:space="preserve">UN    </v>
          </cell>
          <cell r="D945">
            <v>39.24</v>
          </cell>
        </row>
        <row r="946">
          <cell r="A946">
            <v>39772</v>
          </cell>
          <cell r="B946" t="str">
            <v>CAIXA DE PASSAGEM METALICA DE SOBREPOR COM TAMPA PARAFUSADA, DIMENSOES 30 X 30 X 10 CM</v>
          </cell>
          <cell r="C946" t="str">
            <v xml:space="preserve">UN    </v>
          </cell>
          <cell r="D946">
            <v>47.04</v>
          </cell>
        </row>
        <row r="947">
          <cell r="A947">
            <v>20253</v>
          </cell>
          <cell r="B947" t="str">
            <v>CAIXA DE PASSAGEM METALICA DE SOBREPOR COM TAMPA PARAFUSADA, DIMENSOES 35 X 35 X 12 CM</v>
          </cell>
          <cell r="C947" t="str">
            <v xml:space="preserve">UN    </v>
          </cell>
          <cell r="D947">
            <v>82.01</v>
          </cell>
        </row>
        <row r="948">
          <cell r="A948">
            <v>39773</v>
          </cell>
          <cell r="B948" t="str">
            <v>CAIXA DE PASSAGEM METALICA DE SOBREPOR COM TAMPA PARAFUSADA, DIMENSOES 40 X 40 X 15 CM</v>
          </cell>
          <cell r="C948" t="str">
            <v xml:space="preserve">UN    </v>
          </cell>
          <cell r="D948">
            <v>85.18</v>
          </cell>
        </row>
        <row r="949">
          <cell r="A949">
            <v>39774</v>
          </cell>
          <cell r="B949" t="str">
            <v>CAIXA DE PASSAGEM METALICA DE SOBREPOR COM TAMPA PARAFUSADA, DIMENSOES 50 X 50 X 15 CM</v>
          </cell>
          <cell r="C949" t="str">
            <v xml:space="preserve">UN    </v>
          </cell>
          <cell r="D949">
            <v>110.68</v>
          </cell>
        </row>
        <row r="950">
          <cell r="A950">
            <v>39775</v>
          </cell>
          <cell r="B950" t="str">
            <v>CAIXA DE PASSAGEM METALICA DE SOBREPOR COM TAMPA PARAFUSADA, DIMENSOES 60 X 60 X 20 CM</v>
          </cell>
          <cell r="C950" t="str">
            <v xml:space="preserve">UN    </v>
          </cell>
          <cell r="D950">
            <v>193.84</v>
          </cell>
        </row>
        <row r="951">
          <cell r="A951">
            <v>39776</v>
          </cell>
          <cell r="B951" t="str">
            <v>CAIXA DE PASSAGEM METALICA DE SOBREPOR COM TAMPA PARAFUSADA, DIMENSOES 70 X 70 X 20 CM</v>
          </cell>
          <cell r="C951" t="str">
            <v xml:space="preserve">UN    </v>
          </cell>
          <cell r="D951">
            <v>238.57</v>
          </cell>
        </row>
        <row r="952">
          <cell r="A952">
            <v>39777</v>
          </cell>
          <cell r="B952" t="str">
            <v>CAIXA DE PASSAGEM METALICA DE SOBREPOR COM TAMPA PARAFUSADA, DIMENSOES 80 X 80 X 20 CM</v>
          </cell>
          <cell r="C952" t="str">
            <v xml:space="preserve">UN    </v>
          </cell>
          <cell r="D952">
            <v>286.29000000000002</v>
          </cell>
        </row>
        <row r="953">
          <cell r="A953">
            <v>11250</v>
          </cell>
          <cell r="B953" t="str">
            <v>CAIXA DE PASSAGEM N 2, DE EMBUTIR, PADRAO TELEBRAS, DIMENSOES 20 X 20 X 12 CM, EM CHAPA DE ACO GALVANIZADO</v>
          </cell>
          <cell r="C953" t="str">
            <v xml:space="preserve">UN    </v>
          </cell>
          <cell r="D953">
            <v>42.51</v>
          </cell>
        </row>
        <row r="954">
          <cell r="A954">
            <v>39766</v>
          </cell>
          <cell r="B954" t="str">
            <v>CAIXA DE PASSAGEM N 2, DE SOBREPOR, PADRAO TELEBRAS, DIMENSOES 20 X 20 X *12* CM, EM CHAPA DE ACO GALVANIZADO</v>
          </cell>
          <cell r="C954" t="str">
            <v xml:space="preserve">UN    </v>
          </cell>
          <cell r="D954">
            <v>51.89</v>
          </cell>
        </row>
        <row r="955">
          <cell r="A955">
            <v>11251</v>
          </cell>
          <cell r="B955" t="str">
            <v>CAIXA DE PASSAGEM N 3, DE EMBUTIR, PADRAO TELEBRAS, DIMENSOES 40 X 40 X 12 CM, EM CHAPA DE ACO GALVANIZADO</v>
          </cell>
          <cell r="C955" t="str">
            <v xml:space="preserve">UN    </v>
          </cell>
          <cell r="D955">
            <v>89.46</v>
          </cell>
        </row>
        <row r="956">
          <cell r="A956">
            <v>39767</v>
          </cell>
          <cell r="B956" t="str">
            <v>CAIXA DE PASSAGEM N 3, DE SOBREPOR, PADRAO TELEBRAS, DIMENSOES 40 X 40 X *12* CM, EM CHAPA DE ACO GALVANIZADO</v>
          </cell>
          <cell r="C956" t="str">
            <v xml:space="preserve">UN    </v>
          </cell>
          <cell r="D956">
            <v>117.79</v>
          </cell>
        </row>
        <row r="957">
          <cell r="A957">
            <v>11253</v>
          </cell>
          <cell r="B957" t="str">
            <v>CAIXA DE PASSAGEM N 4, DE EMBUTIR, PADRAO TELEBRAS, DIMENSOES 60 X 60 X 12 CM, EM CHAPA DE ACO GALVANIZADO</v>
          </cell>
          <cell r="C957" t="str">
            <v xml:space="preserve">UN    </v>
          </cell>
          <cell r="D957">
            <v>175.95</v>
          </cell>
        </row>
        <row r="958">
          <cell r="A958">
            <v>11254</v>
          </cell>
          <cell r="B958" t="str">
            <v>CAIXA DE PASSAGEM N 4, DE SOBREPOR, PADRAO TELEBRAS, DIMENSOES 60 X 60 X *12* CM, EM CHAPA DE ACO GALVANIZADO</v>
          </cell>
          <cell r="C958" t="str">
            <v xml:space="preserve">UN    </v>
          </cell>
          <cell r="D958">
            <v>189.03</v>
          </cell>
        </row>
        <row r="959">
          <cell r="A959">
            <v>11255</v>
          </cell>
          <cell r="B959" t="str">
            <v>CAIXA DE PASSAGEM N 5, DE EMBUTIR, PADRAO TELEBRAS, DIMENSOES 80 X 80 X 12 CM, EM CHAPA DE ACO GALVANIZADO</v>
          </cell>
          <cell r="C959" t="str">
            <v xml:space="preserve">UN    </v>
          </cell>
          <cell r="D959">
            <v>286.29000000000002</v>
          </cell>
        </row>
        <row r="960">
          <cell r="A960">
            <v>11256</v>
          </cell>
          <cell r="B960" t="str">
            <v>CAIXA DE PASSAGEM N 5, DE SOBREPOR, PADRAO TELEBRAS, DIMENSOES 80 X 80 X *12* CM, EM CHAPA DE ACO GALVANIZADO</v>
          </cell>
          <cell r="C960" t="str">
            <v xml:space="preserve">UN    </v>
          </cell>
          <cell r="D960">
            <v>327.61</v>
          </cell>
        </row>
        <row r="961">
          <cell r="A961">
            <v>14055</v>
          </cell>
          <cell r="B961" t="str">
            <v>CAIXA DE PASSAGEM N 6, DE EMBUTIR, PADRAO TELEBRAS, DIMENSOES 120 X 120 X 12 CM, EM CHAPA DE ACO GALVANIZADO</v>
          </cell>
          <cell r="C961" t="str">
            <v xml:space="preserve">UN    </v>
          </cell>
          <cell r="D961">
            <v>581.16999999999996</v>
          </cell>
        </row>
        <row r="962">
          <cell r="A962">
            <v>39768</v>
          </cell>
          <cell r="B962" t="str">
            <v>CAIXA DE PASSAGEM N 6, DE SOBREPOR, PADRAO TELEBRAS, DIMENSOES 120 X 120 X *12* CM, EM CHAPA DE ACO GALVANIZADO</v>
          </cell>
          <cell r="C962" t="str">
            <v xml:space="preserve">UN    </v>
          </cell>
          <cell r="D962">
            <v>620.12</v>
          </cell>
        </row>
        <row r="963">
          <cell r="A963">
            <v>11247</v>
          </cell>
          <cell r="B963" t="str">
            <v>CAIXA DE PASSAGEM N 7, DE EMBUTIR, PADRAO TELEBRAS, DIMENSOES 150 X 150 X 15 CM, EM CHAPA DE ACO GALVANIZADO</v>
          </cell>
          <cell r="C963" t="str">
            <v xml:space="preserve">UN    </v>
          </cell>
          <cell r="D963">
            <v>832.59</v>
          </cell>
        </row>
        <row r="964">
          <cell r="A964">
            <v>39769</v>
          </cell>
          <cell r="B964" t="str">
            <v>CAIXA DE PASSAGEM N 7, DE SOBREPOR, PADRAO TELEBRAS, DIMENSOES 150 X 150 X *15* CM, EM CHAPA DE ACO GALVANIZADO</v>
          </cell>
          <cell r="C964" t="str">
            <v xml:space="preserve">UN    </v>
          </cell>
          <cell r="D964">
            <v>1009.36</v>
          </cell>
        </row>
        <row r="965">
          <cell r="A965">
            <v>11249</v>
          </cell>
          <cell r="B965" t="str">
            <v>CAIXA DE PASSAGEM N 8, DE EMBUTIR, PADRAO TELEBRAS, DIMENSOES 200 X 200 X 20 CM, EM CHAPA DE ACO GALVANIZADO</v>
          </cell>
          <cell r="C965" t="str">
            <v xml:space="preserve">UN    </v>
          </cell>
          <cell r="D965">
            <v>2721.45</v>
          </cell>
        </row>
        <row r="966">
          <cell r="A966">
            <v>39770</v>
          </cell>
          <cell r="B966" t="str">
            <v>CAIXA DE PASSAGEM N 8, DE SOBREPOR, PADRAO TELEBRAS, DIMENSOES 200 X 200 X *20* CM, EM CHAPA DE ACO GALVANIZADO</v>
          </cell>
          <cell r="C966" t="str">
            <v xml:space="preserve">UN    </v>
          </cell>
          <cell r="D966">
            <v>3538.7</v>
          </cell>
        </row>
        <row r="967">
          <cell r="A967">
            <v>10569</v>
          </cell>
          <cell r="B967" t="str">
            <v>CAIXA DE PASSAGEM OCTOGONAL 4 X4, EM ACO ESMALTADA, COM FUNDO MOVEL SIMPLES</v>
          </cell>
          <cell r="C967" t="str">
            <v xml:space="preserve">UN    </v>
          </cell>
          <cell r="D967">
            <v>2.58</v>
          </cell>
        </row>
        <row r="968">
          <cell r="A968">
            <v>1872</v>
          </cell>
          <cell r="B968" t="str">
            <v>CAIXA DE PASSAGEM, EM PVC, DE 4" X 2", PARA ELETRODUTO FLEXIVEL CORRUGADO</v>
          </cell>
          <cell r="C968" t="str">
            <v xml:space="preserve">UN    </v>
          </cell>
          <cell r="D968">
            <v>1.68</v>
          </cell>
        </row>
        <row r="969">
          <cell r="A969">
            <v>1873</v>
          </cell>
          <cell r="B969" t="str">
            <v>CAIXA DE PASSAGEM, EM PVC, DE 4" X 4", PARA ELETRODUTO FLEXIVEL CORRUGADO</v>
          </cell>
          <cell r="C969" t="str">
            <v xml:space="preserve">UN    </v>
          </cell>
          <cell r="D969">
            <v>3.33</v>
          </cell>
        </row>
        <row r="970">
          <cell r="A970">
            <v>39693</v>
          </cell>
          <cell r="B970" t="str">
            <v>CAIXA DE PROTECAO EXTERNA PARA MEDIDOR HOROSAZONAL, DE BAIXA TENSAO, COM MODULO, EM CHAPA DE ACO (PADRAO DA CONCESSIONARIA LOCAL)</v>
          </cell>
          <cell r="C970" t="str">
            <v xml:space="preserve">UN    </v>
          </cell>
          <cell r="D970">
            <v>1553.02</v>
          </cell>
        </row>
        <row r="971">
          <cell r="A971">
            <v>39692</v>
          </cell>
          <cell r="B971" t="str">
            <v>CAIXA DE PROTECAO PARA TRANSFORMADOR CORRENTE, EM CHAPA DE ACO 18 USG (PADRAO DA CONCESSIONARIA LOCAL)</v>
          </cell>
          <cell r="C971" t="str">
            <v xml:space="preserve">UN    </v>
          </cell>
          <cell r="D971">
            <v>261.42</v>
          </cell>
        </row>
        <row r="972">
          <cell r="A972">
            <v>39681</v>
          </cell>
          <cell r="B972" t="str">
            <v>CAIXA DE PROTECAO PARA 1 MEDIDOR BIFASICO, EM CHAPA DE ACO 20 USG (PADRAO DA CONCESSIONARIA LOCAL)</v>
          </cell>
          <cell r="C972" t="str">
            <v xml:space="preserve">UN    </v>
          </cell>
          <cell r="D972">
            <v>147.62</v>
          </cell>
        </row>
        <row r="973">
          <cell r="A973">
            <v>39680</v>
          </cell>
          <cell r="B973" t="str">
            <v>CAIXA DE PROTECAO PARA 1 MEDIDOR MONOFASICO, EM CHAPA DE ACO 20 USG (PADRAO DA CONCESSIONARIA LOCAL)</v>
          </cell>
          <cell r="C973" t="str">
            <v xml:space="preserve">UN    </v>
          </cell>
          <cell r="D973">
            <v>76.040000000000006</v>
          </cell>
        </row>
        <row r="974">
          <cell r="A974">
            <v>39682</v>
          </cell>
          <cell r="B974" t="str">
            <v>CAIXA DE PROTECAO PARA 1 MEDIDOR TRIFASICO, EM CHAPA DE ACO 20 USG (PADRAO DA CONCESSIONARIA LOCAL)</v>
          </cell>
          <cell r="C974" t="str">
            <v xml:space="preserve">UN    </v>
          </cell>
          <cell r="D974">
            <v>149.11000000000001</v>
          </cell>
        </row>
        <row r="975">
          <cell r="A975">
            <v>39685</v>
          </cell>
          <cell r="B975" t="str">
            <v>CAIXA EXTERNA DE MEDICAO PARA 1 MEDIDOR TRIFASICO, COM VISOR, EM CHAPA DE ACO 18 USG (PADRAO DA CONCESSIONARIA LOCAL)</v>
          </cell>
          <cell r="C975" t="str">
            <v xml:space="preserve">UN    </v>
          </cell>
          <cell r="D975">
            <v>126.49</v>
          </cell>
        </row>
        <row r="976">
          <cell r="A976">
            <v>39687</v>
          </cell>
          <cell r="B976" t="str">
            <v>CAIXA EXTERNA DE MEDICAO PARA 4 MEDIDORES MONOFASICOS, COM VISOR, EM CHAPA DE ACO 18 USG (PADRAO DA CONCESSIONARIA LOCAL)</v>
          </cell>
          <cell r="C976" t="str">
            <v xml:space="preserve">UN    </v>
          </cell>
          <cell r="D976">
            <v>238.45</v>
          </cell>
        </row>
        <row r="977">
          <cell r="A977">
            <v>3280</v>
          </cell>
          <cell r="B977" t="str">
            <v>CAIXA GORDURA DUPLA, CONCRETO PRE MOLDADO, CIRCULAR, COM TAMPA, D = 60* CM</v>
          </cell>
          <cell r="C977" t="str">
            <v xml:space="preserve">UN    </v>
          </cell>
          <cell r="D977">
            <v>149.41999999999999</v>
          </cell>
        </row>
        <row r="978">
          <cell r="A978">
            <v>11881</v>
          </cell>
          <cell r="B978" t="str">
            <v>CAIXA GORDURA, SIMPLES, CONCRETO PRE MOLDADO, CIRCULAR, COM TAMPA, D = 40 CM</v>
          </cell>
          <cell r="C978" t="str">
            <v xml:space="preserve">UN    </v>
          </cell>
          <cell r="D978">
            <v>69.39</v>
          </cell>
        </row>
        <row r="979">
          <cell r="A979">
            <v>34641</v>
          </cell>
          <cell r="B979" t="str">
            <v>CAIXA INSPECAO EM CONCRETO PARA ATERRAMENTO E PARA RAIOS DIAMETRO = 300 MM</v>
          </cell>
          <cell r="C979" t="str">
            <v xml:space="preserve">UN    </v>
          </cell>
          <cell r="D979">
            <v>55.96</v>
          </cell>
        </row>
        <row r="980">
          <cell r="A980">
            <v>34643</v>
          </cell>
          <cell r="B980" t="str">
            <v>CAIXA INSPECAO EM POLIETILENO PARA ATERRAMENTO E PARA RAIOS DIAMETRO = 300 MM</v>
          </cell>
          <cell r="C980" t="str">
            <v xml:space="preserve">UN    </v>
          </cell>
          <cell r="D980">
            <v>12.34</v>
          </cell>
        </row>
        <row r="981">
          <cell r="A981">
            <v>3278</v>
          </cell>
          <cell r="B981" t="str">
            <v>CAIXA INSPECAO, CONCRETO PRE MOLDADO, CIRCULAR, COM TAMPA, D = 40* CM</v>
          </cell>
          <cell r="C981" t="str">
            <v xml:space="preserve">UN    </v>
          </cell>
          <cell r="D981">
            <v>78.34</v>
          </cell>
        </row>
        <row r="982">
          <cell r="A982">
            <v>3279</v>
          </cell>
          <cell r="B982" t="str">
            <v>CAIXA INSPECAO, CONCRETO PRE MOLDADO, CIRCULAR, COM TAMPA, D = 60* CM, H= 60* CM</v>
          </cell>
          <cell r="C982" t="str">
            <v xml:space="preserve">UN    </v>
          </cell>
          <cell r="D982">
            <v>129.27000000000001</v>
          </cell>
        </row>
        <row r="983">
          <cell r="A983">
            <v>1062</v>
          </cell>
          <cell r="B983" t="str">
            <v>CAIXA INTERNA DE MEDICAO PARA 1 MEDIDOR TRIFASICO, COM VISOR, EM CHAPA DE ACO 18 USG (PADRAO DA CONCESSIONARIA LOCAL)</v>
          </cell>
          <cell r="C983" t="str">
            <v xml:space="preserve">UN    </v>
          </cell>
          <cell r="D983">
            <v>134.19999999999999</v>
          </cell>
        </row>
        <row r="984">
          <cell r="A984">
            <v>39686</v>
          </cell>
          <cell r="B984" t="str">
            <v>CAIXA INTERNA DE MEDICAO PARA 4 MEDIDORES MONOFASICOS, COM VISOR, EM CHAPA DE ACO 18 USG (PADRAO DA CONCESSIONARIA LOCAL)</v>
          </cell>
          <cell r="C984" t="str">
            <v xml:space="preserve">UN    </v>
          </cell>
          <cell r="D984">
            <v>228.91</v>
          </cell>
        </row>
        <row r="985">
          <cell r="A985">
            <v>39683</v>
          </cell>
          <cell r="B985" t="str">
            <v>CAIXA INTERNA/EXTERNA DE MEDICAO PARA 1 MEDIDOR MONOFASICO, COM VISOR, EM CHAPA DE ACO 18 USG (PADRAO DA CONCESSIONARIA LOCAL)</v>
          </cell>
          <cell r="C985" t="str">
            <v xml:space="preserve">UN    </v>
          </cell>
          <cell r="D985">
            <v>46.55</v>
          </cell>
        </row>
        <row r="986">
          <cell r="A986">
            <v>1871</v>
          </cell>
          <cell r="B986" t="str">
            <v>CAIXA OCTOGONAL DE FUNDO MOVEL, EM PVC, DE 3" X 3", PARA ELETRODUTO FLEXIVEL CORRUGADO</v>
          </cell>
          <cell r="C986" t="str">
            <v xml:space="preserve">UN    </v>
          </cell>
          <cell r="D986">
            <v>3</v>
          </cell>
        </row>
        <row r="987">
          <cell r="A987">
            <v>12001</v>
          </cell>
          <cell r="B987" t="str">
            <v>CAIXA OCTOGONAL DE FUNDO MOVEL, EM PVC, DE 4" X 4", PARA ELETRODUTO FLEXIVEL CORRUGADO</v>
          </cell>
          <cell r="C987" t="str">
            <v xml:space="preserve">UN    </v>
          </cell>
          <cell r="D987">
            <v>4.34</v>
          </cell>
        </row>
        <row r="988">
          <cell r="A988">
            <v>11882</v>
          </cell>
          <cell r="B988" t="str">
            <v>CAIXA PARA HIDROMETRO CONCRETO PRE MOLDADO</v>
          </cell>
          <cell r="C988" t="str">
            <v xml:space="preserve">UN    </v>
          </cell>
          <cell r="D988">
            <v>78.34</v>
          </cell>
        </row>
        <row r="989">
          <cell r="A989">
            <v>39689</v>
          </cell>
          <cell r="B989" t="str">
            <v>CAIXA PARA MEDICAO COLETIVA TIPO H, PADRAO BIFASICO OU TRIFASICO, PARA ATE 6 MEDIDORES (PADRAO DA CONCESSIONARIA LOCAL)</v>
          </cell>
          <cell r="C989" t="str">
            <v xml:space="preserve">UN    </v>
          </cell>
          <cell r="D989">
            <v>2982.22</v>
          </cell>
        </row>
        <row r="990">
          <cell r="A990">
            <v>39688</v>
          </cell>
          <cell r="B990" t="str">
            <v>CAIXA PARA MEDICAO COLETIVA TIPO K, PADRAO BIFASICO OU TRIFASICO, PARA ATE 2 MEDIDORES (PADRAO DA CONCESSIONARIA LOCAL)</v>
          </cell>
          <cell r="C990" t="str">
            <v xml:space="preserve">UN    </v>
          </cell>
          <cell r="D990">
            <v>430.93</v>
          </cell>
        </row>
        <row r="991">
          <cell r="A991">
            <v>1068</v>
          </cell>
          <cell r="B991" t="str">
            <v>CAIXA PARA MEDICAO COLETIVA TIPO L, PADRAO BIFASICO OU TRIFASICO, PARA ATE 4 MEDIDORES (PADRAO DA CONCESSIONARIA LOCAL)</v>
          </cell>
          <cell r="C991" t="str">
            <v xml:space="preserve">UN    </v>
          </cell>
          <cell r="D991">
            <v>1799.77</v>
          </cell>
        </row>
        <row r="992">
          <cell r="A992">
            <v>39690</v>
          </cell>
          <cell r="B992" t="str">
            <v>CAIXA PARA MEDICAO COLETIVA TIPO M, PADRAO BIFASICO OU TRIFASICO, PARA ATE 8 MEDIDORES (PADRAO DA CONCESSIONARIA LOCAL)</v>
          </cell>
          <cell r="C992" t="str">
            <v xml:space="preserve">UN    </v>
          </cell>
          <cell r="D992">
            <v>4048.36</v>
          </cell>
        </row>
        <row r="993">
          <cell r="A993">
            <v>39691</v>
          </cell>
          <cell r="B993" t="str">
            <v>CAIXA PARA MEDICAO COLETIVA TIPO N, PADRAO BIFASICO OU TRIFASICO, PARA ATE 12 MEDIDORES (PADRAO DA CONCESSIONARIA LOCAL)</v>
          </cell>
          <cell r="C993" t="str">
            <v xml:space="preserve">UN    </v>
          </cell>
          <cell r="D993">
            <v>4525.5200000000004</v>
          </cell>
        </row>
        <row r="994">
          <cell r="A994">
            <v>39808</v>
          </cell>
          <cell r="B994" t="str">
            <v>CAIXA PARA MEDIDOR MONOFASICO, EM POLICARBONATO (TERMOPLASTICO), COM DISJUNTOR</v>
          </cell>
          <cell r="C994" t="str">
            <v xml:space="preserve">UN    </v>
          </cell>
          <cell r="D994">
            <v>58.28</v>
          </cell>
        </row>
        <row r="995">
          <cell r="A995">
            <v>39809</v>
          </cell>
          <cell r="B995" t="str">
            <v>CAIXA PARA MEDIDOR POLIFASICO, EM POLICARBONATO (TERMOPLASTICO), COM DISJUNTOR</v>
          </cell>
          <cell r="C995" t="str">
            <v xml:space="preserve">UN    </v>
          </cell>
          <cell r="D995">
            <v>160.88999999999999</v>
          </cell>
        </row>
        <row r="996">
          <cell r="A996">
            <v>11713</v>
          </cell>
          <cell r="B996" t="str">
            <v>CAIXA SIFONADA PVC 150 X 150 X 50MM COM TAMPA CEGA QUADRADA BRANCA</v>
          </cell>
          <cell r="C996" t="str">
            <v xml:space="preserve">UN    </v>
          </cell>
          <cell r="D996">
            <v>26.78</v>
          </cell>
        </row>
        <row r="997">
          <cell r="A997">
            <v>11716</v>
          </cell>
          <cell r="B997" t="str">
            <v>CAIXA SIFONADA PVC, 100 X 100 X 40 MM, COM GRELHA REDONDA BRANCA</v>
          </cell>
          <cell r="C997" t="str">
            <v xml:space="preserve">UN    </v>
          </cell>
          <cell r="D997">
            <v>11.43</v>
          </cell>
        </row>
        <row r="998">
          <cell r="A998">
            <v>5103</v>
          </cell>
          <cell r="B998" t="str">
            <v>CAIXA SIFONADA PVC, 100 X 100 X 50 MM, COM GRELHA REDONDA BRANCA</v>
          </cell>
          <cell r="C998" t="str">
            <v xml:space="preserve">UN    </v>
          </cell>
          <cell r="D998">
            <v>11.59</v>
          </cell>
        </row>
        <row r="999">
          <cell r="A999">
            <v>11712</v>
          </cell>
          <cell r="B999" t="str">
            <v>CAIXA SIFONADA PVC, 150 X 150 X 50 MM, COM GRELHA QUADRADA BRANCA (NBR 5688)</v>
          </cell>
          <cell r="C999" t="str">
            <v xml:space="preserve">UN    </v>
          </cell>
          <cell r="D999">
            <v>27</v>
          </cell>
        </row>
        <row r="1000">
          <cell r="A1000">
            <v>11717</v>
          </cell>
          <cell r="B1000" t="str">
            <v>CAIXA SIFONADA PVC, 150 X 150 X 50 MM, COM GRELHA REDONDA BRANCA</v>
          </cell>
          <cell r="C1000" t="str">
            <v xml:space="preserve">UN    </v>
          </cell>
          <cell r="D1000">
            <v>29.34</v>
          </cell>
        </row>
        <row r="1001">
          <cell r="A1001">
            <v>11714</v>
          </cell>
          <cell r="B1001" t="str">
            <v>CAIXA SIFONADA PVC, 150 X 185 X 75 MM, COM GRELHA QUADRADA BRANCA</v>
          </cell>
          <cell r="C1001" t="str">
            <v xml:space="preserve">UN    </v>
          </cell>
          <cell r="D1001">
            <v>36.5</v>
          </cell>
        </row>
        <row r="1002">
          <cell r="A1002">
            <v>11715</v>
          </cell>
          <cell r="B1002" t="str">
            <v>CAIXA SIFONADA PVC, 150 X 185 X 75 MM, COM TAMPA CEGA QUADRADA BRANCA</v>
          </cell>
          <cell r="C1002" t="str">
            <v xml:space="preserve">UN    </v>
          </cell>
          <cell r="D1002">
            <v>42</v>
          </cell>
        </row>
        <row r="1003">
          <cell r="A1003">
            <v>11880</v>
          </cell>
          <cell r="B1003" t="str">
            <v>CAIXA SIFONADA PVC, 250 X 230 X 75 MM, COM TAMPA E PORTA TAMPA QUADRADA BRANCA</v>
          </cell>
          <cell r="C1003" t="str">
            <v xml:space="preserve">UN    </v>
          </cell>
          <cell r="D1003">
            <v>75.5</v>
          </cell>
        </row>
        <row r="1004">
          <cell r="A1004">
            <v>1106</v>
          </cell>
          <cell r="B1004" t="str">
            <v>CAL HIDRATADA CH-I PARA ARGAMASSAS</v>
          </cell>
          <cell r="C1004" t="str">
            <v xml:space="preserve">KG    </v>
          </cell>
          <cell r="D1004">
            <v>0.56000000000000005</v>
          </cell>
        </row>
        <row r="1005">
          <cell r="A1005">
            <v>11161</v>
          </cell>
          <cell r="B1005" t="str">
            <v>CAL HIDRATADA PARA PINTURA</v>
          </cell>
          <cell r="C1005" t="str">
            <v xml:space="preserve">KG    </v>
          </cell>
          <cell r="D1005">
            <v>0.93</v>
          </cell>
        </row>
        <row r="1006">
          <cell r="A1006">
            <v>1107</v>
          </cell>
          <cell r="B1006" t="str">
            <v>CAL VIRGEM COMUM PARA ARGAMASSAS (NBR 6453)</v>
          </cell>
          <cell r="C1006" t="str">
            <v xml:space="preserve">KG    </v>
          </cell>
          <cell r="D1006">
            <v>0.64</v>
          </cell>
        </row>
        <row r="1007">
          <cell r="A1007">
            <v>4758</v>
          </cell>
          <cell r="B1007" t="str">
            <v>CALAFETADOR / CALAFATE</v>
          </cell>
          <cell r="C1007" t="str">
            <v xml:space="preserve">H     </v>
          </cell>
          <cell r="D1007">
            <v>18.239999999999998</v>
          </cell>
        </row>
        <row r="1008">
          <cell r="A1008">
            <v>41080</v>
          </cell>
          <cell r="B1008" t="str">
            <v>CALAFETADOR / CALAFATE (MENSALISTA)</v>
          </cell>
          <cell r="C1008" t="str">
            <v xml:space="preserve">MES   </v>
          </cell>
          <cell r="D1008">
            <v>3231.42</v>
          </cell>
        </row>
        <row r="1009">
          <cell r="A1009">
            <v>25963</v>
          </cell>
          <cell r="B1009" t="str">
            <v>CALCARIO DOLOMITICO A (POSTO PEDREIRA/FORNECEDOR, SEM FRETE)</v>
          </cell>
          <cell r="C1009" t="str">
            <v xml:space="preserve">KG    </v>
          </cell>
          <cell r="D1009">
            <v>0.09</v>
          </cell>
        </row>
        <row r="1010">
          <cell r="A1010">
            <v>4759</v>
          </cell>
          <cell r="B1010" t="str">
            <v>CALCETEIRO</v>
          </cell>
          <cell r="C1010" t="str">
            <v xml:space="preserve">H     </v>
          </cell>
          <cell r="D1010">
            <v>14.81</v>
          </cell>
        </row>
        <row r="1011">
          <cell r="A1011">
            <v>41068</v>
          </cell>
          <cell r="B1011" t="str">
            <v>CALCETEIRO  (MENSALISTA)</v>
          </cell>
          <cell r="C1011" t="str">
            <v xml:space="preserve">MES   </v>
          </cell>
          <cell r="D1011">
            <v>2623.08</v>
          </cell>
        </row>
        <row r="1012">
          <cell r="A1012">
            <v>1108</v>
          </cell>
          <cell r="B1012" t="str">
            <v>CALHA MOLDURA AMERICANA DE CHAPA DE ACO GALVANIZADA NUM 26, CORTE 33 CM</v>
          </cell>
          <cell r="C1012" t="str">
            <v xml:space="preserve">M     </v>
          </cell>
          <cell r="D1012">
            <v>24.11</v>
          </cell>
        </row>
        <row r="1013">
          <cell r="A1013">
            <v>1117</v>
          </cell>
          <cell r="B1013" t="str">
            <v>CALHA PARA AGUA FURTADA DE CHAPA DE ACO GALVANIZADA NUM 26, CORTE 40 CM</v>
          </cell>
          <cell r="C1013" t="str">
            <v xml:space="preserve">M     </v>
          </cell>
          <cell r="D1013">
            <v>27.98</v>
          </cell>
        </row>
        <row r="1014">
          <cell r="A1014">
            <v>1118</v>
          </cell>
          <cell r="B1014" t="str">
            <v>CALHA PARA AGUA FURTADA DE CHAPA DE ACO GALVANIZADA NUM 26, CORTE 50 CM</v>
          </cell>
          <cell r="C1014" t="str">
            <v xml:space="preserve">M     </v>
          </cell>
          <cell r="D1014">
            <v>35.979999999999997</v>
          </cell>
        </row>
        <row r="1015">
          <cell r="A1015">
            <v>1110</v>
          </cell>
          <cell r="B1015" t="str">
            <v>CALHA PLATIBANDA DE CHAPA DE ACO GALVANIZADA NUM 26, CORTE 45 CM</v>
          </cell>
          <cell r="C1015" t="str">
            <v xml:space="preserve">M     </v>
          </cell>
          <cell r="D1015">
            <v>35.979999999999997</v>
          </cell>
        </row>
        <row r="1016">
          <cell r="A1016">
            <v>12618</v>
          </cell>
          <cell r="B1016" t="str">
            <v>CALHA PLUVIAL DE PVC, DIAMETRO ENTRE 119 E 170 MM, COMPRIMENTO DE 3 M, PARA DRENAGEM PREDIAL</v>
          </cell>
          <cell r="C1016" t="str">
            <v xml:space="preserve">UN    </v>
          </cell>
          <cell r="D1016">
            <v>41.03</v>
          </cell>
        </row>
        <row r="1017">
          <cell r="A1017">
            <v>40871</v>
          </cell>
          <cell r="B1017" t="str">
            <v>CALHA QUADRADA DE CHAPA DE ACO GALVANIZADA NUM 24, CORTE 100 CM (COLETADO CAIXA)</v>
          </cell>
          <cell r="C1017" t="str">
            <v xml:space="preserve">M     </v>
          </cell>
          <cell r="D1017">
            <v>81.56</v>
          </cell>
        </row>
        <row r="1018">
          <cell r="A1018">
            <v>40869</v>
          </cell>
          <cell r="B1018" t="str">
            <v>CALHA QUADRADA DE CHAPA DE ACO GALVANIZADA NUM 24, CORTE 33 CM (COLETADO CAIXA)</v>
          </cell>
          <cell r="C1018" t="str">
            <v xml:space="preserve">M     </v>
          </cell>
          <cell r="D1018">
            <v>26.78</v>
          </cell>
        </row>
        <row r="1019">
          <cell r="A1019">
            <v>40870</v>
          </cell>
          <cell r="B1019" t="str">
            <v>CALHA QUADRADA DE CHAPA DE ACO GALVANIZADA NUM 24, CORTE 50 CM (COLETADO CAIXA)</v>
          </cell>
          <cell r="C1019" t="str">
            <v xml:space="preserve">M     </v>
          </cell>
          <cell r="D1019">
            <v>40.92</v>
          </cell>
        </row>
        <row r="1020">
          <cell r="A1020">
            <v>1109</v>
          </cell>
          <cell r="B1020" t="str">
            <v>CALHA QUADRADA DE CHAPA DE ACO GALVANIZADA NUM 26, CORTE 33 CM</v>
          </cell>
          <cell r="C1020" t="str">
            <v xml:space="preserve">M     </v>
          </cell>
          <cell r="D1020">
            <v>23.99</v>
          </cell>
        </row>
        <row r="1021">
          <cell r="A1021">
            <v>1119</v>
          </cell>
          <cell r="B1021" t="str">
            <v>CALHA QUADRADA DE CHAPA DE ACO GALVANIZADA NUM 28, CORTE 25 CM</v>
          </cell>
          <cell r="C1021" t="str">
            <v xml:space="preserve">M     </v>
          </cell>
          <cell r="D1021">
            <v>17.989999999999998</v>
          </cell>
        </row>
        <row r="1022">
          <cell r="A1022">
            <v>13115</v>
          </cell>
          <cell r="B1022" t="str">
            <v>CALHA/CANALETA DE CONCRETO SIMPLES, TIPO MEIA CANA, D = 20 CM, PARA AGUA PLUVIAL</v>
          </cell>
          <cell r="C1022" t="str">
            <v xml:space="preserve">M     </v>
          </cell>
          <cell r="D1022">
            <v>16.14</v>
          </cell>
        </row>
        <row r="1023">
          <cell r="A1023">
            <v>10541</v>
          </cell>
          <cell r="B1023" t="str">
            <v>CALHA/CANALETA DE CONCRETO SIMPLES, TIPO MEIA CANA, D = 30 CM, PARA AGUA PLUVIAL</v>
          </cell>
          <cell r="C1023" t="str">
            <v xml:space="preserve">M     </v>
          </cell>
          <cell r="D1023">
            <v>18.75</v>
          </cell>
        </row>
        <row r="1024">
          <cell r="A1024">
            <v>10543</v>
          </cell>
          <cell r="B1024" t="str">
            <v>CALHA/CANALETA DE CONCRETO SIMPLES, TIPO MEIA CANA, D = 50 CM, PARA AGUA PLUVIAL</v>
          </cell>
          <cell r="C1024" t="str">
            <v xml:space="preserve">M     </v>
          </cell>
          <cell r="D1024">
            <v>36.380000000000003</v>
          </cell>
        </row>
        <row r="1025">
          <cell r="A1025">
            <v>10544</v>
          </cell>
          <cell r="B1025" t="str">
            <v>CALHA/CANALETA DE CONCRETO SIMPLES, TIPO MEIA CANA, D = 60 CM, PARA AGUA PLUVIAL</v>
          </cell>
          <cell r="C1025" t="str">
            <v xml:space="preserve">M     </v>
          </cell>
          <cell r="D1025">
            <v>43.75</v>
          </cell>
        </row>
        <row r="1026">
          <cell r="A1026">
            <v>10545</v>
          </cell>
          <cell r="B1026" t="str">
            <v>CALHA/CANALETA DE CONCRETO SIMPLES, TIPO MEIA CANA, D = 80 CM, PARA AGUA PLUVIAL</v>
          </cell>
          <cell r="C1026" t="str">
            <v xml:space="preserve">M     </v>
          </cell>
          <cell r="D1026">
            <v>67.099999999999994</v>
          </cell>
        </row>
        <row r="1027">
          <cell r="A1027">
            <v>10542</v>
          </cell>
          <cell r="B1027" t="str">
            <v>CALHA/CANALETA DE CONCRETO SIMPLES, TIPO MEIA CANA, D= 40 CM, PARA AGUA PLUVIAL</v>
          </cell>
          <cell r="C1027" t="str">
            <v xml:space="preserve">M     </v>
          </cell>
          <cell r="D1027">
            <v>25.83</v>
          </cell>
        </row>
        <row r="1028">
          <cell r="A1028">
            <v>38365</v>
          </cell>
          <cell r="B1028" t="str">
            <v>CAMADA SEPARADORA DE FILME DE POLIETILENO 20 A 25 MICRA</v>
          </cell>
          <cell r="C1028" t="str">
            <v xml:space="preserve">M2    </v>
          </cell>
          <cell r="D1028">
            <v>1.41</v>
          </cell>
        </row>
        <row r="1029">
          <cell r="A1029">
            <v>37745</v>
          </cell>
          <cell r="B1029" t="str">
            <v>CAMINHAO TOCO, PESO BRUTO TOTAL 13000 KG, CARGA UTIL MAXIMA 7925 KG, DISTANCIA ENTRE EIXOS 4,80 M, POTENCIA 189 CV (INCLUI CABINE E CHASSI, NAO INCLUI CARROCERIA)</v>
          </cell>
          <cell r="C1029" t="str">
            <v xml:space="preserve">UN    </v>
          </cell>
          <cell r="D1029">
            <v>230000</v>
          </cell>
        </row>
        <row r="1030">
          <cell r="A1030">
            <v>37754</v>
          </cell>
          <cell r="B1030" t="str">
            <v>CAMINHAO TOCO, PESO BRUTO TOTAL 14300 KG, CARGA UTIL MAXIMA 9590 KG, DISTANCIA ENTRE EIXOS 4,76 M, POTENCIA 185 CV (INCLUI CABINE E CHASSI, NAO INCLUI CARROCERIA)</v>
          </cell>
          <cell r="C1030" t="str">
            <v xml:space="preserve">UN    </v>
          </cell>
          <cell r="D1030">
            <v>240189.87</v>
          </cell>
        </row>
        <row r="1031">
          <cell r="A1031">
            <v>37748</v>
          </cell>
          <cell r="B1031" t="str">
            <v>CAMINHAO TOCO, PESO BRUTO TOTAL 14300 KG, CARGA UTIL MAXIMA 9710 KG, DISTANCIA ENTRE EIXOS 3,56 M, POTENCIA 185 CV (INCLUI CABINE E CHASSI, NAO INCLUI CARROCERIA)</v>
          </cell>
          <cell r="C1031" t="str">
            <v xml:space="preserve">UN    </v>
          </cell>
          <cell r="D1031">
            <v>244520.56</v>
          </cell>
        </row>
        <row r="1032">
          <cell r="A1032">
            <v>37761</v>
          </cell>
          <cell r="B1032" t="str">
            <v>CAMINHAO TOCO, PESO BRUTO TOTAL 16000 KG, CARGA UTIL MAXIMA DE 10685 KG, DISTANCIA ENTRE EIXOS 4,8M, POTENCIA 189 CV (INCLUI CABINE E CHASSI, NAO INCLUI CARROCERIA)</v>
          </cell>
          <cell r="C1032" t="str">
            <v xml:space="preserve">UN    </v>
          </cell>
          <cell r="D1032">
            <v>202341.76000000001</v>
          </cell>
        </row>
        <row r="1033">
          <cell r="A1033">
            <v>37757</v>
          </cell>
          <cell r="B1033" t="str">
            <v>CAMINHAO TOCO, PESO BRUTO TOTAL 16000 KG, CARGA UTIL MAXIMA 10600 KG, DISTANCIA ENTRE EIXOS 4,80 M, POTENCIA 275 CV (INCLUI CABINE E CHASSI, NAO INCLUI CARROCERIA)</v>
          </cell>
          <cell r="C1033" t="str">
            <v xml:space="preserve">UN    </v>
          </cell>
          <cell r="D1033">
            <v>281677.2</v>
          </cell>
        </row>
        <row r="1034">
          <cell r="A1034">
            <v>37759</v>
          </cell>
          <cell r="B1034" t="str">
            <v>CAMINHAO TOCO, PESO BRUTO TOTAL 16000 KG, CARGA UTIL MAXIMA 10780 KG, DISTANCIA ENTRE EIXOS 3,56 M, POTENCIA 275 CV (INCLUI CABINE E CHASSI, NAO INCLUI CARROCERIA)</v>
          </cell>
          <cell r="C1034" t="str">
            <v xml:space="preserve">UN    </v>
          </cell>
          <cell r="D1034">
            <v>282768.99</v>
          </cell>
        </row>
        <row r="1035">
          <cell r="A1035">
            <v>37766</v>
          </cell>
          <cell r="B1035" t="str">
            <v>CAMINHAO TOCO, PESO BRUTO TOTAL 16000 KG, CARGA UTIL MAXIMA 11030 KG, DISTANCIA ENTRE EIXOS 3,56M, POTENCIA 186 CV (INCLUI CABINE E CHASSI, NAO INCLUI CARROCERIA)</v>
          </cell>
          <cell r="C1035" t="str">
            <v xml:space="preserve">UN    </v>
          </cell>
          <cell r="D1035">
            <v>282768.96000000002</v>
          </cell>
        </row>
        <row r="1036">
          <cell r="A1036">
            <v>37752</v>
          </cell>
          <cell r="B1036" t="str">
            <v>CAMINHAO TOCO, PESO BRUTO TOTAL 16000 KG, CARGA UTIL MAXIMA 11130 KG, DISTANCIA ENTRE EIXOS 5,36 M, POTENCIA 185 CV (INCLUI CABINE E CHASSI, NAO INCLUI CARROCERIA)</v>
          </cell>
          <cell r="C1036" t="str">
            <v xml:space="preserve">UN    </v>
          </cell>
          <cell r="D1036">
            <v>256420.88</v>
          </cell>
        </row>
        <row r="1037">
          <cell r="A1037">
            <v>37760</v>
          </cell>
          <cell r="B1037" t="str">
            <v>CAMINHAO TOCO, PESO BRUTO TOTAL 16000 KG, CARGA UTIL MAXIMA 13071 KG, DISTANCIA ENTRE EIXOS 4,80 M, POTENCIA 230 CV (INCLUI CABINE E CHASSI, NAO INCLUI CARROCERIA)</v>
          </cell>
          <cell r="C1037" t="str">
            <v xml:space="preserve">UN    </v>
          </cell>
          <cell r="D1037">
            <v>270031.63</v>
          </cell>
        </row>
        <row r="1038">
          <cell r="A1038">
            <v>37765</v>
          </cell>
          <cell r="B1038" t="str">
            <v>CAMINHAO TOCO, PESO BRUTO TOTAL 8250 KG, CARGA UTIL MAXIMA 5110 KG, DISTANCIA ENTRE EIXOS 4,30 M, POTENCIA 162 CV (INCLUI CABINE E CHASSI, NAO INCLUI CARROCERIA)</v>
          </cell>
          <cell r="C1038" t="str">
            <v xml:space="preserve">UN    </v>
          </cell>
          <cell r="D1038">
            <v>188512.66</v>
          </cell>
        </row>
        <row r="1039">
          <cell r="A1039">
            <v>37746</v>
          </cell>
          <cell r="B1039" t="str">
            <v>CAMINHAO TOCO, PESO BRUTO TOTAL 9000 KG, CARGA UTIL MAXIMA 5940 KG, DISTANCIA ENTRE EIXOS 3,69 M, POTENCIA 177 CV (INCLUI CABINE E CHASSI, NAO INCLUI CARROCERIA)</v>
          </cell>
          <cell r="C1039" t="str">
            <v xml:space="preserve">UN    </v>
          </cell>
          <cell r="D1039">
            <v>206672.45</v>
          </cell>
        </row>
        <row r="1040">
          <cell r="A1040">
            <v>37750</v>
          </cell>
          <cell r="B1040" t="str">
            <v>CAMINHAO TOCO, PESO BRUTO TOTAL 9600 KG, CARGA UTIL MAXIMA 6110 KG, DISTANCIA ENTRE EIXOS 3,70 M, POTENCIA 156 CV (INCLUI CABINE E CHASSI, NAO INCLUI CARROCERIA)</v>
          </cell>
          <cell r="C1040" t="str">
            <v xml:space="preserve">UN    </v>
          </cell>
          <cell r="D1040">
            <v>205944.62</v>
          </cell>
        </row>
        <row r="1041">
          <cell r="A1041">
            <v>37753</v>
          </cell>
          <cell r="B1041" t="str">
            <v>CAMINHAO TOCO, PESO BRUTO TOTAL 9600 KG, CARGA UTIL MAXIMA 6200 KG, DISTANCIA ENTRE EIXOS 3,10 M, POTENCIA 156 CV (INCLUI CABINE E CHASSI, NAO INCLUI CARROCERIA)</v>
          </cell>
          <cell r="C1041" t="str">
            <v xml:space="preserve">UN    </v>
          </cell>
          <cell r="D1041">
            <v>205216.76</v>
          </cell>
        </row>
        <row r="1042">
          <cell r="A1042">
            <v>37756</v>
          </cell>
          <cell r="B1042" t="str">
            <v>CAMINHAO TOCO, PESO BRUTO TOTAL 9700 KG, CARGA UTIL MAXIMA 6360 KG, DISTANCIA ENTRE EIXOS 4,30 M, POTENCIA 160 CV (INCLUI CABINE E CHASSI, NAO INCLUI CARROCERIA)</v>
          </cell>
          <cell r="C1042" t="str">
            <v xml:space="preserve">UN    </v>
          </cell>
          <cell r="D1042">
            <v>202341.76000000001</v>
          </cell>
        </row>
        <row r="1043">
          <cell r="A1043">
            <v>37755</v>
          </cell>
          <cell r="B1043" t="str">
            <v>CAMINHAO TRUCADO, PESO BRUTO TOTAL 22000 KG, CARGA UTIL MAXIMA 15350 KG, DISTANCIA ENTRE EIXOS 5,17 M, POTENCIA 238 CV (INCLUI CABINE E CHASSI, NAO INCLUI CARROCERIA)</v>
          </cell>
          <cell r="C1043" t="str">
            <v xml:space="preserve">UN    </v>
          </cell>
          <cell r="D1043">
            <v>294050.63</v>
          </cell>
        </row>
        <row r="1044">
          <cell r="A1044">
            <v>37758</v>
          </cell>
          <cell r="B1044" t="str">
            <v>CAMINHAO TRUCADO, PESO BRUTO TOTAL 23000 KG, CARGA UTIL MAXIMA 15378 KG, DISTANCIA ENTRE EIXOS 4,80 M, POTENCIA 326 CV (INCLUI CABINE E CHASSI, NAO INCLUI CARROCERIA)</v>
          </cell>
          <cell r="C1044" t="str">
            <v xml:space="preserve">UN    </v>
          </cell>
          <cell r="D1044">
            <v>331898.74</v>
          </cell>
        </row>
        <row r="1045">
          <cell r="A1045">
            <v>37747</v>
          </cell>
          <cell r="B1045" t="str">
            <v>CAMINHAO TRUCADO, PESO BRUTO TOTAL 23000 KG, CARGA UTIL MAXIMA 15935 KG, DISTANCIA ENTRE EIXOS 4,80 M, POTENCIA 230 CV (INCLUI CABINE E CHASSI, NAO INCLUI CARROCERIA)</v>
          </cell>
          <cell r="C1045" t="str">
            <v xml:space="preserve">UN    </v>
          </cell>
          <cell r="D1045">
            <v>298636.07</v>
          </cell>
        </row>
        <row r="1046">
          <cell r="A1046">
            <v>37767</v>
          </cell>
          <cell r="B1046" t="str">
            <v>CAMINHAO TRUCADO, PESO BRUTO TOTAL 23000 KG, CARGA UTIL MAXIMA 15940 KG, DISTANCIA ENTRE EIXOS 3,60 M, POTENCIA 286 CV (INCLUI CABINE E CHASSI, NAO INCLUI CARROCERIA)</v>
          </cell>
          <cell r="C1046" t="str">
            <v xml:space="preserve">UN    </v>
          </cell>
          <cell r="D1046">
            <v>315158.23</v>
          </cell>
        </row>
        <row r="1047">
          <cell r="A1047">
            <v>37751</v>
          </cell>
          <cell r="B1047" t="str">
            <v>CAMINHAO TRUCADO, PESO BRUTO TOTAL 23000 KG, CARGA UTIL MAXIMA 16190 KG, DISTANCIA ENTRE EIXOS 3,60 M, POTENCIA 286 CV (INCLUI CABINE E CHASSI, NAO INCLUI CARROCERIA)</v>
          </cell>
          <cell r="C1047" t="str">
            <v xml:space="preserve">UN    </v>
          </cell>
          <cell r="D1047">
            <v>315158.23</v>
          </cell>
        </row>
        <row r="1048">
          <cell r="A1048">
            <v>37749</v>
          </cell>
          <cell r="B1048" t="str">
            <v>CAMINHAO TRUCADO, PESO BRUTO TOTAL 23000 KG, CARGA UTIL MAXIMA 16360 KG, CABINE ESTENDIDA, DISTANCIA ENTRE EIXOS 3,56 M, POTENCIA 275 CV (INCLUI CABINE E CHASSI, NAO INCLUI CARROCERIA)</v>
          </cell>
          <cell r="C1048" t="str">
            <v xml:space="preserve">UN    </v>
          </cell>
          <cell r="D1048">
            <v>311518.99</v>
          </cell>
        </row>
        <row r="1049">
          <cell r="A1049">
            <v>1159</v>
          </cell>
          <cell r="B1049" t="str">
            <v>CAMINHONETE COM MOTOR A DIESEL, POTENCIA *160* CV, CABINE DUPLA, 4X4</v>
          </cell>
          <cell r="C1049" t="str">
            <v xml:space="preserve">UN    </v>
          </cell>
          <cell r="D1049">
            <v>151472.44</v>
          </cell>
        </row>
        <row r="1050">
          <cell r="A1050">
            <v>12114</v>
          </cell>
          <cell r="B1050" t="str">
            <v>CAMPAINHA ALTA POTENCIA 110V / 220V, DIAMETRO 150 MM</v>
          </cell>
          <cell r="C1050" t="str">
            <v xml:space="preserve">UN    </v>
          </cell>
          <cell r="D1050">
            <v>103.07</v>
          </cell>
        </row>
        <row r="1051">
          <cell r="A1051">
            <v>38106</v>
          </cell>
          <cell r="B1051" t="str">
            <v>CAMPAINHA CIGARRA 127 V / 220 V (APENAS MODULO)</v>
          </cell>
          <cell r="C1051" t="str">
            <v xml:space="preserve">UN    </v>
          </cell>
          <cell r="D1051">
            <v>14</v>
          </cell>
        </row>
        <row r="1052">
          <cell r="A1052">
            <v>38085</v>
          </cell>
          <cell r="B1052" t="str">
            <v>CAMPAINHA CIGARRA 127 V / 220 V, CONJUNTO MONTADO PARA EMBUTIR 4" X 2" (PLACA + SUPORTE + MODULO)</v>
          </cell>
          <cell r="C1052" t="str">
            <v xml:space="preserve">UN    </v>
          </cell>
          <cell r="D1052">
            <v>16.54</v>
          </cell>
        </row>
        <row r="1053">
          <cell r="A1053">
            <v>38599</v>
          </cell>
          <cell r="B1053" t="str">
            <v>CANALETA CONCRETO ESTRUTURAL 14 X 19 X 29 CM, FBK 14 MPA (NBR 6136)</v>
          </cell>
          <cell r="C1053" t="str">
            <v xml:space="preserve">UN    </v>
          </cell>
          <cell r="D1053">
            <v>3.57</v>
          </cell>
        </row>
        <row r="1054">
          <cell r="A1054">
            <v>38596</v>
          </cell>
          <cell r="B1054" t="str">
            <v>CANALETA CONCRETO ESTRUTURAL 14 X 19 X 29 CM, FBK 4,5 MPA (NBR 6136)</v>
          </cell>
          <cell r="C1054" t="str">
            <v xml:space="preserve">UN    </v>
          </cell>
          <cell r="D1054">
            <v>2.4300000000000002</v>
          </cell>
        </row>
        <row r="1055">
          <cell r="A1055">
            <v>38600</v>
          </cell>
          <cell r="B1055" t="str">
            <v>CANALETA CONCRETO ESTRUTURAL 14 X 19 X 39 CM, FBK 14 MPA (NBR 6136)</v>
          </cell>
          <cell r="C1055" t="str">
            <v xml:space="preserve">UN    </v>
          </cell>
          <cell r="D1055">
            <v>4.2</v>
          </cell>
        </row>
        <row r="1056">
          <cell r="A1056">
            <v>38597</v>
          </cell>
          <cell r="B1056" t="str">
            <v>CANALETA CONCRETO ESTRUTURAL 14 X 19 X 39 CM, FBK 4,5 MPA (NBR 6136)</v>
          </cell>
          <cell r="C1056" t="str">
            <v xml:space="preserve">UN    </v>
          </cell>
          <cell r="D1056">
            <v>2.98</v>
          </cell>
        </row>
        <row r="1057">
          <cell r="A1057">
            <v>659</v>
          </cell>
          <cell r="B1057" t="str">
            <v>CANALETA CONCRETO 14 X 19 X 19 CM (CLASSE C - NBR 6136)</v>
          </cell>
          <cell r="C1057" t="str">
            <v xml:space="preserve">UN    </v>
          </cell>
          <cell r="D1057">
            <v>1.45</v>
          </cell>
        </row>
        <row r="1058">
          <cell r="A1058">
            <v>660</v>
          </cell>
          <cell r="B1058" t="str">
            <v>CANALETA CONCRETO 19 X 19 X 19 CM (CLASSE C - NBR 6136)</v>
          </cell>
          <cell r="C1058" t="str">
            <v xml:space="preserve">UN    </v>
          </cell>
          <cell r="D1058">
            <v>2.12</v>
          </cell>
        </row>
        <row r="1059">
          <cell r="A1059">
            <v>658</v>
          </cell>
          <cell r="B1059" t="str">
            <v>CANALETA CONCRETO 9 X 19 X 19 CM (CLASSE C - NBR 6136)</v>
          </cell>
          <cell r="C1059" t="str">
            <v xml:space="preserve">UN    </v>
          </cell>
          <cell r="D1059">
            <v>1.1599999999999999</v>
          </cell>
        </row>
        <row r="1060">
          <cell r="A1060">
            <v>38548</v>
          </cell>
          <cell r="B1060" t="str">
            <v>CANALETA ESTRUTURAL CERAMICA, 14 X 19 X 19 CM, 6,0 MPA (NBR 15270)</v>
          </cell>
          <cell r="C1060" t="str">
            <v xml:space="preserve">UN    </v>
          </cell>
          <cell r="D1060">
            <v>1.26</v>
          </cell>
        </row>
        <row r="1061">
          <cell r="A1061">
            <v>34647</v>
          </cell>
          <cell r="B1061" t="str">
            <v>CANALETA ESTRUTURAL CERAMICA, 14 X 19 X 29 CM, 4,0 MPA (NBR 15270)</v>
          </cell>
          <cell r="C1061" t="str">
            <v xml:space="preserve">UN    </v>
          </cell>
          <cell r="D1061">
            <v>2.1800000000000002</v>
          </cell>
        </row>
        <row r="1062">
          <cell r="A1062">
            <v>34649</v>
          </cell>
          <cell r="B1062" t="str">
            <v>CANALETA ESTRUTURAL CERAMICA, 14 X 19 X 29 CM, 6,0 MPA (NBR 15270)</v>
          </cell>
          <cell r="C1062" t="str">
            <v xml:space="preserve">UN    </v>
          </cell>
          <cell r="D1062">
            <v>2.2400000000000002</v>
          </cell>
        </row>
        <row r="1063">
          <cell r="A1063">
            <v>34652</v>
          </cell>
          <cell r="B1063" t="str">
            <v>CANALETA ESTRUTURAL CERAMICA, 14 X 19 X 39 CM, 4,0 MPA (NBR 15270)</v>
          </cell>
          <cell r="C1063" t="str">
            <v xml:space="preserve">UN    </v>
          </cell>
          <cell r="D1063">
            <v>3.06</v>
          </cell>
        </row>
        <row r="1064">
          <cell r="A1064">
            <v>34655</v>
          </cell>
          <cell r="B1064" t="str">
            <v>CANALETA ESTRUTURAL CERAMICA, 14 X 19 X 39 CM, 6,0 MPA (NBR 15270)</v>
          </cell>
          <cell r="C1064" t="str">
            <v xml:space="preserve">UN    </v>
          </cell>
          <cell r="D1064">
            <v>2.96</v>
          </cell>
        </row>
        <row r="1065">
          <cell r="A1065">
            <v>40607</v>
          </cell>
          <cell r="B1065" t="str">
            <v>CANOPLA ACABAMENTO CROMADO PARA INSTALACAO DE SPRINKLER, SOB FORRO, 15 MM</v>
          </cell>
          <cell r="C1065" t="str">
            <v xml:space="preserve">UN    </v>
          </cell>
          <cell r="D1065">
            <v>3.57</v>
          </cell>
        </row>
        <row r="1066">
          <cell r="A1066">
            <v>585</v>
          </cell>
          <cell r="B1066" t="str">
            <v>CANTONEIRA "U" ALUMINIO ABAS IGUAIS 1 ", E = 3/32 "</v>
          </cell>
          <cell r="C1066" t="str">
            <v xml:space="preserve">KG    </v>
          </cell>
          <cell r="D1066">
            <v>22.39</v>
          </cell>
        </row>
        <row r="1067">
          <cell r="A1067">
            <v>4777</v>
          </cell>
          <cell r="B1067" t="str">
            <v>CANTONEIRA ACO ABAS IGUAIS (QUALQUER BITOLA), ESPESSURA ENTRE 1/8" E 1/4"</v>
          </cell>
          <cell r="C1067" t="str">
            <v xml:space="preserve">KG    </v>
          </cell>
          <cell r="D1067">
            <v>5.12</v>
          </cell>
        </row>
        <row r="1068">
          <cell r="A1068">
            <v>587</v>
          </cell>
          <cell r="B1068" t="str">
            <v>CANTONEIRA ALUMINIO ABAS DESIGUAIS 1" X 3/4 ", E = 1/8 "</v>
          </cell>
          <cell r="C1068" t="str">
            <v xml:space="preserve">KG    </v>
          </cell>
          <cell r="D1068">
            <v>24</v>
          </cell>
        </row>
        <row r="1069">
          <cell r="A1069">
            <v>590</v>
          </cell>
          <cell r="B1069" t="str">
            <v>CANTONEIRA ALUMINIO ABAS DESIGUAIS 2 1/2" X 1/2 ", E = 3/16 "</v>
          </cell>
          <cell r="C1069" t="str">
            <v xml:space="preserve">KG    </v>
          </cell>
          <cell r="D1069">
            <v>23.19</v>
          </cell>
        </row>
        <row r="1070">
          <cell r="A1070">
            <v>592</v>
          </cell>
          <cell r="B1070" t="str">
            <v>CANTONEIRA ALUMINIO ABAS IGUAIS 1 ", E = 1/8 ", 25,40 X 3,17 MM (0,408 KG/M)</v>
          </cell>
          <cell r="C1070" t="str">
            <v xml:space="preserve">KG    </v>
          </cell>
          <cell r="D1070">
            <v>24</v>
          </cell>
        </row>
        <row r="1071">
          <cell r="A1071">
            <v>586</v>
          </cell>
          <cell r="B1071" t="str">
            <v>CANTONEIRA ALUMINIO ABAS IGUAIS 1 ", E = 3 /16 "</v>
          </cell>
          <cell r="C1071" t="str">
            <v xml:space="preserve">M     </v>
          </cell>
          <cell r="D1071">
            <v>14.11</v>
          </cell>
        </row>
        <row r="1072">
          <cell r="A1072">
            <v>591</v>
          </cell>
          <cell r="B1072" t="str">
            <v>CANTONEIRA ALUMINIO ABAS IGUAIS 1 1/2 ", E = 3/16 "</v>
          </cell>
          <cell r="C1072" t="str">
            <v xml:space="preserve">KG    </v>
          </cell>
          <cell r="D1072">
            <v>22.39</v>
          </cell>
        </row>
        <row r="1073">
          <cell r="A1073">
            <v>588</v>
          </cell>
          <cell r="B1073" t="str">
            <v>CANTONEIRA ALUMINIO ABAS IGUAIS 1 1/4 ", E = 3/16 "</v>
          </cell>
          <cell r="C1073" t="str">
            <v xml:space="preserve">M     </v>
          </cell>
          <cell r="D1073">
            <v>22.32</v>
          </cell>
        </row>
        <row r="1074">
          <cell r="A1074">
            <v>589</v>
          </cell>
          <cell r="B1074" t="str">
            <v>CANTONEIRA ALUMINIO ABAS IGUAIS 2 ", E = 1/4 "</v>
          </cell>
          <cell r="C1074" t="str">
            <v xml:space="preserve">M     </v>
          </cell>
          <cell r="D1074">
            <v>37.72</v>
          </cell>
        </row>
        <row r="1075">
          <cell r="A1075">
            <v>584</v>
          </cell>
          <cell r="B1075" t="str">
            <v>CANTONEIRA ALUMINIO ABAS IGUAIS 2 ", E = 1/8 "</v>
          </cell>
          <cell r="C1075" t="str">
            <v xml:space="preserve">M     </v>
          </cell>
          <cell r="D1075">
            <v>23.83</v>
          </cell>
        </row>
        <row r="1076">
          <cell r="A1076">
            <v>4912</v>
          </cell>
          <cell r="B1076" t="str">
            <v>CANTONEIRA DE ACO 3 "  X  3 "  X  1/4 "</v>
          </cell>
          <cell r="C1076" t="str">
            <v xml:space="preserve">KG    </v>
          </cell>
          <cell r="D1076">
            <v>5.95</v>
          </cell>
        </row>
        <row r="1077">
          <cell r="A1077">
            <v>574</v>
          </cell>
          <cell r="B1077" t="str">
            <v>CANTONEIRA FERRO GALVANIZADO DE ABAS IGUAIS, 1 1/2" X 1/4" (L X E), 3,40 KG/M</v>
          </cell>
          <cell r="C1077" t="str">
            <v xml:space="preserve">M     </v>
          </cell>
          <cell r="D1077">
            <v>19.91</v>
          </cell>
        </row>
        <row r="1078">
          <cell r="A1078">
            <v>567</v>
          </cell>
          <cell r="B1078" t="str">
            <v>CANTONEIRA FERRO GALVANIZADO DE ABAS IGUAIS, 1" X 1/8" (L X E) , 1,20KG/M</v>
          </cell>
          <cell r="C1078" t="str">
            <v xml:space="preserve">M     </v>
          </cell>
          <cell r="D1078">
            <v>7.38</v>
          </cell>
        </row>
        <row r="1079">
          <cell r="A1079">
            <v>568</v>
          </cell>
          <cell r="B1079" t="str">
            <v>CANTONEIRA FERRO GALVANIZADO DE ABAS IGUAIS, 2" X 3/8" (L X E), 6,9 KG/M</v>
          </cell>
          <cell r="C1079" t="str">
            <v xml:space="preserve">M     </v>
          </cell>
          <cell r="D1079">
            <v>44.68</v>
          </cell>
        </row>
        <row r="1080">
          <cell r="A1080">
            <v>569</v>
          </cell>
          <cell r="B1080" t="str">
            <v>CANTONEIRA FERRO GALVANIZADO DE ABAS IGUAIS, 3/4" X 1/8" (L X E)</v>
          </cell>
          <cell r="C1080" t="str">
            <v xml:space="preserve">KG    </v>
          </cell>
          <cell r="D1080">
            <v>6.21</v>
          </cell>
        </row>
        <row r="1081">
          <cell r="A1081">
            <v>1165</v>
          </cell>
          <cell r="B1081" t="str">
            <v>CAP OU TAMPAO DE FERRO GALVANIZADO, COM ROSCA BSP, DE 1 1/2"</v>
          </cell>
          <cell r="C1081" t="str">
            <v xml:space="preserve">UN    </v>
          </cell>
          <cell r="D1081">
            <v>8.82</v>
          </cell>
        </row>
        <row r="1082">
          <cell r="A1082">
            <v>1164</v>
          </cell>
          <cell r="B1082" t="str">
            <v>CAP OU TAMPAO DE FERRO GALVANIZADO, COM ROSCA BSP, DE 1 1/4"</v>
          </cell>
          <cell r="C1082" t="str">
            <v xml:space="preserve">UN    </v>
          </cell>
          <cell r="D1082">
            <v>7.14</v>
          </cell>
        </row>
        <row r="1083">
          <cell r="A1083">
            <v>1162</v>
          </cell>
          <cell r="B1083" t="str">
            <v>CAP OU TAMPAO DE FERRO GALVANIZADO, COM ROSCA BSP, DE 1/2"</v>
          </cell>
          <cell r="C1083" t="str">
            <v xml:space="preserve">UN    </v>
          </cell>
          <cell r="D1083">
            <v>2.48</v>
          </cell>
        </row>
        <row r="1084">
          <cell r="A1084">
            <v>12395</v>
          </cell>
          <cell r="B1084" t="str">
            <v>CAP OU TAMPAO DE FERRO GALVANIZADO, COM ROSCA BSP, DE 1/4"</v>
          </cell>
          <cell r="C1084" t="str">
            <v xml:space="preserve">UN    </v>
          </cell>
          <cell r="D1084">
            <v>2.41</v>
          </cell>
        </row>
        <row r="1085">
          <cell r="A1085">
            <v>1170</v>
          </cell>
          <cell r="B1085" t="str">
            <v>CAP OU TAMPAO DE FERRO GALVANIZADO, COM ROSCA BSP, DE 1"</v>
          </cell>
          <cell r="C1085" t="str">
            <v xml:space="preserve">UN    </v>
          </cell>
          <cell r="D1085">
            <v>4.68</v>
          </cell>
        </row>
        <row r="1086">
          <cell r="A1086">
            <v>1169</v>
          </cell>
          <cell r="B1086" t="str">
            <v>CAP OU TAMPAO DE FERRO GALVANIZADO, COM ROSCA BSP, DE 2 1/2"</v>
          </cell>
          <cell r="C1086" t="str">
            <v xml:space="preserve">UN    </v>
          </cell>
          <cell r="D1086">
            <v>22.98</v>
          </cell>
        </row>
        <row r="1087">
          <cell r="A1087">
            <v>1166</v>
          </cell>
          <cell r="B1087" t="str">
            <v>CAP OU TAMPAO DE FERRO GALVANIZADO, COM ROSCA BSP, DE 2"</v>
          </cell>
          <cell r="C1087" t="str">
            <v xml:space="preserve">UN    </v>
          </cell>
          <cell r="D1087">
            <v>12.74</v>
          </cell>
        </row>
        <row r="1088">
          <cell r="A1088">
            <v>1163</v>
          </cell>
          <cell r="B1088" t="str">
            <v>CAP OU TAMPAO DE FERRO GALVANIZADO, COM ROSCA BSP, DE 3/4"</v>
          </cell>
          <cell r="C1088" t="str">
            <v xml:space="preserve">UN    </v>
          </cell>
          <cell r="D1088">
            <v>3.21</v>
          </cell>
        </row>
        <row r="1089">
          <cell r="A1089">
            <v>12396</v>
          </cell>
          <cell r="B1089" t="str">
            <v>CAP OU TAMPAO DE FERRO GALVANIZADO, COM ROSCA BSP, DE 3/8"</v>
          </cell>
          <cell r="C1089" t="str">
            <v xml:space="preserve">UN    </v>
          </cell>
          <cell r="D1089">
            <v>2.41</v>
          </cell>
        </row>
        <row r="1090">
          <cell r="A1090">
            <v>1168</v>
          </cell>
          <cell r="B1090" t="str">
            <v>CAP OU TAMPAO DE FERRO GALVANIZADO, COM ROSCA BSP, DE 3"</v>
          </cell>
          <cell r="C1090" t="str">
            <v xml:space="preserve">UN    </v>
          </cell>
          <cell r="D1090">
            <v>32.76</v>
          </cell>
        </row>
        <row r="1091">
          <cell r="A1091">
            <v>1167</v>
          </cell>
          <cell r="B1091" t="str">
            <v>CAP OU TAMPAO DE FERRO GALVANIZADO, COM ROSCA BSP, DE 4"</v>
          </cell>
          <cell r="C1091" t="str">
            <v xml:space="preserve">UN    </v>
          </cell>
          <cell r="D1091">
            <v>54.79</v>
          </cell>
        </row>
        <row r="1092">
          <cell r="A1092">
            <v>36331</v>
          </cell>
          <cell r="B1092" t="str">
            <v>CAP PPR DN 20 MM, PARA AGUA QUENTE PREDIAL</v>
          </cell>
          <cell r="C1092" t="str">
            <v xml:space="preserve">UN    </v>
          </cell>
          <cell r="D1092">
            <v>1.08</v>
          </cell>
        </row>
        <row r="1093">
          <cell r="A1093">
            <v>36346</v>
          </cell>
          <cell r="B1093" t="str">
            <v>CAP PPR DN 25 MM, PARA AGUA QUENTE PREDIAL</v>
          </cell>
          <cell r="C1093" t="str">
            <v xml:space="preserve">UN    </v>
          </cell>
          <cell r="D1093">
            <v>1.86</v>
          </cell>
        </row>
        <row r="1094">
          <cell r="A1094">
            <v>1210</v>
          </cell>
          <cell r="B1094" t="str">
            <v>CAP PVC, ROSCAVEL, 1 1/2",  AGUA FRIA PREDIAL</v>
          </cell>
          <cell r="C1094" t="str">
            <v xml:space="preserve">UN    </v>
          </cell>
          <cell r="D1094">
            <v>8.08</v>
          </cell>
        </row>
        <row r="1095">
          <cell r="A1095">
            <v>1203</v>
          </cell>
          <cell r="B1095" t="str">
            <v>CAP PVC, ROSCAVEL, 1 1/4",  AGUA FRIA PREDIAL</v>
          </cell>
          <cell r="C1095" t="str">
            <v xml:space="preserve">UN    </v>
          </cell>
          <cell r="D1095">
            <v>7.83</v>
          </cell>
        </row>
        <row r="1096">
          <cell r="A1096">
            <v>1197</v>
          </cell>
          <cell r="B1096" t="str">
            <v>CAP PVC, ROSCAVEL, 1/2", PARA AGUA FRIA PREDIAL</v>
          </cell>
          <cell r="C1096" t="str">
            <v xml:space="preserve">UN    </v>
          </cell>
          <cell r="D1096">
            <v>1</v>
          </cell>
        </row>
        <row r="1097">
          <cell r="A1097">
            <v>1202</v>
          </cell>
          <cell r="B1097" t="str">
            <v>CAP PVC, ROSCAVEL, 1",  PARA AGUA FRIA PREDIAL</v>
          </cell>
          <cell r="C1097" t="str">
            <v xml:space="preserve">UN    </v>
          </cell>
          <cell r="D1097">
            <v>2.69</v>
          </cell>
        </row>
        <row r="1098">
          <cell r="A1098">
            <v>1188</v>
          </cell>
          <cell r="B1098" t="str">
            <v>CAP PVC, ROSCAVEL, 2 1/2",  AGUA FRIA PREDIAL</v>
          </cell>
          <cell r="C1098" t="str">
            <v xml:space="preserve">UN    </v>
          </cell>
          <cell r="D1098">
            <v>15.92</v>
          </cell>
        </row>
        <row r="1099">
          <cell r="A1099">
            <v>1211</v>
          </cell>
          <cell r="B1099" t="str">
            <v>CAP PVC, ROSCAVEL, 2",  AGUA FRIA PREDIAL</v>
          </cell>
          <cell r="C1099" t="str">
            <v xml:space="preserve">UN    </v>
          </cell>
          <cell r="D1099">
            <v>8.2200000000000006</v>
          </cell>
        </row>
        <row r="1100">
          <cell r="A1100">
            <v>1198</v>
          </cell>
          <cell r="B1100" t="str">
            <v>CAP PVC, ROSCAVEL, 3/4",  PARA AGUA FRIA PREDIAL</v>
          </cell>
          <cell r="C1100" t="str">
            <v xml:space="preserve">UN    </v>
          </cell>
          <cell r="D1100">
            <v>1.48</v>
          </cell>
        </row>
        <row r="1101">
          <cell r="A1101">
            <v>1199</v>
          </cell>
          <cell r="B1101" t="str">
            <v>CAP PVC, ROSCAVEL, 3",  AGUA FRIA PREDIAL</v>
          </cell>
          <cell r="C1101" t="str">
            <v xml:space="preserve">UN    </v>
          </cell>
          <cell r="D1101">
            <v>20.8</v>
          </cell>
        </row>
        <row r="1102">
          <cell r="A1102">
            <v>20088</v>
          </cell>
          <cell r="B1102" t="str">
            <v>CAP PVC, SERIE R, DN 100 MM, PARA ESGOTO PREDIAL</v>
          </cell>
          <cell r="C1102" t="str">
            <v xml:space="preserve">UN    </v>
          </cell>
          <cell r="D1102">
            <v>8.7899999999999991</v>
          </cell>
        </row>
        <row r="1103">
          <cell r="A1103">
            <v>20089</v>
          </cell>
          <cell r="B1103" t="str">
            <v>CAP PVC, SERIE R, DN 150 MM, PARA ESGOTO PREDIAL</v>
          </cell>
          <cell r="C1103" t="str">
            <v xml:space="preserve">UN    </v>
          </cell>
          <cell r="D1103">
            <v>41.91</v>
          </cell>
        </row>
        <row r="1104">
          <cell r="A1104">
            <v>20087</v>
          </cell>
          <cell r="B1104" t="str">
            <v>CAP PVC, SERIE R, DN 75 MM, PARA ESGOTO PREDIAL</v>
          </cell>
          <cell r="C1104" t="str">
            <v xml:space="preserve">UN    </v>
          </cell>
          <cell r="D1104">
            <v>6.33</v>
          </cell>
        </row>
        <row r="1105">
          <cell r="A1105">
            <v>1200</v>
          </cell>
          <cell r="B1105" t="str">
            <v>CAP PVC, SOLDAVEL, DN 100 MM, SERIE NORMAL, PARA ESGOTO PREDIAL</v>
          </cell>
          <cell r="C1105" t="str">
            <v xml:space="preserve">UN    </v>
          </cell>
          <cell r="D1105">
            <v>5.14</v>
          </cell>
        </row>
        <row r="1106">
          <cell r="A1106">
            <v>12909</v>
          </cell>
          <cell r="B1106" t="str">
            <v>CAP PVC, SOLDAVEL, DN 50 MM, SERIE NORMAL, PARA ESGOTO PREDIAL</v>
          </cell>
          <cell r="C1106" t="str">
            <v xml:space="preserve">UN    </v>
          </cell>
          <cell r="D1106">
            <v>2.33</v>
          </cell>
        </row>
        <row r="1107">
          <cell r="A1107">
            <v>12910</v>
          </cell>
          <cell r="B1107" t="str">
            <v>CAP PVC, SOLDAVEL, DN 75 MM, SERIE NORMAL, PARA ESGOTO PREDIAL</v>
          </cell>
          <cell r="C1107" t="str">
            <v xml:space="preserve">UN    </v>
          </cell>
          <cell r="D1107">
            <v>3.89</v>
          </cell>
        </row>
        <row r="1108">
          <cell r="A1108">
            <v>1184</v>
          </cell>
          <cell r="B1108" t="str">
            <v>CAP PVC, SOLDAVEL, 110 MM, PARA AGUA FRIA PREDIAL</v>
          </cell>
          <cell r="C1108" t="str">
            <v xml:space="preserve">UN    </v>
          </cell>
          <cell r="D1108">
            <v>51.14</v>
          </cell>
        </row>
        <row r="1109">
          <cell r="A1109">
            <v>1191</v>
          </cell>
          <cell r="B1109" t="str">
            <v>CAP PVC, SOLDAVEL, 20 MM, PARA AGUA FRIA PREDIAL</v>
          </cell>
          <cell r="C1109" t="str">
            <v xml:space="preserve">UN    </v>
          </cell>
          <cell r="D1109">
            <v>0.72</v>
          </cell>
        </row>
        <row r="1110">
          <cell r="A1110">
            <v>1185</v>
          </cell>
          <cell r="B1110" t="str">
            <v>CAP PVC, SOLDAVEL, 25 MM, PARA AGUA FRIA PREDIAL</v>
          </cell>
          <cell r="C1110" t="str">
            <v xml:space="preserve">UN    </v>
          </cell>
          <cell r="D1110">
            <v>0.83</v>
          </cell>
        </row>
        <row r="1111">
          <cell r="A1111">
            <v>1189</v>
          </cell>
          <cell r="B1111" t="str">
            <v>CAP PVC, SOLDAVEL, 32 MM, PARA AGUA FRIA PREDIAL</v>
          </cell>
          <cell r="C1111" t="str">
            <v xml:space="preserve">UN    </v>
          </cell>
          <cell r="D1111">
            <v>1.44</v>
          </cell>
        </row>
        <row r="1112">
          <cell r="A1112">
            <v>1193</v>
          </cell>
          <cell r="B1112" t="str">
            <v>CAP PVC, SOLDAVEL, 40 MM, PARA AGUA FRIA PREDIAL</v>
          </cell>
          <cell r="C1112" t="str">
            <v xml:space="preserve">UN    </v>
          </cell>
          <cell r="D1112">
            <v>2.77</v>
          </cell>
        </row>
        <row r="1113">
          <cell r="A1113">
            <v>1194</v>
          </cell>
          <cell r="B1113" t="str">
            <v>CAP PVC, SOLDAVEL, 50 MM, PARA AGUA FRIA PREDIAL</v>
          </cell>
          <cell r="C1113" t="str">
            <v xml:space="preserve">UN    </v>
          </cell>
          <cell r="D1113">
            <v>5.24</v>
          </cell>
        </row>
        <row r="1114">
          <cell r="A1114">
            <v>1195</v>
          </cell>
          <cell r="B1114" t="str">
            <v>CAP PVC, SOLDAVEL, 60 MM, PARA AGUA FRIA PREDIAL</v>
          </cell>
          <cell r="C1114" t="str">
            <v xml:space="preserve">UN    </v>
          </cell>
          <cell r="D1114">
            <v>7.88</v>
          </cell>
        </row>
        <row r="1115">
          <cell r="A1115">
            <v>1204</v>
          </cell>
          <cell r="B1115" t="str">
            <v>CAP PVC, SOLDAVEL, 75 MM, PARA AGUA FRIA PREDIAL</v>
          </cell>
          <cell r="C1115" t="str">
            <v xml:space="preserve">UN    </v>
          </cell>
          <cell r="D1115">
            <v>14.34</v>
          </cell>
        </row>
        <row r="1116">
          <cell r="A1116">
            <v>1205</v>
          </cell>
          <cell r="B1116" t="str">
            <v>CAP PVC, SOLDAVEL, 85 MM, PARA AGUA FRIA PREDIAL</v>
          </cell>
          <cell r="C1116" t="str">
            <v xml:space="preserve">UN    </v>
          </cell>
          <cell r="D1116">
            <v>34.020000000000003</v>
          </cell>
        </row>
        <row r="1117">
          <cell r="A1117">
            <v>1207</v>
          </cell>
          <cell r="B1117" t="str">
            <v>CAP, PVC PBA, JE, DN 100 / DE 110 MM,  PARA REDE DE AGUA (NBR 10351)</v>
          </cell>
          <cell r="C1117" t="str">
            <v xml:space="preserve">UN    </v>
          </cell>
          <cell r="D1117">
            <v>24.78</v>
          </cell>
        </row>
        <row r="1118">
          <cell r="A1118">
            <v>1206</v>
          </cell>
          <cell r="B1118" t="str">
            <v>CAP, PVC PBA, JE, DN 50 / DE 60 MM,  PARA REDE DE AGUA (NBR 10351)</v>
          </cell>
          <cell r="C1118" t="str">
            <v xml:space="preserve">UN    </v>
          </cell>
          <cell r="D1118">
            <v>6.21</v>
          </cell>
        </row>
        <row r="1119">
          <cell r="A1119">
            <v>1183</v>
          </cell>
          <cell r="B1119" t="str">
            <v>CAP, PVC PBA, JE, DN 75 / DE 85 MM,  PARA REDE DE AGUA (NBR 10351)</v>
          </cell>
          <cell r="C1119" t="str">
            <v xml:space="preserve">UN    </v>
          </cell>
          <cell r="D1119">
            <v>16.18</v>
          </cell>
        </row>
        <row r="1120">
          <cell r="A1120">
            <v>42685</v>
          </cell>
          <cell r="B1120" t="str">
            <v>CAP, PVC, JE, OCRE, DN 150 MM (CONEXAO PARA TUBO COLETOR DE ESGOTO)</v>
          </cell>
          <cell r="C1120" t="str">
            <v xml:space="preserve">UN    </v>
          </cell>
          <cell r="D1120">
            <v>48.63</v>
          </cell>
        </row>
        <row r="1121">
          <cell r="A1121">
            <v>42686</v>
          </cell>
          <cell r="B1121" t="str">
            <v>CAP, PVC, JE, OCRE, DN 200 MM (CONEXAO PARA TUBO COLETOR DE ESGOTO)</v>
          </cell>
          <cell r="C1121" t="str">
            <v xml:space="preserve">UN    </v>
          </cell>
          <cell r="D1121">
            <v>75.709999999999994</v>
          </cell>
        </row>
        <row r="1122">
          <cell r="A1122">
            <v>12894</v>
          </cell>
          <cell r="B1122" t="str">
            <v>CAPA PARA CHUVA EM PVC COM FORRO DE POLIESTER, COM CAPUZ (AMARELA OU AZUL)</v>
          </cell>
          <cell r="C1122" t="str">
            <v xml:space="preserve">UN    </v>
          </cell>
          <cell r="D1122">
            <v>14.62</v>
          </cell>
        </row>
        <row r="1123">
          <cell r="A1123">
            <v>12895</v>
          </cell>
          <cell r="B1123" t="str">
            <v>CAPACETE DE SEGURANCA ABA FRONTAL COM SUSPENSAO DE POLIETILENO, SEM JUGULAR (CLASSE B)</v>
          </cell>
          <cell r="C1123" t="str">
            <v xml:space="preserve">UN    </v>
          </cell>
          <cell r="D1123">
            <v>11.25</v>
          </cell>
        </row>
        <row r="1124">
          <cell r="A1124">
            <v>1631</v>
          </cell>
          <cell r="B1124" t="str">
            <v>CAPACITOR TRIFASICO, POTENCIA 2,5 KVAR, TENSAO 220 V, FORNECIDO COM CAPA PROTETORA, RESISTOR INTERNO A UNIDADE CAPACITIVA</v>
          </cell>
          <cell r="C1124" t="str">
            <v xml:space="preserve">UN    </v>
          </cell>
          <cell r="D1124">
            <v>121.07</v>
          </cell>
        </row>
        <row r="1125">
          <cell r="A1125">
            <v>1633</v>
          </cell>
          <cell r="B1125" t="str">
            <v>CAPACITOR TRIFASICO, POTENCIA 5 KVAR, TENSAO 220 V, FORNECIDO COM CAPA PROTETORA, RESISTOR INTERNO A UNIDADE CAPACITIVA</v>
          </cell>
          <cell r="C1125" t="str">
            <v xml:space="preserve">UN    </v>
          </cell>
          <cell r="D1125">
            <v>205.7</v>
          </cell>
        </row>
        <row r="1126">
          <cell r="A1126">
            <v>10818</v>
          </cell>
          <cell r="B1126" t="str">
            <v>CAPIM BRAQUIARIA DECUMBENS/ BRAQUIARINHA, VC *70*% MINIMO</v>
          </cell>
          <cell r="C1126" t="str">
            <v xml:space="preserve">KG    </v>
          </cell>
          <cell r="D1126">
            <v>26.28</v>
          </cell>
        </row>
        <row r="1127">
          <cell r="A1127">
            <v>39359</v>
          </cell>
          <cell r="B1127" t="str">
            <v>CARENAGEM /TAMPA, EM PLASTICO, COR BRANCA, UTILIZADO EM KIT CHASSI METALICO PARA INSTALACAO HIDRAULICA DE CUBA SIMPLES SEM MAQUINA DE LAVAR ROUPA, LARGURA *355* MM X ALTURA *670* MM (COM FUROS E DEMAIS ENCAIXES)</v>
          </cell>
          <cell r="C1127" t="str">
            <v xml:space="preserve">UN    </v>
          </cell>
          <cell r="D1127">
            <v>21.46</v>
          </cell>
        </row>
        <row r="1128">
          <cell r="A1128">
            <v>39360</v>
          </cell>
          <cell r="B1128" t="str">
            <v>CARENAGEM /TAMPA, EM PLASTICO, COR BRANCA, UTILIZADO EM KIT CHASSI METALICO PARA INSTALACAO HIDRAULICA DE TANQUE COM MAQUINA DE LAVAR ROUPA, LARGURA *360* MM X ALTURA *470* MM (COM FUROS E DEMAIS ENCAIXES)</v>
          </cell>
          <cell r="C1128" t="str">
            <v xml:space="preserve">UN    </v>
          </cell>
          <cell r="D1128">
            <v>19.5</v>
          </cell>
        </row>
        <row r="1129">
          <cell r="A1129">
            <v>10710</v>
          </cell>
          <cell r="B1129" t="str">
            <v>CARPETE DE NYLON EM MANTA PARA TRAFEGO COMERCIAL PESADO, E = 6 A 7 MM (INSTALADO)</v>
          </cell>
          <cell r="C1129" t="str">
            <v xml:space="preserve">M2    </v>
          </cell>
          <cell r="D1129">
            <v>79.900000000000006</v>
          </cell>
        </row>
        <row r="1130">
          <cell r="A1130">
            <v>10709</v>
          </cell>
          <cell r="B1130" t="str">
            <v>CARPETE DE NYLON EM MANTA PARA TRAFEGO COMERCIAL PESADO, E = 9 A 10 MM (INSTALADO)</v>
          </cell>
          <cell r="C1130" t="str">
            <v xml:space="preserve">M2    </v>
          </cell>
          <cell r="D1130">
            <v>98.16</v>
          </cell>
        </row>
        <row r="1131">
          <cell r="A1131">
            <v>39636</v>
          </cell>
          <cell r="B1131" t="str">
            <v>CARPETE DE NYLON EM PLACAS 50 X 50 CM PARA TRAFEGO COMERCIAL PESADO, E = 6,5 MM (INSTALADO)</v>
          </cell>
          <cell r="C1131" t="str">
            <v xml:space="preserve">M2    </v>
          </cell>
          <cell r="D1131">
            <v>100.23</v>
          </cell>
        </row>
        <row r="1132">
          <cell r="A1132">
            <v>10708</v>
          </cell>
          <cell r="B1132" t="str">
            <v>CARPETE DE POLIESTER EM MANTA PARA TRAFEGO COMERCIAL PESADO, E = 4 A 5 MM (INSTALADO)</v>
          </cell>
          <cell r="C1132" t="str">
            <v xml:space="preserve">M2    </v>
          </cell>
          <cell r="D1132">
            <v>30.93</v>
          </cell>
        </row>
        <row r="1133">
          <cell r="A1133">
            <v>39635</v>
          </cell>
          <cell r="B1133" t="str">
            <v>CARPETE DE POLIPROPILENO EM MANTA PARA TRAFEGO COMERCIAL MEDIO, E = 5 A 6 MM (INSTALADO)</v>
          </cell>
          <cell r="C1133" t="str">
            <v xml:space="preserve">M2    </v>
          </cell>
          <cell r="D1133">
            <v>52.66</v>
          </cell>
        </row>
        <row r="1134">
          <cell r="A1134">
            <v>6117</v>
          </cell>
          <cell r="B1134" t="str">
            <v>CARPINTEIRO AUXILIAR</v>
          </cell>
          <cell r="C1134" t="str">
            <v xml:space="preserve">H     </v>
          </cell>
          <cell r="D1134">
            <v>11.79</v>
          </cell>
        </row>
        <row r="1135">
          <cell r="A1135">
            <v>40913</v>
          </cell>
          <cell r="B1135" t="str">
            <v>CARPINTEIRO AUXILIAR (MENSALISTA)</v>
          </cell>
          <cell r="C1135" t="str">
            <v xml:space="preserve">MES   </v>
          </cell>
          <cell r="D1135">
            <v>2089.79</v>
          </cell>
        </row>
        <row r="1136">
          <cell r="A1136">
            <v>1214</v>
          </cell>
          <cell r="B1136" t="str">
            <v>CARPINTEIRO DE ESQUADRIAS</v>
          </cell>
          <cell r="C1136" t="str">
            <v xml:space="preserve">H     </v>
          </cell>
          <cell r="D1136">
            <v>16.350000000000001</v>
          </cell>
        </row>
        <row r="1137">
          <cell r="A1137">
            <v>40915</v>
          </cell>
          <cell r="B1137" t="str">
            <v>CARPINTEIRO DE ESQUADRIAS (MENSALISTA)</v>
          </cell>
          <cell r="C1137" t="str">
            <v xml:space="preserve">MES   </v>
          </cell>
          <cell r="D1137">
            <v>2896.31</v>
          </cell>
        </row>
        <row r="1138">
          <cell r="A1138">
            <v>1213</v>
          </cell>
          <cell r="B1138" t="str">
            <v>CARPINTEIRO DE FORMAS</v>
          </cell>
          <cell r="C1138" t="str">
            <v xml:space="preserve">H     </v>
          </cell>
          <cell r="D1138">
            <v>14.99</v>
          </cell>
        </row>
        <row r="1139">
          <cell r="A1139">
            <v>40914</v>
          </cell>
          <cell r="B1139" t="str">
            <v>CARPINTEIRO DE FORMAS (MENSALISTA)</v>
          </cell>
          <cell r="C1139" t="str">
            <v xml:space="preserve">MES   </v>
          </cell>
          <cell r="D1139">
            <v>2652.5</v>
          </cell>
        </row>
        <row r="1140">
          <cell r="A1140">
            <v>5091</v>
          </cell>
          <cell r="B1140" t="str">
            <v>CARRANCA PARA JANELA VENEZIANA DE ABRIR, EM LATAO CROMADO, SIMPLES, PARA APARAFUSAR NA PAREDE</v>
          </cell>
          <cell r="C1140" t="str">
            <v xml:space="preserve">UN    </v>
          </cell>
          <cell r="D1140">
            <v>15.86</v>
          </cell>
        </row>
        <row r="1141">
          <cell r="A1141">
            <v>14615</v>
          </cell>
          <cell r="B1141" t="str">
            <v>CARRINHO COM 2 PNEUS PARA TRANSPORTAR TUBO CONCRETO, ALTURA ATE 1,0 M E DIAMETRO ATE 1000MM, COM ESTRUTURA EM PERFIL OU TUBO METALICO</v>
          </cell>
          <cell r="C1141" t="str">
            <v xml:space="preserve">UN    </v>
          </cell>
          <cell r="D1141">
            <v>3371.77</v>
          </cell>
        </row>
        <row r="1142">
          <cell r="A1142">
            <v>2711</v>
          </cell>
          <cell r="B1142" t="str">
            <v>CARRINHO DE MAO DE ACO CAPACIDADE 50 A 60 L, PNEU COM CAMARA</v>
          </cell>
          <cell r="C1142" t="str">
            <v xml:space="preserve">UN    </v>
          </cell>
          <cell r="D1142">
            <v>119.9</v>
          </cell>
        </row>
        <row r="1143">
          <cell r="A1143">
            <v>37727</v>
          </cell>
          <cell r="B1143" t="str">
            <v>CARROCERIA FIXA ABERTA DE MADEIRA PARA TRANSPORTE GERAL DE CARGA SECA DIMENSOES APROXIMADAS 2,25 X 4,10 X 0,50 M (INCLUI MONTAGEM, NAO INCLUI CAMINHAO)</v>
          </cell>
          <cell r="C1143" t="str">
            <v xml:space="preserve">UN    </v>
          </cell>
          <cell r="D1143">
            <v>9500</v>
          </cell>
        </row>
        <row r="1144">
          <cell r="A1144">
            <v>37728</v>
          </cell>
          <cell r="B1144" t="str">
            <v>CARROCERIA FIXA ABERTA DE MADEIRA PARA TRANSPORTE GERAL DE CARGA SECA DIMENSOES APROXIMADAS 2,5 X 5,5 X 0,50 M (INCLUI MONTAGEM, NAO INCLUI CAMINHAO)</v>
          </cell>
          <cell r="C1144" t="str">
            <v xml:space="preserve">UN    </v>
          </cell>
          <cell r="D1144">
            <v>12888.11</v>
          </cell>
        </row>
        <row r="1145">
          <cell r="A1145">
            <v>37729</v>
          </cell>
          <cell r="B1145" t="str">
            <v>CARROCERIA FIXA ABERTA DE MADEIRA PARA TRANSPORTE GERAL DE CARGA SECA DIMENSOES APROXIMADAS 2,5 X 6,00 X 0,50 M (INCLUI MONTAGEM, NAO INCLUI CAMINHAO)</v>
          </cell>
          <cell r="C1145" t="str">
            <v xml:space="preserve">UN    </v>
          </cell>
          <cell r="D1145">
            <v>13951.04</v>
          </cell>
        </row>
        <row r="1146">
          <cell r="A1146">
            <v>37730</v>
          </cell>
          <cell r="B1146" t="str">
            <v>CARROCERIA FIXA ABERTA DE MADEIRA PARA TRANSPORTE GERAL DE CARGA SECA DIMENSOES APROXIMADAS 2,5 X 6,5 X 0,50 M (INCLUI MONTAGEM, NAO INCLUI CAMINHAO)</v>
          </cell>
          <cell r="C1146" t="str">
            <v xml:space="preserve">UN    </v>
          </cell>
          <cell r="D1146">
            <v>15013.98</v>
          </cell>
        </row>
        <row r="1147">
          <cell r="A1147">
            <v>37731</v>
          </cell>
          <cell r="B1147" t="str">
            <v>CARROCERIA FIXA ABERTA DE MADEIRA PARA TRANSPORTE GERAL DE CARGA SECA DIMENSOES APROXIMADAS 2,5 X 7,00 X 0,50 M (INCLUI MONTAGEM, NAO INCLUI CAMINHAO)</v>
          </cell>
          <cell r="C1147" t="str">
            <v xml:space="preserve">UN    </v>
          </cell>
          <cell r="D1147">
            <v>16076.92</v>
          </cell>
        </row>
        <row r="1148">
          <cell r="A1148">
            <v>37732</v>
          </cell>
          <cell r="B1148" t="str">
            <v>CARROCERIA FIXA ABERTA DE MADEIRA PARA TRANSPORTE GERAL DE CARGA SECA DIMENSOES APROXIMADAS 2,5 X 7,5 X 0,50 M (INCLUI MONTAGEM, NAO INCLUI CAMINHAO)</v>
          </cell>
          <cell r="C1148" t="str">
            <v xml:space="preserve">UN    </v>
          </cell>
          <cell r="D1148">
            <v>18335.66</v>
          </cell>
        </row>
        <row r="1149">
          <cell r="A1149">
            <v>42250</v>
          </cell>
          <cell r="B1149" t="str">
            <v>CARVAO ANTRACITO PARA FILTRO, GRAO VARIANDO DE 0,8 ATE 1,1 MM, COEFICIENTE DE UNIFORMIDADE MENOR QUE 1,7 MM</v>
          </cell>
          <cell r="C1149" t="str">
            <v xml:space="preserve">T     </v>
          </cell>
          <cell r="D1149">
            <v>1797.37</v>
          </cell>
        </row>
        <row r="1150">
          <cell r="A1150">
            <v>42256</v>
          </cell>
          <cell r="B1150" t="str">
            <v>CARVAO ANTRACITO PARA FILTRO, GRAO VARIANDO DE 0,8 ATE 1,1 MM, COEFICIENTE DE UNIFORMIDADE MENOR QUE 1,7 MM (DISTRIBUIDOR)</v>
          </cell>
          <cell r="C1150" t="str">
            <v xml:space="preserve">KG    </v>
          </cell>
          <cell r="D1150">
            <v>3.77</v>
          </cell>
        </row>
        <row r="1151">
          <cell r="A1151">
            <v>4743</v>
          </cell>
          <cell r="B1151" t="str">
            <v>CASCALHO DE CAVA</v>
          </cell>
          <cell r="C1151" t="str">
            <v xml:space="preserve">M3    </v>
          </cell>
          <cell r="D1151">
            <v>31.17</v>
          </cell>
        </row>
        <row r="1152">
          <cell r="A1152">
            <v>4744</v>
          </cell>
          <cell r="B1152" t="str">
            <v>CASCALHO DE RIO</v>
          </cell>
          <cell r="C1152" t="str">
            <v xml:space="preserve">M3    </v>
          </cell>
          <cell r="D1152">
            <v>40.74</v>
          </cell>
        </row>
        <row r="1153">
          <cell r="A1153">
            <v>4745</v>
          </cell>
          <cell r="B1153" t="str">
            <v>CASCALHO LAVADO</v>
          </cell>
          <cell r="C1153" t="str">
            <v xml:space="preserve">M3    </v>
          </cell>
          <cell r="D1153">
            <v>54.59</v>
          </cell>
        </row>
        <row r="1154">
          <cell r="A1154">
            <v>36496</v>
          </cell>
          <cell r="B1154" t="str">
            <v>CAVALETE PARA TALHA COM ESTRUTURA EM TUBO METALICO ALTURA MINIMA 3,2 M EQUIPADO COM RODAS DE BORRACHA PARA MOVIMENTACAO DE TUBOS DE CONCRETO NA CENTRAL DE PREMOLDADOS COM CAPACIDADE DE CARGA DE 3 TONELADAS</v>
          </cell>
          <cell r="C1154" t="str">
            <v xml:space="preserve">UN    </v>
          </cell>
          <cell r="D1154">
            <v>8560.8700000000008</v>
          </cell>
        </row>
        <row r="1155">
          <cell r="A1155">
            <v>10630</v>
          </cell>
          <cell r="B1155" t="str">
            <v>CAVALO MECANICO TRACAO 4X2, PESO BRUTO TOTAL COMBINADO 49000 KG, CAPACIDADE MAXIMA DE TRACAO *66000* KG, POTENCIA *360* CV (INCLUI CABINE E CHASSI, NAO INCLUI SEMIRREBOQUE)</v>
          </cell>
          <cell r="C1155" t="str">
            <v xml:space="preserve">UN    </v>
          </cell>
          <cell r="D1155">
            <v>441712.51</v>
          </cell>
        </row>
        <row r="1156">
          <cell r="A1156">
            <v>37762</v>
          </cell>
          <cell r="B1156" t="str">
            <v>CAVALO MECANICO TRACAO 4X2, PESO BRUTO TOTAL 16000 KG, CAPACIDADE MAXIMA DE TRACAO *36000* KG, DISTANCIA ENTRE EIXOS *3,56* M, POTENCIA *286* CV (INCLUI CABINE E CHASSI, NAO INCLUI SEMIRREBOQUE)</v>
          </cell>
          <cell r="C1156" t="str">
            <v xml:space="preserve">UN    </v>
          </cell>
          <cell r="D1156">
            <v>378829.86</v>
          </cell>
        </row>
        <row r="1157">
          <cell r="A1157">
            <v>37763</v>
          </cell>
          <cell r="B1157" t="str">
            <v>CAVALO MECANICO TRACAO 4X2, PESO BRUTO TOTAL 16000 KG, CAPACIDADE MAXIMA DE TRACAO *45000* KG, DISTANCIA ENTRE EIXOS *3,56* M, POTENCIA *330* CV (INCLUI CABINE E CHASSI, NAO INCLUI SEMIRREBOQUE)</v>
          </cell>
          <cell r="C1157" t="str">
            <v xml:space="preserve">UN    </v>
          </cell>
          <cell r="D1157">
            <v>383431.02</v>
          </cell>
        </row>
        <row r="1158">
          <cell r="A1158">
            <v>41992</v>
          </cell>
          <cell r="B1158" t="str">
            <v>CAVALO MECANICO TRACAO 4X2, PESO BRUTO TOTAL 16000 KG, CAPACIDADE MAXIMA DE TRACAO *80000* KG, POTENCIA *380* CV (INCLUI CABINE E CHASSI, NAO INCLUI SEMIRREBOQUE)</v>
          </cell>
          <cell r="C1158" t="str">
            <v xml:space="preserve">UN    </v>
          </cell>
          <cell r="D1158">
            <v>435884.39</v>
          </cell>
        </row>
        <row r="1159">
          <cell r="A1159">
            <v>13215</v>
          </cell>
          <cell r="B1159" t="str">
            <v>CAVALO MECANICO TRACAO 6X2, PESO BRUTO TOTAL COMBINADO 56000 KG, CAPACIDADE MAXIMA DE TRACAO *66000* KG, POTENCIA *360* CV (INCLUI CABINE E CHASSI, NAO INCLUI SEMIRREBOQUE)</v>
          </cell>
          <cell r="C1159" t="str">
            <v xml:space="preserve">UN    </v>
          </cell>
          <cell r="D1159">
            <v>534502.84</v>
          </cell>
        </row>
        <row r="1160">
          <cell r="A1160">
            <v>4235</v>
          </cell>
          <cell r="B1160" t="str">
            <v>CAVOUQUEIRO OU OPERADOR DE PERFURATRIZ / ROMPEDOR</v>
          </cell>
          <cell r="C1160" t="str">
            <v xml:space="preserve">H     </v>
          </cell>
          <cell r="D1160">
            <v>8.9</v>
          </cell>
        </row>
        <row r="1161">
          <cell r="A1161">
            <v>40976</v>
          </cell>
          <cell r="B1161" t="str">
            <v>CAVOUQUEIRO OU OPERADOR DE PERFURATRIZ / ROMPEDOR (MENSALISTA)</v>
          </cell>
          <cell r="C1161" t="str">
            <v xml:space="preserve">MES   </v>
          </cell>
          <cell r="D1161">
            <v>1578.44</v>
          </cell>
        </row>
        <row r="1162">
          <cell r="A1162">
            <v>39013</v>
          </cell>
          <cell r="B1162" t="str">
            <v>CENTRALIZADOR DE BARRA DE ACO (CHUMBADOR TIPO CARAMBOLA), PARA ACO ATE 20 MM</v>
          </cell>
          <cell r="C1162" t="str">
            <v xml:space="preserve">UN    </v>
          </cell>
          <cell r="D1162">
            <v>0.98</v>
          </cell>
        </row>
        <row r="1163">
          <cell r="A1163">
            <v>41967</v>
          </cell>
          <cell r="B1163" t="str">
            <v>CERA  LIQUIDA</v>
          </cell>
          <cell r="C1163" t="str">
            <v xml:space="preserve">L     </v>
          </cell>
          <cell r="D1163">
            <v>6.85</v>
          </cell>
        </row>
        <row r="1164">
          <cell r="A1164">
            <v>12760</v>
          </cell>
          <cell r="B1164" t="str">
            <v>CHAPA ACO INOX AISI 304 NUMERO 4 (E = 6 MM), ACABAMENTO NUMERO 1 (LAMINADO A QUENTE, FOSCO)</v>
          </cell>
          <cell r="C1164" t="str">
            <v xml:space="preserve">M2    </v>
          </cell>
          <cell r="D1164">
            <v>1015.99</v>
          </cell>
        </row>
        <row r="1165">
          <cell r="A1165">
            <v>12759</v>
          </cell>
          <cell r="B1165" t="str">
            <v>CHAPA ACO INOX AISI 304 NUMERO 9 (E = 4 MM), ACABAMENTO NUMERO 1 (LAMINADO A QUENTE, FOSCO)</v>
          </cell>
          <cell r="C1165" t="str">
            <v xml:space="preserve">M2    </v>
          </cell>
          <cell r="D1165">
            <v>677.32</v>
          </cell>
        </row>
        <row r="1166">
          <cell r="A1166">
            <v>40424</v>
          </cell>
          <cell r="B1166" t="str">
            <v>CHAPA DE ACO CARBONO LAMINADO A QUENTE, QUALIDADE ESTRUTURAL, BITOLA 3/16", E =4,75 MM (37,29 KG/M2)</v>
          </cell>
          <cell r="C1166" t="str">
            <v xml:space="preserve">KG    </v>
          </cell>
          <cell r="D1166">
            <v>5.78</v>
          </cell>
        </row>
        <row r="1167">
          <cell r="A1167">
            <v>1325</v>
          </cell>
          <cell r="B1167" t="str">
            <v>CHAPA DE ACO FINA A FRIO BITOLA MSG 20, E = 0,90 MM (7,20 KG/M2)</v>
          </cell>
          <cell r="C1167" t="str">
            <v xml:space="preserve">KG    </v>
          </cell>
          <cell r="D1167">
            <v>7.05</v>
          </cell>
        </row>
        <row r="1168">
          <cell r="A1168">
            <v>1327</v>
          </cell>
          <cell r="B1168" t="str">
            <v>CHAPA DE ACO FINA A FRIO BITOLA MSG 24, E = 0,60 MM (4,80 KG/M2)</v>
          </cell>
          <cell r="C1168" t="str">
            <v xml:space="preserve">KG    </v>
          </cell>
          <cell r="D1168">
            <v>6.31</v>
          </cell>
        </row>
        <row r="1169">
          <cell r="A1169">
            <v>1328</v>
          </cell>
          <cell r="B1169" t="str">
            <v>CHAPA DE ACO FINA A FRIO BITOLA MSG 26, E = 0,45 MM (3,60 KG/M2)</v>
          </cell>
          <cell r="C1169" t="str">
            <v xml:space="preserve">KG    </v>
          </cell>
          <cell r="D1169">
            <v>6.6</v>
          </cell>
        </row>
        <row r="1170">
          <cell r="A1170">
            <v>1321</v>
          </cell>
          <cell r="B1170" t="str">
            <v>CHAPA DE ACO FINA A QUENTE BITOLA MSG 13, E = 2,25 MM (18,00 KG/M2)</v>
          </cell>
          <cell r="C1170" t="str">
            <v xml:space="preserve">KG    </v>
          </cell>
          <cell r="D1170">
            <v>7.08</v>
          </cell>
        </row>
        <row r="1171">
          <cell r="A1171">
            <v>1318</v>
          </cell>
          <cell r="B1171" t="str">
            <v>CHAPA DE ACO FINA A QUENTE BITOLA MSG 14, E = 2,00 MM (16,0 KG/M2)</v>
          </cell>
          <cell r="C1171" t="str">
            <v xml:space="preserve">KG    </v>
          </cell>
          <cell r="D1171">
            <v>6.8</v>
          </cell>
        </row>
        <row r="1172">
          <cell r="A1172">
            <v>1322</v>
          </cell>
          <cell r="B1172" t="str">
            <v>CHAPA DE ACO FINA A QUENTE BITOLA MSG 16, E = 1,50 MM (12,00 KG/M2)</v>
          </cell>
          <cell r="C1172" t="str">
            <v xml:space="preserve">KG    </v>
          </cell>
          <cell r="D1172">
            <v>7.5</v>
          </cell>
        </row>
        <row r="1173">
          <cell r="A1173">
            <v>1323</v>
          </cell>
          <cell r="B1173" t="str">
            <v>CHAPA DE ACO FINA A QUENTE BITOLA MSG 18, E = 1,20 MM (9,60 KG/M2)</v>
          </cell>
          <cell r="C1173" t="str">
            <v xml:space="preserve">KG    </v>
          </cell>
          <cell r="D1173">
            <v>7.34</v>
          </cell>
        </row>
        <row r="1174">
          <cell r="A1174">
            <v>1319</v>
          </cell>
          <cell r="B1174" t="str">
            <v>CHAPA DE ACO FINA A QUENTE BITOLA MSG 3/16 ", E = 4,75 MM (38,00 KG/M2)</v>
          </cell>
          <cell r="C1174" t="str">
            <v xml:space="preserve">KG    </v>
          </cell>
          <cell r="D1174">
            <v>6.49</v>
          </cell>
        </row>
        <row r="1175">
          <cell r="A1175">
            <v>11026</v>
          </cell>
          <cell r="B1175" t="str">
            <v>CHAPA DE ACO GALVANIZADA BITOLA GSG 14, E = 1,95 MM (15,60 KG/M2)</v>
          </cell>
          <cell r="C1175" t="str">
            <v xml:space="preserve">KG    </v>
          </cell>
          <cell r="D1175">
            <v>8.69</v>
          </cell>
        </row>
        <row r="1176">
          <cell r="A1176">
            <v>11027</v>
          </cell>
          <cell r="B1176" t="str">
            <v>CHAPA DE ACO GALVANIZADA BITOLA GSG 16, E = 1,55 MM (12,40 KG/M2)</v>
          </cell>
          <cell r="C1176" t="str">
            <v xml:space="preserve">KG    </v>
          </cell>
          <cell r="D1176">
            <v>9.23</v>
          </cell>
        </row>
        <row r="1177">
          <cell r="A1177">
            <v>11046</v>
          </cell>
          <cell r="B1177" t="str">
            <v>CHAPA DE ACO GALVANIZADA BITOLA GSG 18, E = 1,25 MM (10,00 KG/M2)</v>
          </cell>
          <cell r="C1177" t="str">
            <v xml:space="preserve">KG    </v>
          </cell>
          <cell r="D1177">
            <v>8.9600000000000009</v>
          </cell>
        </row>
        <row r="1178">
          <cell r="A1178">
            <v>11047</v>
          </cell>
          <cell r="B1178" t="str">
            <v>CHAPA DE ACO GALVANIZADA BITOLA GSG 19, E = 1,11 MM (8,88 KG/M2)</v>
          </cell>
          <cell r="C1178" t="str">
            <v xml:space="preserve">KG    </v>
          </cell>
          <cell r="D1178">
            <v>6.77</v>
          </cell>
        </row>
        <row r="1179">
          <cell r="A1179">
            <v>39630</v>
          </cell>
          <cell r="B1179" t="str">
            <v>CHAPA DE ACO GALVANIZADA BITOLA GSG 20, E = 0,95 MM (7,60 KG/M2)</v>
          </cell>
          <cell r="C1179" t="str">
            <v xml:space="preserve">M2    </v>
          </cell>
          <cell r="D1179">
            <v>62.94</v>
          </cell>
        </row>
        <row r="1180">
          <cell r="A1180">
            <v>11049</v>
          </cell>
          <cell r="B1180" t="str">
            <v>CHAPA DE ACO GALVANIZADA BITOLA GSG 22, E = 0,80 MM (6,40 KG/M2)</v>
          </cell>
          <cell r="C1180" t="str">
            <v xml:space="preserve">KG    </v>
          </cell>
          <cell r="D1180">
            <v>8.35</v>
          </cell>
        </row>
        <row r="1181">
          <cell r="A1181">
            <v>39632</v>
          </cell>
          <cell r="B1181" t="str">
            <v>CHAPA DE ACO GALVANIZADA BITOLA GSG 24, E = 0,65 MM (5,20 KG/M2)</v>
          </cell>
          <cell r="C1181" t="str">
            <v xml:space="preserve">M2    </v>
          </cell>
          <cell r="D1181">
            <v>43.92</v>
          </cell>
        </row>
        <row r="1182">
          <cell r="A1182">
            <v>11051</v>
          </cell>
          <cell r="B1182" t="str">
            <v>CHAPA DE ACO GALVANIZADA BITOLA GSG 26, E = 0,50 MM (4,00 KG/M2)</v>
          </cell>
          <cell r="C1182" t="str">
            <v xml:space="preserve">KG    </v>
          </cell>
          <cell r="D1182">
            <v>8.9700000000000006</v>
          </cell>
        </row>
        <row r="1183">
          <cell r="A1183">
            <v>11061</v>
          </cell>
          <cell r="B1183" t="str">
            <v>CHAPA DE ACO GALVANIZADA BITOLA GSG 30, E = 0,35 MM (2,80 KG/M2)</v>
          </cell>
          <cell r="C1183" t="str">
            <v xml:space="preserve">KG    </v>
          </cell>
          <cell r="D1183">
            <v>6.27</v>
          </cell>
        </row>
        <row r="1184">
          <cell r="A1184">
            <v>1336</v>
          </cell>
          <cell r="B1184" t="str">
            <v>CHAPA DE ACO GROSSA, ASTM A36, E = 1 " (25,40 MM) 199,18 KG/M2</v>
          </cell>
          <cell r="C1184" t="str">
            <v xml:space="preserve">M2    </v>
          </cell>
          <cell r="D1184">
            <v>1679.32</v>
          </cell>
        </row>
        <row r="1185">
          <cell r="A1185">
            <v>1333</v>
          </cell>
          <cell r="B1185" t="str">
            <v>CHAPA DE ACO GROSSA, ASTM A36, E = 1/2 " (12,70 MM) 99,59 KG/M2</v>
          </cell>
          <cell r="C1185" t="str">
            <v xml:space="preserve">KG    </v>
          </cell>
          <cell r="D1185">
            <v>6.53</v>
          </cell>
        </row>
        <row r="1186">
          <cell r="A1186">
            <v>1330</v>
          </cell>
          <cell r="B1186" t="str">
            <v>CHAPA DE ACO GROSSA, ASTM A36, E = 1/4 " (6,35 MM) 49,79 KG/M2</v>
          </cell>
          <cell r="C1186" t="str">
            <v xml:space="preserve">KG    </v>
          </cell>
          <cell r="D1186">
            <v>6.69</v>
          </cell>
        </row>
        <row r="1187">
          <cell r="A1187">
            <v>10957</v>
          </cell>
          <cell r="B1187" t="str">
            <v>CHAPA DE ACO GROSSA, ASTM A36, E = 3/4 " (19,05 MM) 149,39 KG/M2</v>
          </cell>
          <cell r="C1187" t="str">
            <v xml:space="preserve">KG    </v>
          </cell>
          <cell r="D1187">
            <v>8.35</v>
          </cell>
        </row>
        <row r="1188">
          <cell r="A1188">
            <v>1332</v>
          </cell>
          <cell r="B1188" t="str">
            <v>CHAPA DE ACO GROSSA, ASTM A36, E = 3/8 " (9,53 MM) 74,69 KG/M2</v>
          </cell>
          <cell r="C1188" t="str">
            <v xml:space="preserve">KG    </v>
          </cell>
          <cell r="D1188">
            <v>6.96</v>
          </cell>
        </row>
        <row r="1189">
          <cell r="A1189">
            <v>1334</v>
          </cell>
          <cell r="B1189" t="str">
            <v>CHAPA DE ACO GROSSA, ASTM A36, E = 5/8 " (15,88 MM) 124,49 KG/M2</v>
          </cell>
          <cell r="C1189" t="str">
            <v xml:space="preserve">KG    </v>
          </cell>
          <cell r="D1189">
            <v>7.7</v>
          </cell>
        </row>
        <row r="1190">
          <cell r="A1190">
            <v>1335</v>
          </cell>
          <cell r="B1190" t="str">
            <v>CHAPA DE ACO GROSSA, ASTM A36, E = 7/8 " (22,23 MM) 174,28 KG/M2</v>
          </cell>
          <cell r="C1190" t="str">
            <v xml:space="preserve">KG    </v>
          </cell>
          <cell r="D1190">
            <v>7.81</v>
          </cell>
        </row>
        <row r="1191">
          <cell r="A1191">
            <v>40425</v>
          </cell>
          <cell r="B1191" t="str">
            <v>CHAPA DE ACO GROSSA, SAE 1020, BITOLA 1/4", E = 6,35 MM (49,85 KG/M2)</v>
          </cell>
          <cell r="C1191" t="str">
            <v xml:space="preserve">KG    </v>
          </cell>
          <cell r="D1191">
            <v>5.82</v>
          </cell>
        </row>
        <row r="1192">
          <cell r="A1192">
            <v>1337</v>
          </cell>
          <cell r="B1192" t="str">
            <v>CHAPA DE ACO XADREZ PARA PISOS, E = 1/4 " (6,30 MM) 54,53 KG/M2</v>
          </cell>
          <cell r="C1192" t="str">
            <v xml:space="preserve">KG    </v>
          </cell>
          <cell r="D1192">
            <v>8.23</v>
          </cell>
        </row>
        <row r="1193">
          <cell r="A1193">
            <v>11122</v>
          </cell>
          <cell r="B1193" t="str">
            <v>CHAPA DE ALUMINIO, E = 3 MM, L = 1000 MM - 8,10 KG/M2 (LIGA 1200 - H14)</v>
          </cell>
          <cell r="C1193" t="str">
            <v xml:space="preserve">KG    </v>
          </cell>
          <cell r="D1193">
            <v>25</v>
          </cell>
        </row>
        <row r="1194">
          <cell r="A1194">
            <v>11123</v>
          </cell>
          <cell r="B1194" t="str">
            <v>CHAPA DE ALUMINIO, E = 4 MM, L = 1000 MM - 10,8 KG/M2 (LIGA 1200 - H14)</v>
          </cell>
          <cell r="C1194" t="str">
            <v xml:space="preserve">KG    </v>
          </cell>
          <cell r="D1194">
            <v>25</v>
          </cell>
        </row>
        <row r="1195">
          <cell r="A1195">
            <v>11125</v>
          </cell>
          <cell r="B1195" t="str">
            <v>CHAPA DE ALUMINIO, E = 5 MM, L = 1060 MM - 13,5 KG/M2 (LIGA 1200 - H14)</v>
          </cell>
          <cell r="C1195" t="str">
            <v xml:space="preserve">KG    </v>
          </cell>
          <cell r="D1195">
            <v>25</v>
          </cell>
        </row>
        <row r="1196">
          <cell r="A1196">
            <v>39416</v>
          </cell>
          <cell r="B1196" t="str">
            <v>CHAPA DE GESSO ACARTONADO, RESISTENTE A UMIDADE (RU), COR VERDE, E = 12,5 MM, 1200 X 1800 MM (L X C)</v>
          </cell>
          <cell r="C1196" t="str">
            <v xml:space="preserve">M2    </v>
          </cell>
          <cell r="D1196">
            <v>29.41</v>
          </cell>
        </row>
        <row r="1197">
          <cell r="A1197">
            <v>39417</v>
          </cell>
          <cell r="B1197" t="str">
            <v>CHAPA DE GESSO ACARTONADO, RESISTENTE A UMIDADE (RU), COR VERDE, E = 12,5 MM, 1200 X 2400 MM (L X C)</v>
          </cell>
          <cell r="C1197" t="str">
            <v xml:space="preserve">M2    </v>
          </cell>
          <cell r="D1197">
            <v>30.83</v>
          </cell>
        </row>
        <row r="1198">
          <cell r="A1198">
            <v>39414</v>
          </cell>
          <cell r="B1198" t="str">
            <v>CHAPA DE GESSO ACARTONADO, RESISTENTE AO FOGO (RF), COR ROSA, E = 12,5 MM, 1200 X 1800 MM (L X C)</v>
          </cell>
          <cell r="C1198" t="str">
            <v xml:space="preserve">M2    </v>
          </cell>
          <cell r="D1198">
            <v>27.62</v>
          </cell>
        </row>
        <row r="1199">
          <cell r="A1199">
            <v>39415</v>
          </cell>
          <cell r="B1199" t="str">
            <v>CHAPA DE GESSO ACARTONADO, RESISTENTE AO FOGO (RF), COR ROSA, E = 12,5 MM, 1200 X 2400 MM (L X C)</v>
          </cell>
          <cell r="C1199" t="str">
            <v xml:space="preserve">M2    </v>
          </cell>
          <cell r="D1199">
            <v>29.27</v>
          </cell>
        </row>
        <row r="1200">
          <cell r="A1200">
            <v>39412</v>
          </cell>
          <cell r="B1200" t="str">
            <v>CHAPA DE GESSO ACARTONADO, STANDARD (ST), COR BRANCA, E = 12,5 MM, 1200 X 1800 MM (L X C)</v>
          </cell>
          <cell r="C1200" t="str">
            <v xml:space="preserve">M2    </v>
          </cell>
          <cell r="D1200">
            <v>20.8</v>
          </cell>
        </row>
        <row r="1201">
          <cell r="A1201">
            <v>39413</v>
          </cell>
          <cell r="B1201" t="str">
            <v>CHAPA DE GESSO ACARTONADO, STANDARD (ST), COR BRANCA, E = 12,5 MM, 1200 X 2400 MM (L X C)</v>
          </cell>
          <cell r="C1201" t="str">
            <v xml:space="preserve">M2    </v>
          </cell>
          <cell r="D1201">
            <v>20.6</v>
          </cell>
        </row>
        <row r="1202">
          <cell r="A1202">
            <v>1338</v>
          </cell>
          <cell r="B1202" t="str">
            <v>CHAPA DE LAMINADO MELAMINICO, LISO BRILHANTE, DE *1,25 X 3,08* M, E = 0,8 MM</v>
          </cell>
          <cell r="C1202" t="str">
            <v xml:space="preserve">M2    </v>
          </cell>
          <cell r="D1202">
            <v>26.69</v>
          </cell>
        </row>
        <row r="1203">
          <cell r="A1203">
            <v>1340</v>
          </cell>
          <cell r="B1203" t="str">
            <v>CHAPA DE LAMINADO MELAMINICO, LISO FOSCO, DE *1,25 X 3,08* M, E = 0,8 MM</v>
          </cell>
          <cell r="C1203" t="str">
            <v xml:space="preserve">M2    </v>
          </cell>
          <cell r="D1203">
            <v>30.85</v>
          </cell>
        </row>
        <row r="1204">
          <cell r="A1204">
            <v>1341</v>
          </cell>
          <cell r="B1204" t="str">
            <v>CHAPA DE LAMINADO MELAMINICO, TEXTURIZADO, DE *1,25 X 3,08* M, E = 0,8 MM</v>
          </cell>
          <cell r="C1204" t="str">
            <v xml:space="preserve">M2    </v>
          </cell>
          <cell r="D1204">
            <v>29.72</v>
          </cell>
        </row>
        <row r="1205">
          <cell r="A1205">
            <v>1364</v>
          </cell>
          <cell r="B1205" t="str">
            <v>CHAPA DE MADEIRA COMPENSADA DE PINUS, VIROLA OU EQUIVALENTE, DE *2,2 X 1,6* M, E = 10 MM</v>
          </cell>
          <cell r="C1205" t="str">
            <v xml:space="preserve">M2    </v>
          </cell>
          <cell r="D1205">
            <v>22.07</v>
          </cell>
        </row>
        <row r="1206">
          <cell r="A1206">
            <v>1361</v>
          </cell>
          <cell r="B1206" t="str">
            <v>CHAPA DE MADEIRA COMPENSADA DE PINUS, VIROLA OU EQUIVALENTE, DE *2,2 X 1,6* M, E = 12 MM</v>
          </cell>
          <cell r="C1206" t="str">
            <v xml:space="preserve">UN    </v>
          </cell>
          <cell r="D1206">
            <v>92.03</v>
          </cell>
        </row>
        <row r="1207">
          <cell r="A1207">
            <v>1362</v>
          </cell>
          <cell r="B1207" t="str">
            <v>CHAPA DE MADEIRA COMPENSADA DE PINUS, VIROLA OU EQUIVALENTE, DE *2,2 X 1,6* M, E = 15 MM</v>
          </cell>
          <cell r="C1207" t="str">
            <v xml:space="preserve">M2    </v>
          </cell>
          <cell r="D1207">
            <v>30.72</v>
          </cell>
        </row>
        <row r="1208">
          <cell r="A1208">
            <v>11131</v>
          </cell>
          <cell r="B1208" t="str">
            <v>CHAPA DE MADEIRA COMPENSADA DE PINUS, VIROLA OU EQUIVALENTE, DE *2,2 X 1,6* M, E = 20 MM</v>
          </cell>
          <cell r="C1208" t="str">
            <v xml:space="preserve">M2    </v>
          </cell>
          <cell r="D1208">
            <v>39.31</v>
          </cell>
        </row>
        <row r="1209">
          <cell r="A1209">
            <v>11132</v>
          </cell>
          <cell r="B1209" t="str">
            <v>CHAPA DE MADEIRA COMPENSADA DE PINUS, VIROLA OU EQUIVALENTE, DE *2,2 X 1,6* M, E = 25 MM</v>
          </cell>
          <cell r="C1209" t="str">
            <v xml:space="preserve">M2    </v>
          </cell>
          <cell r="D1209">
            <v>46.48</v>
          </cell>
        </row>
        <row r="1210">
          <cell r="A1210">
            <v>1363</v>
          </cell>
          <cell r="B1210" t="str">
            <v>CHAPA DE MADEIRA COMPENSADA DE PINUS, VIROLA OU EQUIVALENTE, DE *2,2 X 1,6* M, E = 6 MM</v>
          </cell>
          <cell r="C1210" t="str">
            <v xml:space="preserve">M2    </v>
          </cell>
          <cell r="D1210">
            <v>15.63</v>
          </cell>
        </row>
        <row r="1211">
          <cell r="A1211">
            <v>11130</v>
          </cell>
          <cell r="B1211" t="str">
            <v>CHAPA DE MADEIRA COMPENSADA DE PINUS, VIROLA OU EQUIVALENTE, DE *2,2 X 1,6* M, E = 8 MM</v>
          </cell>
          <cell r="C1211" t="str">
            <v xml:space="preserve">M2    </v>
          </cell>
          <cell r="D1211">
            <v>19.8</v>
          </cell>
        </row>
        <row r="1212">
          <cell r="A1212">
            <v>11134</v>
          </cell>
          <cell r="B1212" t="str">
            <v>CHAPA DE MADEIRA COMPENSADA NAVAL (COM COLA FENOLICA), E = 10 MM, DE *1,60 X 2,20* M</v>
          </cell>
          <cell r="C1212" t="str">
            <v xml:space="preserve">M2    </v>
          </cell>
          <cell r="D1212">
            <v>30.96</v>
          </cell>
        </row>
        <row r="1213">
          <cell r="A1213">
            <v>11135</v>
          </cell>
          <cell r="B1213" t="str">
            <v>CHAPA DE MADEIRA COMPENSADA NAVAL (COM COLA FENOLICA), E = 12 MM, DE *1,60 X 2,20* M</v>
          </cell>
          <cell r="C1213" t="str">
            <v xml:space="preserve">M2    </v>
          </cell>
          <cell r="D1213">
            <v>37.74</v>
          </cell>
        </row>
        <row r="1214">
          <cell r="A1214">
            <v>11136</v>
          </cell>
          <cell r="B1214" t="str">
            <v>CHAPA DE MADEIRA COMPENSADA NAVAL (COM COLA FENOLICA), E = 15 MM, DE *1,60 X 2,20* M</v>
          </cell>
          <cell r="C1214" t="str">
            <v xml:space="preserve">M2    </v>
          </cell>
          <cell r="D1214">
            <v>40.82</v>
          </cell>
        </row>
        <row r="1215">
          <cell r="A1215">
            <v>34743</v>
          </cell>
          <cell r="B1215" t="str">
            <v>CHAPA DE MADEIRA COMPENSADA NAVAL (COM COLA FENOLICA), E = 18 MM, DE *1,60 X 2,20* M</v>
          </cell>
          <cell r="C1215" t="str">
            <v xml:space="preserve">M2    </v>
          </cell>
          <cell r="D1215">
            <v>51.97</v>
          </cell>
        </row>
        <row r="1216">
          <cell r="A1216">
            <v>11137</v>
          </cell>
          <cell r="B1216" t="str">
            <v>CHAPA DE MADEIRA COMPENSADA NAVAL (COM COLA FENOLICA), E = 20 MM, DE *1,60 X 2,20* M</v>
          </cell>
          <cell r="C1216" t="str">
            <v xml:space="preserve">M2    </v>
          </cell>
          <cell r="D1216">
            <v>57.95</v>
          </cell>
        </row>
        <row r="1217">
          <cell r="A1217">
            <v>34745</v>
          </cell>
          <cell r="B1217" t="str">
            <v>CHAPA DE MADEIRA COMPENSADA NAVAL (COM COLA FENOLICA), E = 25 MM, DE *1,60 X 2,20* M</v>
          </cell>
          <cell r="C1217" t="str">
            <v xml:space="preserve">M2    </v>
          </cell>
          <cell r="D1217">
            <v>66.040000000000006</v>
          </cell>
        </row>
        <row r="1218">
          <cell r="A1218">
            <v>34746</v>
          </cell>
          <cell r="B1218" t="str">
            <v>CHAPA DE MADEIRA COMPENSADA NAVAL (COM COLA FENOLICA), E = 4 MM, DE *1,60 X 2,20* M</v>
          </cell>
          <cell r="C1218" t="str">
            <v xml:space="preserve">M2    </v>
          </cell>
          <cell r="D1218">
            <v>17.010000000000002</v>
          </cell>
        </row>
        <row r="1219">
          <cell r="A1219">
            <v>1360</v>
          </cell>
          <cell r="B1219" t="str">
            <v>CHAPA DE MADEIRA COMPENSADA NAVAL (COM COLA FENOLICA), E = 6 MM, DE *1,60 X 2,20* M</v>
          </cell>
          <cell r="C1219" t="str">
            <v xml:space="preserve">M2    </v>
          </cell>
          <cell r="D1219">
            <v>21.01</v>
          </cell>
        </row>
        <row r="1220">
          <cell r="A1220">
            <v>1346</v>
          </cell>
          <cell r="B1220" t="str">
            <v>CHAPA DE MADEIRA COMPENSADA PLASTIFICADA PARA FORMA DE CONCRETO, DE 2,20 x 1,10 M, E = 10 MM</v>
          </cell>
          <cell r="C1220" t="str">
            <v xml:space="preserve">M2    </v>
          </cell>
          <cell r="D1220">
            <v>24.83</v>
          </cell>
        </row>
        <row r="1221">
          <cell r="A1221">
            <v>1345</v>
          </cell>
          <cell r="B1221" t="str">
            <v>CHAPA DE MADEIRA COMPENSADA PLASTIFICADA PARA FORMA DE CONCRETO, DE 2,20 x 1,10 M, E = 18 MM</v>
          </cell>
          <cell r="C1221" t="str">
            <v xml:space="preserve">M2    </v>
          </cell>
          <cell r="D1221">
            <v>40.229999999999997</v>
          </cell>
        </row>
        <row r="1222">
          <cell r="A1222">
            <v>1344</v>
          </cell>
          <cell r="B1222" t="str">
            <v>CHAPA DE MADEIRA COMPENSADA PLASTIFICADA PARA FORMA DE CONCRETO, DE 2,20 x 1,10 M, E = 6 MM</v>
          </cell>
          <cell r="C1222" t="str">
            <v xml:space="preserve">UN    </v>
          </cell>
          <cell r="D1222">
            <v>43.26</v>
          </cell>
        </row>
        <row r="1223">
          <cell r="A1223">
            <v>1342</v>
          </cell>
          <cell r="B1223" t="str">
            <v>CHAPA DE MADEIRA COMPENSADA PLASTIFICADA PARA FORMA DE CONCRETO, DE 2,20 X 1,10 m, E = 14 MM</v>
          </cell>
          <cell r="C1223" t="str">
            <v xml:space="preserve">UN    </v>
          </cell>
          <cell r="D1223">
            <v>76.48</v>
          </cell>
        </row>
        <row r="1224">
          <cell r="A1224">
            <v>1347</v>
          </cell>
          <cell r="B1224" t="str">
            <v>CHAPA DE MADEIRA COMPENSADA PLASTIFICADA PARA FORMA DE CONCRETO, DE 2,20 X 1,10 M, E = 12 MM</v>
          </cell>
          <cell r="C1224" t="str">
            <v xml:space="preserve">M2    </v>
          </cell>
          <cell r="D1224">
            <v>29.67</v>
          </cell>
        </row>
        <row r="1225">
          <cell r="A1225">
            <v>1349</v>
          </cell>
          <cell r="B1225" t="str">
            <v>CHAPA DE MADEIRA COMPENSADA PLASTIFICADA PARA FORMA DE CONCRETO, DE 2,20 X 1,10 M, E = 20 MM</v>
          </cell>
          <cell r="C1225" t="str">
            <v xml:space="preserve">UN    </v>
          </cell>
          <cell r="D1225">
            <v>109.07</v>
          </cell>
        </row>
        <row r="1226">
          <cell r="A1226">
            <v>1350</v>
          </cell>
          <cell r="B1226" t="str">
            <v>CHAPA DE MADEIRA COMPENSADA RESINADA PARA FORMA DE CONCRETO, DE *2,2 X 1,1* M, E = 10 MM</v>
          </cell>
          <cell r="C1226" t="str">
            <v xml:space="preserve">UN    </v>
          </cell>
          <cell r="D1226">
            <v>37.18</v>
          </cell>
        </row>
        <row r="1227">
          <cell r="A1227">
            <v>1357</v>
          </cell>
          <cell r="B1227" t="str">
            <v>CHAPA DE MADEIRA COMPENSADA RESINADA PARA FORMA DE CONCRETO, DE *2,2 X 1,1* M, E = 12 MM</v>
          </cell>
          <cell r="C1227" t="str">
            <v xml:space="preserve">UN    </v>
          </cell>
          <cell r="D1227">
            <v>47.36</v>
          </cell>
        </row>
        <row r="1228">
          <cell r="A1228">
            <v>1355</v>
          </cell>
          <cell r="B1228" t="str">
            <v>CHAPA DE MADEIRA COMPENSADA RESINADA PARA FORMA DE CONCRETO, DE *2,2 X 1,1* M, E = 14 MM</v>
          </cell>
          <cell r="C1228" t="str">
            <v xml:space="preserve">M2    </v>
          </cell>
          <cell r="D1228">
            <v>21.79</v>
          </cell>
        </row>
        <row r="1229">
          <cell r="A1229">
            <v>1358</v>
          </cell>
          <cell r="B1229" t="str">
            <v>CHAPA DE MADEIRA COMPENSADA RESINADA PARA FORMA DE CONCRETO, DE *2,2 X 1,1* M, E = 17 MM</v>
          </cell>
          <cell r="C1229" t="str">
            <v xml:space="preserve">M2    </v>
          </cell>
          <cell r="D1229">
            <v>25.25</v>
          </cell>
        </row>
        <row r="1230">
          <cell r="A1230">
            <v>1359</v>
          </cell>
          <cell r="B1230" t="str">
            <v>CHAPA DE MADEIRA COMPENSADA RESINADA PARA FORMA DE CONCRETO, DE *2,2 X 1,1* M, E = 20 MM</v>
          </cell>
          <cell r="C1230" t="str">
            <v xml:space="preserve">UN    </v>
          </cell>
          <cell r="D1230">
            <v>73.17</v>
          </cell>
        </row>
        <row r="1231">
          <cell r="A1231">
            <v>1351</v>
          </cell>
          <cell r="B1231" t="str">
            <v>CHAPA DE MADEIRA COMPENSADA RESINADA PARA FORMA DE CONCRETO, DE *2,2 X 1,1* M, E = 6 MM</v>
          </cell>
          <cell r="C1231" t="str">
            <v xml:space="preserve">UN    </v>
          </cell>
          <cell r="D1231">
            <v>23.58</v>
          </cell>
        </row>
        <row r="1232">
          <cell r="A1232">
            <v>34659</v>
          </cell>
          <cell r="B1232" t="str">
            <v>CHAPA DE MDF BRANCO LISO 1 FACE, E = 12 MM, DE *2,75 X 1,85* M</v>
          </cell>
          <cell r="C1232" t="str">
            <v xml:space="preserve">M2    </v>
          </cell>
          <cell r="D1232">
            <v>27.13</v>
          </cell>
        </row>
        <row r="1233">
          <cell r="A1233">
            <v>34514</v>
          </cell>
          <cell r="B1233" t="str">
            <v>CHAPA DE MDF BRANCO LISO 1 FACE, E = 15 MM, DE *2,75 X 1,85* M</v>
          </cell>
          <cell r="C1233" t="str">
            <v xml:space="preserve">M2    </v>
          </cell>
          <cell r="D1233">
            <v>30.05</v>
          </cell>
        </row>
        <row r="1234">
          <cell r="A1234">
            <v>34660</v>
          </cell>
          <cell r="B1234" t="str">
            <v>CHAPA DE MDF BRANCO LISO 1 FACE, E = 18 MM, DE *2,75 X 1,85* M</v>
          </cell>
          <cell r="C1234" t="str">
            <v xml:space="preserve">M2    </v>
          </cell>
          <cell r="D1234">
            <v>38.130000000000003</v>
          </cell>
        </row>
        <row r="1235">
          <cell r="A1235">
            <v>34661</v>
          </cell>
          <cell r="B1235" t="str">
            <v>CHAPA DE MDF BRANCO LISO 1 FACE, E = 25 MM, DE *2,75 X 1,85* M</v>
          </cell>
          <cell r="C1235" t="str">
            <v xml:space="preserve">M2    </v>
          </cell>
          <cell r="D1235">
            <v>54.77</v>
          </cell>
        </row>
        <row r="1236">
          <cell r="A1236">
            <v>34667</v>
          </cell>
          <cell r="B1236" t="str">
            <v>CHAPA DE MDF BRANCO LISO 1 FACE, E = 6 MM, DE *2,75 X 1,85* M</v>
          </cell>
          <cell r="C1236" t="str">
            <v xml:space="preserve">M2    </v>
          </cell>
          <cell r="D1236">
            <v>19.829999999999998</v>
          </cell>
        </row>
        <row r="1237">
          <cell r="A1237">
            <v>34668</v>
          </cell>
          <cell r="B1237" t="str">
            <v>CHAPA DE MDF BRANCO LISO 1 FACE, E = 9 MM, DE *2,75 X 1,85* M</v>
          </cell>
          <cell r="C1237" t="str">
            <v xml:space="preserve">M2    </v>
          </cell>
          <cell r="D1237">
            <v>25.92</v>
          </cell>
        </row>
        <row r="1238">
          <cell r="A1238">
            <v>34741</v>
          </cell>
          <cell r="B1238" t="str">
            <v>CHAPA DE MDF BRANCO LISO 2 FACES, E = 12 MM, DE *2,75 X 1,85* M</v>
          </cell>
          <cell r="C1238" t="str">
            <v xml:space="preserve">M2    </v>
          </cell>
          <cell r="D1238">
            <v>28.52</v>
          </cell>
        </row>
        <row r="1239">
          <cell r="A1239">
            <v>34664</v>
          </cell>
          <cell r="B1239" t="str">
            <v>CHAPA DE MDF BRANCO LISO 2 FACES, E = 15 MM, DE *2,75 X 1,85* M</v>
          </cell>
          <cell r="C1239" t="str">
            <v xml:space="preserve">M2    </v>
          </cell>
          <cell r="D1239">
            <v>31.12</v>
          </cell>
        </row>
        <row r="1240">
          <cell r="A1240">
            <v>34665</v>
          </cell>
          <cell r="B1240" t="str">
            <v>CHAPA DE MDF BRANCO LISO 2 FACES, E = 18 MM, DE *2,75 X 1,85* M</v>
          </cell>
          <cell r="C1240" t="str">
            <v xml:space="preserve">M2    </v>
          </cell>
          <cell r="D1240">
            <v>38.630000000000003</v>
          </cell>
        </row>
        <row r="1241">
          <cell r="A1241">
            <v>34666</v>
          </cell>
          <cell r="B1241" t="str">
            <v>CHAPA DE MDF BRANCO LISO 2 FACES, E = 25 MM, DE *2,75 X 1,85* M</v>
          </cell>
          <cell r="C1241" t="str">
            <v xml:space="preserve">M2    </v>
          </cell>
          <cell r="D1241">
            <v>58.35</v>
          </cell>
        </row>
        <row r="1242">
          <cell r="A1242">
            <v>34669</v>
          </cell>
          <cell r="B1242" t="str">
            <v>CHAPA DE MDF BRANCO LISO 2 FACES, E = 6 MM, DE *2,75 X 1,85* M</v>
          </cell>
          <cell r="C1242" t="str">
            <v xml:space="preserve">M2    </v>
          </cell>
          <cell r="D1242">
            <v>21.39</v>
          </cell>
        </row>
        <row r="1243">
          <cell r="A1243">
            <v>34670</v>
          </cell>
          <cell r="B1243" t="str">
            <v>CHAPA DE MDF BRANCO LISO 2 FACES, E = 9 MM, DE *2,75 X 1,85* M</v>
          </cell>
          <cell r="C1243" t="str">
            <v xml:space="preserve">M2    </v>
          </cell>
          <cell r="D1243">
            <v>26.17</v>
          </cell>
        </row>
        <row r="1244">
          <cell r="A1244">
            <v>34671</v>
          </cell>
          <cell r="B1244" t="str">
            <v>CHAPA DE MDF CRU, E = 12 MM, DE *2,75 X 1,85* M</v>
          </cell>
          <cell r="C1244" t="str">
            <v xml:space="preserve">M2    </v>
          </cell>
          <cell r="D1244">
            <v>21.84</v>
          </cell>
        </row>
        <row r="1245">
          <cell r="A1245">
            <v>34672</v>
          </cell>
          <cell r="B1245" t="str">
            <v>CHAPA DE MDF CRU, E = 15 MM, DE *2,75 X 1,85* M</v>
          </cell>
          <cell r="C1245" t="str">
            <v xml:space="preserve">M2    </v>
          </cell>
          <cell r="D1245">
            <v>23.03</v>
          </cell>
        </row>
        <row r="1246">
          <cell r="A1246">
            <v>34673</v>
          </cell>
          <cell r="B1246" t="str">
            <v>CHAPA DE MDF CRU, E = 18 MM, DE *2,75 X 1,85* M</v>
          </cell>
          <cell r="C1246" t="str">
            <v xml:space="preserve">M2    </v>
          </cell>
          <cell r="D1246">
            <v>28.1</v>
          </cell>
        </row>
        <row r="1247">
          <cell r="A1247">
            <v>34674</v>
          </cell>
          <cell r="B1247" t="str">
            <v>CHAPA DE MDF CRU, E = 20 MM, DE *2,75 X 1,85* M</v>
          </cell>
          <cell r="C1247" t="str">
            <v xml:space="preserve">M2    </v>
          </cell>
          <cell r="D1247">
            <v>37.369999999999997</v>
          </cell>
        </row>
        <row r="1248">
          <cell r="A1248">
            <v>34675</v>
          </cell>
          <cell r="B1248" t="str">
            <v>CHAPA DE MDF CRU, E = 25 MM, DE *2,75 X 1,85* M</v>
          </cell>
          <cell r="C1248" t="str">
            <v xml:space="preserve">M2    </v>
          </cell>
          <cell r="D1248">
            <v>45.56</v>
          </cell>
        </row>
        <row r="1249">
          <cell r="A1249">
            <v>34676</v>
          </cell>
          <cell r="B1249" t="str">
            <v>CHAPA DE MDF CRU, E = 6 MM, DE *2,75 X 1,85* M</v>
          </cell>
          <cell r="C1249" t="str">
            <v xml:space="preserve">M2    </v>
          </cell>
          <cell r="D1249">
            <v>13.11</v>
          </cell>
        </row>
        <row r="1250">
          <cell r="A1250">
            <v>34677</v>
          </cell>
          <cell r="B1250" t="str">
            <v>CHAPA DE MDF CRU, E = 9 MM, DE *2,75 X 1,85* M</v>
          </cell>
          <cell r="C1250" t="str">
            <v xml:space="preserve">M2    </v>
          </cell>
          <cell r="D1250">
            <v>17.63</v>
          </cell>
        </row>
        <row r="1251">
          <cell r="A1251">
            <v>40623</v>
          </cell>
          <cell r="B1251" t="str">
            <v>CHAPA PARA EMENDA DE VIGA, EM ACO GROSSO, QUALIDADE ESTRUTURAL, BITOLA 3/16 ", E= 4,75 MM, 4 FUROS, LARGURA 45 MM, COMPRIMENTO 500 MM</v>
          </cell>
          <cell r="C1251" t="str">
            <v xml:space="preserve">PAR   </v>
          </cell>
          <cell r="D1251">
            <v>36.700000000000003</v>
          </cell>
        </row>
        <row r="1252">
          <cell r="A1252">
            <v>11112</v>
          </cell>
          <cell r="B1252" t="str">
            <v>CHAPA/BOBINA ALUMINIO, E = 0,5 MM, L = 300 MM - 0,41 KG/M (LIGA 1200 - H14)</v>
          </cell>
          <cell r="C1252" t="str">
            <v xml:space="preserve">KG    </v>
          </cell>
          <cell r="D1252">
            <v>25</v>
          </cell>
        </row>
        <row r="1253">
          <cell r="A1253">
            <v>11115</v>
          </cell>
          <cell r="B1253" t="str">
            <v>CHAPA/BOBINA ALUMINIO, E = 0,8 MM, L = 1000 MM - 2,16 KG/M (LIGA 1200 - H14)</v>
          </cell>
          <cell r="C1253" t="str">
            <v xml:space="preserve">M     </v>
          </cell>
          <cell r="D1253">
            <v>11.57</v>
          </cell>
        </row>
        <row r="1254">
          <cell r="A1254">
            <v>11113</v>
          </cell>
          <cell r="B1254" t="str">
            <v>CHAPA/BOBINA ALUMINIO, E = 0,8 MM, L = 500 MM - 1,08 KG/M (LIGA 1200 - H14)</v>
          </cell>
          <cell r="C1254" t="str">
            <v xml:space="preserve">KG    </v>
          </cell>
          <cell r="D1254">
            <v>25</v>
          </cell>
        </row>
        <row r="1255">
          <cell r="A1255">
            <v>11114</v>
          </cell>
          <cell r="B1255" t="str">
            <v>CHAPA/BOBINA ALUMINIO, E = 0,8 MM, L = 600 MM - 1,30 KG/M (LIGA 1200 - H14)</v>
          </cell>
          <cell r="C1255" t="str">
            <v xml:space="preserve">M     </v>
          </cell>
          <cell r="D1255">
            <v>19.23</v>
          </cell>
        </row>
        <row r="1256">
          <cell r="A1256">
            <v>12083</v>
          </cell>
          <cell r="B1256" t="str">
            <v>CHAVE BLINDADA TRIPOLAR PARA MOTORES, DO TIPO FACA, COM PORTA FUSIVEL DO TIPO CARTUCHO, CORRENTE NOMINAL DE 100 A, TENSAO NOMINAL DE 250 V</v>
          </cell>
          <cell r="C1256" t="str">
            <v xml:space="preserve">UN    </v>
          </cell>
          <cell r="D1256">
            <v>635.83000000000004</v>
          </cell>
        </row>
        <row r="1257">
          <cell r="A1257">
            <v>12081</v>
          </cell>
          <cell r="B1257" t="str">
            <v>CHAVE BLINDADA TRIPOLAR PARA MOTORES, DO TIPO FACA, COM PORTA FUSIVEL DO TIPO CARTUCHO, CORRENTE NOMINAL DE 30 A, TENSAO NOMINAL DE 250 V</v>
          </cell>
          <cell r="C1257" t="str">
            <v xml:space="preserve">UN    </v>
          </cell>
          <cell r="D1257">
            <v>215.02</v>
          </cell>
        </row>
        <row r="1258">
          <cell r="A1258">
            <v>12082</v>
          </cell>
          <cell r="B1258" t="str">
            <v>CHAVE BLINDADA TRIPOLAR PARA MOTORES, DO TIPO FACA, COM PORTA FUSIVEL DO TIPO CARTUCHO, CORRENTE NOMINAL DE 60 A, TENSAO NOMINAL DE 250 V</v>
          </cell>
          <cell r="C1258" t="str">
            <v xml:space="preserve">UN    </v>
          </cell>
          <cell r="D1258">
            <v>337.93</v>
          </cell>
        </row>
        <row r="1259">
          <cell r="A1259">
            <v>13354</v>
          </cell>
          <cell r="B1259" t="str">
            <v>CHAVE DE PARTIDA DIRETA TRIFASICA, COM CAIXA TERMOPLASTICA, COM FUSIVEL DE 25 A, PARA MOTOR COM POTENCIA DE 7,5 CV E TENSAO DE 380 V</v>
          </cell>
          <cell r="C1259" t="str">
            <v xml:space="preserve">UN    </v>
          </cell>
          <cell r="D1259">
            <v>504.7</v>
          </cell>
        </row>
        <row r="1260">
          <cell r="A1260">
            <v>14057</v>
          </cell>
          <cell r="B1260" t="str">
            <v>CHAVE DE PARTIDA DIRETA TRIFASICA, COM CAIXA TERMOPLASTICA, COM FUSIVEL DE 35 A, PARA MOTOR COM POTENCIA DE 5 CV E TENSAO DE 220 V</v>
          </cell>
          <cell r="C1260" t="str">
            <v xml:space="preserve">UN    </v>
          </cell>
          <cell r="D1260">
            <v>281.77999999999997</v>
          </cell>
        </row>
        <row r="1261">
          <cell r="A1261">
            <v>14058</v>
          </cell>
          <cell r="B1261" t="str">
            <v>CHAVE DE PARTIDA DIRETA TRIFASICA, COM CAIXA TERMOPLASTICA, COM FUSIVEL DE 63 A, PARA MOTOR COM POTENCIA DE 10 CV E TENSAO DE 220 V</v>
          </cell>
          <cell r="C1261" t="str">
            <v xml:space="preserve">UN    </v>
          </cell>
          <cell r="D1261">
            <v>444.51</v>
          </cell>
        </row>
        <row r="1262">
          <cell r="A1262">
            <v>20971</v>
          </cell>
          <cell r="B1262" t="str">
            <v>CHAVE DUPLA PARA CONEXOES TIPO STORZ, ENGATE RAPIDO 1 1/2" X 2 1/2", EM LATAO, PARA INSTALACAO PREDIAL COMBATE A INCENDIO</v>
          </cell>
          <cell r="C1262" t="str">
            <v xml:space="preserve">UN    </v>
          </cell>
          <cell r="D1262">
            <v>9.7100000000000009</v>
          </cell>
        </row>
        <row r="1263">
          <cell r="A1263">
            <v>5047</v>
          </cell>
          <cell r="B1263" t="str">
            <v>CHAVE FUSIVEL PARA REDES DE DISTRIBUICAO, TENSAO DE 15,0 KV, CORRENTE NOMINAL DO PORTA FUSIVEL DE 100 A, CAPACIDADE DE INTERRUPCAO SIMETRICA DE 7,10 KA, CAPACIDADE DE INTERRUPCAO ASSIMETRICA 10,00 KA</v>
          </cell>
          <cell r="C1263" t="str">
            <v xml:space="preserve">UN    </v>
          </cell>
          <cell r="D1263">
            <v>302.85000000000002</v>
          </cell>
        </row>
        <row r="1264">
          <cell r="A1264">
            <v>13369</v>
          </cell>
          <cell r="B1264" t="str">
            <v>CHAVE SECCIONADORA-FUSIVEL BLINDADA TRIPOLAR, ABERTURA COM CARGA, PARA FUSIVEL NH00, CORRENTE NOMINAL DE 160 A, TENSAO DE 500 V</v>
          </cell>
          <cell r="C1264" t="str">
            <v xml:space="preserve">UN    </v>
          </cell>
          <cell r="D1264">
            <v>328.51</v>
          </cell>
        </row>
        <row r="1265">
          <cell r="A1265">
            <v>13370</v>
          </cell>
          <cell r="B1265" t="str">
            <v>CHAVE SECCIONADORA-FUSIVEL BLINDADA TRIPOLAR, ABERTURA COM CARGA, PARA FUSIVEL NH01, CORRENTE NOMINAL DE 250 A, TENSAO DE 500 V</v>
          </cell>
          <cell r="C1265" t="str">
            <v xml:space="preserve">UN    </v>
          </cell>
          <cell r="D1265">
            <v>455.39</v>
          </cell>
        </row>
        <row r="1266">
          <cell r="A1266">
            <v>13279</v>
          </cell>
          <cell r="B1266" t="str">
            <v>CHUMBADOR DE ACO TIPO PARABOLT, * 5/8" X 200* MM,  COM PORCA E ARRUELA</v>
          </cell>
          <cell r="C1266" t="str">
            <v xml:space="preserve">KG    </v>
          </cell>
          <cell r="D1266">
            <v>16.260000000000002</v>
          </cell>
        </row>
        <row r="1267">
          <cell r="A1267">
            <v>11977</v>
          </cell>
          <cell r="B1267" t="str">
            <v>CHUMBADOR DE ACO, DIAMETRO 1/2", COMPRIMENTO 75 MM</v>
          </cell>
          <cell r="C1267" t="str">
            <v xml:space="preserve">UN    </v>
          </cell>
          <cell r="D1267">
            <v>8.42</v>
          </cell>
        </row>
        <row r="1268">
          <cell r="A1268">
            <v>11975</v>
          </cell>
          <cell r="B1268" t="str">
            <v>CHUMBADOR DE ACO, DIAMETRO 5/8", COMPRIMENTO 6", COM PORCA</v>
          </cell>
          <cell r="C1268" t="str">
            <v xml:space="preserve">UN    </v>
          </cell>
          <cell r="D1268">
            <v>18.46</v>
          </cell>
        </row>
        <row r="1269">
          <cell r="A1269">
            <v>39746</v>
          </cell>
          <cell r="B1269" t="str">
            <v>CHUMBADOR DE ACO, 1" X 600 MM, PARA POSTES DE ACO COM BASE, INCLUSO PORCA E ARRUELA</v>
          </cell>
          <cell r="C1269" t="str">
            <v xml:space="preserve">UN    </v>
          </cell>
          <cell r="D1269">
            <v>205.44</v>
          </cell>
        </row>
        <row r="1270">
          <cell r="A1270">
            <v>11976</v>
          </cell>
          <cell r="B1270" t="str">
            <v>CHUMBADOR, DIAMETRO 1/4" COM PARAFUSO 1/4" X 40 MM</v>
          </cell>
          <cell r="C1270" t="str">
            <v xml:space="preserve">UN    </v>
          </cell>
          <cell r="D1270">
            <v>0.94</v>
          </cell>
        </row>
        <row r="1271">
          <cell r="A1271">
            <v>1368</v>
          </cell>
          <cell r="B1271" t="str">
            <v>CHUVEIRO COMUM EM PLASTICO BRANCO, COM CANO, 3 TEMPERATURAS, 5500 W (110/220 V)</v>
          </cell>
          <cell r="C1271" t="str">
            <v xml:space="preserve">UN    </v>
          </cell>
          <cell r="D1271">
            <v>59.62</v>
          </cell>
        </row>
        <row r="1272">
          <cell r="A1272">
            <v>1367</v>
          </cell>
          <cell r="B1272" t="str">
            <v>CHUVEIRO COMUM EM PLASTICO CROMADO, COM CANO, 4 TEMPERATURAS (110/220 V)</v>
          </cell>
          <cell r="C1272" t="str">
            <v xml:space="preserve">UN    </v>
          </cell>
          <cell r="D1272">
            <v>192.85</v>
          </cell>
        </row>
        <row r="1273">
          <cell r="A1273">
            <v>7608</v>
          </cell>
          <cell r="B1273" t="str">
            <v>CHUVEIRO PLASTICO BRANCO SIMPLES 5 '' PARA ACOPLAR EM HASTE 1/2 ", AGUA FRIA</v>
          </cell>
          <cell r="C1273" t="str">
            <v xml:space="preserve">UN    </v>
          </cell>
          <cell r="D1273">
            <v>4.6399999999999997</v>
          </cell>
        </row>
        <row r="1274">
          <cell r="A1274">
            <v>41900</v>
          </cell>
          <cell r="B1274" t="str">
            <v>CIMENTO ASFALTICO DE PETROLEO A GRANEL (CAP) 30/45 (COLETADO CAIXA NA ANP ACRESCIDO DE ICMS)</v>
          </cell>
          <cell r="C1274" t="str">
            <v xml:space="preserve">KG    </v>
          </cell>
          <cell r="D1274">
            <v>3.57</v>
          </cell>
        </row>
        <row r="1275">
          <cell r="A1275">
            <v>41899</v>
          </cell>
          <cell r="B1275" t="str">
            <v>CIMENTO ASFALTICO DE PETROLEO A GRANEL (CAP) 50/70 (COLETADO CAIXA NA ANP ACRESCIDO DE ICMS)</v>
          </cell>
          <cell r="C1275" t="str">
            <v xml:space="preserve">T     </v>
          </cell>
          <cell r="D1275">
            <v>3699.73</v>
          </cell>
        </row>
        <row r="1276">
          <cell r="A1276">
            <v>1380</v>
          </cell>
          <cell r="B1276" t="str">
            <v>CIMENTO BRANCO</v>
          </cell>
          <cell r="C1276" t="str">
            <v xml:space="preserve">KG    </v>
          </cell>
          <cell r="D1276">
            <v>2.8</v>
          </cell>
        </row>
        <row r="1277">
          <cell r="A1277">
            <v>1375</v>
          </cell>
          <cell r="B1277" t="str">
            <v>CIMENTO IMPERMEABILIZANTE DE PEGA ULTRARRAPIDA PARA TAMPONAMENTOS</v>
          </cell>
          <cell r="C1277" t="str">
            <v xml:space="preserve">KG    </v>
          </cell>
          <cell r="D1277">
            <v>9.41</v>
          </cell>
        </row>
        <row r="1278">
          <cell r="A1278">
            <v>1379</v>
          </cell>
          <cell r="B1278" t="str">
            <v>CIMENTO PORTLAND COMPOSTO CP II-32</v>
          </cell>
          <cell r="C1278" t="str">
            <v xml:space="preserve">KG    </v>
          </cell>
          <cell r="D1278">
            <v>0.47</v>
          </cell>
        </row>
        <row r="1279">
          <cell r="A1279">
            <v>10511</v>
          </cell>
          <cell r="B1279" t="str">
            <v>CIMENTO PORTLAND COMPOSTO CP II-32 (SACO DE 50 KG)</v>
          </cell>
          <cell r="C1279" t="str">
            <v xml:space="preserve">50KG  </v>
          </cell>
          <cell r="D1279">
            <v>23.9</v>
          </cell>
        </row>
        <row r="1280">
          <cell r="A1280">
            <v>13284</v>
          </cell>
          <cell r="B1280" t="str">
            <v>CIMENTO PORTLAND DE ALTO FORNO (AF) CP III-32</v>
          </cell>
          <cell r="C1280" t="str">
            <v xml:space="preserve">KG    </v>
          </cell>
          <cell r="D1280">
            <v>0.4</v>
          </cell>
        </row>
        <row r="1281">
          <cell r="A1281">
            <v>25974</v>
          </cell>
          <cell r="B1281" t="str">
            <v>CIMENTO PORTLAND ESTRUTURAL BRANCO CPB-32</v>
          </cell>
          <cell r="C1281" t="str">
            <v xml:space="preserve">KG    </v>
          </cell>
          <cell r="D1281">
            <v>1.6</v>
          </cell>
        </row>
        <row r="1282">
          <cell r="A1282">
            <v>1382</v>
          </cell>
          <cell r="B1282" t="str">
            <v>CIMENTO PORTLAND POZOLANICO CP IV- 32</v>
          </cell>
          <cell r="C1282" t="str">
            <v xml:space="preserve">50KG  </v>
          </cell>
          <cell r="D1282">
            <v>23.03</v>
          </cell>
        </row>
        <row r="1283">
          <cell r="A1283">
            <v>34753</v>
          </cell>
          <cell r="B1283" t="str">
            <v>CIMENTO PORTLAND POZOLANICO CP IV-32</v>
          </cell>
          <cell r="C1283" t="str">
            <v xml:space="preserve">KG    </v>
          </cell>
          <cell r="D1283">
            <v>0.46</v>
          </cell>
        </row>
        <row r="1284">
          <cell r="A1284">
            <v>420</v>
          </cell>
          <cell r="B1284" t="str">
            <v>CINTA CIRCULAR EM ACO GALVANIZADO DE 150 MM DE DIAMETRO PARA FIXACAO DE CAIXA MEDICAO, INCLUI PARAFUSOS E PORCAS</v>
          </cell>
          <cell r="C1284" t="str">
            <v xml:space="preserve">UN    </v>
          </cell>
          <cell r="D1284">
            <v>19.77</v>
          </cell>
        </row>
        <row r="1285">
          <cell r="A1285">
            <v>12327</v>
          </cell>
          <cell r="B1285" t="str">
            <v>CINTA CIRCULAR EM ACO GALVANIZADO DE 210 MM DE DIAMETRO PARA INSTALACAO DE TRANSFORMADOR EM POSTE DE CONCRETO</v>
          </cell>
          <cell r="C1285" t="str">
            <v xml:space="preserve">UN    </v>
          </cell>
          <cell r="D1285">
            <v>23.55</v>
          </cell>
        </row>
        <row r="1286">
          <cell r="A1286">
            <v>36148</v>
          </cell>
          <cell r="B1286" t="str">
            <v>CINTURAO DE SEGURANCA TIPO PARAQUEDISTA, FIVELA EM ACO, AJUSTE NO SUSPENSARIO, CINTURA E PERNAS</v>
          </cell>
          <cell r="C1286" t="str">
            <v xml:space="preserve">UN    </v>
          </cell>
          <cell r="D1286">
            <v>54</v>
          </cell>
        </row>
        <row r="1287">
          <cell r="A1287">
            <v>12329</v>
          </cell>
          <cell r="B1287" t="str">
            <v>COBRE ELETROLITICO EM BARRA OU CHAPA</v>
          </cell>
          <cell r="C1287" t="str">
            <v xml:space="preserve">KG    </v>
          </cell>
          <cell r="D1287">
            <v>77.13</v>
          </cell>
        </row>
        <row r="1288">
          <cell r="A1288">
            <v>1339</v>
          </cell>
          <cell r="B1288" t="str">
            <v>COLA A BASE DE RESINA SINTETICA PARA CHAPA DE LAMINADO MELAMINICO</v>
          </cell>
          <cell r="C1288" t="str">
            <v xml:space="preserve">KG    </v>
          </cell>
          <cell r="D1288">
            <v>26.76</v>
          </cell>
        </row>
        <row r="1289">
          <cell r="A1289">
            <v>11849</v>
          </cell>
          <cell r="B1289" t="str">
            <v>COLA BRANCA BASE PVA</v>
          </cell>
          <cell r="C1289" t="str">
            <v xml:space="preserve">L     </v>
          </cell>
          <cell r="D1289">
            <v>8.6</v>
          </cell>
        </row>
        <row r="1290">
          <cell r="A1290">
            <v>37418</v>
          </cell>
          <cell r="B1290" t="str">
            <v>COLAR DE TOMADA EM POLIPROPILENO, PP, COM PARAFUSOS, PARA PEAD, 63 X 1/2" - LIGACAO PREDIAL DE AGUA</v>
          </cell>
          <cell r="C1290" t="str">
            <v xml:space="preserve">UN    </v>
          </cell>
          <cell r="D1290">
            <v>11.94</v>
          </cell>
        </row>
        <row r="1291">
          <cell r="A1291">
            <v>37419</v>
          </cell>
          <cell r="B1291" t="str">
            <v>COLAR DE TOMADA EM POLIPROPILENO, PP, COM PARAFUSOS, PARA PEAD, 63 X 3/4" - LIGACAO PREDIAL DE AGUA</v>
          </cell>
          <cell r="C1291" t="str">
            <v xml:space="preserve">UN    </v>
          </cell>
          <cell r="D1291">
            <v>12.26</v>
          </cell>
        </row>
        <row r="1292">
          <cell r="A1292">
            <v>1427</v>
          </cell>
          <cell r="B1292" t="str">
            <v>COLAR TOMADA PVC, COM TRAVAS, SAIDA COM ROSCA, DE 110 MM X 1/2" OU 110 MM X 3/4", PARA LIGACAO PREDIAL DE AGUA</v>
          </cell>
          <cell r="C1292" t="str">
            <v xml:space="preserve">UN    </v>
          </cell>
          <cell r="D1292">
            <v>14.57</v>
          </cell>
        </row>
        <row r="1293">
          <cell r="A1293">
            <v>1402</v>
          </cell>
          <cell r="B1293" t="str">
            <v>COLAR TOMADA PVC, COM TRAVAS, SAIDA COM ROSCA, DE 32 MM X 1/2" OU 32 MM X 3/4", PARA LIGACAO PREDIAL DE AGUA</v>
          </cell>
          <cell r="C1293" t="str">
            <v xml:space="preserve">UN    </v>
          </cell>
          <cell r="D1293">
            <v>5.04</v>
          </cell>
        </row>
        <row r="1294">
          <cell r="A1294">
            <v>1420</v>
          </cell>
          <cell r="B1294" t="str">
            <v>COLAR TOMADA PVC, COM TRAVAS, SAIDA COM ROSCA, DE 40 MM X 1/2" OU 40 MM X 3/4", PARA LIGACAO PREDIAL DE AGUA</v>
          </cell>
          <cell r="C1294" t="str">
            <v xml:space="preserve">UN    </v>
          </cell>
          <cell r="D1294">
            <v>6.48</v>
          </cell>
        </row>
        <row r="1295">
          <cell r="A1295">
            <v>1419</v>
          </cell>
          <cell r="B1295" t="str">
            <v>COLAR TOMADA PVC, COM TRAVAS, SAIDA COM ROSCA, DE 50 MM X 1/2" OU 50 MM X 3/4", PARA LIGACAO PREDIAL DE AGUA</v>
          </cell>
          <cell r="C1295" t="str">
            <v xml:space="preserve">UN    </v>
          </cell>
          <cell r="D1295">
            <v>7.83</v>
          </cell>
        </row>
        <row r="1296">
          <cell r="A1296">
            <v>1414</v>
          </cell>
          <cell r="B1296" t="str">
            <v>COLAR TOMADA PVC, COM TRAVAS, SAIDA COM ROSCA, DE 60 MM X 1/2" OU 60 MM X 3/4", PARA LIGACAO PREDIAL DE AGUA</v>
          </cell>
          <cell r="C1296" t="str">
            <v xml:space="preserve">UN    </v>
          </cell>
          <cell r="D1296">
            <v>7.66</v>
          </cell>
        </row>
        <row r="1297">
          <cell r="A1297">
            <v>1413</v>
          </cell>
          <cell r="B1297" t="str">
            <v>COLAR TOMADA PVC, COM TRAVAS, SAIDA COM ROSCA, DE 75 MM X 1/2" OU 75 MM X 3/4", PARA LIGACAO PREDIAL DE AGUA</v>
          </cell>
          <cell r="C1297" t="str">
            <v xml:space="preserve">UN    </v>
          </cell>
          <cell r="D1297">
            <v>11.32</v>
          </cell>
        </row>
        <row r="1298">
          <cell r="A1298">
            <v>1412</v>
          </cell>
          <cell r="B1298" t="str">
            <v>COLAR TOMADA PVC, COM TRAVAS, SAIDA COM ROSCA, DE 85 MM X 1/2" OU 85 MM X 3/4", PARA LIGACAO PREDIAL DE AGUA</v>
          </cell>
          <cell r="C1298" t="str">
            <v xml:space="preserve">UN    </v>
          </cell>
          <cell r="D1298">
            <v>9.59</v>
          </cell>
        </row>
        <row r="1299">
          <cell r="A1299">
            <v>1411</v>
          </cell>
          <cell r="B1299" t="str">
            <v>COLAR TOMADA PVC, COM TRAVAS, SAIDA ROSCAVEL COM BUCHA DE LATAO, DE 110 MM X 1/2" OU 110 MM X 3/4", PARA LIGACAO PREDIAL DE AGUA</v>
          </cell>
          <cell r="C1299" t="str">
            <v xml:space="preserve">UN    </v>
          </cell>
          <cell r="D1299">
            <v>17.45</v>
          </cell>
        </row>
        <row r="1300">
          <cell r="A1300">
            <v>1406</v>
          </cell>
          <cell r="B1300" t="str">
            <v>COLAR TOMADA PVC, COM TRAVAS, SAIDA ROSCAVEL COM BUCHA DE LATAO, DE 60 MM X 1/2" OU 60 MM X 3/4", PARA LIGACAO PREDIAL DE AGUA</v>
          </cell>
          <cell r="C1300" t="str">
            <v xml:space="preserve">UN    </v>
          </cell>
          <cell r="D1300">
            <v>11.57</v>
          </cell>
        </row>
        <row r="1301">
          <cell r="A1301">
            <v>1407</v>
          </cell>
          <cell r="B1301" t="str">
            <v>COLAR TOMADA PVC, COM TRAVAS, SAIDA ROSCAVEL COM BUCHA DE LATAO, DE 75 MM X 1/2" OU 75 MM X 3/4", PARA LIGACAO PREDIAL DE AGUA</v>
          </cell>
          <cell r="C1301" t="str">
            <v xml:space="preserve">UN    </v>
          </cell>
          <cell r="D1301">
            <v>14.43</v>
          </cell>
        </row>
        <row r="1302">
          <cell r="A1302">
            <v>1404</v>
          </cell>
          <cell r="B1302" t="str">
            <v>COLAR TOMADA PVC, COM TRAVAS, SAIDA ROSCAVEL COM BUCHA DE LATAO, DE 85 MM X 1/2" OU 85 MM X 3/4", PARA LIGACAO PREDIAL DE AGUA</v>
          </cell>
          <cell r="C1302" t="str">
            <v xml:space="preserve">UN    </v>
          </cell>
          <cell r="D1302">
            <v>15.34</v>
          </cell>
        </row>
        <row r="1303">
          <cell r="A1303">
            <v>11281</v>
          </cell>
          <cell r="B1303" t="str">
            <v>COMPACTADOR DE SOLO A PERCUSSAO (SOQUETE), COM MOTOR GASOLINA DE 4 TEMPOS, PESO ENTRE 55 E 65 KG, FORCA DE IMPACTO DE 1.000 A 1.500 KGF, FREQUENCIA DE 600 A 700 GOLPES POR MINUTO, VELOCIDADE DE TRABALHO ENTRE 10 E 15 M/MIN, POTENCIA ENTRE 2,00 E 3,00 HP</v>
          </cell>
          <cell r="C1303" t="str">
            <v xml:space="preserve">UN    </v>
          </cell>
          <cell r="D1303">
            <v>10309.780000000001</v>
          </cell>
        </row>
        <row r="1304">
          <cell r="A1304">
            <v>1442</v>
          </cell>
          <cell r="B1304" t="str">
            <v>COMPACTADOR DE SOLO TIPO PLACA VIBRATORIA REVERSIVEL, A GASOLINA, 4 TEMPOS, PESO DE 125 A 150 KG, FORCA CENTRIFUGA DE 2500 A 2800 KGF, LARG. TRABALHO DE 400 A 450 MM, FREQ VIBRACAO DE 4300 A 4500 RPM, VELOC. TRABALHO DE 15 A 20 M/MIN, POT. DE 5,5 A 6,0 HP</v>
          </cell>
          <cell r="C1304" t="str">
            <v xml:space="preserve">UN    </v>
          </cell>
          <cell r="D1304">
            <v>8654.98</v>
          </cell>
        </row>
        <row r="1305">
          <cell r="A1305">
            <v>13457</v>
          </cell>
          <cell r="B1305" t="str">
            <v>COMPACTADOR DE SOLO TIPO PLACA VIBRATORIA REVERSIVEL, A GASOLINA, 4 TEMPOS, PESO DE 150 A 175 KG, FORCA CENTRIFUGA DE 2800 A 3100 KGF, LARG. TRABALHO DE 450 A 520 MM, FREQ VIBRACAO DE 4000 A 4300 RPM, VELOC. TRABALHO DE 15 A 20 M/MIN, POT. DE 6,0 A 7,0 HP</v>
          </cell>
          <cell r="C1305" t="str">
            <v xml:space="preserve">UN    </v>
          </cell>
          <cell r="D1305">
            <v>7470.85</v>
          </cell>
        </row>
        <row r="1306">
          <cell r="A1306">
            <v>40699</v>
          </cell>
          <cell r="B130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6" t="str">
            <v xml:space="preserve">UN    </v>
          </cell>
          <cell r="D1306">
            <v>5775.25</v>
          </cell>
        </row>
        <row r="1307">
          <cell r="A1307">
            <v>40701</v>
          </cell>
          <cell r="B130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7" t="str">
            <v xml:space="preserve">UN    </v>
          </cell>
          <cell r="D1307">
            <v>102114.4</v>
          </cell>
        </row>
        <row r="1308">
          <cell r="A1308">
            <v>40700</v>
          </cell>
          <cell r="B13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8" t="str">
            <v xml:space="preserve">UN    </v>
          </cell>
          <cell r="D1308">
            <v>13444.03</v>
          </cell>
        </row>
        <row r="1309">
          <cell r="A1309">
            <v>13458</v>
          </cell>
          <cell r="B1309" t="str">
            <v>COMPACTADOR DE SOLOS DE PERCURSAO (SOQUETE) COM MOTOR A GASOLINA 4 TEMPOS DE 4 HP (4 CV)</v>
          </cell>
          <cell r="C1309" t="str">
            <v xml:space="preserve">UN    </v>
          </cell>
          <cell r="D1309">
            <v>12775.16</v>
          </cell>
        </row>
        <row r="1310">
          <cell r="A1310">
            <v>36524</v>
          </cell>
          <cell r="B1310" t="str">
            <v>COMPRESSOR DE AR ESTACIONARIO, VAZAO 620 PCM, PRESSAO EFETIVA DE TRABALHO 109 PSI, MOTOR ELETRICO, POTENCIA 127 CV</v>
          </cell>
          <cell r="C1310" t="str">
            <v xml:space="preserve">UN    </v>
          </cell>
          <cell r="D1310">
            <v>86280.46</v>
          </cell>
        </row>
        <row r="1311">
          <cell r="A1311">
            <v>36526</v>
          </cell>
          <cell r="B1311" t="str">
            <v>COMPRESSOR DE AR REBOCAVEL VAZAO 400 PCM, PRESSAO EFETIVA DE TRABALHO 102 PSI, MOTOR DIESEL, POTENCIA 110 CV</v>
          </cell>
          <cell r="C1311" t="str">
            <v xml:space="preserve">UN    </v>
          </cell>
          <cell r="D1311">
            <v>69528.3</v>
          </cell>
        </row>
        <row r="1312">
          <cell r="A1312">
            <v>36523</v>
          </cell>
          <cell r="B1312" t="str">
            <v>COMPRESSOR DE AR REBOCAVEL VAZAO 748 PCM, PRESSAO EFETIVA DE TRABALHO 102 PSI, MOTOR DIESEL, POTENCIA 210 CV</v>
          </cell>
          <cell r="C1312" t="str">
            <v xml:space="preserve">UN    </v>
          </cell>
          <cell r="D1312">
            <v>148850.72</v>
          </cell>
        </row>
        <row r="1313">
          <cell r="A1313">
            <v>36527</v>
          </cell>
          <cell r="B1313" t="str">
            <v>COMPRESSOR DE AR REBOCAVEL VAZAO 860 PCM, PRESSAO EFETIVA DE TRABALHO 102 PSI, MOTOR DIESEL, POTENCIA 250 CV</v>
          </cell>
          <cell r="C1313" t="str">
            <v xml:space="preserve">UN    </v>
          </cell>
          <cell r="D1313">
            <v>161682.54</v>
          </cell>
        </row>
        <row r="1314">
          <cell r="A1314">
            <v>13803</v>
          </cell>
          <cell r="B1314" t="str">
            <v>COMPRESSOR DE AR REBOCAVEL, VAZAO *89* PCM, PRESSAO EFETIVA DE TRABALHO *102* PSI, MOTOR DIESEL, POTENCIA *20* CV</v>
          </cell>
          <cell r="C1314" t="str">
            <v xml:space="preserve">UN    </v>
          </cell>
          <cell r="D1314">
            <v>58463</v>
          </cell>
        </row>
        <row r="1315">
          <cell r="A1315">
            <v>38642</v>
          </cell>
          <cell r="B1315" t="str">
            <v>COMPRESSOR DE AR REBOCAVEL, VAZAO 152 PCM, PRESSAO EFETIVA DE TRABALHO 102 PSI, MOTOR DIESEL, POTENCIA 31,5 KW</v>
          </cell>
          <cell r="C1315" t="str">
            <v xml:space="preserve">UN    </v>
          </cell>
          <cell r="D1315">
            <v>37643.839999999997</v>
          </cell>
        </row>
        <row r="1316">
          <cell r="A1316">
            <v>36522</v>
          </cell>
          <cell r="B1316" t="str">
            <v>COMPRESSOR DE AR REBOCAVEL, VAZAO 189 PCM, PRESSAO EFETIVA DE TRABALHO 102 PSI, MOTOR DIESEL, POTENCIA 63 CV</v>
          </cell>
          <cell r="C1316" t="str">
            <v xml:space="preserve">UN    </v>
          </cell>
          <cell r="D1316">
            <v>43779.34</v>
          </cell>
        </row>
        <row r="1317">
          <cell r="A1317">
            <v>36525</v>
          </cell>
          <cell r="B1317" t="str">
            <v>COMPRESSOR DE AR REBOCAVEL, VAZAO 250 PCM, PRESSAO EFETIVA DE TRABALHO 102 PSI, MOTOR DIESEL, POTENCIA 81 CV</v>
          </cell>
          <cell r="C1317" t="str">
            <v xml:space="preserve">UN    </v>
          </cell>
          <cell r="D1317">
            <v>58630.76</v>
          </cell>
        </row>
        <row r="1318">
          <cell r="A1318">
            <v>41991</v>
          </cell>
          <cell r="B1318" t="str">
            <v>COMPRESSOR DE AR, VAZAO DE 10 PCM, RESERVATORIO 100 L, PRESSAO DE TRABALHO ENTRE 6,9 E 9,7 BAR,  POTENCIA 2 HP, TENSAO 110/220 V (COLETADO CAIXA)</v>
          </cell>
          <cell r="C1318" t="str">
            <v xml:space="preserve">UN    </v>
          </cell>
          <cell r="D1318">
            <v>2166.4899999999998</v>
          </cell>
        </row>
        <row r="1319">
          <cell r="A1319">
            <v>34348</v>
          </cell>
          <cell r="B1319" t="str">
            <v>CONCERTINA CLIPADA (DUPLA) EM ACO GALVANIZADO DE ALTA RESISTENCIA, COM ESPIRAL DE 300 MM, D = 2,76 MM</v>
          </cell>
          <cell r="C1319" t="str">
            <v xml:space="preserve">M     </v>
          </cell>
          <cell r="D1319">
            <v>27.02</v>
          </cell>
        </row>
        <row r="1320">
          <cell r="A1320">
            <v>34347</v>
          </cell>
          <cell r="B1320" t="str">
            <v>CONCERTINA SIMPLES EM ACO GALVANIZADO DE ALTA RESISTENCIA, COM ESPIRAL DE 300 MM, D = 2,76 MM</v>
          </cell>
          <cell r="C1320" t="str">
            <v xml:space="preserve">M     </v>
          </cell>
          <cell r="D1320">
            <v>13.96</v>
          </cell>
        </row>
        <row r="1321">
          <cell r="A1321">
            <v>11146</v>
          </cell>
          <cell r="B1321" t="str">
            <v>CONCRETO AUTOADENSAVEL (CAA) CLASSE DE RESISTENCIA C15, ESPALHAMENTO SF2, INCLUI SERVICO DE BOMBEAMENTO (NBR 15823)</v>
          </cell>
          <cell r="C1321" t="str">
            <v xml:space="preserve">M3    </v>
          </cell>
          <cell r="D1321">
            <v>350.74</v>
          </cell>
        </row>
        <row r="1322">
          <cell r="A1322">
            <v>11147</v>
          </cell>
          <cell r="B1322" t="str">
            <v>CONCRETO AUTOADENSAVEL (CAA) CLASSE DE RESISTENCIA C20, ESPALHAMENTO SF2, INCLUI SERVICO DE BOMBEAMENTO (NBR 15823)</v>
          </cell>
          <cell r="C1322" t="str">
            <v xml:space="preserve">M3    </v>
          </cell>
          <cell r="D1322">
            <v>363.73</v>
          </cell>
        </row>
        <row r="1323">
          <cell r="A1323">
            <v>34872</v>
          </cell>
          <cell r="B1323" t="str">
            <v>CONCRETO AUTOADENSAVEL (CAA) CLASSE DE RESISTENCIA C25, ESPALHAMENTO SF2, INCLUI SERVICO DE BOMBEAMENTO (NBR 15823)</v>
          </cell>
          <cell r="C1323" t="str">
            <v xml:space="preserve">M3    </v>
          </cell>
          <cell r="D1323">
            <v>376.72</v>
          </cell>
        </row>
        <row r="1324">
          <cell r="A1324">
            <v>34491</v>
          </cell>
          <cell r="B1324" t="str">
            <v>CONCRETO AUTOADENSAVEL (CAA) CLASSE DE RESISTENCIA C30, ESPALHAMENTO SF2, INCLUI SERVICO DE BOMBEAMENTO (NBR 15823)</v>
          </cell>
          <cell r="C1324" t="str">
            <v xml:space="preserve">M3    </v>
          </cell>
          <cell r="D1324">
            <v>384.35</v>
          </cell>
        </row>
        <row r="1325">
          <cell r="A1325">
            <v>34770</v>
          </cell>
          <cell r="B1325" t="str">
            <v>CONCRETO BETUMINOSO USINADO A QUENTE (CBUQ) PARA PAVIMENTACAO ASFALTICA, PADRAO DNIT, FAIXA C, COM CAP 30/45 - AQUISICAO POSTO USINA</v>
          </cell>
          <cell r="C1325" t="str">
            <v xml:space="preserve">T     </v>
          </cell>
          <cell r="D1325">
            <v>301.14</v>
          </cell>
        </row>
        <row r="1326">
          <cell r="A1326">
            <v>1518</v>
          </cell>
          <cell r="B1326" t="str">
            <v>CONCRETO BETUMINOSO USINADO A QUENTE (CBUQ) PARA PAVIMENTACAO ASFALTICA, PADRAO DNIT, FAIXA C, COM CAP 50/70 - AQUISICAO POSTO USINA</v>
          </cell>
          <cell r="C1326" t="str">
            <v xml:space="preserve">T     </v>
          </cell>
          <cell r="D1326">
            <v>325</v>
          </cell>
        </row>
        <row r="1327">
          <cell r="A1327">
            <v>41965</v>
          </cell>
          <cell r="B1327" t="str">
            <v>CONCRETO BETUMINOSO USINADO A QUENTE (CBUQ) PARA PAVIMENTACAO ASFALTICA, PADRAO DNIT, PARA BINDER, COM CAP 50/70 - AQUISICAO POSTO USINA</v>
          </cell>
          <cell r="C1327" t="str">
            <v xml:space="preserve">T     </v>
          </cell>
          <cell r="D1327">
            <v>314.86</v>
          </cell>
        </row>
        <row r="1328">
          <cell r="A1328">
            <v>34492</v>
          </cell>
          <cell r="B1328" t="str">
            <v>CONCRETO USINADO BOMBEAVEL, CLASSE DE RESISTENCIA C20, COM BRITA 0 E 1, SLUMP = 100 +/- 20 MM, EXCLUI SERVICO DE BOMBEAMENTO (NBR 8953)</v>
          </cell>
          <cell r="C1328" t="str">
            <v xml:space="preserve">M3    </v>
          </cell>
          <cell r="D1328">
            <v>318.26</v>
          </cell>
        </row>
        <row r="1329">
          <cell r="A1329">
            <v>1524</v>
          </cell>
          <cell r="B1329" t="str">
            <v>CONCRETO USINADO BOMBEAVEL, CLASSE DE RESISTENCIA C20, COM BRITA 0 E 1, SLUMP = 100 +/- 20 MM, INCLUI SERVICO DE BOMBEAMENTO (NBR 8953)</v>
          </cell>
          <cell r="C1329" t="str">
            <v xml:space="preserve">M3    </v>
          </cell>
          <cell r="D1329">
            <v>370.23</v>
          </cell>
        </row>
        <row r="1330">
          <cell r="A1330">
            <v>38404</v>
          </cell>
          <cell r="B1330" t="str">
            <v>CONCRETO USINADO BOMBEAVEL, CLASSE DE RESISTENCIA C20, COM BRITA 0 E 1, SLUMP = 130 +/- 20 MM, EXCLUI SERVICO DE BOMBEAMENTO (NBR 8953)</v>
          </cell>
          <cell r="C1330" t="str">
            <v xml:space="preserve">M3    </v>
          </cell>
          <cell r="D1330">
            <v>390.76</v>
          </cell>
        </row>
        <row r="1331">
          <cell r="A1331">
            <v>39849</v>
          </cell>
          <cell r="B1331" t="str">
            <v>CONCRETO USINADO BOMBEAVEL, CLASSE DE RESISTENCIA C20, COM BRITA 0 E 1, SLUMP = 190 +/- 20 MM, INCLUI SERVICO DE BOMBEAMENTO (NBR 8953)</v>
          </cell>
          <cell r="C1331" t="str">
            <v xml:space="preserve">M3    </v>
          </cell>
          <cell r="D1331">
            <v>389.92</v>
          </cell>
        </row>
        <row r="1332">
          <cell r="A1332">
            <v>38464</v>
          </cell>
          <cell r="B1332" t="str">
            <v>CONCRETO USINADO BOMBEAVEL, CLASSE DE RESISTENCIA C20, COM BRITA 0, SLUMP = 220 +/- 20 MM, INCLUI SERVICO DE BOMBEAMENTO (NBR 8953)</v>
          </cell>
          <cell r="C1332" t="str">
            <v xml:space="preserve">M3    </v>
          </cell>
          <cell r="D1332">
            <v>472.04</v>
          </cell>
        </row>
        <row r="1333">
          <cell r="A1333">
            <v>34493</v>
          </cell>
          <cell r="B1333" t="str">
            <v>CONCRETO USINADO BOMBEAVEL, CLASSE DE RESISTENCIA C25, COM BRITA 0 E 1, SLUMP = 100 +/- 20 MM, EXCLUI SERVICO DE BOMBEAMENTO (NBR 8953)</v>
          </cell>
          <cell r="C1333" t="str">
            <v xml:space="preserve">M3    </v>
          </cell>
          <cell r="D1333">
            <v>330.6</v>
          </cell>
        </row>
        <row r="1334">
          <cell r="A1334">
            <v>1527</v>
          </cell>
          <cell r="B1334" t="str">
            <v>CONCRETO USINADO BOMBEAVEL, CLASSE DE RESISTENCIA C25, COM BRITA 0 E 1, SLUMP = 100 +/- 20 MM, INCLUI SERVICO DE BOMBEAMENTO (NBR 8953)</v>
          </cell>
          <cell r="C1334" t="str">
            <v xml:space="preserve">M3    </v>
          </cell>
          <cell r="D1334">
            <v>385.81</v>
          </cell>
        </row>
        <row r="1335">
          <cell r="A1335">
            <v>38405</v>
          </cell>
          <cell r="B1335" t="str">
            <v>CONCRETO USINADO BOMBEAVEL, CLASSE DE RESISTENCIA C25, COM BRITA 0 E 1, SLUMP = 130 +/- 20 MM, EXCLUI SERVICO DE BOMBEAMENTO (NBR 8953)</v>
          </cell>
          <cell r="C1335" t="str">
            <v xml:space="preserve">M3    </v>
          </cell>
          <cell r="D1335">
            <v>414.21</v>
          </cell>
        </row>
        <row r="1336">
          <cell r="A1336">
            <v>38408</v>
          </cell>
          <cell r="B1336" t="str">
            <v>CONCRETO USINADO BOMBEAVEL, CLASSE DE RESISTENCIA C25, COM BRITA 0 E 1, SLUMP = 190 +/- 20 MM, EXCLUI SERVICO DE BOMBEAMENTO (NBR 8953)</v>
          </cell>
          <cell r="C1336" t="str">
            <v xml:space="preserve">M3    </v>
          </cell>
          <cell r="D1336">
            <v>430.72</v>
          </cell>
        </row>
        <row r="1337">
          <cell r="A1337">
            <v>34494</v>
          </cell>
          <cell r="B1337" t="str">
            <v>CONCRETO USINADO BOMBEAVEL, CLASSE DE RESISTENCIA C30, COM BRITA 0 E 1, SLUMP = 100 +/- 20 MM, EXCLUI SERVICO DE BOMBEAMENTO (NBR 8953)</v>
          </cell>
          <cell r="C1337" t="str">
            <v xml:space="preserve">M3    </v>
          </cell>
          <cell r="D1337">
            <v>345.28</v>
          </cell>
        </row>
        <row r="1338">
          <cell r="A1338">
            <v>1525</v>
          </cell>
          <cell r="B1338" t="str">
            <v>CONCRETO USINADO BOMBEAVEL, CLASSE DE RESISTENCIA C30, COM BRITA 0 E 1, SLUMP = 100 +/- 20 MM, INCLUI SERVICO DE BOMBEAMENTO (NBR 8953)</v>
          </cell>
          <cell r="C1338" t="str">
            <v xml:space="preserve">M3    </v>
          </cell>
          <cell r="D1338">
            <v>398.8</v>
          </cell>
        </row>
        <row r="1339">
          <cell r="A1339">
            <v>38406</v>
          </cell>
          <cell r="B1339" t="str">
            <v>CONCRETO USINADO BOMBEAVEL, CLASSE DE RESISTENCIA C30, COM BRITA 0 E 1, SLUMP = 130 +/- 20 MM, EXCLUI SERVICO DE BOMBEAMENTO (NBR 8953)</v>
          </cell>
          <cell r="C1339" t="str">
            <v xml:space="preserve">M3    </v>
          </cell>
          <cell r="D1339">
            <v>435.2</v>
          </cell>
        </row>
        <row r="1340">
          <cell r="A1340">
            <v>38409</v>
          </cell>
          <cell r="B1340" t="str">
            <v>CONCRETO USINADO BOMBEAVEL, CLASSE DE RESISTENCIA C30, COM BRITA 0 E 1, SLUMP = 190 +/- 20 MM, EXCLUI SERVICO DE BOMBEAMENTO (NBR 8953)</v>
          </cell>
          <cell r="C1340" t="str">
            <v xml:space="preserve">M3    </v>
          </cell>
          <cell r="D1340">
            <v>464.28</v>
          </cell>
        </row>
        <row r="1341">
          <cell r="A1341">
            <v>34495</v>
          </cell>
          <cell r="B1341" t="str">
            <v>CONCRETO USINADO BOMBEAVEL, CLASSE DE RESISTENCIA C35, COM BRITA 0 E 1, SLUMP = 100 +/- 20 MM, EXCLUI SERVICO DE BOMBEAMENTO (NBR 8953)</v>
          </cell>
          <cell r="C1341" t="str">
            <v xml:space="preserve">M3    </v>
          </cell>
          <cell r="D1341">
            <v>360.03</v>
          </cell>
        </row>
        <row r="1342">
          <cell r="A1342">
            <v>11145</v>
          </cell>
          <cell r="B1342" t="str">
            <v>CONCRETO USINADO BOMBEAVEL, CLASSE DE RESISTENCIA C35, COM BRITA 0 E 1, SLUMP = 100 +/- 20 MM, INCLUI SERVICO DE BOMBEAMENTO (NBR 8953)</v>
          </cell>
          <cell r="C1342" t="str">
            <v xml:space="preserve">M3    </v>
          </cell>
          <cell r="D1342">
            <v>413.09</v>
          </cell>
        </row>
        <row r="1343">
          <cell r="A1343">
            <v>34496</v>
          </cell>
          <cell r="B1343" t="str">
            <v>CONCRETO USINADO BOMBEAVEL, CLASSE DE RESISTENCIA C40, COM BRITA 0 E 1, SLUMP = 100 +/- 20 MM, EXCLUI SERVICO DE BOMBEAMENTO (NBR 8953)</v>
          </cell>
          <cell r="C1343" t="str">
            <v xml:space="preserve">M3    </v>
          </cell>
          <cell r="D1343">
            <v>376.07</v>
          </cell>
        </row>
        <row r="1344">
          <cell r="A1344">
            <v>34479</v>
          </cell>
          <cell r="B1344" t="str">
            <v>CONCRETO USINADO BOMBEAVEL, CLASSE DE RESISTENCIA C40, COM BRITA 0 E 1, SLUMP = 100 +/- 20 MM, INCLUI SERVICO DE BOMBEAMENTO (NBR 8953)</v>
          </cell>
          <cell r="C1344" t="str">
            <v xml:space="preserve">M3    </v>
          </cell>
          <cell r="D1344">
            <v>428.68</v>
          </cell>
        </row>
        <row r="1345">
          <cell r="A1345">
            <v>34481</v>
          </cell>
          <cell r="B1345" t="str">
            <v>CONCRETO USINADO BOMBEAVEL, CLASSE DE RESISTENCIA C45, COM BRITA 0 E 1, SLUMP = 100 +/- 20 MM, INCLUI SERVICO DE BOMBEAMENTO (NBR 8953)</v>
          </cell>
          <cell r="C1345" t="str">
            <v xml:space="preserve">M3    </v>
          </cell>
          <cell r="D1345">
            <v>481.94</v>
          </cell>
        </row>
        <row r="1346">
          <cell r="A1346">
            <v>34483</v>
          </cell>
          <cell r="B1346" t="str">
            <v>CONCRETO USINADO BOMBEAVEL, CLASSE DE RESISTENCIA C50, COM BRITA 0 E 1, SLUMP = 100 +/- 20 MM, INCLUI SERVICO DE BOMBEAMENTO (NBR 8953)</v>
          </cell>
          <cell r="C1346" t="str">
            <v xml:space="preserve">M3    </v>
          </cell>
          <cell r="D1346">
            <v>571.58000000000004</v>
          </cell>
        </row>
        <row r="1347">
          <cell r="A1347">
            <v>34485</v>
          </cell>
          <cell r="B1347" t="str">
            <v>CONCRETO USINADO BOMBEAVEL, CLASSE DE RESISTENCIA C60, COM BRITA 0 E 1, SLUMP = 100 +/- 20 MM, INCLUI SERVICO DE BOMBEAMENTO (NBR 8953)</v>
          </cell>
          <cell r="C1347" t="str">
            <v xml:space="preserve">M3    </v>
          </cell>
          <cell r="D1347">
            <v>733.96</v>
          </cell>
        </row>
        <row r="1348">
          <cell r="A1348">
            <v>34497</v>
          </cell>
          <cell r="B1348" t="str">
            <v>CONCRETO USINADO BOMBEAVEL, CLASSE DE RESISTENCIA C80, COM BRITA 0 E 1, SLUMP = 100 +/- 20 MM, EXCLUI SERVICO DE BOMBEAMENTO (NBR 8953)</v>
          </cell>
          <cell r="C1348" t="str">
            <v xml:space="preserve">M3    </v>
          </cell>
          <cell r="D1348">
            <v>1013.26</v>
          </cell>
        </row>
        <row r="1349">
          <cell r="A1349">
            <v>14041</v>
          </cell>
          <cell r="B1349" t="str">
            <v>CONCRETO USINADO CONVENCIONAL (NAO BOMBEAVEL) CLASSE DE RESISTENCIA C10, COM BRITA 1 E 2, SLUMP = 80 MM +/- 10 MM (NBR 8953)</v>
          </cell>
          <cell r="C1349" t="str">
            <v xml:space="preserve">M3    </v>
          </cell>
          <cell r="D1349">
            <v>317.56</v>
          </cell>
        </row>
        <row r="1350">
          <cell r="A1350">
            <v>1523</v>
          </cell>
          <cell r="B1350" t="str">
            <v>CONCRETO USINADO CONVENCIONAL (NAO BOMBEAVEL) CLASSE DE RESISTENCIA C15, COM BRITA 1 E 2, SLUMP = 80 MM +/- 10 MM (NBR 8953)</v>
          </cell>
          <cell r="C1350" t="str">
            <v xml:space="preserve">M3    </v>
          </cell>
          <cell r="D1350">
            <v>320.58999999999997</v>
          </cell>
        </row>
        <row r="1351">
          <cell r="A1351">
            <v>14052</v>
          </cell>
          <cell r="B1351" t="str">
            <v>CONDULETE DE ALUMINIO TIPO B, PARA ELETRODUTO ROSCAVEL DE 1/2", COM TAMPA CEGA</v>
          </cell>
          <cell r="C1351" t="str">
            <v xml:space="preserve">UN    </v>
          </cell>
          <cell r="D1351">
            <v>5.98</v>
          </cell>
        </row>
        <row r="1352">
          <cell r="A1352">
            <v>14054</v>
          </cell>
          <cell r="B1352" t="str">
            <v>CONDULETE DE ALUMINIO TIPO B, PARA ELETRODUTO ROSCAVEL DE 1", COM TAMPA CEGA</v>
          </cell>
          <cell r="C1352" t="str">
            <v xml:space="preserve">UN    </v>
          </cell>
          <cell r="D1352">
            <v>7.78</v>
          </cell>
        </row>
        <row r="1353">
          <cell r="A1353">
            <v>14053</v>
          </cell>
          <cell r="B1353" t="str">
            <v>CONDULETE DE ALUMINIO TIPO B, PARA ELETRODUTO ROSCAVEL DE 3/4", COM TAMPA CEGA</v>
          </cell>
          <cell r="C1353" t="str">
            <v xml:space="preserve">UN    </v>
          </cell>
          <cell r="D1353">
            <v>6.07</v>
          </cell>
        </row>
        <row r="1354">
          <cell r="A1354">
            <v>2558</v>
          </cell>
          <cell r="B1354" t="str">
            <v>CONDULETE DE ALUMINIO TIPO C, PARA ELETRODUTO ROSCAVEL DE 1/2", COM TAMPA CEGA</v>
          </cell>
          <cell r="C1354" t="str">
            <v xml:space="preserve">UN    </v>
          </cell>
          <cell r="D1354">
            <v>4.57</v>
          </cell>
        </row>
        <row r="1355">
          <cell r="A1355">
            <v>2560</v>
          </cell>
          <cell r="B1355" t="str">
            <v>CONDULETE DE ALUMINIO TIPO C, PARA ELETRODUTO ROSCAVEL DE 1", COM TAMPA CEGA</v>
          </cell>
          <cell r="C1355" t="str">
            <v xml:space="preserve">UN    </v>
          </cell>
          <cell r="D1355">
            <v>8.0500000000000007</v>
          </cell>
        </row>
        <row r="1356">
          <cell r="A1356">
            <v>2559</v>
          </cell>
          <cell r="B1356" t="str">
            <v>CONDULETE DE ALUMINIO TIPO C, PARA ELETRODUTO ROSCAVEL DE 3/4", COM TAMPA CEGA</v>
          </cell>
          <cell r="C1356" t="str">
            <v xml:space="preserve">UN    </v>
          </cell>
          <cell r="D1356">
            <v>6.44</v>
          </cell>
        </row>
        <row r="1357">
          <cell r="A1357">
            <v>2592</v>
          </cell>
          <cell r="B1357" t="str">
            <v>CONDULETE DE ALUMINIO TIPO C, PARA ELETRODUTO ROSCAVEL DE 4", COM TAMPA CEGA</v>
          </cell>
          <cell r="C1357" t="str">
            <v xml:space="preserve">UN    </v>
          </cell>
          <cell r="D1357">
            <v>106.76</v>
          </cell>
        </row>
        <row r="1358">
          <cell r="A1358">
            <v>2566</v>
          </cell>
          <cell r="B1358" t="str">
            <v>CONDULETE DE ALUMINIO TIPO E, PARA ELETRODUTO ROSCAVEL DE 1  1/4", COM TAMPA CEGA</v>
          </cell>
          <cell r="C1358" t="str">
            <v xml:space="preserve">UN    </v>
          </cell>
          <cell r="D1358">
            <v>10.74</v>
          </cell>
        </row>
        <row r="1359">
          <cell r="A1359">
            <v>2589</v>
          </cell>
          <cell r="B1359" t="str">
            <v>CONDULETE DE ALUMINIO TIPO E, PARA ELETRODUTO ROSCAVEL DE 1 1/2", COM TAMPA CEGA</v>
          </cell>
          <cell r="C1359" t="str">
            <v xml:space="preserve">UN    </v>
          </cell>
          <cell r="D1359">
            <v>14.28</v>
          </cell>
        </row>
        <row r="1360">
          <cell r="A1360">
            <v>2591</v>
          </cell>
          <cell r="B1360" t="str">
            <v>CONDULETE DE ALUMINIO TIPO E, PARA ELETRODUTO ROSCAVEL DE 1/2", COM TAMPA CEGA</v>
          </cell>
          <cell r="C1360" t="str">
            <v xml:space="preserve">UN    </v>
          </cell>
          <cell r="D1360">
            <v>5.2</v>
          </cell>
        </row>
        <row r="1361">
          <cell r="A1361">
            <v>2590</v>
          </cell>
          <cell r="B1361" t="str">
            <v>CONDULETE DE ALUMINIO TIPO E, PARA ELETRODUTO ROSCAVEL DE 1", COM TAMPA CEGA</v>
          </cell>
          <cell r="C1361" t="str">
            <v xml:space="preserve">UN    </v>
          </cell>
          <cell r="D1361">
            <v>8.76</v>
          </cell>
        </row>
        <row r="1362">
          <cell r="A1362">
            <v>2567</v>
          </cell>
          <cell r="B1362" t="str">
            <v>CONDULETE DE ALUMINIO TIPO E, PARA ELETRODUTO ROSCAVEL DE 2", COM TAMPA CEGA</v>
          </cell>
          <cell r="C1362" t="str">
            <v xml:space="preserve">UN    </v>
          </cell>
          <cell r="D1362">
            <v>20.94</v>
          </cell>
        </row>
        <row r="1363">
          <cell r="A1363">
            <v>2565</v>
          </cell>
          <cell r="B1363" t="str">
            <v>CONDULETE DE ALUMINIO TIPO E, PARA ELETRODUTO ROSCAVEL DE 3/4", COM TAMPA CEGA</v>
          </cell>
          <cell r="C1363" t="str">
            <v xml:space="preserve">UN    </v>
          </cell>
          <cell r="D1363">
            <v>5.21</v>
          </cell>
        </row>
        <row r="1364">
          <cell r="A1364">
            <v>2568</v>
          </cell>
          <cell r="B1364" t="str">
            <v>CONDULETE DE ALUMINIO TIPO E, PARA ELETRODUTO ROSCAVEL DE 3", COM TAMPA CEGA</v>
          </cell>
          <cell r="C1364" t="str">
            <v xml:space="preserve">UN    </v>
          </cell>
          <cell r="D1364">
            <v>58.16</v>
          </cell>
        </row>
        <row r="1365">
          <cell r="A1365">
            <v>2594</v>
          </cell>
          <cell r="B1365" t="str">
            <v>CONDULETE DE ALUMINIO TIPO E, PARA ELETRODUTO ROSCAVEL DE 4", COM TAMPA CEGA</v>
          </cell>
          <cell r="C1365" t="str">
            <v xml:space="preserve">UN    </v>
          </cell>
          <cell r="D1365">
            <v>96.9</v>
          </cell>
        </row>
        <row r="1366">
          <cell r="A1366">
            <v>2587</v>
          </cell>
          <cell r="B1366" t="str">
            <v>CONDULETE DE ALUMINIO TIPO LR, PARA ELETRODUTO ROSCAVEL DE 1 1/2", COM TAMPA CEGA</v>
          </cell>
          <cell r="C1366" t="str">
            <v xml:space="preserve">UN    </v>
          </cell>
          <cell r="D1366">
            <v>16.510000000000002</v>
          </cell>
        </row>
        <row r="1367">
          <cell r="A1367">
            <v>2588</v>
          </cell>
          <cell r="B1367" t="str">
            <v>CONDULETE DE ALUMINIO TIPO LR, PARA ELETRODUTO ROSCAVEL DE 1 1/4", COM TAMPA CEGA</v>
          </cell>
          <cell r="C1367" t="str">
            <v xml:space="preserve">UN    </v>
          </cell>
          <cell r="D1367">
            <v>13.11</v>
          </cell>
        </row>
        <row r="1368">
          <cell r="A1368">
            <v>2569</v>
          </cell>
          <cell r="B1368" t="str">
            <v>CONDULETE DE ALUMINIO TIPO LR, PARA ELETRODUTO ROSCAVEL DE 1/2", COM TAMPA CEGA</v>
          </cell>
          <cell r="C1368" t="str">
            <v xml:space="preserve">UN    </v>
          </cell>
          <cell r="D1368">
            <v>5.05</v>
          </cell>
        </row>
        <row r="1369">
          <cell r="A1369">
            <v>2570</v>
          </cell>
          <cell r="B1369" t="str">
            <v>CONDULETE DE ALUMINIO TIPO LR, PARA ELETRODUTO ROSCAVEL DE 1", COM TAMPA CEGA</v>
          </cell>
          <cell r="C1369" t="str">
            <v xml:space="preserve">UN    </v>
          </cell>
          <cell r="D1369">
            <v>8.4700000000000006</v>
          </cell>
        </row>
        <row r="1370">
          <cell r="A1370">
            <v>2571</v>
          </cell>
          <cell r="B1370" t="str">
            <v>CONDULETE DE ALUMINIO TIPO LR, PARA ELETRODUTO ROSCAVEL DE 2", COM TAMPA CEGA</v>
          </cell>
          <cell r="C1370" t="str">
            <v xml:space="preserve">UN    </v>
          </cell>
          <cell r="D1370">
            <v>25.15</v>
          </cell>
        </row>
        <row r="1371">
          <cell r="A1371">
            <v>2593</v>
          </cell>
          <cell r="B1371" t="str">
            <v>CONDULETE DE ALUMINIO TIPO LR, PARA ELETRODUTO ROSCAVEL DE 3/4", COM TAMPA CEGA</v>
          </cell>
          <cell r="C1371" t="str">
            <v xml:space="preserve">UN    </v>
          </cell>
          <cell r="D1371">
            <v>5.39</v>
          </cell>
        </row>
        <row r="1372">
          <cell r="A1372">
            <v>2572</v>
          </cell>
          <cell r="B1372" t="str">
            <v>CONDULETE DE ALUMINIO TIPO LR, PARA ELETRODUTO ROSCAVEL DE 3", COM TAMPA CEGA</v>
          </cell>
          <cell r="C1372" t="str">
            <v xml:space="preserve">UN    </v>
          </cell>
          <cell r="D1372">
            <v>74.38</v>
          </cell>
        </row>
        <row r="1373">
          <cell r="A1373">
            <v>2595</v>
          </cell>
          <cell r="B1373" t="str">
            <v>CONDULETE DE ALUMINIO TIPO LR, PARA ELETRODUTO ROSCAVEL DE 4", COM TAMPA CEGA</v>
          </cell>
          <cell r="C1373" t="str">
            <v xml:space="preserve">UN    </v>
          </cell>
          <cell r="D1373">
            <v>116.05</v>
          </cell>
        </row>
        <row r="1374">
          <cell r="A1374">
            <v>2576</v>
          </cell>
          <cell r="B1374" t="str">
            <v>CONDULETE DE ALUMINIO TIPO T, PARA ELETRODUTO ROSCAVEL DE 1 1/2", COM TAMPA CEGA</v>
          </cell>
          <cell r="C1374" t="str">
            <v xml:space="preserve">UN    </v>
          </cell>
          <cell r="D1374">
            <v>19.78</v>
          </cell>
        </row>
        <row r="1375">
          <cell r="A1375">
            <v>2575</v>
          </cell>
          <cell r="B1375" t="str">
            <v>CONDULETE DE ALUMINIO TIPO T, PARA ELETRODUTO ROSCAVEL DE 1 1/4", COM TAMPA CEGA</v>
          </cell>
          <cell r="C1375" t="str">
            <v xml:space="preserve">UN    </v>
          </cell>
          <cell r="D1375">
            <v>14.87</v>
          </cell>
        </row>
        <row r="1376">
          <cell r="A1376">
            <v>2573</v>
          </cell>
          <cell r="B1376" t="str">
            <v>CONDULETE DE ALUMINIO TIPO T, PARA ELETRODUTO ROSCAVEL DE 1/2", COM TAMPA CEGA</v>
          </cell>
          <cell r="C1376" t="str">
            <v xml:space="preserve">UN    </v>
          </cell>
          <cell r="D1376">
            <v>6.17</v>
          </cell>
        </row>
        <row r="1377">
          <cell r="A1377">
            <v>2586</v>
          </cell>
          <cell r="B1377" t="str">
            <v>CONDULETE DE ALUMINIO TIPO T, PARA ELETRODUTO ROSCAVEL DE 1", COM TAMPA CEGA</v>
          </cell>
          <cell r="C1377" t="str">
            <v xml:space="preserve">UN    </v>
          </cell>
          <cell r="D1377">
            <v>10.01</v>
          </cell>
        </row>
        <row r="1378">
          <cell r="A1378">
            <v>2577</v>
          </cell>
          <cell r="B1378" t="str">
            <v>CONDULETE DE ALUMINIO TIPO T, PARA ELETRODUTO ROSCAVEL DE 2", COM TAMPA CEGA</v>
          </cell>
          <cell r="C1378" t="str">
            <v xml:space="preserve">UN    </v>
          </cell>
          <cell r="D1378">
            <v>26.8</v>
          </cell>
        </row>
        <row r="1379">
          <cell r="A1379">
            <v>2574</v>
          </cell>
          <cell r="B1379" t="str">
            <v>CONDULETE DE ALUMINIO TIPO T, PARA ELETRODUTO ROSCAVEL DE 3/4", COM TAMPA CEGA</v>
          </cell>
          <cell r="C1379" t="str">
            <v xml:space="preserve">UN    </v>
          </cell>
          <cell r="D1379">
            <v>6.21</v>
          </cell>
        </row>
        <row r="1380">
          <cell r="A1380">
            <v>2578</v>
          </cell>
          <cell r="B1380" t="str">
            <v>CONDULETE DE ALUMINIO TIPO T, PARA ELETRODUTO ROSCAVEL DE 3", COM TAMPA CEGA</v>
          </cell>
          <cell r="C1380" t="str">
            <v xml:space="preserve">UN    </v>
          </cell>
          <cell r="D1380">
            <v>83.69</v>
          </cell>
        </row>
        <row r="1381">
          <cell r="A1381">
            <v>2585</v>
          </cell>
          <cell r="B1381" t="str">
            <v>CONDULETE DE ALUMINIO TIPO T, PARA ELETRODUTO ROSCAVEL DE 4", COM TAMPA CEGA</v>
          </cell>
          <cell r="C1381" t="str">
            <v xml:space="preserve">UN    </v>
          </cell>
          <cell r="D1381">
            <v>114.85</v>
          </cell>
        </row>
        <row r="1382">
          <cell r="A1382">
            <v>12008</v>
          </cell>
          <cell r="B1382" t="str">
            <v>CONDULETE DE ALUMINIO TIPO TB, PARA ELETRODUTO ROSCAVEL DE 3", COM TAMPA CEGA</v>
          </cell>
          <cell r="C1382" t="str">
            <v xml:space="preserve">UN    </v>
          </cell>
          <cell r="D1382">
            <v>61.62</v>
          </cell>
        </row>
        <row r="1383">
          <cell r="A1383">
            <v>2582</v>
          </cell>
          <cell r="B1383" t="str">
            <v>CONDULETE DE ALUMINIO TIPO X, PARA ELETRODUTO ROSCAVEL DE 1 1/2", COM TAMPA CEGA</v>
          </cell>
          <cell r="C1383" t="str">
            <v xml:space="preserve">UN    </v>
          </cell>
          <cell r="D1383">
            <v>18.350000000000001</v>
          </cell>
        </row>
        <row r="1384">
          <cell r="A1384">
            <v>2597</v>
          </cell>
          <cell r="B1384" t="str">
            <v>CONDULETE DE ALUMINIO TIPO X, PARA ELETRODUTO ROSCAVEL DE 1 1/4", COM TAMPA CEGA</v>
          </cell>
          <cell r="C1384" t="str">
            <v xml:space="preserve">UN    </v>
          </cell>
          <cell r="D1384">
            <v>15.72</v>
          </cell>
        </row>
        <row r="1385">
          <cell r="A1385">
            <v>2579</v>
          </cell>
          <cell r="B1385" t="str">
            <v>CONDULETE DE ALUMINIO TIPO X, PARA ELETRODUTO ROSCAVEL DE 1/2", COM TAMPA CEGA</v>
          </cell>
          <cell r="C1385" t="str">
            <v xml:space="preserve">UN    </v>
          </cell>
          <cell r="D1385">
            <v>7.48</v>
          </cell>
        </row>
        <row r="1386">
          <cell r="A1386">
            <v>2581</v>
          </cell>
          <cell r="B1386" t="str">
            <v>CONDULETE DE ALUMINIO TIPO X, PARA ELETRODUTO ROSCAVEL DE 1", COM TAMPA CEGA</v>
          </cell>
          <cell r="C1386" t="str">
            <v xml:space="preserve">UN    </v>
          </cell>
          <cell r="D1386">
            <v>9.58</v>
          </cell>
        </row>
        <row r="1387">
          <cell r="A1387">
            <v>2596</v>
          </cell>
          <cell r="B1387" t="str">
            <v>CONDULETE DE ALUMINIO TIPO X, PARA ELETRODUTO ROSCAVEL DE 2", COM TAMPA CEGA</v>
          </cell>
          <cell r="C1387" t="str">
            <v xml:space="preserve">UN    </v>
          </cell>
          <cell r="D1387">
            <v>28.33</v>
          </cell>
        </row>
        <row r="1388">
          <cell r="A1388">
            <v>2580</v>
          </cell>
          <cell r="B1388" t="str">
            <v>CONDULETE DE ALUMINIO TIPO X, PARA ELETRODUTO ROSCAVEL DE 3/4", COM TAMPA CEGA</v>
          </cell>
          <cell r="C1388" t="str">
            <v xml:space="preserve">UN    </v>
          </cell>
          <cell r="D1388">
            <v>8.1999999999999993</v>
          </cell>
        </row>
        <row r="1389">
          <cell r="A1389">
            <v>2583</v>
          </cell>
          <cell r="B1389" t="str">
            <v>CONDULETE DE ALUMINIO TIPO X, PARA ELETRODUTO ROSCAVEL DE 3", COM TAMPA CEGA</v>
          </cell>
          <cell r="C1389" t="str">
            <v xml:space="preserve">UN    </v>
          </cell>
          <cell r="D1389">
            <v>68.92</v>
          </cell>
        </row>
        <row r="1390">
          <cell r="A1390">
            <v>2584</v>
          </cell>
          <cell r="B1390" t="str">
            <v>CONDULETE DE ALUMINIO TIPO X, PARA ELETRODUTO ROSCAVEL DE 4", COM TAMPA CEGA</v>
          </cell>
          <cell r="C1390" t="str">
            <v xml:space="preserve">UN    </v>
          </cell>
          <cell r="D1390">
            <v>114.73</v>
          </cell>
        </row>
        <row r="1391">
          <cell r="A1391">
            <v>12010</v>
          </cell>
          <cell r="B1391" t="str">
            <v>CONDULETE EM PVC, TIPO "B", SEM TAMPA, DE 1/2" OU 3/4"</v>
          </cell>
          <cell r="C1391" t="str">
            <v xml:space="preserve">UN    </v>
          </cell>
          <cell r="D1391">
            <v>7.05</v>
          </cell>
        </row>
        <row r="1392">
          <cell r="A1392">
            <v>39329</v>
          </cell>
          <cell r="B1392" t="str">
            <v>CONDULETE EM PVC, TIPO "B", SEM TAMPA, DE 1"</v>
          </cell>
          <cell r="C1392" t="str">
            <v xml:space="preserve">UN    </v>
          </cell>
          <cell r="D1392">
            <v>7.37</v>
          </cell>
        </row>
        <row r="1393">
          <cell r="A1393">
            <v>39330</v>
          </cell>
          <cell r="B1393" t="str">
            <v>CONDULETE EM PVC, TIPO "C", SEM TAMPA, DE 1/2"</v>
          </cell>
          <cell r="C1393" t="str">
            <v xml:space="preserve">UN    </v>
          </cell>
          <cell r="D1393">
            <v>7.76</v>
          </cell>
        </row>
        <row r="1394">
          <cell r="A1394">
            <v>39332</v>
          </cell>
          <cell r="B1394" t="str">
            <v>CONDULETE EM PVC, TIPO "C", SEM TAMPA, DE 1"</v>
          </cell>
          <cell r="C1394" t="str">
            <v xml:space="preserve">UN    </v>
          </cell>
          <cell r="D1394">
            <v>8.67</v>
          </cell>
        </row>
        <row r="1395">
          <cell r="A1395">
            <v>39331</v>
          </cell>
          <cell r="B1395" t="str">
            <v>CONDULETE EM PVC, TIPO "C", SEM TAMPA, DE 3/4"</v>
          </cell>
          <cell r="C1395" t="str">
            <v xml:space="preserve">UN    </v>
          </cell>
          <cell r="D1395">
            <v>6.9</v>
          </cell>
        </row>
        <row r="1396">
          <cell r="A1396">
            <v>39333</v>
          </cell>
          <cell r="B1396" t="str">
            <v>CONDULETE EM PVC, TIPO "E", SEM TAMPA, DE 1/2"</v>
          </cell>
          <cell r="C1396" t="str">
            <v xml:space="preserve">UN    </v>
          </cell>
          <cell r="D1396">
            <v>6.73</v>
          </cell>
        </row>
        <row r="1397">
          <cell r="A1397">
            <v>39335</v>
          </cell>
          <cell r="B1397" t="str">
            <v>CONDULETE EM PVC, TIPO "E", SEM TAMPA, DE 1"</v>
          </cell>
          <cell r="C1397" t="str">
            <v xml:space="preserve">UN    </v>
          </cell>
          <cell r="D1397">
            <v>7.79</v>
          </cell>
        </row>
        <row r="1398">
          <cell r="A1398">
            <v>39334</v>
          </cell>
          <cell r="B1398" t="str">
            <v>CONDULETE EM PVC, TIPO "E", SEM TAMPA, DE 3/4"</v>
          </cell>
          <cell r="C1398" t="str">
            <v xml:space="preserve">UN    </v>
          </cell>
          <cell r="D1398">
            <v>6.19</v>
          </cell>
        </row>
        <row r="1399">
          <cell r="A1399">
            <v>12016</v>
          </cell>
          <cell r="B1399" t="str">
            <v>CONDULETE EM PVC, TIPO "LB", SEM TAMPA, DE 1/2" OU 3/4"</v>
          </cell>
          <cell r="C1399" t="str">
            <v xml:space="preserve">UN    </v>
          </cell>
          <cell r="D1399">
            <v>7.77</v>
          </cell>
        </row>
        <row r="1400">
          <cell r="A1400">
            <v>12015</v>
          </cell>
          <cell r="B1400" t="str">
            <v>CONDULETE EM PVC, TIPO "LB", SEM TAMPA, DE 1"</v>
          </cell>
          <cell r="C1400" t="str">
            <v xml:space="preserve">UN    </v>
          </cell>
          <cell r="D1400">
            <v>9.0399999999999991</v>
          </cell>
        </row>
        <row r="1401">
          <cell r="A1401">
            <v>12020</v>
          </cell>
          <cell r="B1401" t="str">
            <v>CONDULETE EM PVC, TIPO "LL", SEM TAMPA, DE 1/2" OU 3/4"</v>
          </cell>
          <cell r="C1401" t="str">
            <v xml:space="preserve">UN    </v>
          </cell>
          <cell r="D1401">
            <v>7.77</v>
          </cell>
        </row>
        <row r="1402">
          <cell r="A1402">
            <v>12019</v>
          </cell>
          <cell r="B1402" t="str">
            <v>CONDULETE EM PVC, TIPO "LL", SEM TAMPA, DE 1"</v>
          </cell>
          <cell r="C1402" t="str">
            <v xml:space="preserve">UN    </v>
          </cell>
          <cell r="D1402">
            <v>9.0399999999999991</v>
          </cell>
        </row>
        <row r="1403">
          <cell r="A1403">
            <v>39336</v>
          </cell>
          <cell r="B1403" t="str">
            <v>CONDULETE EM PVC, TIPO "LR", SEM TAMPA, DE 1/2"</v>
          </cell>
          <cell r="C1403" t="str">
            <v xml:space="preserve">UN    </v>
          </cell>
          <cell r="D1403">
            <v>7.76</v>
          </cell>
        </row>
        <row r="1404">
          <cell r="A1404">
            <v>39338</v>
          </cell>
          <cell r="B1404" t="str">
            <v>CONDULETE EM PVC, TIPO "LR", SEM TAMPA, DE 1"</v>
          </cell>
          <cell r="C1404" t="str">
            <v xml:space="preserve">UN    </v>
          </cell>
          <cell r="D1404">
            <v>8.67</v>
          </cell>
        </row>
        <row r="1405">
          <cell r="A1405">
            <v>39337</v>
          </cell>
          <cell r="B1405" t="str">
            <v>CONDULETE EM PVC, TIPO "LR", SEM TAMPA, DE 3/4"</v>
          </cell>
          <cell r="C1405" t="str">
            <v xml:space="preserve">UN    </v>
          </cell>
          <cell r="D1405">
            <v>6.9</v>
          </cell>
        </row>
        <row r="1406">
          <cell r="A1406">
            <v>39341</v>
          </cell>
          <cell r="B1406" t="str">
            <v>CONDULETE EM PVC, TIPO "T", SEM TAMPA, DE 1"</v>
          </cell>
          <cell r="C1406" t="str">
            <v xml:space="preserve">UN    </v>
          </cell>
          <cell r="D1406">
            <v>11.3</v>
          </cell>
        </row>
        <row r="1407">
          <cell r="A1407">
            <v>39340</v>
          </cell>
          <cell r="B1407" t="str">
            <v>CONDULETE EM PVC, TIPO "T", SEM TAMPA, DE 3/4"</v>
          </cell>
          <cell r="C1407" t="str">
            <v xml:space="preserve">UN    </v>
          </cell>
          <cell r="D1407">
            <v>8.3000000000000007</v>
          </cell>
        </row>
        <row r="1408">
          <cell r="A1408">
            <v>12025</v>
          </cell>
          <cell r="B1408" t="str">
            <v>CONDULETE EM PVC, TIPO "TB", SEM TAMPA, DE 1/2" OU 3/4"</v>
          </cell>
          <cell r="C1408" t="str">
            <v xml:space="preserve">UN    </v>
          </cell>
          <cell r="D1408">
            <v>8.57</v>
          </cell>
        </row>
        <row r="1409">
          <cell r="A1409">
            <v>39342</v>
          </cell>
          <cell r="B1409" t="str">
            <v>CONDULETE EM PVC, TIPO "TB", SEM TAMPA, DE 1"</v>
          </cell>
          <cell r="C1409" t="str">
            <v xml:space="preserve">UN    </v>
          </cell>
          <cell r="D1409">
            <v>11.3</v>
          </cell>
        </row>
        <row r="1410">
          <cell r="A1410">
            <v>39343</v>
          </cell>
          <cell r="B1410" t="str">
            <v>CONDULETE EM PVC, TIPO "X", SEM TAMPA, DE 1/2"</v>
          </cell>
          <cell r="C1410" t="str">
            <v xml:space="preserve">UN    </v>
          </cell>
          <cell r="D1410">
            <v>9.5399999999999991</v>
          </cell>
        </row>
        <row r="1411">
          <cell r="A1411">
            <v>39345</v>
          </cell>
          <cell r="B1411" t="str">
            <v>CONDULETE EM PVC, TIPO "X", SEM TAMPA, DE 1"</v>
          </cell>
          <cell r="C1411" t="str">
            <v xml:space="preserve">UN    </v>
          </cell>
          <cell r="D1411">
            <v>12.92</v>
          </cell>
        </row>
        <row r="1412">
          <cell r="A1412">
            <v>39344</v>
          </cell>
          <cell r="B1412" t="str">
            <v>CONDULETE EM PVC, TIPO "X", SEM TAMPA, DE 3/4"</v>
          </cell>
          <cell r="C1412" t="str">
            <v xml:space="preserve">UN    </v>
          </cell>
          <cell r="D1412">
            <v>9.23</v>
          </cell>
        </row>
        <row r="1413">
          <cell r="A1413">
            <v>12623</v>
          </cell>
          <cell r="B1413" t="str">
            <v>CONDUTOR PLUVIAL, PVC, CIRCULAR, DIAMETRO ENTRE 80 E 100 MM, PARA DRENAGEM PREDIAL</v>
          </cell>
          <cell r="C1413" t="str">
            <v xml:space="preserve">M     </v>
          </cell>
          <cell r="D1413">
            <v>10.69</v>
          </cell>
        </row>
        <row r="1414">
          <cell r="A1414">
            <v>34498</v>
          </cell>
          <cell r="B1414" t="str">
            <v>CONE DE SINALIZACAO EM PVC FLEXIVEL, H = 70 / 76 CM (NBR 15071)</v>
          </cell>
          <cell r="C1414" t="str">
            <v xml:space="preserve">UN    </v>
          </cell>
          <cell r="D1414">
            <v>70.08</v>
          </cell>
        </row>
        <row r="1415">
          <cell r="A1415">
            <v>13244</v>
          </cell>
          <cell r="B1415" t="str">
            <v>CONE DE SINALIZACAO EM PVC RIGIDO COM FAIXA REFLETIVA, H = 70 / 76 CM</v>
          </cell>
          <cell r="C1415" t="str">
            <v xml:space="preserve">UN    </v>
          </cell>
          <cell r="D1415">
            <v>29.5</v>
          </cell>
        </row>
        <row r="1416">
          <cell r="A1416">
            <v>38998</v>
          </cell>
          <cell r="B1416" t="str">
            <v>CONECTOR / ADAPTADOR FEMEA, COM INSERTO METALICO, PPR, DN 25 MM X 1/2", PARA AGUA QUENTE E FRIA PREDIAL</v>
          </cell>
          <cell r="C1416" t="str">
            <v xml:space="preserve">UN    </v>
          </cell>
          <cell r="D1416">
            <v>7.85</v>
          </cell>
        </row>
        <row r="1417">
          <cell r="A1417">
            <v>38999</v>
          </cell>
          <cell r="B1417" t="str">
            <v>CONECTOR / ADAPTADOR FEMEA, COM INSERTO METALICO, PPR, DN 32 MM X 3/4", PARA AGUA QUENTE E FRIA PREDIAL</v>
          </cell>
          <cell r="C1417" t="str">
            <v xml:space="preserve">UN    </v>
          </cell>
          <cell r="D1417">
            <v>12.99</v>
          </cell>
        </row>
        <row r="1418">
          <cell r="A1418">
            <v>38996</v>
          </cell>
          <cell r="B1418" t="str">
            <v>CONECTOR / ADAPTADOR MACHO, COM INSERTO METALICO, PPR, DN 25 MM X 1/2", PARA AGUA QUENTE E FRIA PREDIAL</v>
          </cell>
          <cell r="C1418" t="str">
            <v xml:space="preserve">UN    </v>
          </cell>
          <cell r="D1418">
            <v>11.34</v>
          </cell>
        </row>
        <row r="1419">
          <cell r="A1419">
            <v>38997</v>
          </cell>
          <cell r="B1419" t="str">
            <v>CONECTOR / ADAPTADOR MACHO, COM INSERTO METALICO, PPR, DN 32 MM X 3/4", PARA AGUA QUENTE E FRIA PREDIAL</v>
          </cell>
          <cell r="C1419" t="str">
            <v xml:space="preserve">UN    </v>
          </cell>
          <cell r="D1419">
            <v>18.350000000000001</v>
          </cell>
        </row>
        <row r="1420">
          <cell r="A1420">
            <v>39862</v>
          </cell>
          <cell r="B1420" t="str">
            <v>CONECTOR BRONZE/LATAO (REF 603) SEM ANEL DE SOLDA, BOLSA X ROSCA F, 15 MM X 1/2"</v>
          </cell>
          <cell r="C1420" t="str">
            <v xml:space="preserve">UN    </v>
          </cell>
          <cell r="D1420">
            <v>7.9</v>
          </cell>
        </row>
        <row r="1421">
          <cell r="A1421">
            <v>39863</v>
          </cell>
          <cell r="B1421" t="str">
            <v>CONECTOR BRONZE/LATAO (REF 603) SEM ANEL DE SOLDA, BOLSA X ROSCA F, 22 MM X 1/2"</v>
          </cell>
          <cell r="C1421" t="str">
            <v xml:space="preserve">UN    </v>
          </cell>
          <cell r="D1421">
            <v>8.01</v>
          </cell>
        </row>
        <row r="1422">
          <cell r="A1422">
            <v>39864</v>
          </cell>
          <cell r="B1422" t="str">
            <v>CONECTOR BRONZE/LATAO (REF 603) SEM ANEL DE SOLDA, BOLSA X ROSCA F, 22 MM X 3/4"</v>
          </cell>
          <cell r="C1422" t="str">
            <v xml:space="preserve">UN    </v>
          </cell>
          <cell r="D1422">
            <v>9.94</v>
          </cell>
        </row>
        <row r="1423">
          <cell r="A1423">
            <v>39865</v>
          </cell>
          <cell r="B1423" t="str">
            <v>CONECTOR BRONZE/LATAO (REF 603) SEM ANEL DE SOLDA, BOLSA X ROSCA F, 28 MM X 1/2"</v>
          </cell>
          <cell r="C1423" t="str">
            <v xml:space="preserve">UN    </v>
          </cell>
          <cell r="D1423">
            <v>14.01</v>
          </cell>
        </row>
        <row r="1424">
          <cell r="A1424">
            <v>2517</v>
          </cell>
          <cell r="B1424" t="str">
            <v>CONECTOR CURVO 90 GRAUS DE ALUMINIO, BITOLA 1 1/2", PARA ADAPTAR ENTRADA DE ELETRODUTO METALICO FLEXIVEL EM QUADROS</v>
          </cell>
          <cell r="C1424" t="str">
            <v xml:space="preserve">UN    </v>
          </cell>
          <cell r="D1424">
            <v>11.43</v>
          </cell>
        </row>
        <row r="1425">
          <cell r="A1425">
            <v>2522</v>
          </cell>
          <cell r="B1425" t="str">
            <v>CONECTOR CURVO 90 GRAUS DE ALUMINIO, BITOLA 1 1/4", PARA ADAPTAR ENTRADA DE ELETRODUTO METALICO FLEXIVEL EM QUADROS</v>
          </cell>
          <cell r="C1425" t="str">
            <v xml:space="preserve">UN    </v>
          </cell>
          <cell r="D1425">
            <v>7.38</v>
          </cell>
        </row>
        <row r="1426">
          <cell r="A1426">
            <v>2548</v>
          </cell>
          <cell r="B1426" t="str">
            <v>CONECTOR CURVO 90 GRAUS DE ALUMINIO, BITOLA 1/2", PARA ADAPTAR ENTRADA DE ELETRODUTO METALICO FLEXIVEL EM QUADROS</v>
          </cell>
          <cell r="C1426" t="str">
            <v xml:space="preserve">UN    </v>
          </cell>
          <cell r="D1426">
            <v>4.54</v>
          </cell>
        </row>
        <row r="1427">
          <cell r="A1427">
            <v>2516</v>
          </cell>
          <cell r="B1427" t="str">
            <v>CONECTOR CURVO 90 GRAUS DE ALUMINIO, BITOLA 1", PARA ADAPTAR ENTRADA DE ELETRODUTO METALICO FLEXIVEL EM QUADROS</v>
          </cell>
          <cell r="C1427" t="str">
            <v xml:space="preserve">UN    </v>
          </cell>
          <cell r="D1427">
            <v>5.93</v>
          </cell>
        </row>
        <row r="1428">
          <cell r="A1428">
            <v>2518</v>
          </cell>
          <cell r="B1428" t="str">
            <v>CONECTOR CURVO 90 GRAUS DE ALUMINIO, BITOLA 2 1/2", PARA ADAPTAR ENTRADA DE ELETRODUTO METALICO FLEXIVEL EM QUADROS</v>
          </cell>
          <cell r="C1428" t="str">
            <v xml:space="preserve">UN    </v>
          </cell>
          <cell r="D1428">
            <v>54.41</v>
          </cell>
        </row>
        <row r="1429">
          <cell r="A1429">
            <v>2521</v>
          </cell>
          <cell r="B1429" t="str">
            <v>CONECTOR CURVO 90 GRAUS DE ALUMINIO, BITOLA 2", PARA ADAPTAR ENTRADA DE ELETRODUTO METALICO FLEXIVEL EM QUADROS</v>
          </cell>
          <cell r="C1429" t="str">
            <v xml:space="preserve">UN    </v>
          </cell>
          <cell r="D1429">
            <v>23.16</v>
          </cell>
        </row>
        <row r="1430">
          <cell r="A1430">
            <v>2515</v>
          </cell>
          <cell r="B1430" t="str">
            <v>CONECTOR CURVO 90 GRAUS DE ALUMINIO, BITOLA 3/4", PARA ADAPTAR ENTRADA DE ELETRODUTO METALICO FLEXIVEL EM QUADROS</v>
          </cell>
          <cell r="C1430" t="str">
            <v xml:space="preserve">UN    </v>
          </cell>
          <cell r="D1430">
            <v>4.93</v>
          </cell>
        </row>
        <row r="1431">
          <cell r="A1431">
            <v>2519</v>
          </cell>
          <cell r="B1431" t="str">
            <v>CONECTOR CURVO 90 GRAUS DE ALUMINIO, BITOLA 3", PARA ADAPTAR ENTRADA DE ELETRODUTO METALICO FLEXIVEL EM QUADROS</v>
          </cell>
          <cell r="C1431" t="str">
            <v xml:space="preserve">UN    </v>
          </cell>
          <cell r="D1431">
            <v>65.61</v>
          </cell>
        </row>
        <row r="1432">
          <cell r="A1432">
            <v>2520</v>
          </cell>
          <cell r="B1432" t="str">
            <v>CONECTOR CURVO 90 GRAUS DE ALUMINIO, BITOLA 4", PARA ADAPTAR ENTRADA DE ELETRODUTO METALICO FLEXIVEL EM QUADROS</v>
          </cell>
          <cell r="C1432" t="str">
            <v xml:space="preserve">UN    </v>
          </cell>
          <cell r="D1432">
            <v>120.75</v>
          </cell>
        </row>
        <row r="1433">
          <cell r="A1433">
            <v>1602</v>
          </cell>
          <cell r="B1433" t="str">
            <v>CONECTOR DE ALUMINIO TIPO PRENSA CABO, BITOLA 1 1/2", PARA CABOS DE DIAMETRO DE 37 A 40 MM</v>
          </cell>
          <cell r="C1433" t="str">
            <v xml:space="preserve">UN    </v>
          </cell>
          <cell r="D1433">
            <v>32</v>
          </cell>
        </row>
        <row r="1434">
          <cell r="A1434">
            <v>1601</v>
          </cell>
          <cell r="B1434" t="str">
            <v>CONECTOR DE ALUMINIO TIPO PRENSA CABO, BITOLA 1 1/4", PARA CABOS DE DIAMETRO DE 31 A 34 MM</v>
          </cell>
          <cell r="C1434" t="str">
            <v xml:space="preserve">UN    </v>
          </cell>
          <cell r="D1434">
            <v>28.52</v>
          </cell>
        </row>
        <row r="1435">
          <cell r="A1435">
            <v>1598</v>
          </cell>
          <cell r="B1435" t="str">
            <v>CONECTOR DE ALUMINIO TIPO PRENSA CABO, BITOLA 1/2", PARA CABOS DE DIAMETRO DE 12,5 A 15 MM</v>
          </cell>
          <cell r="C1435" t="str">
            <v xml:space="preserve">UN    </v>
          </cell>
          <cell r="D1435">
            <v>8.44</v>
          </cell>
        </row>
        <row r="1436">
          <cell r="A1436">
            <v>1600</v>
          </cell>
          <cell r="B1436" t="str">
            <v>CONECTOR DE ALUMINIO TIPO PRENSA CABO, BITOLA 1", PARA CABOS DE DIAMETRO DE 22,5 A 25 MM</v>
          </cell>
          <cell r="C1436" t="str">
            <v xml:space="preserve">UN    </v>
          </cell>
          <cell r="D1436">
            <v>12.45</v>
          </cell>
        </row>
        <row r="1437">
          <cell r="A1437">
            <v>1603</v>
          </cell>
          <cell r="B1437" t="str">
            <v>CONECTOR DE ALUMINIO TIPO PRENSA CABO, BITOLA 2", PARA CABOS DE DIAMETRO DE 47,5 A 50 MM</v>
          </cell>
          <cell r="C1437" t="str">
            <v xml:space="preserve">UN    </v>
          </cell>
          <cell r="D1437">
            <v>48.31</v>
          </cell>
        </row>
        <row r="1438">
          <cell r="A1438">
            <v>1599</v>
          </cell>
          <cell r="B1438" t="str">
            <v>CONECTOR DE ALUMINIO TIPO PRENSA CABO, BITOLA 3/4", PARA CABOS DE DIAMETRO DE 17,5 A 20 MM</v>
          </cell>
          <cell r="C1438" t="str">
            <v xml:space="preserve">UN    </v>
          </cell>
          <cell r="D1438">
            <v>9.7899999999999991</v>
          </cell>
        </row>
        <row r="1439">
          <cell r="A1439">
            <v>1597</v>
          </cell>
          <cell r="B1439" t="str">
            <v>CONECTOR DE ALUMINIO TIPO PRENSA CABO, BITOLA 3/8", PARA CABOS DE DIAMETRO DE 9 A 10 MM</v>
          </cell>
          <cell r="C1439" t="str">
            <v xml:space="preserve">UN    </v>
          </cell>
          <cell r="D1439">
            <v>7.93</v>
          </cell>
        </row>
        <row r="1440">
          <cell r="A1440">
            <v>39600</v>
          </cell>
          <cell r="B1440" t="str">
            <v>CONECTOR FEMEA RJ - 45, CATEGORIA 5 E</v>
          </cell>
          <cell r="C1440" t="str">
            <v xml:space="preserve">UN    </v>
          </cell>
          <cell r="D1440">
            <v>8.93</v>
          </cell>
        </row>
        <row r="1441">
          <cell r="A1441">
            <v>39601</v>
          </cell>
          <cell r="B1441" t="str">
            <v>CONECTOR FEMEA RJ - 45, CATEGORIA 6</v>
          </cell>
          <cell r="C1441" t="str">
            <v xml:space="preserve">UN    </v>
          </cell>
          <cell r="D1441">
            <v>15.54</v>
          </cell>
        </row>
        <row r="1442">
          <cell r="A1442">
            <v>39602</v>
          </cell>
          <cell r="B1442" t="str">
            <v>CONECTOR MACHO RJ - 45, CATEGORIA 5 E</v>
          </cell>
          <cell r="C1442" t="str">
            <v xml:space="preserve">UN    </v>
          </cell>
          <cell r="D1442">
            <v>1.02</v>
          </cell>
        </row>
        <row r="1443">
          <cell r="A1443">
            <v>39603</v>
          </cell>
          <cell r="B1443" t="str">
            <v>CONECTOR MACHO RJ - 45, CATEGORIA 6</v>
          </cell>
          <cell r="C1443" t="str">
            <v xml:space="preserve">UN    </v>
          </cell>
          <cell r="D1443">
            <v>1.75</v>
          </cell>
        </row>
        <row r="1444">
          <cell r="A1444">
            <v>11821</v>
          </cell>
          <cell r="B1444" t="str">
            <v>CONECTOR METALICO TIPO PARAFUSO FENDIDO (SPLIT BOLT), COM SEPARADOR DE CABOS BIMETALICOS, PARA CABOS ATE 25 MM2</v>
          </cell>
          <cell r="C1444" t="str">
            <v xml:space="preserve">UN    </v>
          </cell>
          <cell r="D1444">
            <v>6.51</v>
          </cell>
        </row>
        <row r="1445">
          <cell r="A1445">
            <v>1562</v>
          </cell>
          <cell r="B1445" t="str">
            <v>CONECTOR METALICO TIPO PARAFUSO FENDIDO (SPLIT BOLT), COM SEPARADOR DE CABOS BIMETALICOS, PARA CABOS ATE 50 MM2</v>
          </cell>
          <cell r="C1445" t="str">
            <v xml:space="preserve">UN    </v>
          </cell>
          <cell r="D1445">
            <v>10.67</v>
          </cell>
        </row>
        <row r="1446">
          <cell r="A1446">
            <v>1563</v>
          </cell>
          <cell r="B1446" t="str">
            <v>CONECTOR METALICO TIPO PARAFUSO FENDIDO (SPLIT BOLT), COM SEPARADOR DE CABOS BIMETALICOS, PARA CABOS ATE 70 MM2</v>
          </cell>
          <cell r="C1446" t="str">
            <v xml:space="preserve">UN    </v>
          </cell>
          <cell r="D1446">
            <v>14.32</v>
          </cell>
        </row>
        <row r="1447">
          <cell r="A1447">
            <v>11856</v>
          </cell>
          <cell r="B1447" t="str">
            <v>CONECTOR METALICO TIPO PARAFUSO FENDIDO (SPLIT BOLT), PARA CABOS ATE 10 MM2</v>
          </cell>
          <cell r="C1447" t="str">
            <v xml:space="preserve">UN    </v>
          </cell>
          <cell r="D1447">
            <v>4.2699999999999996</v>
          </cell>
        </row>
        <row r="1448">
          <cell r="A1448">
            <v>11857</v>
          </cell>
          <cell r="B1448" t="str">
            <v>CONECTOR METALICO TIPO PARAFUSO FENDIDO (SPLIT BOLT), PARA CABOS ATE 120 MM2</v>
          </cell>
          <cell r="C1448" t="str">
            <v xml:space="preserve">UN    </v>
          </cell>
          <cell r="D1448">
            <v>22.47</v>
          </cell>
        </row>
        <row r="1449">
          <cell r="A1449">
            <v>11858</v>
          </cell>
          <cell r="B1449" t="str">
            <v>CONECTOR METALICO TIPO PARAFUSO FENDIDO (SPLIT BOLT), PARA CABOS ATE 150 MM2</v>
          </cell>
          <cell r="C1449" t="str">
            <v xml:space="preserve">UN    </v>
          </cell>
          <cell r="D1449">
            <v>27.89</v>
          </cell>
        </row>
        <row r="1450">
          <cell r="A1450">
            <v>1539</v>
          </cell>
          <cell r="B1450" t="str">
            <v>CONECTOR METALICO TIPO PARAFUSO FENDIDO (SPLIT BOLT), PARA CABOS ATE 16 MM2</v>
          </cell>
          <cell r="C1450" t="str">
            <v xml:space="preserve">UN    </v>
          </cell>
          <cell r="D1450">
            <v>5.01</v>
          </cell>
        </row>
        <row r="1451">
          <cell r="A1451">
            <v>11859</v>
          </cell>
          <cell r="B1451" t="str">
            <v>CONECTOR METALICO TIPO PARAFUSO FENDIDO (SPLIT BOLT), PARA CABOS ATE 185 MM2</v>
          </cell>
          <cell r="C1451" t="str">
            <v xml:space="preserve">UN    </v>
          </cell>
          <cell r="D1451">
            <v>37.94</v>
          </cell>
        </row>
        <row r="1452">
          <cell r="A1452">
            <v>1550</v>
          </cell>
          <cell r="B1452" t="str">
            <v>CONECTOR METALICO TIPO PARAFUSO FENDIDO (SPLIT BOLT), PARA CABOS ATE 25 MM2</v>
          </cell>
          <cell r="C1452" t="str">
            <v xml:space="preserve">UN    </v>
          </cell>
          <cell r="D1452">
            <v>5.29</v>
          </cell>
        </row>
        <row r="1453">
          <cell r="A1453">
            <v>11854</v>
          </cell>
          <cell r="B1453" t="str">
            <v>CONECTOR METALICO TIPO PARAFUSO FENDIDO (SPLIT BOLT), PARA CABOS ATE 35 MM2</v>
          </cell>
          <cell r="C1453" t="str">
            <v xml:space="preserve">UN    </v>
          </cell>
          <cell r="D1453">
            <v>6.61</v>
          </cell>
        </row>
        <row r="1454">
          <cell r="A1454">
            <v>11862</v>
          </cell>
          <cell r="B1454" t="str">
            <v>CONECTOR METALICO TIPO PARAFUSO FENDIDO (SPLIT BOLT), PARA CABOS ATE 50 MM2</v>
          </cell>
          <cell r="C1454" t="str">
            <v xml:space="preserve">UN    </v>
          </cell>
          <cell r="D1454">
            <v>9.2799999999999994</v>
          </cell>
        </row>
        <row r="1455">
          <cell r="A1455">
            <v>11863</v>
          </cell>
          <cell r="B1455" t="str">
            <v>CONECTOR METALICO TIPO PARAFUSO FENDIDO (SPLIT BOLT), PARA CABOS ATE 6 MM2</v>
          </cell>
          <cell r="C1455" t="str">
            <v xml:space="preserve">UN    </v>
          </cell>
          <cell r="D1455">
            <v>3.74</v>
          </cell>
        </row>
        <row r="1456">
          <cell r="A1456">
            <v>11855</v>
          </cell>
          <cell r="B1456" t="str">
            <v>CONECTOR METALICO TIPO PARAFUSO FENDIDO (SPLIT BOLT), PARA CABOS ATE 70 MM2</v>
          </cell>
          <cell r="C1456" t="str">
            <v xml:space="preserve">UN    </v>
          </cell>
          <cell r="D1456">
            <v>13.85</v>
          </cell>
        </row>
        <row r="1457">
          <cell r="A1457">
            <v>11864</v>
          </cell>
          <cell r="B1457" t="str">
            <v>CONECTOR METALICO TIPO PARAFUSO FENDIDO (SPLIT BOLT), PARA CABOS ATE 95 MM2</v>
          </cell>
          <cell r="C1457" t="str">
            <v xml:space="preserve">UN    </v>
          </cell>
          <cell r="D1457">
            <v>20.94</v>
          </cell>
        </row>
        <row r="1458">
          <cell r="A1458">
            <v>2527</v>
          </cell>
          <cell r="B1458" t="str">
            <v>CONECTOR RETO DE ALUMINIO PARA ELETRODUTO DE 1 1/2", PARA ADAPTAR ENTRADA DE ELETRODUTO METALICO FLEXIVEL EM QUADROS</v>
          </cell>
          <cell r="C1458" t="str">
            <v xml:space="preserve">UN    </v>
          </cell>
          <cell r="D1458">
            <v>4.09</v>
          </cell>
        </row>
        <row r="1459">
          <cell r="A1459">
            <v>2526</v>
          </cell>
          <cell r="B1459" t="str">
            <v>CONECTOR RETO DE ALUMINIO PARA ELETRODUTO DE 1 1/4", PARA ADAPTAR ENTRADA DE ELETRODUTO METALICO FLEXIVEL EM QUADROS</v>
          </cell>
          <cell r="C1459" t="str">
            <v xml:space="preserve">UN    </v>
          </cell>
          <cell r="D1459">
            <v>2.62</v>
          </cell>
        </row>
        <row r="1460">
          <cell r="A1460">
            <v>2487</v>
          </cell>
          <cell r="B1460" t="str">
            <v>CONECTOR RETO DE ALUMINIO PARA ELETRODUTO DE 1/2", PARA ADAPTAR ENTRADA DE ELETRODUTO METALICO FLEXIVEL EM QUADROS</v>
          </cell>
          <cell r="C1460" t="str">
            <v xml:space="preserve">UN    </v>
          </cell>
          <cell r="D1460">
            <v>0.89</v>
          </cell>
        </row>
        <row r="1461">
          <cell r="A1461">
            <v>2483</v>
          </cell>
          <cell r="B1461" t="str">
            <v>CONECTOR RETO DE ALUMINIO PARA ELETRODUTO DE 1", PARA ADAPTAR ENTRADA DE ELETRODUTO METALICO FLEXIVEL EM QUADROS</v>
          </cell>
          <cell r="C1461" t="str">
            <v xml:space="preserve">UN    </v>
          </cell>
          <cell r="D1461">
            <v>1.86</v>
          </cell>
        </row>
        <row r="1462">
          <cell r="A1462">
            <v>2528</v>
          </cell>
          <cell r="B1462" t="str">
            <v>CONECTOR RETO DE ALUMINIO PARA ELETRODUTO DE 2 1/2", PARA ADAPTAR ENTRADA DE ELETRODUTO METALICO FLEXIVEL EM QUADROS</v>
          </cell>
          <cell r="C1462" t="str">
            <v xml:space="preserve">UN    </v>
          </cell>
          <cell r="D1462">
            <v>10.29</v>
          </cell>
        </row>
        <row r="1463">
          <cell r="A1463">
            <v>2489</v>
          </cell>
          <cell r="B1463" t="str">
            <v>CONECTOR RETO DE ALUMINIO PARA ELETRODUTO DE 2", PARA ADAPTAR ENTRADA DE ELETRODUTO METALICO FLEXIVEL EM QUADROS</v>
          </cell>
          <cell r="C1463" t="str">
            <v xml:space="preserve">UN    </v>
          </cell>
          <cell r="D1463">
            <v>4.53</v>
          </cell>
        </row>
        <row r="1464">
          <cell r="A1464">
            <v>2488</v>
          </cell>
          <cell r="B1464" t="str">
            <v>CONECTOR RETO DE ALUMINIO PARA ELETRODUTO DE 3/4", PARA ADAPTAR ENTRADA DE ELETRODUTO METALICO FLEXIVEL EM QUADROS</v>
          </cell>
          <cell r="C1464" t="str">
            <v xml:space="preserve">UN    </v>
          </cell>
          <cell r="D1464">
            <v>1.04</v>
          </cell>
        </row>
        <row r="1465">
          <cell r="A1465">
            <v>2484</v>
          </cell>
          <cell r="B1465" t="str">
            <v>CONECTOR RETO DE ALUMINIO PARA ELETRODUTO DE 3", PARA ADAPTAR ENTRADA DE ELETRODUTO METALICO FLEXIVEL EM QUADROS</v>
          </cell>
          <cell r="C1465" t="str">
            <v xml:space="preserve">UN    </v>
          </cell>
          <cell r="D1465">
            <v>14.95</v>
          </cell>
        </row>
        <row r="1466">
          <cell r="A1466">
            <v>2485</v>
          </cell>
          <cell r="B1466" t="str">
            <v>CONECTOR RETO DE ALUMINIO PARA ELETRODUTO DE 4", PARA ADAPTAR ENTRADA DE ELETRODUTO METALICO FLEXIVEL EM QUADROS</v>
          </cell>
          <cell r="C1466" t="str">
            <v xml:space="preserve">UN    </v>
          </cell>
          <cell r="D1466">
            <v>23.43</v>
          </cell>
        </row>
        <row r="1467">
          <cell r="A1467">
            <v>38005</v>
          </cell>
          <cell r="B1467" t="str">
            <v>CONECTOR, CPVC, SOLDAVEL, 15 MM X 1/2", PARA AGUA QUENTE</v>
          </cell>
          <cell r="C1467" t="str">
            <v xml:space="preserve">UN    </v>
          </cell>
          <cell r="D1467">
            <v>21.69</v>
          </cell>
        </row>
        <row r="1468">
          <cell r="A1468">
            <v>38006</v>
          </cell>
          <cell r="B1468" t="str">
            <v>CONECTOR, CPVC, SOLDAVEL, 22 MM X 1/2", PARA AGUA QUENTE</v>
          </cell>
          <cell r="C1468" t="str">
            <v xml:space="preserve">UN    </v>
          </cell>
          <cell r="D1468">
            <v>26.63</v>
          </cell>
        </row>
        <row r="1469">
          <cell r="A1469">
            <v>38428</v>
          </cell>
          <cell r="B1469" t="str">
            <v>CONECTOR, CPVC, SOLDAVEL, 22 MM X 3/4", PARA AGUA QUENTE</v>
          </cell>
          <cell r="C1469" t="str">
            <v xml:space="preserve">UN    </v>
          </cell>
          <cell r="D1469">
            <v>24.94</v>
          </cell>
        </row>
        <row r="1470">
          <cell r="A1470">
            <v>38007</v>
          </cell>
          <cell r="B1470" t="str">
            <v>CONECTOR, CPVC, SOLDAVEL, 28 MM X 1", PARA AGUA QUENTE</v>
          </cell>
          <cell r="C1470" t="str">
            <v xml:space="preserve">UN    </v>
          </cell>
          <cell r="D1470">
            <v>40.75</v>
          </cell>
        </row>
        <row r="1471">
          <cell r="A1471">
            <v>38008</v>
          </cell>
          <cell r="B1471" t="str">
            <v>CONECTOR, CPVC, SOLDAVEL, 35 MM X 1 1/4", PARA AGUA QUENTE</v>
          </cell>
          <cell r="C1471" t="str">
            <v xml:space="preserve">UN    </v>
          </cell>
          <cell r="D1471">
            <v>164.13</v>
          </cell>
        </row>
        <row r="1472">
          <cell r="A1472">
            <v>38009</v>
          </cell>
          <cell r="B1472" t="str">
            <v>CONECTOR, CPVC, SOLDAVEL, 42 MM X 1 1/2", PARA AGUA QUENTE</v>
          </cell>
          <cell r="C1472" t="str">
            <v xml:space="preserve">UN    </v>
          </cell>
          <cell r="D1472">
            <v>200.59</v>
          </cell>
        </row>
        <row r="1473">
          <cell r="A1473">
            <v>39279</v>
          </cell>
          <cell r="B1473" t="str">
            <v>CONEXAO FIXA, ROSCA FEMEA, EM PLASTICO, DN 16 MM X 1/2", PARA CONEXAO COM CRIMPAGEM EM TUBO PEX</v>
          </cell>
          <cell r="C1473" t="str">
            <v xml:space="preserve">UN    </v>
          </cell>
          <cell r="D1473">
            <v>9.5399999999999991</v>
          </cell>
        </row>
        <row r="1474">
          <cell r="A1474">
            <v>38845</v>
          </cell>
          <cell r="B1474" t="str">
            <v>CONEXAO FIXA, ROSCA FEMEA, EM PLASTICO, DN 16 MM X 3/4", PARA CONEXAO COM CRIMPAGEM EM TUBO PEX</v>
          </cell>
          <cell r="C1474" t="str">
            <v xml:space="preserve">UN    </v>
          </cell>
          <cell r="D1474">
            <v>13.8</v>
          </cell>
        </row>
        <row r="1475">
          <cell r="A1475">
            <v>39280</v>
          </cell>
          <cell r="B1475" t="str">
            <v>CONEXAO FIXA, ROSCA FEMEA, EM PLASTICO, DN 20 MM X 1/2", PARA CONEXAO COM CRIMPAGEM EM TUBO PEX</v>
          </cell>
          <cell r="C1475" t="str">
            <v xml:space="preserve">UN    </v>
          </cell>
          <cell r="D1475">
            <v>12.37</v>
          </cell>
        </row>
        <row r="1476">
          <cell r="A1476">
            <v>39281</v>
          </cell>
          <cell r="B1476" t="str">
            <v>CONEXAO FIXA, ROSCA FEMEA, EM PLASTICO, DN 20 MM X 3/4", PARA CONEXAO COM CRIMPAGEM EM TUBO PEX</v>
          </cell>
          <cell r="C1476" t="str">
            <v xml:space="preserve">UN    </v>
          </cell>
          <cell r="D1476">
            <v>16.28</v>
          </cell>
        </row>
        <row r="1477">
          <cell r="A1477">
            <v>38849</v>
          </cell>
          <cell r="B1477" t="str">
            <v>CONEXAO FIXA, ROSCA FEMEA, EM PLASTICO, DN 25 MM X 1/2", PARA CONEXAO COM CRIMPAGEM EM TUBO PEX</v>
          </cell>
          <cell r="C1477" t="str">
            <v xml:space="preserve">UN    </v>
          </cell>
          <cell r="D1477">
            <v>13.95</v>
          </cell>
        </row>
        <row r="1478">
          <cell r="A1478">
            <v>39282</v>
          </cell>
          <cell r="B1478" t="str">
            <v>CONEXAO FIXA, ROSCA FEMEA, EM PLASTICO, DN 25 MM X 3/4", PARA CONEXAO COM CRIMPAGEM EM TUBO PEX</v>
          </cell>
          <cell r="C1478" t="str">
            <v xml:space="preserve">UN    </v>
          </cell>
          <cell r="D1478">
            <v>16.670000000000002</v>
          </cell>
        </row>
        <row r="1479">
          <cell r="A1479">
            <v>38852</v>
          </cell>
          <cell r="B1479" t="str">
            <v>CONEXAO FIXA, ROSCA FEMEA, EM PLASTICO, DN 32 MM X 3/4", PARA CONEXAO COM CRIMPAGEM EM TUBO PEX</v>
          </cell>
          <cell r="C1479" t="str">
            <v xml:space="preserve">UN    </v>
          </cell>
          <cell r="D1479">
            <v>22.68</v>
          </cell>
        </row>
        <row r="1480">
          <cell r="A1480">
            <v>38844</v>
          </cell>
          <cell r="B1480" t="str">
            <v>CONEXAO FIXA, ROSCA FEMEA, METALICA, COM ANEL DESLIZANTE, DN 16 MM X 1/2", PARA TUBO PEX</v>
          </cell>
          <cell r="C1480" t="str">
            <v xml:space="preserve">UN    </v>
          </cell>
          <cell r="D1480">
            <v>6.97</v>
          </cell>
        </row>
        <row r="1481">
          <cell r="A1481">
            <v>38846</v>
          </cell>
          <cell r="B1481" t="str">
            <v>CONEXAO FIXA, ROSCA FEMEA, METALICA, COM ANEL DESLIZANTE, DN 20 MM X 1/2", PARA TUBO PEX</v>
          </cell>
          <cell r="C1481" t="str">
            <v xml:space="preserve">UN    </v>
          </cell>
          <cell r="D1481">
            <v>7.62</v>
          </cell>
        </row>
        <row r="1482">
          <cell r="A1482">
            <v>38847</v>
          </cell>
          <cell r="B1482" t="str">
            <v>CONEXAO FIXA, ROSCA FEMEA, METALICA, COM ANEL DESLIZANTE, DN 20 MM X 3/4", PARA TUBO PEX</v>
          </cell>
          <cell r="C1482" t="str">
            <v xml:space="preserve">UN    </v>
          </cell>
          <cell r="D1482">
            <v>9.3800000000000008</v>
          </cell>
        </row>
        <row r="1483">
          <cell r="A1483">
            <v>38850</v>
          </cell>
          <cell r="B1483" t="str">
            <v>CONEXAO FIXA, ROSCA FEMEA, METALICA, COM ANEL DESLIZANTE, DN 25 MM X 1", PARA TUBO PEX</v>
          </cell>
          <cell r="C1483" t="str">
            <v xml:space="preserve">UN    </v>
          </cell>
          <cell r="D1483">
            <v>13.04</v>
          </cell>
        </row>
        <row r="1484">
          <cell r="A1484">
            <v>38848</v>
          </cell>
          <cell r="B1484" t="str">
            <v>CONEXAO FIXA, ROSCA FEMEA, METALICA, COM ANEL DESLIZANTE, DN 25 MM X 3/4", PARA TUBO PEX</v>
          </cell>
          <cell r="C1484" t="str">
            <v xml:space="preserve">UN    </v>
          </cell>
          <cell r="D1484">
            <v>10.9</v>
          </cell>
        </row>
        <row r="1485">
          <cell r="A1485">
            <v>38851</v>
          </cell>
          <cell r="B1485" t="str">
            <v>CONEXAO FIXA, ROSCA FEMEA, METALICA, COM ANEL DESLIZANTE, DN 32 MM X 1", PARA TUBO PEX</v>
          </cell>
          <cell r="C1485" t="str">
            <v xml:space="preserve">UN    </v>
          </cell>
          <cell r="D1485">
            <v>19.82</v>
          </cell>
        </row>
        <row r="1486">
          <cell r="A1486">
            <v>38860</v>
          </cell>
          <cell r="B1486" t="str">
            <v>CONEXAO FIXA, ROSCA MACHO, METALICA, PARA TUBO PEX, DN 16 MM X 1/2"</v>
          </cell>
          <cell r="C1486" t="str">
            <v xml:space="preserve">UN    </v>
          </cell>
          <cell r="D1486">
            <v>5.6</v>
          </cell>
        </row>
        <row r="1487">
          <cell r="A1487">
            <v>38861</v>
          </cell>
          <cell r="B1487" t="str">
            <v>CONEXAO FIXA, ROSCA MACHO, METALICA, PARA TUBO PEX, DN 16 MM X 3/4"</v>
          </cell>
          <cell r="C1487" t="str">
            <v xml:space="preserve">UN    </v>
          </cell>
          <cell r="D1487">
            <v>7.54</v>
          </cell>
        </row>
        <row r="1488">
          <cell r="A1488">
            <v>38862</v>
          </cell>
          <cell r="B1488" t="str">
            <v>CONEXAO FIXA, ROSCA MACHO, METALICA, PARA TUBO PEX, DN 20 MM X 1/2"</v>
          </cell>
          <cell r="C1488" t="str">
            <v xml:space="preserve">UN    </v>
          </cell>
          <cell r="D1488">
            <v>6.35</v>
          </cell>
        </row>
        <row r="1489">
          <cell r="A1489">
            <v>38863</v>
          </cell>
          <cell r="B1489" t="str">
            <v>CONEXAO FIXA, ROSCA MACHO, METALICA, PARA TUBO PEX, DN 20 MM X 3/4"</v>
          </cell>
          <cell r="C1489" t="str">
            <v xml:space="preserve">UN    </v>
          </cell>
          <cell r="D1489">
            <v>7.3</v>
          </cell>
        </row>
        <row r="1490">
          <cell r="A1490">
            <v>38865</v>
          </cell>
          <cell r="B1490" t="str">
            <v>CONEXAO FIXA, ROSCA MACHO, METALICA, PARA TUBO PEX, DN 25 MM X 1/2"</v>
          </cell>
          <cell r="C1490" t="str">
            <v xml:space="preserve">UN    </v>
          </cell>
          <cell r="D1490">
            <v>9.91</v>
          </cell>
        </row>
        <row r="1491">
          <cell r="A1491">
            <v>38864</v>
          </cell>
          <cell r="B1491" t="str">
            <v>CONEXAO FIXA, ROSCA MACHO, METALICA, PARA TUBO PEX, DN 25 MM X 1"</v>
          </cell>
          <cell r="C1491" t="str">
            <v xml:space="preserve">UN    </v>
          </cell>
          <cell r="D1491">
            <v>15.15</v>
          </cell>
        </row>
        <row r="1492">
          <cell r="A1492">
            <v>38866</v>
          </cell>
          <cell r="B1492" t="str">
            <v>CONEXAO FIXA, ROSCA MACHO, METALICA, PARA TUBO PEX, DN 25 MM X 3/4"</v>
          </cell>
          <cell r="C1492" t="str">
            <v xml:space="preserve">UN    </v>
          </cell>
          <cell r="D1492">
            <v>10.67</v>
          </cell>
        </row>
        <row r="1493">
          <cell r="A1493">
            <v>38868</v>
          </cell>
          <cell r="B1493" t="str">
            <v>CONEXAO FIXA, ROSCA MACHO, METALICA, PARA TUBO PEX, DN 32 MM X 1"</v>
          </cell>
          <cell r="C1493" t="str">
            <v xml:space="preserve">UN    </v>
          </cell>
          <cell r="D1493">
            <v>17.78</v>
          </cell>
        </row>
        <row r="1494">
          <cell r="A1494">
            <v>38853</v>
          </cell>
          <cell r="B1494" t="str">
            <v>CONEXAO MOVEL, ROSCA FEMEA, METALICA, COM ANEL DESLIZANTE, PARA TUBO PEX, DN 16 MM X 1/2"</v>
          </cell>
          <cell r="C1494" t="str">
            <v xml:space="preserve">UN    </v>
          </cell>
          <cell r="D1494">
            <v>5.74</v>
          </cell>
        </row>
        <row r="1495">
          <cell r="A1495">
            <v>38854</v>
          </cell>
          <cell r="B1495" t="str">
            <v>CONEXAO MOVEL, ROSCA FEMEA, METALICA, COM ANEL DESLIZANTE, PARA TUBO PEX, DN 16 MM X 3/4"</v>
          </cell>
          <cell r="C1495" t="str">
            <v xml:space="preserve">UN    </v>
          </cell>
          <cell r="D1495">
            <v>7.85</v>
          </cell>
        </row>
        <row r="1496">
          <cell r="A1496">
            <v>38855</v>
          </cell>
          <cell r="B1496" t="str">
            <v>CONEXAO MOVEL, ROSCA FEMEA, METALICA, COM ANEL DESLIZANTE, PARA TUBO PEX, DN 20 MM X 1/2"</v>
          </cell>
          <cell r="C1496" t="str">
            <v xml:space="preserve">UN    </v>
          </cell>
          <cell r="D1496">
            <v>5.82</v>
          </cell>
        </row>
        <row r="1497">
          <cell r="A1497">
            <v>38856</v>
          </cell>
          <cell r="B1497" t="str">
            <v>CONEXAO MOVEL, ROSCA FEMEA, METALICA, COM ANEL DESLIZANTE, PARA TUBO PEX, DN 20 MM X 3/4"</v>
          </cell>
          <cell r="C1497" t="str">
            <v xml:space="preserve">UN    </v>
          </cell>
          <cell r="D1497">
            <v>9.35</v>
          </cell>
        </row>
        <row r="1498">
          <cell r="A1498">
            <v>38857</v>
          </cell>
          <cell r="B1498" t="str">
            <v>CONEXAO MOVEL, ROSCA FEMEA, METALICA, COM ANEL DESLIZANTE, PARA TUBO PEX, DN 25 MM X 1"</v>
          </cell>
          <cell r="C1498" t="str">
            <v xml:space="preserve">UN    </v>
          </cell>
          <cell r="D1498">
            <v>12.37</v>
          </cell>
        </row>
        <row r="1499">
          <cell r="A1499">
            <v>38858</v>
          </cell>
          <cell r="B1499" t="str">
            <v>CONEXAO MOVEL, ROSCA FEMEA, METALICA, COM ANEL DESLIZANTE, PARA TUBO PEX, DN 25 MM X 3/4"</v>
          </cell>
          <cell r="C1499" t="str">
            <v xml:space="preserve">UN    </v>
          </cell>
          <cell r="D1499">
            <v>11.25</v>
          </cell>
        </row>
        <row r="1500">
          <cell r="A1500">
            <v>38859</v>
          </cell>
          <cell r="B1500" t="str">
            <v>CONEXAO MOVEL, ROSCA FEMEA, METALICA, COM ANEL DESLIZANTE, PARA TUBO PEX, DN 32 MM X 1"</v>
          </cell>
          <cell r="C1500" t="str">
            <v xml:space="preserve">UN    </v>
          </cell>
          <cell r="D1500">
            <v>18.22</v>
          </cell>
        </row>
        <row r="1501">
          <cell r="A1501">
            <v>1607</v>
          </cell>
          <cell r="B1501" t="str">
            <v>CONJUNTO ARRUELAS DE VEDACAO 5/16" PARA TELHA FIBROCIMENTO (UMA ARRUELA METALICA E UMA ARRUELA PVC - CONICAS)</v>
          </cell>
          <cell r="C1501" t="str">
            <v xml:space="preserve">CJ    </v>
          </cell>
          <cell r="D1501">
            <v>0.15</v>
          </cell>
        </row>
        <row r="1502">
          <cell r="A1502">
            <v>11467</v>
          </cell>
          <cell r="B1502" t="str">
            <v>CONJUNTO DE FECHADURA DE SOBREPOR EM FERRO PINTADO, SEM MACANETA, COM CHAVE GRANDE (SEM CILINDRO) - TIPO CAIXAO - COMPLETA</v>
          </cell>
          <cell r="C1502" t="str">
            <v xml:space="preserve">UN    </v>
          </cell>
          <cell r="D1502">
            <v>15.23</v>
          </cell>
        </row>
        <row r="1503">
          <cell r="A1503">
            <v>38169</v>
          </cell>
          <cell r="B1503" t="str">
            <v>CONJUNTO DE FERRAGENS PIVO, PARA PORTA PIVOTANTE DE ATE 100 KG, REGULAVEL COM ESFERA , CROMADO - SUPERIOR E INFERIOR - COMPLETO</v>
          </cell>
          <cell r="C1503" t="str">
            <v xml:space="preserve">CJ    </v>
          </cell>
          <cell r="D1503">
            <v>64.22</v>
          </cell>
        </row>
        <row r="1504">
          <cell r="A1504">
            <v>6142</v>
          </cell>
          <cell r="B1504" t="str">
            <v>CONJUNTO DE LIGACAO PARA BACIA SANITARIA AJUSTAVEL, EM PLASTICO BRANCO, COM TUBO, CANOPLA E ESPUDE</v>
          </cell>
          <cell r="C1504" t="str">
            <v xml:space="preserve">UN    </v>
          </cell>
          <cell r="D1504">
            <v>5.66</v>
          </cell>
        </row>
        <row r="1505">
          <cell r="A1505">
            <v>11686</v>
          </cell>
          <cell r="B1505" t="str">
            <v>CONJUNTO DE LIGACAO PARA BACIA SANITARIA EM PLASTICO BRANCO COM TUBO, CANOPLA E ANEL DE EXPANSAO (TUBO 1.1/2 '' X 20 CM)</v>
          </cell>
          <cell r="C1505" t="str">
            <v xml:space="preserve">UN    </v>
          </cell>
          <cell r="D1505">
            <v>7.86</v>
          </cell>
        </row>
        <row r="1506">
          <cell r="A1506">
            <v>37598</v>
          </cell>
          <cell r="B1506" t="str">
            <v>CONJUNTO MONTADO ESTOPIM COM ESPOLETA COMUM NUMERO 8, COM CABECA ACENDEDORA, 1,5 M</v>
          </cell>
          <cell r="C1506" t="str">
            <v xml:space="preserve">UN    </v>
          </cell>
          <cell r="D1506">
            <v>18.899999999999999</v>
          </cell>
        </row>
        <row r="1507">
          <cell r="A1507">
            <v>25398</v>
          </cell>
          <cell r="B1507" t="str">
            <v>CONJUNTO PARA FUTSAL COM TRAVES OFICIAIS DE 3,00 X 2,00 M EM TUBO DE ACO GALVANIZADO 3" COM REQUADRO EM TUBO DE 1", PINTURA EM PRIMER COM TINTA ESMALTE SINTETICO E REDES DE POLIETILENO FIO 4 MM</v>
          </cell>
          <cell r="C1507" t="str">
            <v xml:space="preserve">UN    </v>
          </cell>
          <cell r="D1507">
            <v>2307.08</v>
          </cell>
        </row>
        <row r="1508">
          <cell r="A1508">
            <v>25399</v>
          </cell>
          <cell r="B1508" t="str">
            <v>CONJUNTO PARA QUADRA DE  VOLEI COM POSTES EM TUBO DE ACO GALVANIZADO 3", H = *255* CM, PINTURA EM TINTA ESMALTE SINTETICO, REDE DE NYLON COM 2 MM, MALHA 10 X 10 CM E ANTENAS OFICIAIS EM FIBRA DE VIDRO</v>
          </cell>
          <cell r="C1508" t="str">
            <v xml:space="preserve">UN    </v>
          </cell>
          <cell r="D1508">
            <v>1400.6</v>
          </cell>
        </row>
        <row r="1509">
          <cell r="A1509">
            <v>10667</v>
          </cell>
          <cell r="B1509" t="str">
            <v>CONTAINER ALMOXARIFADO, DE *2,40* X *6,00* M, PADRAO SIMPLES, SEM REVESTIMENTO E SEM DIVISORIAS INTERNOS E SEM SANITARIO, PARA USO EM CANTEIRO DE OBRAS</v>
          </cell>
          <cell r="C1509" t="str">
            <v xml:space="preserve">UN    </v>
          </cell>
          <cell r="D1509">
            <v>10837.85</v>
          </cell>
        </row>
        <row r="1510">
          <cell r="A1510">
            <v>1613</v>
          </cell>
          <cell r="B1510" t="str">
            <v>CONTATOR TRIPOLAR, CORRENTE DE *110* A, TENSAO NOMINAL DE *500* V, CATEGORIA AC-2 E AC-3</v>
          </cell>
          <cell r="C1510" t="str">
            <v xml:space="preserve">UN    </v>
          </cell>
          <cell r="D1510">
            <v>1215.1400000000001</v>
          </cell>
        </row>
        <row r="1511">
          <cell r="A1511">
            <v>1626</v>
          </cell>
          <cell r="B1511" t="str">
            <v>CONTATOR TRIPOLAR, CORRENTE DE *185* A, TENSAO NOMINAL DE *500* V, CATEGORIA AC-2 E AC-3</v>
          </cell>
          <cell r="C1511" t="str">
            <v xml:space="preserve">UN    </v>
          </cell>
          <cell r="D1511">
            <v>1817.39</v>
          </cell>
        </row>
        <row r="1512">
          <cell r="A1512">
            <v>1625</v>
          </cell>
          <cell r="B1512" t="str">
            <v>CONTATOR TRIPOLAR, CORRENTE DE *22* A, TENSAO NOMINAL DE *500* V, CATEGORIA AC-2 E AC-3</v>
          </cell>
          <cell r="C1512" t="str">
            <v xml:space="preserve">UN    </v>
          </cell>
          <cell r="D1512">
            <v>126.94</v>
          </cell>
        </row>
        <row r="1513">
          <cell r="A1513">
            <v>1622</v>
          </cell>
          <cell r="B1513" t="str">
            <v>CONTATOR TRIPOLAR, CORRENTE DE *265* A, TENSAO NOMINAL DE *500* V, CATEGORIA AC-2 E AC-3</v>
          </cell>
          <cell r="C1513" t="str">
            <v xml:space="preserve">UN    </v>
          </cell>
          <cell r="D1513">
            <v>4101.1000000000004</v>
          </cell>
        </row>
        <row r="1514">
          <cell r="A1514">
            <v>1620</v>
          </cell>
          <cell r="B1514" t="str">
            <v>CONTATOR TRIPOLAR, CORRENTE DE *38* A, TENSAO NOMINAL DE *500* V, CATEGORIA AC-2 E AC-3</v>
          </cell>
          <cell r="C1514" t="str">
            <v xml:space="preserve">UN    </v>
          </cell>
          <cell r="D1514">
            <v>267.39999999999998</v>
          </cell>
        </row>
        <row r="1515">
          <cell r="A1515">
            <v>1629</v>
          </cell>
          <cell r="B1515" t="str">
            <v>CONTATOR TRIPOLAR, CORRENTE DE *500* A, TENSAO NOMINAL DE *500* V, CATEGORIA AC-2 E AC-3</v>
          </cell>
          <cell r="C1515" t="str">
            <v xml:space="preserve">UN    </v>
          </cell>
          <cell r="D1515">
            <v>9981.11</v>
          </cell>
        </row>
        <row r="1516">
          <cell r="A1516">
            <v>1627</v>
          </cell>
          <cell r="B1516" t="str">
            <v>CONTATOR TRIPOLAR, CORRENTE DE *65* A, TENSAO NOMINAL DE *500* V, CATEGORIA AC-2 E AC-3</v>
          </cell>
          <cell r="C1516" t="str">
            <v xml:space="preserve">UN    </v>
          </cell>
          <cell r="D1516">
            <v>511.12</v>
          </cell>
        </row>
        <row r="1517">
          <cell r="A1517">
            <v>1623</v>
          </cell>
          <cell r="B1517" t="str">
            <v>CONTATOR TRIPOLAR, CORRENTE DE 12 A, TENSAO NOMINAL DE *500* V, CATEGORIA AC-2 E AC-3</v>
          </cell>
          <cell r="C1517" t="str">
            <v xml:space="preserve">UN    </v>
          </cell>
          <cell r="D1517">
            <v>103.52</v>
          </cell>
        </row>
        <row r="1518">
          <cell r="A1518">
            <v>1619</v>
          </cell>
          <cell r="B1518" t="str">
            <v>CONTATOR TRIPOLAR, CORRENTE DE 25 A, TENSAO NOMINAL DE *500* V, CATEGORIA AC-2 E AC-3</v>
          </cell>
          <cell r="C1518" t="str">
            <v xml:space="preserve">UN    </v>
          </cell>
          <cell r="D1518">
            <v>142.4</v>
          </cell>
        </row>
        <row r="1519">
          <cell r="A1519">
            <v>1630</v>
          </cell>
          <cell r="B1519" t="str">
            <v>CONTATOR TRIPOLAR, CORRENTE DE 250 A, TENSAO NOMINAL DE *500* V, PARA ACIONAMENTO DE CAPACITORES</v>
          </cell>
          <cell r="C1519" t="str">
            <v xml:space="preserve">UN    </v>
          </cell>
          <cell r="D1519">
            <v>3135.38</v>
          </cell>
        </row>
        <row r="1520">
          <cell r="A1520">
            <v>1616</v>
          </cell>
          <cell r="B1520" t="str">
            <v>CONTATOR TRIPOLAR, CORRENTE DE 300 A, TENSAO NOMINAL DE *500* V, CATEGORIA AC-2 E AC-3</v>
          </cell>
          <cell r="C1520" t="str">
            <v xml:space="preserve">UN    </v>
          </cell>
          <cell r="D1520">
            <v>4822.2700000000004</v>
          </cell>
        </row>
        <row r="1521">
          <cell r="A1521">
            <v>1614</v>
          </cell>
          <cell r="B1521" t="str">
            <v>CONTATOR TRIPOLAR, CORRENTE DE 32 A, TENSAO NOMINAL DE *500* V, CATEGORIA AC-2 E AC-3</v>
          </cell>
          <cell r="C1521" t="str">
            <v xml:space="preserve">UN    </v>
          </cell>
          <cell r="D1521">
            <v>220.39</v>
          </cell>
        </row>
        <row r="1522">
          <cell r="A1522">
            <v>1617</v>
          </cell>
          <cell r="B1522" t="str">
            <v>CONTATOR TRIPOLAR, CORRENTE DE 400 A, TENSAO NOMINAL DE *500* V, CATEGORIA AC-2 E AC-3</v>
          </cell>
          <cell r="C1522" t="str">
            <v xml:space="preserve">UN    </v>
          </cell>
          <cell r="D1522">
            <v>5756.74</v>
          </cell>
        </row>
        <row r="1523">
          <cell r="A1523">
            <v>1621</v>
          </cell>
          <cell r="B1523" t="str">
            <v>CONTATOR TRIPOLAR, CORRENTE DE 45 A, TENSAO NOMINAL DE *500* V, CATEGORIA AC-2 E AC-3</v>
          </cell>
          <cell r="C1523" t="str">
            <v xml:space="preserve">UN    </v>
          </cell>
          <cell r="D1523">
            <v>394.17</v>
          </cell>
        </row>
        <row r="1524">
          <cell r="A1524">
            <v>1624</v>
          </cell>
          <cell r="B1524" t="str">
            <v>CONTATOR TRIPOLAR, CORRENTE DE 630 A, TENSAO NOMINAL DE *500* V, CATEGORIA AC-2 E AC-3</v>
          </cell>
          <cell r="C1524" t="str">
            <v xml:space="preserve">UN    </v>
          </cell>
          <cell r="D1524">
            <v>14150.36</v>
          </cell>
        </row>
        <row r="1525">
          <cell r="A1525">
            <v>1615</v>
          </cell>
          <cell r="B1525" t="str">
            <v>CONTATOR TRIPOLAR, CORRENTE DE 75 A, TENSAO NOMINAL DE *500* V, CATEGORIA AC-2 E AC-3</v>
          </cell>
          <cell r="C1525" t="str">
            <v xml:space="preserve">UN    </v>
          </cell>
          <cell r="D1525">
            <v>740.19</v>
          </cell>
        </row>
        <row r="1526">
          <cell r="A1526">
            <v>1612</v>
          </cell>
          <cell r="B1526" t="str">
            <v>CONTATOR TRIPOLAR, CORRENTE DE 9 A, TENSAO NOMINAL DE *500* V, CATEGORIA AC-2 E AC-3</v>
          </cell>
          <cell r="C1526" t="str">
            <v xml:space="preserve">UN    </v>
          </cell>
          <cell r="D1526">
            <v>97.49</v>
          </cell>
        </row>
        <row r="1527">
          <cell r="A1527">
            <v>1618</v>
          </cell>
          <cell r="B1527" t="str">
            <v>CONTATOR TRIPOLAR, CORRENTE DE 95 A, TENSAO NOMINAL DE *500* V, CATEGORIA AC-2 E AC-3</v>
          </cell>
          <cell r="C1527" t="str">
            <v xml:space="preserve">UN    </v>
          </cell>
          <cell r="D1527">
            <v>1017.13</v>
          </cell>
        </row>
        <row r="1528">
          <cell r="A1528">
            <v>14211</v>
          </cell>
          <cell r="B1528" t="str">
            <v>CONTRA-PORCA SEXTAVADA, DIAMETRO NOMINAL 1 3/8", ALTURA 35 MM</v>
          </cell>
          <cell r="C1528" t="str">
            <v xml:space="preserve">UN    </v>
          </cell>
          <cell r="D1528">
            <v>35.18</v>
          </cell>
        </row>
        <row r="1529">
          <cell r="A1529">
            <v>34500</v>
          </cell>
          <cell r="B1529" t="str">
            <v>COORDENADOR / GERENTE DE OBRA</v>
          </cell>
          <cell r="C1529" t="str">
            <v xml:space="preserve">H     </v>
          </cell>
          <cell r="D1529">
            <v>132.94999999999999</v>
          </cell>
        </row>
        <row r="1530">
          <cell r="A1530">
            <v>40934</v>
          </cell>
          <cell r="B1530" t="str">
            <v>COORDENADOR / GERENTE DE OBRA (MENSALISTA)</v>
          </cell>
          <cell r="C1530" t="str">
            <v xml:space="preserve">MES   </v>
          </cell>
          <cell r="D1530">
            <v>23525.83</v>
          </cell>
        </row>
        <row r="1531">
          <cell r="A1531">
            <v>5328</v>
          </cell>
          <cell r="B1531" t="str">
            <v>CORANTE LIQUIDO PARA TINTA PVA, BISNAGA 50 ML</v>
          </cell>
          <cell r="C1531" t="str">
            <v xml:space="preserve">UN    </v>
          </cell>
          <cell r="D1531">
            <v>4.09</v>
          </cell>
        </row>
        <row r="1532">
          <cell r="A1532">
            <v>38200</v>
          </cell>
          <cell r="B1532" t="str">
            <v>CORDA DE POLIAMIDA 12 MM TIPO BOMBEIRO, PARA TRABALHO EM ALTURA</v>
          </cell>
          <cell r="C1532" t="str">
            <v xml:space="preserve">100M  </v>
          </cell>
          <cell r="D1532">
            <v>480.18</v>
          </cell>
        </row>
        <row r="1533">
          <cell r="A1533">
            <v>39269</v>
          </cell>
          <cell r="B1533" t="str">
            <v>CORDAO DE COBRE, FLEXIVEL, TORCIDO, CLASSE 4 OU 5, ISOLACAO EM PVC/D, 300 V, 2 CONDUTORES DE 0,5 MM2</v>
          </cell>
          <cell r="C1533" t="str">
            <v xml:space="preserve">M     </v>
          </cell>
          <cell r="D1533">
            <v>0.76</v>
          </cell>
        </row>
        <row r="1534">
          <cell r="A1534">
            <v>11889</v>
          </cell>
          <cell r="B1534" t="str">
            <v>CORDAO DE COBRE, FLEXIVEL, TORCIDO, CLASSE 4 OU 5, ISOLACAO EM PVC/D, 300 V, 2 CONDUTORES DE 0,75 MM2</v>
          </cell>
          <cell r="C1534" t="str">
            <v xml:space="preserve">M     </v>
          </cell>
          <cell r="D1534">
            <v>1.05</v>
          </cell>
        </row>
        <row r="1535">
          <cell r="A1535">
            <v>39270</v>
          </cell>
          <cell r="B1535" t="str">
            <v>CORDAO DE COBRE, FLEXIVEL, TORCIDO, CLASSE 4 OU 5, ISOLACAO EM PVC/D, 300 V, 2 CONDUTORES DE 1,0 MM2</v>
          </cell>
          <cell r="C1535" t="str">
            <v xml:space="preserve">M     </v>
          </cell>
          <cell r="D1535">
            <v>1.25</v>
          </cell>
        </row>
        <row r="1536">
          <cell r="A1536">
            <v>11890</v>
          </cell>
          <cell r="B1536" t="str">
            <v>CORDAO DE COBRE, FLEXIVEL, TORCIDO, CLASSE 4 OU 5, ISOLACAO EM PVC/D, 300 V, 2 CONDUTORES DE 1,5 MM2</v>
          </cell>
          <cell r="C1536" t="str">
            <v xml:space="preserve">M     </v>
          </cell>
          <cell r="D1536">
            <v>1.63</v>
          </cell>
        </row>
        <row r="1537">
          <cell r="A1537">
            <v>11891</v>
          </cell>
          <cell r="B1537" t="str">
            <v>CORDAO DE COBRE, FLEXIVEL, TORCIDO, CLASSE 4 OU 5, ISOLACAO EM PVC/D, 300 V, 2 CONDUTORES DE 2,5 MM2</v>
          </cell>
          <cell r="C1537" t="str">
            <v xml:space="preserve">M     </v>
          </cell>
          <cell r="D1537">
            <v>2.69</v>
          </cell>
        </row>
        <row r="1538">
          <cell r="A1538">
            <v>11892</v>
          </cell>
          <cell r="B1538" t="str">
            <v>CORDAO DE COBRE, FLEXIVEL, TORCIDO, CLASSE 4 OU 5, ISOLACAO EM PVC/D, 300 V, 2 CONDUTORES DE 4 MM2</v>
          </cell>
          <cell r="C1538" t="str">
            <v xml:space="preserve">M     </v>
          </cell>
          <cell r="D1538">
            <v>4.1500000000000004</v>
          </cell>
        </row>
        <row r="1539">
          <cell r="A1539">
            <v>37601</v>
          </cell>
          <cell r="B1539" t="str">
            <v>CORDEL DETONANTE, NP 05 G/M</v>
          </cell>
          <cell r="C1539" t="str">
            <v xml:space="preserve">M     </v>
          </cell>
          <cell r="D1539">
            <v>4.2</v>
          </cell>
        </row>
        <row r="1540">
          <cell r="A1540">
            <v>1634</v>
          </cell>
          <cell r="B1540" t="str">
            <v>CORDEL DETONANTE, NP 10 G/M</v>
          </cell>
          <cell r="C1540" t="str">
            <v xml:space="preserve">M     </v>
          </cell>
          <cell r="D1540">
            <v>4.33</v>
          </cell>
        </row>
        <row r="1541">
          <cell r="A1541">
            <v>5086</v>
          </cell>
          <cell r="B1541" t="str">
            <v>CORRENTE DE ELO CURTO COMUM, SOLDADA, GALVANIZADA, ESPESSURA DO ELO = 1/2" (12,5 MM)</v>
          </cell>
          <cell r="C1541" t="str">
            <v xml:space="preserve">KG    </v>
          </cell>
          <cell r="D1541">
            <v>26.59</v>
          </cell>
        </row>
        <row r="1542">
          <cell r="A1542">
            <v>11280</v>
          </cell>
          <cell r="B1542" t="str">
            <v>CORTADEIRA DE PISO DE CONCRETO E ASFALTO, PARA DISCO PADRAO DE DIAMETRO 350 MM (14") OU 450 MM (18") , MOTOR A GASOLINA, POTENCIA 13 HP, SEM DISCO</v>
          </cell>
          <cell r="C1542" t="str">
            <v xml:space="preserve">UN    </v>
          </cell>
          <cell r="D1542">
            <v>13034.15</v>
          </cell>
        </row>
        <row r="1543">
          <cell r="A1543">
            <v>40519</v>
          </cell>
          <cell r="B1543" t="str">
            <v>CORTADEIRA HIDRAULICA DE VERGALHAO, PARA ACO DE DIAMETRO ATE 50 MM, MOTOR ELETRICO TRIFASICO, POTENCIA DE 5,5 HP A 7,5 HP</v>
          </cell>
          <cell r="C1543" t="str">
            <v xml:space="preserve">UN    </v>
          </cell>
          <cell r="D1543">
            <v>107449.09</v>
          </cell>
        </row>
        <row r="1544">
          <cell r="A1544">
            <v>39869</v>
          </cell>
          <cell r="B1544" t="str">
            <v>COTOVELO BRONZE/LATAO (REF 707-3) SEM ANEL DE SOLDA, BOLSA X ROSCA F, 15MM X 1/2"</v>
          </cell>
          <cell r="C1544" t="str">
            <v xml:space="preserve">UN    </v>
          </cell>
          <cell r="D1544">
            <v>7.85</v>
          </cell>
        </row>
        <row r="1545">
          <cell r="A1545">
            <v>39870</v>
          </cell>
          <cell r="B1545" t="str">
            <v>COTOVELO BRONZE/LATAO (REF 707-3) SEM ANEL DE SOLDA, BOLSA X ROSCA F, 22MM X 1/2"</v>
          </cell>
          <cell r="C1545" t="str">
            <v xml:space="preserve">UN    </v>
          </cell>
          <cell r="D1545">
            <v>12</v>
          </cell>
        </row>
        <row r="1546">
          <cell r="A1546">
            <v>39871</v>
          </cell>
          <cell r="B1546" t="str">
            <v>COTOVELO BRONZE/LATAO (REF 707-3) SEM ANEL DE SOLDA, BOLSA X ROSCA F, 22MM X 3/4"</v>
          </cell>
          <cell r="C1546" t="str">
            <v xml:space="preserve">UN    </v>
          </cell>
          <cell r="D1546">
            <v>13.45</v>
          </cell>
        </row>
        <row r="1547">
          <cell r="A1547">
            <v>12722</v>
          </cell>
          <cell r="B1547" t="str">
            <v>COTOVELO DE COBRE 90 GRAUS (REF 607) SEM ANEL DE SOLDA, BOLSA X BOLSA, 104 MM</v>
          </cell>
          <cell r="C1547" t="str">
            <v xml:space="preserve">UN    </v>
          </cell>
          <cell r="D1547">
            <v>450.24</v>
          </cell>
        </row>
        <row r="1548">
          <cell r="A1548">
            <v>12714</v>
          </cell>
          <cell r="B1548" t="str">
            <v>COTOVELO DE COBRE 90 GRAUS (REF 607) SEM ANEL DE SOLDA, BOLSA X BOLSA, 15 MM</v>
          </cell>
          <cell r="C1548" t="str">
            <v xml:space="preserve">UN    </v>
          </cell>
          <cell r="D1548">
            <v>2.94</v>
          </cell>
        </row>
        <row r="1549">
          <cell r="A1549">
            <v>12715</v>
          </cell>
          <cell r="B1549" t="str">
            <v>COTOVELO DE COBRE 90 GRAUS (REF 607) SEM ANEL DE SOLDA, BOLSA X BOLSA, 22 MM</v>
          </cell>
          <cell r="C1549" t="str">
            <v xml:space="preserve">UN    </v>
          </cell>
          <cell r="D1549">
            <v>6.63</v>
          </cell>
        </row>
        <row r="1550">
          <cell r="A1550">
            <v>12716</v>
          </cell>
          <cell r="B1550" t="str">
            <v>COTOVELO DE COBRE 90 GRAUS (REF 607) SEM ANEL DE SOLDA, BOLSA X BOLSA, 28 MM</v>
          </cell>
          <cell r="C1550" t="str">
            <v xml:space="preserve">UN    </v>
          </cell>
          <cell r="D1550">
            <v>11.39</v>
          </cell>
        </row>
        <row r="1551">
          <cell r="A1551">
            <v>12717</v>
          </cell>
          <cell r="B1551" t="str">
            <v>COTOVELO DE COBRE 90 GRAUS (REF 607) SEM ANEL DE SOLDA, BOLSA X BOLSA, 35 MM</v>
          </cell>
          <cell r="C1551" t="str">
            <v xml:space="preserve">UN    </v>
          </cell>
          <cell r="D1551">
            <v>22.4</v>
          </cell>
        </row>
        <row r="1552">
          <cell r="A1552">
            <v>12718</v>
          </cell>
          <cell r="B1552" t="str">
            <v>COTOVELO DE COBRE 90 GRAUS (REF 607) SEM ANEL DE SOLDA, BOLSA X BOLSA, 42 MM</v>
          </cell>
          <cell r="C1552" t="str">
            <v xml:space="preserve">UN    </v>
          </cell>
          <cell r="D1552">
            <v>34.369999999999997</v>
          </cell>
        </row>
        <row r="1553">
          <cell r="A1553">
            <v>12719</v>
          </cell>
          <cell r="B1553" t="str">
            <v>COTOVELO DE COBRE 90 GRAUS (REF 607) SEM ANEL DE SOLDA, BOLSA X BOLSA, 54 MM</v>
          </cell>
          <cell r="C1553" t="str">
            <v xml:space="preserve">UN    </v>
          </cell>
          <cell r="D1553">
            <v>54.57</v>
          </cell>
        </row>
        <row r="1554">
          <cell r="A1554">
            <v>12720</v>
          </cell>
          <cell r="B1554" t="str">
            <v>COTOVELO DE COBRE 90 GRAUS (REF 607) SEM ANEL DE SOLDA, BOLSA X BOLSA, 66 MM</v>
          </cell>
          <cell r="C1554" t="str">
            <v xml:space="preserve">UN    </v>
          </cell>
          <cell r="D1554">
            <v>190.01</v>
          </cell>
        </row>
        <row r="1555">
          <cell r="A1555">
            <v>12721</v>
          </cell>
          <cell r="B1555" t="str">
            <v>COTOVELO DE COBRE 90 GRAUS (REF 607) SEM ANEL DE SOLDA, BOLSA X BOLSA, 79 MM</v>
          </cell>
          <cell r="C1555" t="str">
            <v xml:space="preserve">UN    </v>
          </cell>
          <cell r="D1555">
            <v>182.21</v>
          </cell>
        </row>
        <row r="1556">
          <cell r="A1556">
            <v>3468</v>
          </cell>
          <cell r="B1556" t="str">
            <v>COTOVELO DE REDUCAO 90 GRAUS DE FERRO GALVANIZADO, COM ROSCA BSP, DE 1 1/2" X 1"</v>
          </cell>
          <cell r="C1556" t="str">
            <v xml:space="preserve">UN    </v>
          </cell>
          <cell r="D1556">
            <v>19.510000000000002</v>
          </cell>
        </row>
        <row r="1557">
          <cell r="A1557">
            <v>3465</v>
          </cell>
          <cell r="B1557" t="str">
            <v>COTOVELO DE REDUCAO 90 GRAUS DE FERRO GALVANIZADO, COM ROSCA BSP, DE 1 1/2" X 3/4"</v>
          </cell>
          <cell r="C1557" t="str">
            <v xml:space="preserve">UN    </v>
          </cell>
          <cell r="D1557">
            <v>19.510000000000002</v>
          </cell>
        </row>
        <row r="1558">
          <cell r="A1558">
            <v>12403</v>
          </cell>
          <cell r="B1558" t="str">
            <v>COTOVELO DE REDUCAO 90 GRAUS DE FERRO GALVANIZADO, COM ROSCA BSP, DE 1 1/4" X 1"</v>
          </cell>
          <cell r="C1558" t="str">
            <v xml:space="preserve">UN    </v>
          </cell>
          <cell r="D1558">
            <v>13.9</v>
          </cell>
        </row>
        <row r="1559">
          <cell r="A1559">
            <v>3463</v>
          </cell>
          <cell r="B1559" t="str">
            <v>COTOVELO DE REDUCAO 90 GRAUS DE FERRO GALVANIZADO, COM ROSCA BSP, DE 1" X 1/2"</v>
          </cell>
          <cell r="C1559" t="str">
            <v xml:space="preserve">UN    </v>
          </cell>
          <cell r="D1559">
            <v>8.1199999999999992</v>
          </cell>
        </row>
        <row r="1560">
          <cell r="A1560">
            <v>3464</v>
          </cell>
          <cell r="B1560" t="str">
            <v>COTOVELO DE REDUCAO 90 GRAUS DE FERRO GALVANIZADO, COM ROSCA BSP, DE 1" X 3/4"</v>
          </cell>
          <cell r="C1560" t="str">
            <v xml:space="preserve">UN    </v>
          </cell>
          <cell r="D1560">
            <v>8.1199999999999992</v>
          </cell>
        </row>
        <row r="1561">
          <cell r="A1561">
            <v>3466</v>
          </cell>
          <cell r="B1561" t="str">
            <v>COTOVELO DE REDUCAO 90 GRAUS DE FERRO GALVANIZADO, COM ROSCA BSP, DE 2 1/2" X 2"</v>
          </cell>
          <cell r="C1561" t="str">
            <v xml:space="preserve">UN    </v>
          </cell>
          <cell r="D1561">
            <v>49.54</v>
          </cell>
        </row>
        <row r="1562">
          <cell r="A1562">
            <v>3467</v>
          </cell>
          <cell r="B1562" t="str">
            <v>COTOVELO DE REDUCAO 90 GRAUS DE FERRO GALVANIZADO, COM ROSCA BSP, DE 2" X 1 1/2"</v>
          </cell>
          <cell r="C1562" t="str">
            <v xml:space="preserve">UN    </v>
          </cell>
          <cell r="D1562">
            <v>27.98</v>
          </cell>
        </row>
        <row r="1563">
          <cell r="A1563">
            <v>3462</v>
          </cell>
          <cell r="B1563" t="str">
            <v>COTOVELO DE REDUCAO 90 GRAUS DE FERRO GALVANIZADO, COM ROSCA BSP, DE 3/4" X 1/2"</v>
          </cell>
          <cell r="C1563" t="str">
            <v xml:space="preserve">UN    </v>
          </cell>
          <cell r="D1563">
            <v>5.36</v>
          </cell>
        </row>
        <row r="1564">
          <cell r="A1564">
            <v>3446</v>
          </cell>
          <cell r="B1564" t="str">
            <v>COTOVELO 45 GRAUS DE FERRO GALVANIZADO, COM ROSCA BSP, DE 1 1/2"</v>
          </cell>
          <cell r="C1564" t="str">
            <v xml:space="preserve">UN    </v>
          </cell>
          <cell r="D1564">
            <v>16.489999999999998</v>
          </cell>
        </row>
        <row r="1565">
          <cell r="A1565">
            <v>3445</v>
          </cell>
          <cell r="B1565" t="str">
            <v>COTOVELO 45 GRAUS DE FERRO GALVANIZADO, COM ROSCA BSP, DE 1 1/4"</v>
          </cell>
          <cell r="C1565" t="str">
            <v xml:space="preserve">UN    </v>
          </cell>
          <cell r="D1565">
            <v>13.46</v>
          </cell>
        </row>
        <row r="1566">
          <cell r="A1566">
            <v>3441</v>
          </cell>
          <cell r="B1566" t="str">
            <v>COTOVELO 45 GRAUS DE FERRO GALVANIZADO, COM ROSCA BSP, DE 1/2"</v>
          </cell>
          <cell r="C1566" t="str">
            <v xml:space="preserve">UN    </v>
          </cell>
          <cell r="D1566">
            <v>3.8</v>
          </cell>
        </row>
        <row r="1567">
          <cell r="A1567">
            <v>3444</v>
          </cell>
          <cell r="B1567" t="str">
            <v>COTOVELO 45 GRAUS DE FERRO GALVANIZADO, COM ROSCA BSP, DE 1"</v>
          </cell>
          <cell r="C1567" t="str">
            <v xml:space="preserve">UN    </v>
          </cell>
          <cell r="D1567">
            <v>8.2899999999999991</v>
          </cell>
        </row>
        <row r="1568">
          <cell r="A1568">
            <v>12402</v>
          </cell>
          <cell r="B1568" t="str">
            <v>COTOVELO 45 GRAUS DE FERRO GALVANIZADO, COM ROSCA BSP, DE 2 1/2"</v>
          </cell>
          <cell r="C1568" t="str">
            <v xml:space="preserve">UN    </v>
          </cell>
          <cell r="D1568">
            <v>46.37</v>
          </cell>
        </row>
        <row r="1569">
          <cell r="A1569">
            <v>3447</v>
          </cell>
          <cell r="B1569" t="str">
            <v>COTOVELO 45 GRAUS DE FERRO GALVANIZADO, COM ROSCA BSP, DE 2"</v>
          </cell>
          <cell r="C1569" t="str">
            <v xml:space="preserve">UN    </v>
          </cell>
          <cell r="D1569">
            <v>23.99</v>
          </cell>
        </row>
        <row r="1570">
          <cell r="A1570">
            <v>3442</v>
          </cell>
          <cell r="B1570" t="str">
            <v>COTOVELO 45 GRAUS DE FERRO GALVANIZADO, COM ROSCA BSP, DE 3/4"</v>
          </cell>
          <cell r="C1570" t="str">
            <v xml:space="preserve">UN    </v>
          </cell>
          <cell r="D1570">
            <v>5.68</v>
          </cell>
        </row>
        <row r="1571">
          <cell r="A1571">
            <v>3448</v>
          </cell>
          <cell r="B1571" t="str">
            <v>COTOVELO 45 GRAUS DE FERRO GALVANIZADO, COM ROSCA BSP, DE 3"</v>
          </cell>
          <cell r="C1571" t="str">
            <v xml:space="preserve">UN    </v>
          </cell>
          <cell r="D1571">
            <v>67.790000000000006</v>
          </cell>
        </row>
        <row r="1572">
          <cell r="A1572">
            <v>3449</v>
          </cell>
          <cell r="B1572" t="str">
            <v>COTOVELO 45 GRAUS DE FERRO GALVANIZADO, COM ROSCA BSP, DE 4"</v>
          </cell>
          <cell r="C1572" t="str">
            <v xml:space="preserve">UN    </v>
          </cell>
          <cell r="D1572">
            <v>118.79</v>
          </cell>
        </row>
        <row r="1573">
          <cell r="A1573">
            <v>37438</v>
          </cell>
          <cell r="B1573" t="str">
            <v>COTOVELO 45 GRAUS, PEAD PE 100, DE 125 MM, PARA ELETROFUSAO</v>
          </cell>
          <cell r="C1573" t="str">
            <v xml:space="preserve">UN    </v>
          </cell>
          <cell r="D1573">
            <v>149.16</v>
          </cell>
        </row>
        <row r="1574">
          <cell r="A1574">
            <v>37439</v>
          </cell>
          <cell r="B1574" t="str">
            <v>COTOVELO 45 GRAUS, PEAD PE 100, DE 200 MM, PARA ELETROFUSAO</v>
          </cell>
          <cell r="C1574" t="str">
            <v xml:space="preserve">UN    </v>
          </cell>
          <cell r="D1574">
            <v>975.23</v>
          </cell>
        </row>
        <row r="1575">
          <cell r="A1575">
            <v>37435</v>
          </cell>
          <cell r="B1575" t="str">
            <v>COTOVELO 45 GRAUS, PEAD PE 100, DE 32 MM, PARA ELETROFUSAO</v>
          </cell>
          <cell r="C1575" t="str">
            <v xml:space="preserve">UN    </v>
          </cell>
          <cell r="D1575">
            <v>17.53</v>
          </cell>
        </row>
        <row r="1576">
          <cell r="A1576">
            <v>37436</v>
          </cell>
          <cell r="B1576" t="str">
            <v>COTOVELO 45 GRAUS, PEAD PE 100, DE 40 MM, PARA ELETROFUSAO</v>
          </cell>
          <cell r="C1576" t="str">
            <v xml:space="preserve">UN    </v>
          </cell>
          <cell r="D1576">
            <v>20.68</v>
          </cell>
        </row>
        <row r="1577">
          <cell r="A1577">
            <v>37437</v>
          </cell>
          <cell r="B1577" t="str">
            <v>COTOVELO 45 GRAUS, PEAD PE 100, DE 63 MM, PARA ELETROFUSAO</v>
          </cell>
          <cell r="C1577" t="str">
            <v xml:space="preserve">UN    </v>
          </cell>
          <cell r="D1577">
            <v>29.92</v>
          </cell>
        </row>
        <row r="1578">
          <cell r="A1578">
            <v>3473</v>
          </cell>
          <cell r="B1578" t="str">
            <v>COTOVELO 90 GRAUS DE FERRO GALVANIZADO, COM ROSCA BSP MACHO/FEMEA, DE 1 1/2"</v>
          </cell>
          <cell r="C1578" t="str">
            <v xml:space="preserve">UN    </v>
          </cell>
          <cell r="D1578">
            <v>18.649999999999999</v>
          </cell>
        </row>
        <row r="1579">
          <cell r="A1579">
            <v>3474</v>
          </cell>
          <cell r="B1579" t="str">
            <v>COTOVELO 90 GRAUS DE FERRO GALVANIZADO, COM ROSCA BSP MACHO/FEMEA, DE 1 1/4"</v>
          </cell>
          <cell r="C1579" t="str">
            <v xml:space="preserve">UN    </v>
          </cell>
          <cell r="D1579">
            <v>15.37</v>
          </cell>
        </row>
        <row r="1580">
          <cell r="A1580">
            <v>3450</v>
          </cell>
          <cell r="B1580" t="str">
            <v>COTOVELO 90 GRAUS DE FERRO GALVANIZADO, COM ROSCA BSP MACHO/FEMEA, DE 1/2"</v>
          </cell>
          <cell r="C1580" t="str">
            <v xml:space="preserve">UN    </v>
          </cell>
          <cell r="D1580">
            <v>4.45</v>
          </cell>
        </row>
        <row r="1581">
          <cell r="A1581">
            <v>3443</v>
          </cell>
          <cell r="B1581" t="str">
            <v>COTOVELO 90 GRAUS DE FERRO GALVANIZADO, COM ROSCA BSP MACHO/FEMEA, DE 1"</v>
          </cell>
          <cell r="C1581" t="str">
            <v xml:space="preserve">UN    </v>
          </cell>
          <cell r="D1581">
            <v>9.56</v>
          </cell>
        </row>
        <row r="1582">
          <cell r="A1582">
            <v>3453</v>
          </cell>
          <cell r="B1582" t="str">
            <v>COTOVELO 90 GRAUS DE FERRO GALVANIZADO, COM ROSCA BSP MACHO/FEMEA, DE 2 1/2"</v>
          </cell>
          <cell r="C1582" t="str">
            <v xml:space="preserve">UN    </v>
          </cell>
          <cell r="D1582">
            <v>54.44</v>
          </cell>
        </row>
        <row r="1583">
          <cell r="A1583">
            <v>3452</v>
          </cell>
          <cell r="B1583" t="str">
            <v>COTOVELO 90 GRAUS DE FERRO GALVANIZADO, COM ROSCA BSP MACHO/FEMEA, DE 2"</v>
          </cell>
          <cell r="C1583" t="str">
            <v xml:space="preserve">UN    </v>
          </cell>
          <cell r="D1583">
            <v>26.87</v>
          </cell>
        </row>
        <row r="1584">
          <cell r="A1584">
            <v>3451</v>
          </cell>
          <cell r="B1584" t="str">
            <v>COTOVELO 90 GRAUS DE FERRO GALVANIZADO, COM ROSCA BSP MACHO/FEMEA, DE 3/4"</v>
          </cell>
          <cell r="C1584" t="str">
            <v xml:space="preserve">UN    </v>
          </cell>
          <cell r="D1584">
            <v>5.33</v>
          </cell>
        </row>
        <row r="1585">
          <cell r="A1585">
            <v>3454</v>
          </cell>
          <cell r="B1585" t="str">
            <v>COTOVELO 90 GRAUS DE FERRO GALVANIZADO, COM ROSCA BSP MACHO/FEMEA, DE 3"</v>
          </cell>
          <cell r="C1585" t="str">
            <v xml:space="preserve">UN    </v>
          </cell>
          <cell r="D1585">
            <v>82.8</v>
          </cell>
        </row>
        <row r="1586">
          <cell r="A1586">
            <v>3458</v>
          </cell>
          <cell r="B1586" t="str">
            <v>COTOVELO 90 GRAUS DE FERRO GALVANIZADO, COM ROSCA BSP, DE 1 1/2"</v>
          </cell>
          <cell r="C1586" t="str">
            <v xml:space="preserve">UN    </v>
          </cell>
          <cell r="D1586">
            <v>14.95</v>
          </cell>
        </row>
        <row r="1587">
          <cell r="A1587">
            <v>3457</v>
          </cell>
          <cell r="B1587" t="str">
            <v>COTOVELO 90 GRAUS DE FERRO GALVANIZADO, COM ROSCA BSP, DE 1 1/4"</v>
          </cell>
          <cell r="C1587" t="str">
            <v xml:space="preserve">UN    </v>
          </cell>
          <cell r="D1587">
            <v>11.22</v>
          </cell>
        </row>
        <row r="1588">
          <cell r="A1588">
            <v>3455</v>
          </cell>
          <cell r="B1588" t="str">
            <v>COTOVELO 90 GRAUS DE FERRO GALVANIZADO, COM ROSCA BSP, DE 1/2"</v>
          </cell>
          <cell r="C1588" t="str">
            <v xml:space="preserve">UN    </v>
          </cell>
          <cell r="D1588">
            <v>3.18</v>
          </cell>
        </row>
        <row r="1589">
          <cell r="A1589">
            <v>3472</v>
          </cell>
          <cell r="B1589" t="str">
            <v>COTOVELO 90 GRAUS DE FERRO GALVANIZADO, COM ROSCA BSP, DE 1"</v>
          </cell>
          <cell r="C1589" t="str">
            <v xml:space="preserve">UN    </v>
          </cell>
          <cell r="D1589">
            <v>7.16</v>
          </cell>
        </row>
        <row r="1590">
          <cell r="A1590">
            <v>3470</v>
          </cell>
          <cell r="B1590" t="str">
            <v>COTOVELO 90 GRAUS DE FERRO GALVANIZADO, COM ROSCA BSP, DE 2 1/2"</v>
          </cell>
          <cell r="C1590" t="str">
            <v xml:space="preserve">UN    </v>
          </cell>
          <cell r="D1590">
            <v>41.74</v>
          </cell>
        </row>
        <row r="1591">
          <cell r="A1591">
            <v>3471</v>
          </cell>
          <cell r="B1591" t="str">
            <v>COTOVELO 90 GRAUS DE FERRO GALVANIZADO, COM ROSCA BSP, DE 2"</v>
          </cell>
          <cell r="C1591" t="str">
            <v xml:space="preserve">UN    </v>
          </cell>
          <cell r="D1591">
            <v>22.94</v>
          </cell>
        </row>
        <row r="1592">
          <cell r="A1592">
            <v>3456</v>
          </cell>
          <cell r="B1592" t="str">
            <v>COTOVELO 90 GRAUS DE FERRO GALVANIZADO, COM ROSCA BSP, DE 3/4"</v>
          </cell>
          <cell r="C1592" t="str">
            <v xml:space="preserve">UN    </v>
          </cell>
          <cell r="D1592">
            <v>4.7699999999999996</v>
          </cell>
        </row>
        <row r="1593">
          <cell r="A1593">
            <v>3459</v>
          </cell>
          <cell r="B1593" t="str">
            <v>COTOVELO 90 GRAUS DE FERRO GALVANIZADO, COM ROSCA BSP, DE 3"</v>
          </cell>
          <cell r="C1593" t="str">
            <v xml:space="preserve">UN    </v>
          </cell>
          <cell r="D1593">
            <v>58.88</v>
          </cell>
        </row>
        <row r="1594">
          <cell r="A1594">
            <v>3469</v>
          </cell>
          <cell r="B1594" t="str">
            <v>COTOVELO 90 GRAUS DE FERRO GALVANIZADO, COM ROSCA BSP, DE 4"</v>
          </cell>
          <cell r="C1594" t="str">
            <v xml:space="preserve">UN    </v>
          </cell>
          <cell r="D1594">
            <v>111.98</v>
          </cell>
        </row>
        <row r="1595">
          <cell r="A1595">
            <v>3460</v>
          </cell>
          <cell r="B1595" t="str">
            <v>COTOVELO 90 GRAUS DE FERRO GALVANIZADO, COM ROSCA BSP, DE 5"</v>
          </cell>
          <cell r="C1595" t="str">
            <v xml:space="preserve">UN    </v>
          </cell>
          <cell r="D1595">
            <v>163.38999999999999</v>
          </cell>
        </row>
        <row r="1596">
          <cell r="A1596">
            <v>3461</v>
          </cell>
          <cell r="B1596" t="str">
            <v>COTOVELO 90 GRAUS DE FERRO GALVANIZADO, COM ROSCA BSP, DE 6"</v>
          </cell>
          <cell r="C1596" t="str">
            <v xml:space="preserve">UN    </v>
          </cell>
          <cell r="D1596">
            <v>417.63</v>
          </cell>
        </row>
        <row r="1597">
          <cell r="A1597">
            <v>37433</v>
          </cell>
          <cell r="B1597" t="str">
            <v>COTOVELO 90 GRAUS, PEAD PE 100, DE 125 MM, PARA ELETROFUSAO</v>
          </cell>
          <cell r="C1597" t="str">
            <v xml:space="preserve">UN    </v>
          </cell>
          <cell r="D1597">
            <v>149.16</v>
          </cell>
        </row>
        <row r="1598">
          <cell r="A1598">
            <v>37430</v>
          </cell>
          <cell r="B1598" t="str">
            <v>COTOVELO 90 GRAUS, PEAD PE 100, DE 20 MM, PARA ELETROFUSAO</v>
          </cell>
          <cell r="C1598" t="str">
            <v xml:space="preserve">UN    </v>
          </cell>
          <cell r="D1598">
            <v>18.690000000000001</v>
          </cell>
        </row>
        <row r="1599">
          <cell r="A1599">
            <v>37434</v>
          </cell>
          <cell r="B1599" t="str">
            <v>COTOVELO 90 GRAUS, PEAD PE 100, DE 200 MM, PARA ELETROFUSAO</v>
          </cell>
          <cell r="C1599" t="str">
            <v xml:space="preserve">UN    </v>
          </cell>
          <cell r="D1599">
            <v>1390.81</v>
          </cell>
        </row>
        <row r="1600">
          <cell r="A1600">
            <v>37431</v>
          </cell>
          <cell r="B1600" t="str">
            <v>COTOVELO 90 GRAUS, PEAD PE 100, DE 32 MM, PARA ELETROFUSAO</v>
          </cell>
          <cell r="C1600" t="str">
            <v xml:space="preserve">UN    </v>
          </cell>
          <cell r="D1600">
            <v>25.35</v>
          </cell>
        </row>
        <row r="1601">
          <cell r="A1601">
            <v>37432</v>
          </cell>
          <cell r="B1601" t="str">
            <v>COTOVELO 90 GRAUS, PEAD PE 100, DE 63 MM, PARA ELETROFUSAO</v>
          </cell>
          <cell r="C1601" t="str">
            <v xml:space="preserve">UN    </v>
          </cell>
          <cell r="D1601">
            <v>46.77</v>
          </cell>
        </row>
        <row r="1602">
          <cell r="A1602">
            <v>37413</v>
          </cell>
          <cell r="B1602" t="str">
            <v>COTOVELO/JOELHO COM ADAPTADOR, 90 GRAUS, EM POLIPROPILENO, PN 16, PARA TUBOS PEAD, 20 MM X 1/2" - LIGACAO PREDIAL DE AGUA</v>
          </cell>
          <cell r="C1602" t="str">
            <v xml:space="preserve">UN    </v>
          </cell>
          <cell r="D1602">
            <v>2.73</v>
          </cell>
        </row>
        <row r="1603">
          <cell r="A1603">
            <v>37414</v>
          </cell>
          <cell r="B1603" t="str">
            <v>COTOVELO/JOELHO COM ADAPTADOR, 90 GRAUS, EM POLIPROPILENO, PN 16, PARA TUBOS PEAD, 20 MM X 3/4" - LIGACAO PREDIAL DE AGUA</v>
          </cell>
          <cell r="C1603" t="str">
            <v xml:space="preserve">UN    </v>
          </cell>
          <cell r="D1603">
            <v>3.1</v>
          </cell>
        </row>
        <row r="1604">
          <cell r="A1604">
            <v>37415</v>
          </cell>
          <cell r="B1604" t="str">
            <v>COTOVELO/JOELHO COM ADAPTADOR, 90 GRAUS, EM POLIPROPILENO, PN 16, PARA TUBOS PEAD, 32 MM X 1" - LIGACAO PREDIAL DE AGUA</v>
          </cell>
          <cell r="C1604" t="str">
            <v xml:space="preserve">UN    </v>
          </cell>
          <cell r="D1604">
            <v>5.64</v>
          </cell>
        </row>
        <row r="1605">
          <cell r="A1605">
            <v>37416</v>
          </cell>
          <cell r="B1605" t="str">
            <v>COTOVELO/JOELHO 90 GRAUS, EM POLIPROPILENO, PN 16, PARA TUBOS PEAD, 20 X 20 MM - LIGACAO PREDIAL DE AGUA</v>
          </cell>
          <cell r="C1605" t="str">
            <v xml:space="preserve">UN    </v>
          </cell>
          <cell r="D1605">
            <v>2.56</v>
          </cell>
        </row>
        <row r="1606">
          <cell r="A1606">
            <v>37417</v>
          </cell>
          <cell r="B1606" t="str">
            <v>COTOVELO/JOELHO 90 GRAUS, EM POLIPROPILENO, PN 16, PARA TUBOS PEAD, 32 X 32 MM - LIGACAO PREDIAL DE AGUA</v>
          </cell>
          <cell r="C1606" t="str">
            <v xml:space="preserve">UN    </v>
          </cell>
          <cell r="D1606">
            <v>3.68</v>
          </cell>
        </row>
        <row r="1607">
          <cell r="A1607">
            <v>3112</v>
          </cell>
          <cell r="B1607" t="str">
            <v>CREMONA COM CASTANHA BIPARTIDA, COM VARA DE 1.20 M, EM LATAO CROMADO, PARA PORTAS E JANELAS - COMPLETA</v>
          </cell>
          <cell r="C1607" t="str">
            <v xml:space="preserve">CJ    </v>
          </cell>
          <cell r="D1607">
            <v>53.71</v>
          </cell>
        </row>
        <row r="1608">
          <cell r="A1608">
            <v>3113</v>
          </cell>
          <cell r="B1608" t="str">
            <v>CREMONA COM CASTANHA BIPARTIDA, COM VARA DE 1.50 M, EM LATAO CROMADO, PARA PORTAS E JANELAS - COMPLETA</v>
          </cell>
          <cell r="C1608" t="str">
            <v xml:space="preserve">CJ    </v>
          </cell>
          <cell r="D1608">
            <v>61.89</v>
          </cell>
        </row>
        <row r="1609">
          <cell r="A1609">
            <v>3114</v>
          </cell>
          <cell r="B1609" t="str">
            <v>CREMONA LATAO CROMADO, COM CASTANHA BIPARTIDA E PRESILHAS, MEDIDAS APROXIMADAS DE 113 X 40 X 35 MM (NAO INCL VARA FERRO)</v>
          </cell>
          <cell r="C1609" t="str">
            <v xml:space="preserve">UN    </v>
          </cell>
          <cell r="D1609">
            <v>27.96</v>
          </cell>
        </row>
        <row r="1610">
          <cell r="A1610">
            <v>34519</v>
          </cell>
          <cell r="B1610" t="str">
            <v>CRUZETA DE CONCRETO LEVE, COMP. 2000 MM SECAO, 90 X 90 MM</v>
          </cell>
          <cell r="C1610" t="str">
            <v xml:space="preserve">UN    </v>
          </cell>
          <cell r="D1610">
            <v>71.819999999999993</v>
          </cell>
        </row>
        <row r="1611">
          <cell r="A1611">
            <v>10510</v>
          </cell>
          <cell r="B1611" t="str">
            <v>CRUZETA DE EUCALIPTO TRATADO, OU EQUIVALENTE DA REGIAO, *2,4* M, SECAO *9 X 11,5* CM</v>
          </cell>
          <cell r="C1611" t="str">
            <v xml:space="preserve">UN    </v>
          </cell>
          <cell r="D1611">
            <v>70.92</v>
          </cell>
        </row>
        <row r="1612">
          <cell r="A1612">
            <v>1649</v>
          </cell>
          <cell r="B1612" t="str">
            <v>CRUZETA DE FERRO GALVANIZADO, COM ROSCA BSP, DE 1 1/2"</v>
          </cell>
          <cell r="C1612" t="str">
            <v xml:space="preserve">UN    </v>
          </cell>
          <cell r="D1612">
            <v>35.25</v>
          </cell>
        </row>
        <row r="1613">
          <cell r="A1613">
            <v>1653</v>
          </cell>
          <cell r="B1613" t="str">
            <v>CRUZETA DE FERRO GALVANIZADO, COM ROSCA BSP, DE 1 1/4"</v>
          </cell>
          <cell r="C1613" t="str">
            <v xml:space="preserve">UN    </v>
          </cell>
          <cell r="D1613">
            <v>27.61</v>
          </cell>
        </row>
        <row r="1614">
          <cell r="A1614">
            <v>1647</v>
          </cell>
          <cell r="B1614" t="str">
            <v>CRUZETA DE FERRO GALVANIZADO, COM ROSCA BSP, DE 1/2"</v>
          </cell>
          <cell r="C1614" t="str">
            <v xml:space="preserve">UN    </v>
          </cell>
          <cell r="D1614">
            <v>9.89</v>
          </cell>
        </row>
        <row r="1615">
          <cell r="A1615">
            <v>1648</v>
          </cell>
          <cell r="B1615" t="str">
            <v>CRUZETA DE FERRO GALVANIZADO, COM ROSCA BSP, DE 1"</v>
          </cell>
          <cell r="C1615" t="str">
            <v xml:space="preserve">UN    </v>
          </cell>
          <cell r="D1615">
            <v>18.989999999999998</v>
          </cell>
        </row>
        <row r="1616">
          <cell r="A1616">
            <v>1651</v>
          </cell>
          <cell r="B1616" t="str">
            <v>CRUZETA DE FERRO GALVANIZADO, COM ROSCA BSP, DE 2 1/2"</v>
          </cell>
          <cell r="C1616" t="str">
            <v xml:space="preserve">UN    </v>
          </cell>
          <cell r="D1616">
            <v>88.09</v>
          </cell>
        </row>
        <row r="1617">
          <cell r="A1617">
            <v>1650</v>
          </cell>
          <cell r="B1617" t="str">
            <v>CRUZETA DE FERRO GALVANIZADO, COM ROSCA BSP, DE 2"</v>
          </cell>
          <cell r="C1617" t="str">
            <v xml:space="preserve">UN    </v>
          </cell>
          <cell r="D1617">
            <v>48.69</v>
          </cell>
        </row>
        <row r="1618">
          <cell r="A1618">
            <v>1654</v>
          </cell>
          <cell r="B1618" t="str">
            <v>CRUZETA DE FERRO GALVANIZADO, COM ROSCA BSP, DE 3/4"</v>
          </cell>
          <cell r="C1618" t="str">
            <v xml:space="preserve">UN    </v>
          </cell>
          <cell r="D1618">
            <v>13.57</v>
          </cell>
        </row>
        <row r="1619">
          <cell r="A1619">
            <v>1652</v>
          </cell>
          <cell r="B1619" t="str">
            <v>CRUZETA DE FERRO GALVANIZADO, COM ROSCA BSP, DE 3"</v>
          </cell>
          <cell r="C1619" t="str">
            <v xml:space="preserve">UN    </v>
          </cell>
          <cell r="D1619">
            <v>126.43</v>
          </cell>
        </row>
        <row r="1620">
          <cell r="A1620">
            <v>1747</v>
          </cell>
          <cell r="B1620" t="str">
            <v>CUBA ACO INOX (AISI 304) DE EMBUTIR COM VALVULA DE 3 1/2 ", DE *56 X 33 X 12* CM</v>
          </cell>
          <cell r="C1620" t="str">
            <v xml:space="preserve">UN    </v>
          </cell>
          <cell r="D1620">
            <v>139.37</v>
          </cell>
        </row>
        <row r="1621">
          <cell r="A1621">
            <v>1744</v>
          </cell>
          <cell r="B1621" t="str">
            <v>CUBA ACO INOX (AISI 304) DE EMBUTIR COM VALVULA 3 1/2 ", DE *40 X 34 X 12* CM</v>
          </cell>
          <cell r="C1621" t="str">
            <v xml:space="preserve">UN    </v>
          </cell>
          <cell r="D1621">
            <v>96.53</v>
          </cell>
        </row>
        <row r="1622">
          <cell r="A1622">
            <v>1743</v>
          </cell>
          <cell r="B1622" t="str">
            <v>CUBA ACO INOX (AISI 304) DE EMBUTIR COM VALVULA 3 1/2 ", DE *46 X 30 X 12* CM</v>
          </cell>
          <cell r="C1622" t="str">
            <v xml:space="preserve">UN    </v>
          </cell>
          <cell r="D1622">
            <v>126.76</v>
          </cell>
        </row>
        <row r="1623">
          <cell r="A1623">
            <v>7241</v>
          </cell>
          <cell r="B1623" t="str">
            <v>CUMEEIRA ALUMINIO ONDULADA, COMPRIMENTO = *1,12* M, E = 0,8 MM</v>
          </cell>
          <cell r="C1623" t="str">
            <v xml:space="preserve">M2    </v>
          </cell>
          <cell r="D1623">
            <v>58.18</v>
          </cell>
        </row>
        <row r="1624">
          <cell r="A1624">
            <v>39640</v>
          </cell>
          <cell r="B1624" t="str">
            <v>CUMEEIRA ARTICULADA (ABA INFERIOR) PARA TELHA ONDULADA DE FIBROCIMENTO E = 4 MM, ABA *330* MM, COMPRIMENTO 500 MM (SEM AMIANTO)</v>
          </cell>
          <cell r="C1624" t="str">
            <v xml:space="preserve">UN    </v>
          </cell>
          <cell r="D1624">
            <v>5.59</v>
          </cell>
        </row>
        <row r="1625">
          <cell r="A1625">
            <v>11013</v>
          </cell>
          <cell r="B1625" t="str">
            <v>CUMEEIRA ARTICULADA (ABA INTERNA INFERIOR OU EXTERNA SUPERIOR) PARA TELHA ESTRUTURAL DE FIBROCIMENTO, 1 ABA, E = 6 MM (SEM AMIANTO)</v>
          </cell>
          <cell r="C1625" t="str">
            <v xml:space="preserve">UN    </v>
          </cell>
          <cell r="D1625">
            <v>11.52</v>
          </cell>
        </row>
        <row r="1626">
          <cell r="A1626">
            <v>11017</v>
          </cell>
          <cell r="B1626" t="str">
            <v>CUMEEIRA ARTICULADA (ABA SUPERIOR) PARA TELHA ONDULADA DE FIBROCIMENTO E = 4 MM, ABA *330* MM, COMPRIMENTO 500 MM (SEM AMIANTO)</v>
          </cell>
          <cell r="C1626" t="str">
            <v xml:space="preserve">UN    </v>
          </cell>
          <cell r="D1626">
            <v>4.91</v>
          </cell>
        </row>
        <row r="1627">
          <cell r="A1627">
            <v>20236</v>
          </cell>
          <cell r="B1627" t="str">
            <v>CUMEEIRA ARTICULADA (PAR) PARA TELHA ONDULADA DE FIBROCIMENTO, E = 6 MM, ABA 350 MM, COMPRIMENTO 1100 MM (SEM AMIANTO)</v>
          </cell>
          <cell r="C1627" t="str">
            <v xml:space="preserve">UN    </v>
          </cell>
          <cell r="D1627">
            <v>21.65</v>
          </cell>
        </row>
        <row r="1628">
          <cell r="A1628">
            <v>7215</v>
          </cell>
          <cell r="B1628" t="str">
            <v>CUMEEIRA NORMAL PARA TELHA ESTRUTURAL DE FIBROCIMENTO 1 ABA, E = 6 MM, COMPRIMENTO 608 MM (SEM AMIANTO)</v>
          </cell>
          <cell r="C1628" t="str">
            <v xml:space="preserve">UN    </v>
          </cell>
          <cell r="D1628">
            <v>18.53</v>
          </cell>
        </row>
        <row r="1629">
          <cell r="A1629">
            <v>7216</v>
          </cell>
          <cell r="B1629" t="str">
            <v>CUMEEIRA NORMAL PARA TELHA ESTRUTURAL DE FIBROCIMENTO 2 ABAS, E = 6 MM, DE 1050 X 935 MM (SEM AMIANTO)</v>
          </cell>
          <cell r="C1629" t="str">
            <v xml:space="preserve">UN    </v>
          </cell>
          <cell r="D1629">
            <v>77.47</v>
          </cell>
        </row>
        <row r="1630">
          <cell r="A1630">
            <v>20235</v>
          </cell>
          <cell r="B1630" t="str">
            <v>CUMEEIRA NORMAL PARA TELHA ONDULADA DE FIBROCIMENTO, E = 6 MM, ABA 300 MM, COMPRIMENTO 1100 MM (SEM AMIANTO)</v>
          </cell>
          <cell r="C1630" t="str">
            <v xml:space="preserve">UN    </v>
          </cell>
          <cell r="D1630">
            <v>39.17</v>
          </cell>
        </row>
        <row r="1631">
          <cell r="A1631">
            <v>7181</v>
          </cell>
          <cell r="B1631" t="str">
            <v>CUMEEIRA PARA TELHA CERAMICA, COMPRIMENTO DE *41* CM, RENDIMENTO DE *3* TELHAS/M</v>
          </cell>
          <cell r="C1631" t="str">
            <v xml:space="preserve">UN    </v>
          </cell>
          <cell r="D1631">
            <v>4.01</v>
          </cell>
        </row>
        <row r="1632">
          <cell r="A1632">
            <v>40866</v>
          </cell>
          <cell r="B1632" t="str">
            <v>CUMEEIRA PARA TELHA DE CONCRETO, PARA 2 AGUAS DE TELHADO, COR CINZA, RENDIMENTO DE *3* TELHAS/M (COLETADO CAIXA)</v>
          </cell>
          <cell r="C1632" t="str">
            <v xml:space="preserve">UN    </v>
          </cell>
          <cell r="D1632">
            <v>7.43</v>
          </cell>
        </row>
        <row r="1633">
          <cell r="A1633">
            <v>7214</v>
          </cell>
          <cell r="B1633" t="str">
            <v>CUMEEIRA SHED PARA TELHA ONDULADA DE FIBROCIMENTO, E = 6 MM, ABA 280 MM, COMPRIMENTO 1100 MM (SEM AMIANTO)</v>
          </cell>
          <cell r="C1633" t="str">
            <v xml:space="preserve">UN    </v>
          </cell>
          <cell r="D1633">
            <v>26.54</v>
          </cell>
        </row>
        <row r="1634">
          <cell r="A1634">
            <v>7219</v>
          </cell>
          <cell r="B1634" t="str">
            <v>CUMEEIRA UNIVERSAL PARA TELHA ONDULADA DE FIBROCIMENTO, E = 6 MM, ABA 210 MM, COMPRIMENTO 1100 MM (SEM AMIANTO)</v>
          </cell>
          <cell r="C1634" t="str">
            <v xml:space="preserve">UN    </v>
          </cell>
          <cell r="D1634">
            <v>27.47</v>
          </cell>
        </row>
        <row r="1635">
          <cell r="A1635">
            <v>37972</v>
          </cell>
          <cell r="B1635" t="str">
            <v>CURVA CPVC, 90 GRAUS, SOLDAVEL, 22 MM, PARA AGUA QUENTE</v>
          </cell>
          <cell r="C1635" t="str">
            <v xml:space="preserve">UN    </v>
          </cell>
          <cell r="D1635">
            <v>7.77</v>
          </cell>
        </row>
        <row r="1636">
          <cell r="A1636">
            <v>37973</v>
          </cell>
          <cell r="B1636" t="str">
            <v>CURVA CPVC, 90 GRAUS, SOLDAVEL, 28 MM, PARA AGUA QUENTE</v>
          </cell>
          <cell r="C1636" t="str">
            <v xml:space="preserve">UN    </v>
          </cell>
          <cell r="D1636">
            <v>12.44</v>
          </cell>
        </row>
        <row r="1637">
          <cell r="A1637">
            <v>37971</v>
          </cell>
          <cell r="B1637" t="str">
            <v>CURVA CPVC, 90 GRAUS, SOLDAVEL,15 MM, PARA AGUA QUENTE</v>
          </cell>
          <cell r="C1637" t="str">
            <v xml:space="preserve">UN    </v>
          </cell>
          <cell r="D1637">
            <v>4.67</v>
          </cell>
        </row>
        <row r="1638">
          <cell r="A1638">
            <v>20094</v>
          </cell>
          <cell r="B1638" t="str">
            <v>CURVA CURTA PVC, PB, JE, 45 GRAUS, DN 100 MM, PARA REDE COLETORA ESGOTO (NBR 10569)</v>
          </cell>
          <cell r="C1638" t="str">
            <v xml:space="preserve">UN    </v>
          </cell>
          <cell r="D1638">
            <v>15.71</v>
          </cell>
        </row>
        <row r="1639">
          <cell r="A1639">
            <v>20095</v>
          </cell>
          <cell r="B1639" t="str">
            <v>CURVA CURTA PVC, PB, JE, 90 GRAUS, DN 100 MM, PARA REDE COLETORA ESGOTO (NBR 10569)</v>
          </cell>
          <cell r="C1639" t="str">
            <v xml:space="preserve">UN    </v>
          </cell>
          <cell r="D1639">
            <v>20.010000000000002</v>
          </cell>
        </row>
        <row r="1640">
          <cell r="A1640">
            <v>1954</v>
          </cell>
          <cell r="B1640" t="str">
            <v>CURVA DE PVC 45 GRAUS, SOLDAVEL, 110 MM, PARA AGUA FRIA PREDIAL (NBR 5648)</v>
          </cell>
          <cell r="C1640" t="str">
            <v xml:space="preserve">UN    </v>
          </cell>
          <cell r="D1640">
            <v>91.21</v>
          </cell>
        </row>
        <row r="1641">
          <cell r="A1641">
            <v>1926</v>
          </cell>
          <cell r="B1641" t="str">
            <v>CURVA DE PVC 45 GRAUS, SOLDAVEL, 20 MM, PARA AGUA FRIA PREDIAL (NBR 5648)</v>
          </cell>
          <cell r="C1641" t="str">
            <v xml:space="preserve">UN    </v>
          </cell>
          <cell r="D1641">
            <v>1.2</v>
          </cell>
        </row>
        <row r="1642">
          <cell r="A1642">
            <v>1927</v>
          </cell>
          <cell r="B1642" t="str">
            <v>CURVA DE PVC 45 GRAUS, SOLDAVEL, 25 MM, PARA AGUA FRIA PREDIAL (NBR 5648)</v>
          </cell>
          <cell r="C1642" t="str">
            <v xml:space="preserve">UN    </v>
          </cell>
          <cell r="D1642">
            <v>1.59</v>
          </cell>
        </row>
        <row r="1643">
          <cell r="A1643">
            <v>1923</v>
          </cell>
          <cell r="B1643" t="str">
            <v>CURVA DE PVC 45 GRAUS, SOLDAVEL, 32 MM, PARA AGUA FRIA PREDIAL (NBR 5648)</v>
          </cell>
          <cell r="C1643" t="str">
            <v xml:space="preserve">UN    </v>
          </cell>
          <cell r="D1643">
            <v>2.6</v>
          </cell>
        </row>
        <row r="1644">
          <cell r="A1644">
            <v>1929</v>
          </cell>
          <cell r="B1644" t="str">
            <v>CURVA DE PVC 45 GRAUS, SOLDAVEL, 40 MM, PARA AGUA FRIA PREDIAL (NBR 5648)</v>
          </cell>
          <cell r="C1644" t="str">
            <v xml:space="preserve">UN    </v>
          </cell>
          <cell r="D1644">
            <v>4.26</v>
          </cell>
        </row>
        <row r="1645">
          <cell r="A1645">
            <v>1930</v>
          </cell>
          <cell r="B1645" t="str">
            <v>CURVA DE PVC 45 GRAUS, SOLDAVEL, 50 MM, PARA AGUA FRIA PREDIAL (NBR 5648)</v>
          </cell>
          <cell r="C1645" t="str">
            <v xml:space="preserve">UN    </v>
          </cell>
          <cell r="D1645">
            <v>8.26</v>
          </cell>
        </row>
        <row r="1646">
          <cell r="A1646">
            <v>1924</v>
          </cell>
          <cell r="B1646" t="str">
            <v>CURVA DE PVC 45 GRAUS, SOLDAVEL, 60 MM, PARA AGUA FRIA PREDIAL (NBR 5648)</v>
          </cell>
          <cell r="C1646" t="str">
            <v xml:space="preserve">UN    </v>
          </cell>
          <cell r="D1646">
            <v>14.23</v>
          </cell>
        </row>
        <row r="1647">
          <cell r="A1647">
            <v>1922</v>
          </cell>
          <cell r="B1647" t="str">
            <v>CURVA DE PVC 45 GRAUS, SOLDAVEL, 75 MM, PARA AGUA FRIA PREDIAL (NBR 5648)</v>
          </cell>
          <cell r="C1647" t="str">
            <v xml:space="preserve">UN    </v>
          </cell>
          <cell r="D1647">
            <v>21.14</v>
          </cell>
        </row>
        <row r="1648">
          <cell r="A1648">
            <v>1953</v>
          </cell>
          <cell r="B1648" t="str">
            <v>CURVA DE PVC 45 GRAUS, SOLDAVEL, 85 MM, PARA AGUA FRIA PREDIAL (NBR 5648)</v>
          </cell>
          <cell r="C1648" t="str">
            <v xml:space="preserve">UN    </v>
          </cell>
          <cell r="D1648">
            <v>36.950000000000003</v>
          </cell>
        </row>
        <row r="1649">
          <cell r="A1649">
            <v>1962</v>
          </cell>
          <cell r="B1649" t="str">
            <v>CURVA DE PVC 90 GRAUS, SOLDAVEL, 110 MM, PARA AGUA FRIA PREDIAL (NBR 5648)</v>
          </cell>
          <cell r="C1649" t="str">
            <v xml:space="preserve">UN    </v>
          </cell>
          <cell r="D1649">
            <v>120.9</v>
          </cell>
        </row>
        <row r="1650">
          <cell r="A1650">
            <v>1955</v>
          </cell>
          <cell r="B1650" t="str">
            <v>CURVA DE PVC 90 GRAUS, SOLDAVEL, 20 MM, PARA AGUA FRIA PREDIAL (NBR 5648)</v>
          </cell>
          <cell r="C1650" t="str">
            <v xml:space="preserve">UN    </v>
          </cell>
          <cell r="D1650">
            <v>1.59</v>
          </cell>
        </row>
        <row r="1651">
          <cell r="A1651">
            <v>1956</v>
          </cell>
          <cell r="B1651" t="str">
            <v>CURVA DE PVC 90 GRAUS, SOLDAVEL, 25 MM, PARA AGUA FRIA PREDIAL (NBR 5648)</v>
          </cell>
          <cell r="C1651" t="str">
            <v xml:space="preserve">UN    </v>
          </cell>
          <cell r="D1651">
            <v>2.06</v>
          </cell>
        </row>
        <row r="1652">
          <cell r="A1652">
            <v>1957</v>
          </cell>
          <cell r="B1652" t="str">
            <v>CURVA DE PVC 90 GRAUS, SOLDAVEL, 32 MM, PARA AGUA FRIA PREDIAL (NBR 5648)</v>
          </cell>
          <cell r="C1652" t="str">
            <v xml:space="preserve">UN    </v>
          </cell>
          <cell r="D1652">
            <v>4.68</v>
          </cell>
        </row>
        <row r="1653">
          <cell r="A1653">
            <v>1958</v>
          </cell>
          <cell r="B1653" t="str">
            <v>CURVA DE PVC 90 GRAUS, SOLDAVEL, 40 MM, PARA AGUA FRIA PREDIAL (NBR 5648)</v>
          </cell>
          <cell r="C1653" t="str">
            <v xml:space="preserve">UN    </v>
          </cell>
          <cell r="D1653">
            <v>8.32</v>
          </cell>
        </row>
        <row r="1654">
          <cell r="A1654">
            <v>1959</v>
          </cell>
          <cell r="B1654" t="str">
            <v>CURVA DE PVC 90 GRAUS, SOLDAVEL, 50 MM, PARA AGUA FRIA PREDIAL (NBR 5648)</v>
          </cell>
          <cell r="C1654" t="str">
            <v xml:space="preserve">UN    </v>
          </cell>
          <cell r="D1654">
            <v>10.14</v>
          </cell>
        </row>
        <row r="1655">
          <cell r="A1655">
            <v>1925</v>
          </cell>
          <cell r="B1655" t="str">
            <v>CURVA DE PVC 90 GRAUS, SOLDAVEL, 60 MM, PARA AGUA FRIA PREDIAL (NBR 5648)</v>
          </cell>
          <cell r="C1655" t="str">
            <v xml:space="preserve">UN    </v>
          </cell>
          <cell r="D1655">
            <v>25.07</v>
          </cell>
        </row>
        <row r="1656">
          <cell r="A1656">
            <v>1960</v>
          </cell>
          <cell r="B1656" t="str">
            <v>CURVA DE PVC 90 GRAUS, SOLDAVEL, 75 MM, PARA AGUA FRIA PREDIAL (NBR 5648)</v>
          </cell>
          <cell r="C1656" t="str">
            <v xml:space="preserve">UN    </v>
          </cell>
          <cell r="D1656">
            <v>35.64</v>
          </cell>
        </row>
        <row r="1657">
          <cell r="A1657">
            <v>1961</v>
          </cell>
          <cell r="B1657" t="str">
            <v>CURVA DE PVC 90 GRAUS, SOLDAVEL, 85 MM, PARA AGUA FRIA PREDIAL (NBR 5648)</v>
          </cell>
          <cell r="C1657" t="str">
            <v xml:space="preserve">UN    </v>
          </cell>
          <cell r="D1657">
            <v>51.21</v>
          </cell>
        </row>
        <row r="1658">
          <cell r="A1658">
            <v>38426</v>
          </cell>
          <cell r="B1658" t="str">
            <v>CURVA DE PVC, 45 GRAUS, SERIE R, DN 100 MM, PARA ESGOTO PREDIAL</v>
          </cell>
          <cell r="C1658" t="str">
            <v xml:space="preserve">UN    </v>
          </cell>
          <cell r="D1658">
            <v>14.4</v>
          </cell>
        </row>
        <row r="1659">
          <cell r="A1659">
            <v>38423</v>
          </cell>
          <cell r="B1659" t="str">
            <v>CURVA DE PVC, 90 GRAUS, SERIE R, DN 100 MM, PARA ESGOTO PREDIAL</v>
          </cell>
          <cell r="C1659" t="str">
            <v xml:space="preserve">UN    </v>
          </cell>
          <cell r="D1659">
            <v>32.659999999999997</v>
          </cell>
        </row>
        <row r="1660">
          <cell r="A1660">
            <v>38421</v>
          </cell>
          <cell r="B1660" t="str">
            <v>CURVA DE PVC, 90 GRAUS, SERIE R, DN 50 MM, PARA ESGOTO PREDIAL</v>
          </cell>
          <cell r="C1660" t="str">
            <v xml:space="preserve">UN    </v>
          </cell>
          <cell r="D1660">
            <v>15.42</v>
          </cell>
        </row>
        <row r="1661">
          <cell r="A1661">
            <v>38422</v>
          </cell>
          <cell r="B1661" t="str">
            <v>CURVA DE PVC, 90 GRAUS, SERIE R, DN 75 MM, PARA ESGOTO PREDIAL</v>
          </cell>
          <cell r="C1661" t="str">
            <v xml:space="preserve">UN    </v>
          </cell>
          <cell r="D1661">
            <v>22.54</v>
          </cell>
        </row>
        <row r="1662">
          <cell r="A1662">
            <v>39866</v>
          </cell>
          <cell r="B1662" t="str">
            <v>CURVA DE TRANSPOSICAO BRONZE/LATAO (REF 736) SEM ANEL DE SOLDA, BOLSA X BOLSA, 15 MM</v>
          </cell>
          <cell r="C1662" t="str">
            <v xml:space="preserve">UN    </v>
          </cell>
          <cell r="D1662">
            <v>10.39</v>
          </cell>
        </row>
        <row r="1663">
          <cell r="A1663">
            <v>39867</v>
          </cell>
          <cell r="B1663" t="str">
            <v>CURVA DE TRANSPOSICAO BRONZE/LATAO (REF 736) SEM ANEL DE SOLDA, BOLSA X BOLSA, 22 MM</v>
          </cell>
          <cell r="C1663" t="str">
            <v xml:space="preserve">UN    </v>
          </cell>
          <cell r="D1663">
            <v>23.1</v>
          </cell>
        </row>
        <row r="1664">
          <cell r="A1664">
            <v>39868</v>
          </cell>
          <cell r="B1664" t="str">
            <v>CURVA DE TRANSPOSICAO BRONZE/LATAO (REF 736) SEM ANEL DE SOLDA, BOLSA X BOLSA, 28 MM</v>
          </cell>
          <cell r="C1664" t="str">
            <v xml:space="preserve">UN    </v>
          </cell>
          <cell r="D1664">
            <v>41.63</v>
          </cell>
        </row>
        <row r="1665">
          <cell r="A1665">
            <v>37999</v>
          </cell>
          <cell r="B1665" t="str">
            <v>CURVA DE TRANSPOSICAO, CPVC, SOLDAVEL, 15 MM</v>
          </cell>
          <cell r="C1665" t="str">
            <v xml:space="preserve">UN    </v>
          </cell>
          <cell r="D1665">
            <v>7.45</v>
          </cell>
        </row>
        <row r="1666">
          <cell r="A1666">
            <v>38000</v>
          </cell>
          <cell r="B1666" t="str">
            <v>CURVA DE TRANSPOSICAO, CPVC, SOLDAVEL, 22 MM</v>
          </cell>
          <cell r="C1666" t="str">
            <v xml:space="preserve">UN    </v>
          </cell>
          <cell r="D1666">
            <v>9.86</v>
          </cell>
        </row>
        <row r="1667">
          <cell r="A1667">
            <v>38129</v>
          </cell>
          <cell r="B1667" t="str">
            <v>CURVA DE TRANSPOSICAO, PVC SOLDAVEL, 20 MM, PARA AGUA FRIA PREDIAL</v>
          </cell>
          <cell r="C1667" t="str">
            <v xml:space="preserve">UN    </v>
          </cell>
          <cell r="D1667">
            <v>2.77</v>
          </cell>
        </row>
        <row r="1668">
          <cell r="A1668">
            <v>38025</v>
          </cell>
          <cell r="B1668" t="str">
            <v>CURVA DE TRANSPOSICAO, PVC, SOLDAVEL, 25 MM, PARA AGUA FRIA PREDIAL</v>
          </cell>
          <cell r="C1668" t="str">
            <v xml:space="preserve">UN    </v>
          </cell>
          <cell r="D1668">
            <v>4.63</v>
          </cell>
        </row>
        <row r="1669">
          <cell r="A1669">
            <v>38026</v>
          </cell>
          <cell r="B1669" t="str">
            <v>CURVA DE TRANSPOSICAO, PVC, SOLDAVEL, 32 MM, PARA AGUA FRIA PREDIAL</v>
          </cell>
          <cell r="C1669" t="str">
            <v xml:space="preserve">UN    </v>
          </cell>
          <cell r="D1669">
            <v>12.39</v>
          </cell>
        </row>
        <row r="1670">
          <cell r="A1670">
            <v>1858</v>
          </cell>
          <cell r="B1670" t="str">
            <v>CURVA LONGA PVC, PB, JE, 45 GRAUS, DN 100 MM, PARA REDE COLETORA ESGOTO (NBR 10569)</v>
          </cell>
          <cell r="C1670" t="str">
            <v xml:space="preserve">UN    </v>
          </cell>
          <cell r="D1670">
            <v>22</v>
          </cell>
        </row>
        <row r="1671">
          <cell r="A1671">
            <v>1844</v>
          </cell>
          <cell r="B1671" t="str">
            <v>CURVA LONGA PVC, PB, JE, 45 GRAUS, DN 150 MM, PARA REDE COLETORA ESGOTO (NBR 10569)</v>
          </cell>
          <cell r="C1671" t="str">
            <v xml:space="preserve">UN    </v>
          </cell>
          <cell r="D1671">
            <v>81.13</v>
          </cell>
        </row>
        <row r="1672">
          <cell r="A1672">
            <v>1863</v>
          </cell>
          <cell r="B1672" t="str">
            <v>CURVA LONGA PVC, PB, JE, 90 GRAUS, DN 100 MM, PARA REDE COLETORA ESGOTO (NBR 10569)</v>
          </cell>
          <cell r="C1672" t="str">
            <v xml:space="preserve">UN    </v>
          </cell>
          <cell r="D1672">
            <v>31.93</v>
          </cell>
        </row>
        <row r="1673">
          <cell r="A1673">
            <v>1865</v>
          </cell>
          <cell r="B1673" t="str">
            <v>CURVA LONGA PVC, PB, JE, 90 GRAUS, DN 150 MM, PARA REDE COLETORA ESGOTO (NBR 10569)</v>
          </cell>
          <cell r="C1673" t="str">
            <v xml:space="preserve">UN    </v>
          </cell>
          <cell r="D1673">
            <v>116.51</v>
          </cell>
        </row>
        <row r="1674">
          <cell r="A1674">
            <v>36355</v>
          </cell>
          <cell r="B1674" t="str">
            <v>CURVA PPR 90 GRAUS, DN 20 MM, PARA AGUA QUENTE PREDIAL</v>
          </cell>
          <cell r="C1674" t="str">
            <v xml:space="preserve">UN    </v>
          </cell>
          <cell r="D1674">
            <v>4.34</v>
          </cell>
        </row>
        <row r="1675">
          <cell r="A1675">
            <v>36356</v>
          </cell>
          <cell r="B1675" t="str">
            <v>CURVA PPR 90 GRAUS, DN 25 MM, PARA AGUA QUENTE PREDIAL</v>
          </cell>
          <cell r="C1675" t="str">
            <v xml:space="preserve">UN    </v>
          </cell>
          <cell r="D1675">
            <v>7.3</v>
          </cell>
        </row>
        <row r="1676">
          <cell r="A1676">
            <v>1932</v>
          </cell>
          <cell r="B1676" t="str">
            <v>CURVA PVC CURTA 90 G, DN 50 MM, PARA ESGOTO PREDIAL</v>
          </cell>
          <cell r="C1676" t="str">
            <v xml:space="preserve">UN    </v>
          </cell>
          <cell r="D1676">
            <v>5.56</v>
          </cell>
        </row>
        <row r="1677">
          <cell r="A1677">
            <v>1933</v>
          </cell>
          <cell r="B1677" t="str">
            <v>CURVA PVC CURTA 90 GRAUS, DN 40 MM, PARA ESGOTO PREDIAL</v>
          </cell>
          <cell r="C1677" t="str">
            <v xml:space="preserve">UN    </v>
          </cell>
          <cell r="D1677">
            <v>2.4500000000000002</v>
          </cell>
        </row>
        <row r="1678">
          <cell r="A1678">
            <v>1951</v>
          </cell>
          <cell r="B1678" t="str">
            <v>CURVA PVC CURTA 90 GRAUS, DN 75 MM, PARA ESGOTO PREDIAL</v>
          </cell>
          <cell r="C1678" t="str">
            <v xml:space="preserve">UN    </v>
          </cell>
          <cell r="D1678">
            <v>10.88</v>
          </cell>
        </row>
        <row r="1679">
          <cell r="A1679">
            <v>1966</v>
          </cell>
          <cell r="B1679" t="str">
            <v>CURVA PVC CURTA 90 GRAUS, 100 MM, PARA ESGOTO PREDIAL</v>
          </cell>
          <cell r="C1679" t="str">
            <v xml:space="preserve">UN    </v>
          </cell>
          <cell r="D1679">
            <v>12.52</v>
          </cell>
        </row>
        <row r="1680">
          <cell r="A1680">
            <v>1952</v>
          </cell>
          <cell r="B1680" t="str">
            <v>CURVA PVC LEVE, 90 GRAUS, COM PONTA E BOLSA LISA, DN 150 MM</v>
          </cell>
          <cell r="C1680" t="str">
            <v xml:space="preserve">UN    </v>
          </cell>
          <cell r="D1680">
            <v>47.02</v>
          </cell>
        </row>
        <row r="1681">
          <cell r="A1681">
            <v>20104</v>
          </cell>
          <cell r="B1681" t="str">
            <v>CURVA PVC LEVE, 90 GRAUS, COM PONTA E BOLSA LISA, DN 250 MM</v>
          </cell>
          <cell r="C1681" t="str">
            <v xml:space="preserve">UN    </v>
          </cell>
          <cell r="D1681">
            <v>347.48</v>
          </cell>
        </row>
        <row r="1682">
          <cell r="A1682">
            <v>20105</v>
          </cell>
          <cell r="B1682" t="str">
            <v>CURVA PVC LEVE, 90 GRAUS, COM PONTA E BOLSA LISA, DN 300 MM</v>
          </cell>
          <cell r="C1682" t="str">
            <v xml:space="preserve">UN    </v>
          </cell>
          <cell r="D1682">
            <v>541.23</v>
          </cell>
        </row>
        <row r="1683">
          <cell r="A1683">
            <v>1965</v>
          </cell>
          <cell r="B1683" t="str">
            <v>CURVA PVC LONGA 45 GRAUS, 100 MM, PARA ESGOTO PREDIAL</v>
          </cell>
          <cell r="C1683" t="str">
            <v xml:space="preserve">UN    </v>
          </cell>
          <cell r="D1683">
            <v>25.38</v>
          </cell>
        </row>
        <row r="1684">
          <cell r="A1684">
            <v>10765</v>
          </cell>
          <cell r="B1684" t="str">
            <v>CURVA PVC LONGA 45G, DN 50 MM, PARA ESGOTO PREDIAL</v>
          </cell>
          <cell r="C1684" t="str">
            <v xml:space="preserve">UN    </v>
          </cell>
          <cell r="D1684">
            <v>6.41</v>
          </cell>
        </row>
        <row r="1685">
          <cell r="A1685">
            <v>10767</v>
          </cell>
          <cell r="B1685" t="str">
            <v>CURVA PVC LONGA 45G, DN 75 MM, PARA ESGOTO PREDIAL</v>
          </cell>
          <cell r="C1685" t="str">
            <v xml:space="preserve">UN    </v>
          </cell>
          <cell r="D1685">
            <v>21.02</v>
          </cell>
        </row>
        <row r="1686">
          <cell r="A1686">
            <v>1970</v>
          </cell>
          <cell r="B1686" t="str">
            <v>CURVA PVC LONGA 90 GRAUS, 100 MM, PARA ESGOTO PREDIAL</v>
          </cell>
          <cell r="C1686" t="str">
            <v xml:space="preserve">UN    </v>
          </cell>
          <cell r="D1686">
            <v>26.35</v>
          </cell>
        </row>
        <row r="1687">
          <cell r="A1687">
            <v>1967</v>
          </cell>
          <cell r="B1687" t="str">
            <v>CURVA PVC LONGA 90 GRAUS, 40 MM, PARA ESGOTO PREDIAL</v>
          </cell>
          <cell r="C1687" t="str">
            <v xml:space="preserve">UN    </v>
          </cell>
          <cell r="D1687">
            <v>2.93</v>
          </cell>
        </row>
        <row r="1688">
          <cell r="A1688">
            <v>1968</v>
          </cell>
          <cell r="B1688" t="str">
            <v>CURVA PVC LONGA 90 GRAUS, 50 MM, PARA ESGOTO PREDIAL</v>
          </cell>
          <cell r="C1688" t="str">
            <v xml:space="preserve">UN    </v>
          </cell>
          <cell r="D1688">
            <v>6.14</v>
          </cell>
        </row>
        <row r="1689">
          <cell r="A1689">
            <v>1969</v>
          </cell>
          <cell r="B1689" t="str">
            <v>CURVA PVC LONGA 90 GRAUS, 75 MM, PARA ESGOTO PREDIAL</v>
          </cell>
          <cell r="C1689" t="str">
            <v xml:space="preserve">UN    </v>
          </cell>
          <cell r="D1689">
            <v>18.07</v>
          </cell>
        </row>
        <row r="1690">
          <cell r="A1690">
            <v>1839</v>
          </cell>
          <cell r="B1690" t="str">
            <v>CURVA PVC PBA, JE, PB, 22 GRAUS, DN 100 / DE 110 MM, PARA REDE AGUA (NBR 10351)</v>
          </cell>
          <cell r="C1690" t="str">
            <v xml:space="preserve">UN    </v>
          </cell>
          <cell r="D1690">
            <v>104.44</v>
          </cell>
        </row>
        <row r="1691">
          <cell r="A1691">
            <v>1835</v>
          </cell>
          <cell r="B1691" t="str">
            <v>CURVA PVC PBA, JE, PB, 22 GRAUS, DN 50 / DE 60 MM, PARA REDE AGUA (NBR 10351)</v>
          </cell>
          <cell r="C1691" t="str">
            <v xml:space="preserve">UN    </v>
          </cell>
          <cell r="D1691">
            <v>22.2</v>
          </cell>
        </row>
        <row r="1692">
          <cell r="A1692">
            <v>1823</v>
          </cell>
          <cell r="B1692" t="str">
            <v>CURVA PVC PBA, JE, PB, 22 GRAUS, DN 75 / DE 85 MM, PARA REDE AGUA (NBR 10351)</v>
          </cell>
          <cell r="C1692" t="str">
            <v xml:space="preserve">UN    </v>
          </cell>
          <cell r="D1692">
            <v>42.93</v>
          </cell>
        </row>
        <row r="1693">
          <cell r="A1693">
            <v>1827</v>
          </cell>
          <cell r="B1693" t="str">
            <v>CURVA PVC PBA, JE, PB, 45 GRAUS, DN 100 / DE 110 MM, PARA REDE AGUA (NBR 10351)</v>
          </cell>
          <cell r="C1693" t="str">
            <v xml:space="preserve">UN    </v>
          </cell>
          <cell r="D1693">
            <v>103.42</v>
          </cell>
        </row>
        <row r="1694">
          <cell r="A1694">
            <v>1831</v>
          </cell>
          <cell r="B1694" t="str">
            <v>CURVA PVC PBA, JE, PB, 45 GRAUS, DN 50 / DE 60 MM, PARA REDE AGUA (NBR 10351)</v>
          </cell>
          <cell r="C1694" t="str">
            <v xml:space="preserve">UN    </v>
          </cell>
          <cell r="D1694">
            <v>22.58</v>
          </cell>
        </row>
        <row r="1695">
          <cell r="A1695">
            <v>1825</v>
          </cell>
          <cell r="B1695" t="str">
            <v>CURVA PVC PBA, JE, PB, 45 GRAUS, DN 75 / DE 85 MM, PARA REDE AGUA (NBR 10351)</v>
          </cell>
          <cell r="C1695" t="str">
            <v xml:space="preserve">UN    </v>
          </cell>
          <cell r="D1695">
            <v>55.72</v>
          </cell>
        </row>
        <row r="1696">
          <cell r="A1696">
            <v>1828</v>
          </cell>
          <cell r="B1696" t="str">
            <v>CURVA PVC PBA, JE, PB, 90 GRAUS, DN 100 / DE 110 MM, PARA REDE AGUA (NBR 10351)</v>
          </cell>
          <cell r="C1696" t="str">
            <v xml:space="preserve">UN    </v>
          </cell>
          <cell r="D1696">
            <v>126.21</v>
          </cell>
        </row>
        <row r="1697">
          <cell r="A1697">
            <v>1845</v>
          </cell>
          <cell r="B1697" t="str">
            <v>CURVA PVC PBA, JE, PB, 90 GRAUS, DN 50 / DE 60 MM, PARA REDE AGUA (NBR 10351)</v>
          </cell>
          <cell r="C1697" t="str">
            <v xml:space="preserve">UN    </v>
          </cell>
          <cell r="D1697">
            <v>28.29</v>
          </cell>
        </row>
        <row r="1698">
          <cell r="A1698">
            <v>1824</v>
          </cell>
          <cell r="B1698" t="str">
            <v>CURVA PVC PBA, JE, PB, 90 GRAUS, DN 75 / DE 85 MM, PARA REDE AGUA (NBR 10351)</v>
          </cell>
          <cell r="C1698" t="str">
            <v xml:space="preserve">UN    </v>
          </cell>
          <cell r="D1698">
            <v>66.790000000000006</v>
          </cell>
        </row>
        <row r="1699">
          <cell r="A1699">
            <v>1941</v>
          </cell>
          <cell r="B1699" t="str">
            <v>CURVA PVC 90 GRAUS, ROSCAVEL, 1 1/2",  AGUA FRIA PREDIAL</v>
          </cell>
          <cell r="C1699" t="str">
            <v xml:space="preserve">UN    </v>
          </cell>
          <cell r="D1699">
            <v>17.87</v>
          </cell>
        </row>
        <row r="1700">
          <cell r="A1700">
            <v>1940</v>
          </cell>
          <cell r="B1700" t="str">
            <v>CURVA PVC 90 GRAUS, ROSCAVEL, 1 1/4",  AGUA FRIA PREDIAL</v>
          </cell>
          <cell r="C1700" t="str">
            <v xml:space="preserve">UN    </v>
          </cell>
          <cell r="D1700">
            <v>13.5</v>
          </cell>
        </row>
        <row r="1701">
          <cell r="A1701">
            <v>1937</v>
          </cell>
          <cell r="B1701" t="str">
            <v>CURVA PVC 90 GRAUS, ROSCAVEL, 1/2",  AGUA FRIA PREDIAL</v>
          </cell>
          <cell r="C1701" t="str">
            <v xml:space="preserve">UN    </v>
          </cell>
          <cell r="D1701">
            <v>2.8</v>
          </cell>
        </row>
        <row r="1702">
          <cell r="A1702">
            <v>1939</v>
          </cell>
          <cell r="B1702" t="str">
            <v>CURVA PVC 90 GRAUS, ROSCAVEL, 1",  AGUA FRIA PREDIAL</v>
          </cell>
          <cell r="C1702" t="str">
            <v xml:space="preserve">UN    </v>
          </cell>
          <cell r="D1702">
            <v>5.55</v>
          </cell>
        </row>
        <row r="1703">
          <cell r="A1703">
            <v>1942</v>
          </cell>
          <cell r="B1703" t="str">
            <v>CURVA PVC 90 GRAUS, ROSCAVEL, 2",  AGUA FRIA PREDIAL</v>
          </cell>
          <cell r="C1703" t="str">
            <v xml:space="preserve">UN    </v>
          </cell>
          <cell r="D1703">
            <v>25.5</v>
          </cell>
        </row>
        <row r="1704">
          <cell r="A1704">
            <v>1938</v>
          </cell>
          <cell r="B1704" t="str">
            <v>CURVA PVC 90 GRAUS, ROSCAVEL, 3/4",  AGUA FRIA PREDIAL</v>
          </cell>
          <cell r="C1704" t="str">
            <v xml:space="preserve">UN    </v>
          </cell>
          <cell r="D1704">
            <v>3.55</v>
          </cell>
        </row>
        <row r="1705">
          <cell r="A1705">
            <v>42692</v>
          </cell>
          <cell r="B1705" t="str">
            <v>CURVA PVC, BB, JE, 45 GRAUS, DN 200 MM, PARA TUBO CORRUGADO E/OU LISO, REDE COLETORA ESGOTO (NBR 10569)</v>
          </cell>
          <cell r="C1705" t="str">
            <v xml:space="preserve">UN    </v>
          </cell>
          <cell r="D1705">
            <v>258.49</v>
          </cell>
        </row>
        <row r="1706">
          <cell r="A1706">
            <v>42693</v>
          </cell>
          <cell r="B1706" t="str">
            <v>CURVA PVC, BB, JE, 45 GRAUS, DN 250 MM, PARA TUBO CORRUGADO E/OU LISO, REDE COLETORA ESGOTO (NBR 10569)</v>
          </cell>
          <cell r="C1706" t="str">
            <v xml:space="preserve">UN    </v>
          </cell>
          <cell r="D1706">
            <v>425.2</v>
          </cell>
        </row>
        <row r="1707">
          <cell r="A1707">
            <v>42695</v>
          </cell>
          <cell r="B1707" t="str">
            <v>CURVA PVC, BB, JE, 90 GRAUS, DN 200 MM, PARA TUBO CORRUGADO E/OU LISO, REDE COLETORA ESGOTO (NBR 10569)</v>
          </cell>
          <cell r="C1707" t="str">
            <v xml:space="preserve">UN    </v>
          </cell>
          <cell r="D1707">
            <v>323.3</v>
          </cell>
        </row>
        <row r="1708">
          <cell r="A1708">
            <v>42694</v>
          </cell>
          <cell r="B1708" t="str">
            <v>CURVA PVC, BB, JE, 90 GRAUS, DN 250 MM, PARA TUBO CORRUGADO E/OU LISO, REDE COLETORA ESGOTO (NBR 10569)</v>
          </cell>
          <cell r="C1708" t="str">
            <v xml:space="preserve">UN    </v>
          </cell>
          <cell r="D1708">
            <v>477.96</v>
          </cell>
        </row>
        <row r="1709">
          <cell r="A1709">
            <v>20097</v>
          </cell>
          <cell r="B1709" t="str">
            <v>CURVA PVC, SERIE R, 87.30 GRAUS, CURTA, 100 MM, PARA ESGOTO PREDIAL (PARA PE-DE-COLUNA)</v>
          </cell>
          <cell r="C1709" t="str">
            <v xml:space="preserve">UN    </v>
          </cell>
          <cell r="D1709">
            <v>24.89</v>
          </cell>
        </row>
        <row r="1710">
          <cell r="A1710">
            <v>20098</v>
          </cell>
          <cell r="B1710" t="str">
            <v>CURVA PVC, SERIE R, 87.30 GRAUS, CURTA, 150 MM, PARA ESGOTO PREDIAL (PARA PE-DE-COLUNA)</v>
          </cell>
          <cell r="C1710" t="str">
            <v xml:space="preserve">UN    </v>
          </cell>
          <cell r="D1710">
            <v>83.93</v>
          </cell>
        </row>
        <row r="1711">
          <cell r="A1711">
            <v>20096</v>
          </cell>
          <cell r="B1711" t="str">
            <v>CURVA PVC, SERIE R, 87.30 GRAUS, CURTA, 75 MM, PARA ESGOTO PREDIAL (PARA PE-DE-COLUNA)</v>
          </cell>
          <cell r="C1711" t="str">
            <v xml:space="preserve">UN    </v>
          </cell>
          <cell r="D1711">
            <v>16.28</v>
          </cell>
        </row>
        <row r="1712">
          <cell r="A1712">
            <v>1964</v>
          </cell>
          <cell r="B1712" t="str">
            <v>CURVA PVC, 45 GRAUS, CURTA, PB, DN 100 MM, PARA ESGOTO PREDIAL</v>
          </cell>
          <cell r="C1712" t="str">
            <v xml:space="preserve">UN    </v>
          </cell>
          <cell r="D1712">
            <v>15.05</v>
          </cell>
        </row>
        <row r="1713">
          <cell r="A1713">
            <v>1880</v>
          </cell>
          <cell r="B1713" t="str">
            <v>CURVA 135 GRAUS, DE PVC RIGIDO ROSCAVEL, DE 1", PARA ELETRODUTO</v>
          </cell>
          <cell r="C1713" t="str">
            <v xml:space="preserve">UN    </v>
          </cell>
          <cell r="D1713">
            <v>2.2999999999999998</v>
          </cell>
        </row>
        <row r="1714">
          <cell r="A1714">
            <v>39274</v>
          </cell>
          <cell r="B1714" t="str">
            <v>CURVA 135 GRAUS, DE PVC RIGIDO ROSCAVEL, DE 3/4", PARA ELETRODUTO</v>
          </cell>
          <cell r="C1714" t="str">
            <v xml:space="preserve">UN    </v>
          </cell>
          <cell r="D1714">
            <v>1.79</v>
          </cell>
        </row>
        <row r="1715">
          <cell r="A1715">
            <v>2628</v>
          </cell>
          <cell r="B1715" t="str">
            <v>CURVA 135 GRAUS, PARA ELETRODUTO, EM ACO GALVANIZADO ELETROLITICO, DIAMETRO DE 100 MM (4")</v>
          </cell>
          <cell r="C1715" t="str">
            <v xml:space="preserve">UN    </v>
          </cell>
          <cell r="D1715">
            <v>197.89</v>
          </cell>
        </row>
        <row r="1716">
          <cell r="A1716">
            <v>2622</v>
          </cell>
          <cell r="B1716" t="str">
            <v>CURVA 135 GRAUS, PARA ELETRODUTO, EM ACO GALVANIZADO ELETROLITICO, DIAMETRO DE 15 MM (1/2")</v>
          </cell>
          <cell r="C1716" t="str">
            <v xml:space="preserve">UN    </v>
          </cell>
          <cell r="D1716">
            <v>4.7</v>
          </cell>
        </row>
        <row r="1717">
          <cell r="A1717">
            <v>2623</v>
          </cell>
          <cell r="B1717" t="str">
            <v>CURVA 135 GRAUS, PARA ELETRODUTO, EM ACO GALVANIZADO ELETROLITICO, DIAMETRO DE 20 MM (3/4")</v>
          </cell>
          <cell r="C1717" t="str">
            <v xml:space="preserve">UN    </v>
          </cell>
          <cell r="D1717">
            <v>5.65</v>
          </cell>
        </row>
        <row r="1718">
          <cell r="A1718">
            <v>2624</v>
          </cell>
          <cell r="B1718" t="str">
            <v>CURVA 135 GRAUS, PARA ELETRODUTO, EM ACO GALVANIZADO ELETROLITICO, DIAMETRO DE 25 MM (1")</v>
          </cell>
          <cell r="C1718" t="str">
            <v xml:space="preserve">UN    </v>
          </cell>
          <cell r="D1718">
            <v>8.99</v>
          </cell>
        </row>
        <row r="1719">
          <cell r="A1719">
            <v>2625</v>
          </cell>
          <cell r="B1719" t="str">
            <v>CURVA 135 GRAUS, PARA ELETRODUTO, EM ACO GALVANIZADO ELETROLITICO, DIAMETRO DE 32 MM (1 1/4")</v>
          </cell>
          <cell r="C1719" t="str">
            <v xml:space="preserve">UN    </v>
          </cell>
          <cell r="D1719">
            <v>18.989999999999998</v>
          </cell>
        </row>
        <row r="1720">
          <cell r="A1720">
            <v>2626</v>
          </cell>
          <cell r="B1720" t="str">
            <v>CURVA 135 GRAUS, PARA ELETRODUTO, EM ACO GALVANIZADO ELETROLITICO, DIAMETRO DE 40 MM (1 1/2")</v>
          </cell>
          <cell r="C1720" t="str">
            <v xml:space="preserve">UN    </v>
          </cell>
          <cell r="D1720">
            <v>27.82</v>
          </cell>
        </row>
        <row r="1721">
          <cell r="A1721">
            <v>2630</v>
          </cell>
          <cell r="B1721" t="str">
            <v>CURVA 135 GRAUS, PARA ELETRODUTO, EM ACO GALVANIZADO ELETROLITICO, DIAMETRO DE 50 MM (2")</v>
          </cell>
          <cell r="C1721" t="str">
            <v xml:space="preserve">UN    </v>
          </cell>
          <cell r="D1721">
            <v>42.31</v>
          </cell>
        </row>
        <row r="1722">
          <cell r="A1722">
            <v>2627</v>
          </cell>
          <cell r="B1722" t="str">
            <v>CURVA 135 GRAUS, PARA ELETRODUTO, EM ACO GALVANIZADO ELETROLITICO, DIAMETRO DE 65 MM (2 1/2")</v>
          </cell>
          <cell r="C1722" t="str">
            <v xml:space="preserve">UN    </v>
          </cell>
          <cell r="D1722">
            <v>74.540000000000006</v>
          </cell>
        </row>
        <row r="1723">
          <cell r="A1723">
            <v>2629</v>
          </cell>
          <cell r="B1723" t="str">
            <v>CURVA 135 GRAUS, PARA ELETRODUTO, EM ACO GALVANIZADO ELETROLITICO, DIAMETRO DE 80 MM (3")</v>
          </cell>
          <cell r="C1723" t="str">
            <v xml:space="preserve">UN    </v>
          </cell>
          <cell r="D1723">
            <v>100.82</v>
          </cell>
        </row>
        <row r="1724">
          <cell r="A1724">
            <v>12033</v>
          </cell>
          <cell r="B1724" t="str">
            <v>CURVA 180 GRAUS, DE PVC RIGIDO ROSCAVEL, DE 1 1/2", PARA ELETRODUTO</v>
          </cell>
          <cell r="C1724" t="str">
            <v xml:space="preserve">UN    </v>
          </cell>
          <cell r="D1724">
            <v>7.36</v>
          </cell>
        </row>
        <row r="1725">
          <cell r="A1725">
            <v>40408</v>
          </cell>
          <cell r="B1725" t="str">
            <v>CURVA 180 GRAUS, DE PVC RIGIDO ROSCAVEL, DE 1 1/4", PARA ELETRODUTO</v>
          </cell>
          <cell r="C1725" t="str">
            <v xml:space="preserve">UN    </v>
          </cell>
          <cell r="D1725">
            <v>4.84</v>
          </cell>
        </row>
        <row r="1726">
          <cell r="A1726">
            <v>40409</v>
          </cell>
          <cell r="B1726" t="str">
            <v>CURVA 180 GRAUS, DE PVC RIGIDO ROSCAVEL, DE 1/2", PARA ELETRODUTO</v>
          </cell>
          <cell r="C1726" t="str">
            <v xml:space="preserve">UN    </v>
          </cell>
          <cell r="D1726">
            <v>1.71</v>
          </cell>
        </row>
        <row r="1727">
          <cell r="A1727">
            <v>39276</v>
          </cell>
          <cell r="B1727" t="str">
            <v>CURVA 180 GRAUS, DE PVC RIGIDO ROSCAVEL, DE 1", PARA ELETRODUTO</v>
          </cell>
          <cell r="C1727" t="str">
            <v xml:space="preserve">UN    </v>
          </cell>
          <cell r="D1727">
            <v>4.3600000000000003</v>
          </cell>
        </row>
        <row r="1728">
          <cell r="A1728">
            <v>39277</v>
          </cell>
          <cell r="B1728" t="str">
            <v>CURVA 180 GRAUS, DE PVC RIGIDO ROSCAVEL, DE 2", PARA ELETRODUTO</v>
          </cell>
          <cell r="C1728" t="str">
            <v xml:space="preserve">UN    </v>
          </cell>
          <cell r="D1728">
            <v>11.77</v>
          </cell>
        </row>
        <row r="1729">
          <cell r="A1729">
            <v>12034</v>
          </cell>
          <cell r="B1729" t="str">
            <v>CURVA 180 GRAUS, DE PVC RIGIDO ROSCAVEL, DE 3/4", PARA ELETRODUTO</v>
          </cell>
          <cell r="C1729" t="str">
            <v xml:space="preserve">UN    </v>
          </cell>
          <cell r="D1729">
            <v>3.33</v>
          </cell>
        </row>
        <row r="1730">
          <cell r="A1730">
            <v>39879</v>
          </cell>
          <cell r="B1730" t="str">
            <v>CURVA 45 GRAUS DE COBRE (REF 606) SEM ANEL DE SOLDA, BOLSA X BOLSA, 15 MM</v>
          </cell>
          <cell r="C1730" t="str">
            <v xml:space="preserve">UN    </v>
          </cell>
          <cell r="D1730">
            <v>2.92</v>
          </cell>
        </row>
        <row r="1731">
          <cell r="A1731">
            <v>39880</v>
          </cell>
          <cell r="B1731" t="str">
            <v>CURVA 45 GRAUS DE COBRE (REF 606) SEM ANEL DE SOLDA, BOLSA X BOLSA, 22 MM</v>
          </cell>
          <cell r="C1731" t="str">
            <v xml:space="preserve">UN    </v>
          </cell>
          <cell r="D1731">
            <v>6.47</v>
          </cell>
        </row>
        <row r="1732">
          <cell r="A1732">
            <v>39881</v>
          </cell>
          <cell r="B1732" t="str">
            <v>CURVA 45 GRAUS DE COBRE (REF 606) SEM ANEL DE SOLDA, BOLSA X BOLSA, 28 MM</v>
          </cell>
          <cell r="C1732" t="str">
            <v xml:space="preserve">UN    </v>
          </cell>
          <cell r="D1732">
            <v>10.38</v>
          </cell>
        </row>
        <row r="1733">
          <cell r="A1733">
            <v>39882</v>
          </cell>
          <cell r="B1733" t="str">
            <v>CURVA 45 GRAUS DE COBRE (REF 606) SEM ANEL DE SOLDA, BOLSA X BOLSA, 35 MM</v>
          </cell>
          <cell r="C1733" t="str">
            <v xml:space="preserve">UN    </v>
          </cell>
          <cell r="D1733">
            <v>27.35</v>
          </cell>
        </row>
        <row r="1734">
          <cell r="A1734">
            <v>39883</v>
          </cell>
          <cell r="B1734" t="str">
            <v>CURVA 45 GRAUS DE COBRE (REF 606) SEM ANEL DE SOLDA, BOLSA X BOLSA, 42 MM</v>
          </cell>
          <cell r="C1734" t="str">
            <v xml:space="preserve">UN    </v>
          </cell>
          <cell r="D1734">
            <v>43.68</v>
          </cell>
        </row>
        <row r="1735">
          <cell r="A1735">
            <v>39884</v>
          </cell>
          <cell r="B1735" t="str">
            <v>CURVA 45 GRAUS DE COBRE (REF 606) SEM ANEL DE SOLDA, BOLSA X BOLSA, 54 MM</v>
          </cell>
          <cell r="C1735" t="str">
            <v xml:space="preserve">UN    </v>
          </cell>
          <cell r="D1735">
            <v>64.87</v>
          </cell>
        </row>
        <row r="1736">
          <cell r="A1736">
            <v>39885</v>
          </cell>
          <cell r="B1736" t="str">
            <v>CURVA 45 GRAUS DE COBRE (REF 606) SEM ANEL DE SOLDA, BOLSA X BOLSA, 66 MM</v>
          </cell>
          <cell r="C1736" t="str">
            <v xml:space="preserve">UN    </v>
          </cell>
          <cell r="D1736">
            <v>154.18</v>
          </cell>
        </row>
        <row r="1737">
          <cell r="A1737">
            <v>1777</v>
          </cell>
          <cell r="B1737" t="str">
            <v>CURVA 45 GRAUS DE FERRO GALVANIZADO, COM ROSCA BSP FEMEA, DE 1 1/2"</v>
          </cell>
          <cell r="C1737" t="str">
            <v xml:space="preserve">UN    </v>
          </cell>
          <cell r="D1737">
            <v>38.01</v>
          </cell>
        </row>
        <row r="1738">
          <cell r="A1738">
            <v>1819</v>
          </cell>
          <cell r="B1738" t="str">
            <v>CURVA 45 GRAUS DE FERRO GALVANIZADO, COM ROSCA BSP FEMEA, DE 1 1/4"</v>
          </cell>
          <cell r="C1738" t="str">
            <v xml:space="preserve">UN    </v>
          </cell>
          <cell r="D1738">
            <v>27.65</v>
          </cell>
        </row>
        <row r="1739">
          <cell r="A1739">
            <v>1775</v>
          </cell>
          <cell r="B1739" t="str">
            <v>CURVA 45 GRAUS DE FERRO GALVANIZADO, COM ROSCA BSP FEMEA, DE 1/2"</v>
          </cell>
          <cell r="C1739" t="str">
            <v xml:space="preserve">UN    </v>
          </cell>
          <cell r="D1739">
            <v>8.27</v>
          </cell>
        </row>
        <row r="1740">
          <cell r="A1740">
            <v>1776</v>
          </cell>
          <cell r="B1740" t="str">
            <v>CURVA 45 GRAUS DE FERRO GALVANIZADO, COM ROSCA BSP FEMEA, DE 1"</v>
          </cell>
          <cell r="C1740" t="str">
            <v xml:space="preserve">UN    </v>
          </cell>
          <cell r="D1740">
            <v>22.5</v>
          </cell>
        </row>
        <row r="1741">
          <cell r="A1741">
            <v>1778</v>
          </cell>
          <cell r="B1741" t="str">
            <v>CURVA 45 GRAUS DE FERRO GALVANIZADO, COM ROSCA BSP FEMEA, DE 2 1/2"</v>
          </cell>
          <cell r="C1741" t="str">
            <v xml:space="preserve">UN    </v>
          </cell>
          <cell r="D1741">
            <v>92.01</v>
          </cell>
        </row>
        <row r="1742">
          <cell r="A1742">
            <v>1818</v>
          </cell>
          <cell r="B1742" t="str">
            <v>CURVA 45 GRAUS DE FERRO GALVANIZADO, COM ROSCA BSP FEMEA, DE 2"</v>
          </cell>
          <cell r="C1742" t="str">
            <v xml:space="preserve">UN    </v>
          </cell>
          <cell r="D1742">
            <v>61.08</v>
          </cell>
        </row>
        <row r="1743">
          <cell r="A1743">
            <v>1820</v>
          </cell>
          <cell r="B1743" t="str">
            <v>CURVA 45 GRAUS DE FERRO GALVANIZADO, COM ROSCA BSP FEMEA, DE 3/4"</v>
          </cell>
          <cell r="C1743" t="str">
            <v xml:space="preserve">UN    </v>
          </cell>
          <cell r="D1743">
            <v>11.94</v>
          </cell>
        </row>
        <row r="1744">
          <cell r="A1744">
            <v>1779</v>
          </cell>
          <cell r="B1744" t="str">
            <v>CURVA 45 GRAUS DE FERRO GALVANIZADO, COM ROSCA BSP FEMEA, DE 3"</v>
          </cell>
          <cell r="C1744" t="str">
            <v xml:space="preserve">UN    </v>
          </cell>
          <cell r="D1744">
            <v>133.82</v>
          </cell>
        </row>
        <row r="1745">
          <cell r="A1745">
            <v>1780</v>
          </cell>
          <cell r="B1745" t="str">
            <v>CURVA 45 GRAUS DE FERRO GALVANIZADO, COM ROSCA BSP FEMEA, DE 4"</v>
          </cell>
          <cell r="C1745" t="str">
            <v xml:space="preserve">UN    </v>
          </cell>
          <cell r="D1745">
            <v>275.88</v>
          </cell>
        </row>
        <row r="1746">
          <cell r="A1746">
            <v>1783</v>
          </cell>
          <cell r="B1746" t="str">
            <v>CURVA 45 GRAUS DE FERRO GALVANIZADO, COM ROSCA BSP MACHO/FEMEA, DE 1 1/2"</v>
          </cell>
          <cell r="C1746" t="str">
            <v xml:space="preserve">UN    </v>
          </cell>
          <cell r="D1746">
            <v>29.17</v>
          </cell>
        </row>
        <row r="1747">
          <cell r="A1747">
            <v>1782</v>
          </cell>
          <cell r="B1747" t="str">
            <v>CURVA 45 GRAUS DE FERRO GALVANIZADO, COM ROSCA BSP MACHO/FEMEA, DE 1 1/4"</v>
          </cell>
          <cell r="C1747" t="str">
            <v xml:space="preserve">UN    </v>
          </cell>
          <cell r="D1747">
            <v>23.06</v>
          </cell>
        </row>
        <row r="1748">
          <cell r="A1748">
            <v>1817</v>
          </cell>
          <cell r="B1748" t="str">
            <v>CURVA 45 GRAUS DE FERRO GALVANIZADO, COM ROSCA BSP MACHO/FEMEA, DE 1/2"</v>
          </cell>
          <cell r="C1748" t="str">
            <v xml:space="preserve">UN    </v>
          </cell>
          <cell r="D1748">
            <v>6.87</v>
          </cell>
        </row>
        <row r="1749">
          <cell r="A1749">
            <v>1781</v>
          </cell>
          <cell r="B1749" t="str">
            <v>CURVA 45 GRAUS DE FERRO GALVANIZADO, COM ROSCA BSP MACHO/FEMEA, DE 1"</v>
          </cell>
          <cell r="C1749" t="str">
            <v xml:space="preserve">UN    </v>
          </cell>
          <cell r="D1749">
            <v>15.02</v>
          </cell>
        </row>
        <row r="1750">
          <cell r="A1750">
            <v>1784</v>
          </cell>
          <cell r="B1750" t="str">
            <v>CURVA 45 GRAUS DE FERRO GALVANIZADO, COM ROSCA BSP MACHO/FEMEA, DE 2 1/2"</v>
          </cell>
          <cell r="C1750" t="str">
            <v xml:space="preserve">UN    </v>
          </cell>
          <cell r="D1750">
            <v>82.36</v>
          </cell>
        </row>
        <row r="1751">
          <cell r="A1751">
            <v>1810</v>
          </cell>
          <cell r="B1751" t="str">
            <v>CURVA 45 GRAUS DE FERRO GALVANIZADO, COM ROSCA BSP MACHO/FEMEA, DE 2"</v>
          </cell>
          <cell r="C1751" t="str">
            <v xml:space="preserve">UN    </v>
          </cell>
          <cell r="D1751">
            <v>45.68</v>
          </cell>
        </row>
        <row r="1752">
          <cell r="A1752">
            <v>1811</v>
          </cell>
          <cell r="B1752" t="str">
            <v>CURVA 45 GRAUS DE FERRO GALVANIZADO, COM ROSCA BSP MACHO/FEMEA, DE 3/4"</v>
          </cell>
          <cell r="C1752" t="str">
            <v xml:space="preserve">UN    </v>
          </cell>
          <cell r="D1752">
            <v>9.8800000000000008</v>
          </cell>
        </row>
        <row r="1753">
          <cell r="A1753">
            <v>1812</v>
          </cell>
          <cell r="B1753" t="str">
            <v>CURVA 45 GRAUS DE FERRO GALVANIZADO, COM ROSCA BSP MACHO/FEMEA, DE 3"</v>
          </cell>
          <cell r="C1753" t="str">
            <v xml:space="preserve">UN    </v>
          </cell>
          <cell r="D1753">
            <v>115.33</v>
          </cell>
        </row>
        <row r="1754">
          <cell r="A1754">
            <v>40386</v>
          </cell>
          <cell r="B1754" t="str">
            <v>CURVA 45 GRAUS EM ACO CARBONO, SOLDAVEL, PRESSAO 3.000 LBS, DN 1 1/2"</v>
          </cell>
          <cell r="C1754" t="str">
            <v xml:space="preserve">UN    </v>
          </cell>
          <cell r="D1754">
            <v>41.38</v>
          </cell>
        </row>
        <row r="1755">
          <cell r="A1755">
            <v>40384</v>
          </cell>
          <cell r="B1755" t="str">
            <v>CURVA 45 GRAUS EM ACO CARBONO, SOLDAVEL, PRESSAO 3.000 LBS, DN 1 1/4"</v>
          </cell>
          <cell r="C1755" t="str">
            <v xml:space="preserve">UN    </v>
          </cell>
          <cell r="D1755">
            <v>28.33</v>
          </cell>
        </row>
        <row r="1756">
          <cell r="A1756">
            <v>40379</v>
          </cell>
          <cell r="B1756" t="str">
            <v>CURVA 45 GRAUS EM ACO CARBONO, SOLDAVEL, PRESSAO 3.000 LBS, DN 1/2"</v>
          </cell>
          <cell r="C1756" t="str">
            <v xml:space="preserve">UN    </v>
          </cell>
          <cell r="D1756">
            <v>9.7899999999999991</v>
          </cell>
        </row>
        <row r="1757">
          <cell r="A1757">
            <v>40423</v>
          </cell>
          <cell r="B1757" t="str">
            <v>CURVA 45 GRAUS EM ACO CARBONO, SOLDAVEL, PRESSAO 3.000 LBS, DN 1"</v>
          </cell>
          <cell r="C1757" t="str">
            <v xml:space="preserve">UN    </v>
          </cell>
          <cell r="D1757">
            <v>18.53</v>
          </cell>
        </row>
        <row r="1758">
          <cell r="A1758">
            <v>40389</v>
          </cell>
          <cell r="B1758" t="str">
            <v>CURVA 45 GRAUS EM ACO CARBONO, SOLDAVEL, PRESSAO 3.000 LBS, DN 2 1/2"</v>
          </cell>
          <cell r="C1758" t="str">
            <v xml:space="preserve">UN    </v>
          </cell>
          <cell r="D1758">
            <v>117.53</v>
          </cell>
        </row>
        <row r="1759">
          <cell r="A1759">
            <v>40388</v>
          </cell>
          <cell r="B1759" t="str">
            <v>CURVA 45 GRAUS EM ACO CARBONO, SOLDAVEL, PRESSAO 3.000 LBS, DN 2"</v>
          </cell>
          <cell r="C1759" t="str">
            <v xml:space="preserve">UN    </v>
          </cell>
          <cell r="D1759">
            <v>58.83</v>
          </cell>
        </row>
        <row r="1760">
          <cell r="A1760">
            <v>40381</v>
          </cell>
          <cell r="B1760" t="str">
            <v>CURVA 45 GRAUS EM ACO CARBONO, SOLDAVEL, PRESSAO 3.000 LBS, DN 3/4"</v>
          </cell>
          <cell r="C1760" t="str">
            <v xml:space="preserve">UN    </v>
          </cell>
          <cell r="D1760">
            <v>13.06</v>
          </cell>
        </row>
        <row r="1761">
          <cell r="A1761">
            <v>40391</v>
          </cell>
          <cell r="B1761" t="str">
            <v>CURVA 45 GRAUS EM ACO CARBONO, SOLDAVEL, PRESSAO 3.000 LBS, DN 3"</v>
          </cell>
          <cell r="C1761" t="str">
            <v xml:space="preserve">UN    </v>
          </cell>
          <cell r="D1761">
            <v>305.07</v>
          </cell>
        </row>
        <row r="1762">
          <cell r="A1762">
            <v>40414</v>
          </cell>
          <cell r="B1762" t="str">
            <v>CURVA 45 GRAUS RANHURADA EM FERRO FUNDIDO, DN 50 MM (2")</v>
          </cell>
          <cell r="C1762" t="str">
            <v xml:space="preserve">UN    </v>
          </cell>
          <cell r="D1762">
            <v>11.89</v>
          </cell>
        </row>
        <row r="1763">
          <cell r="A1763">
            <v>40416</v>
          </cell>
          <cell r="B1763" t="str">
            <v>CURVA 45 GRAUS RANHURADA EM FERRO FUNDIDO, DN 65 MM (2 1/2")</v>
          </cell>
          <cell r="C1763" t="str">
            <v xml:space="preserve">UN    </v>
          </cell>
          <cell r="D1763">
            <v>16.43</v>
          </cell>
        </row>
        <row r="1764">
          <cell r="A1764">
            <v>40418</v>
          </cell>
          <cell r="B1764" t="str">
            <v>CURVA 45 GRAUS RANHURADA EM FERRO FUNDIDO, DN 80 MM (3")</v>
          </cell>
          <cell r="C1764" t="str">
            <v xml:space="preserve">UN    </v>
          </cell>
          <cell r="D1764">
            <v>19.600000000000001</v>
          </cell>
        </row>
        <row r="1765">
          <cell r="A1765">
            <v>2615</v>
          </cell>
          <cell r="B1765" t="str">
            <v>CURVA 45 GRAUS, PARA ELETRODUTO, EM ACO GALVANIZADO ELETROLITICO, DIAMETRO DE 100 MM (4")</v>
          </cell>
          <cell r="C1765" t="str">
            <v xml:space="preserve">UN    </v>
          </cell>
          <cell r="D1765">
            <v>131.44999999999999</v>
          </cell>
        </row>
        <row r="1766">
          <cell r="A1766">
            <v>2635</v>
          </cell>
          <cell r="B1766" t="str">
            <v>CURVA 45 GRAUS, PARA ELETRODUTO, EM ACO GALVANIZADO ELETROLITICO, DIAMETRO DE 15 MM (1/2")</v>
          </cell>
          <cell r="C1766" t="str">
            <v xml:space="preserve">UN    </v>
          </cell>
          <cell r="D1766">
            <v>3.92</v>
          </cell>
        </row>
        <row r="1767">
          <cell r="A1767">
            <v>2609</v>
          </cell>
          <cell r="B1767" t="str">
            <v>CURVA 45 GRAUS, PARA ELETRODUTO, EM ACO GALVANIZADO ELETROLITICO, DIAMETRO DE 20 MM (3/4")</v>
          </cell>
          <cell r="C1767" t="str">
            <v xml:space="preserve">UN    </v>
          </cell>
          <cell r="D1767">
            <v>4.41</v>
          </cell>
        </row>
        <row r="1768">
          <cell r="A1768">
            <v>2634</v>
          </cell>
          <cell r="B1768" t="str">
            <v>CURVA 45 GRAUS, PARA ELETRODUTO, EM ACO GALVANIZADO ELETROLITICO, DIAMETRO DE 25 MM (1")</v>
          </cell>
          <cell r="C1768" t="str">
            <v xml:space="preserve">UN    </v>
          </cell>
          <cell r="D1768">
            <v>5.8</v>
          </cell>
        </row>
        <row r="1769">
          <cell r="A1769">
            <v>2611</v>
          </cell>
          <cell r="B1769" t="str">
            <v>CURVA 45 GRAUS, PARA ELETRODUTO, EM ACO GALVANIZADO ELETROLITICO, DIAMETRO DE 40 MM (1 1/2")</v>
          </cell>
          <cell r="C1769" t="str">
            <v xml:space="preserve">UN    </v>
          </cell>
          <cell r="D1769">
            <v>16.34</v>
          </cell>
        </row>
        <row r="1770">
          <cell r="A1770">
            <v>2612</v>
          </cell>
          <cell r="B1770" t="str">
            <v>CURVA 45 GRAUS, PARA ELETRODUTO, EM ACO GALVANIZADO ELETROLITICO, DIAMETRO DE 50 MM (2")</v>
          </cell>
          <cell r="C1770" t="str">
            <v xml:space="preserve">UN    </v>
          </cell>
          <cell r="D1770">
            <v>23.77</v>
          </cell>
        </row>
        <row r="1771">
          <cell r="A1771">
            <v>2613</v>
          </cell>
          <cell r="B1771" t="str">
            <v>CURVA 45 GRAUS, PARA ELETRODUTO, EM ACO GALVANIZADO ELETROLITICO, DIAMETRO DE 65 MM (2 1/2")</v>
          </cell>
          <cell r="C1771" t="str">
            <v xml:space="preserve">UN    </v>
          </cell>
          <cell r="D1771">
            <v>57.38</v>
          </cell>
        </row>
        <row r="1772">
          <cell r="A1772">
            <v>2614</v>
          </cell>
          <cell r="B1772" t="str">
            <v>CURVA 45 GRAUS, PARA ELETRODUTO, EM ACO GALVANIZADO ELETROLITICO, DIAMETRO DE 80 MM (3")</v>
          </cell>
          <cell r="C1772" t="str">
            <v xml:space="preserve">UN    </v>
          </cell>
          <cell r="D1772">
            <v>79.790000000000006</v>
          </cell>
        </row>
        <row r="1773">
          <cell r="A1773">
            <v>34359</v>
          </cell>
          <cell r="B1773" t="str">
            <v>CURVA 90 GRAUS DE BARRA CHATA EM ALUMINIO 3/4 " X 1/4 " X 300 MM</v>
          </cell>
          <cell r="C1773" t="str">
            <v xml:space="preserve">UN    </v>
          </cell>
          <cell r="D1773">
            <v>7.11</v>
          </cell>
        </row>
        <row r="1774">
          <cell r="A1774">
            <v>1789</v>
          </cell>
          <cell r="B1774" t="str">
            <v>CURVA 90 GRAUS DE FERRO GALVANIZADO, COM ROSCA BSP FEMEA, DE 1 1/2"</v>
          </cell>
          <cell r="C1774" t="str">
            <v xml:space="preserve">UN    </v>
          </cell>
          <cell r="D1774">
            <v>36.479999999999997</v>
          </cell>
        </row>
        <row r="1775">
          <cell r="A1775">
            <v>1788</v>
          </cell>
          <cell r="B1775" t="str">
            <v>CURVA 90 GRAUS DE FERRO GALVANIZADO, COM ROSCA BSP FEMEA, DE 1 1/4"</v>
          </cell>
          <cell r="C1775" t="str">
            <v xml:space="preserve">UN    </v>
          </cell>
          <cell r="D1775">
            <v>29.24</v>
          </cell>
        </row>
        <row r="1776">
          <cell r="A1776">
            <v>1786</v>
          </cell>
          <cell r="B1776" t="str">
            <v>CURVA 90 GRAUS DE FERRO GALVANIZADO, COM ROSCA BSP FEMEA, DE 1/2"</v>
          </cell>
          <cell r="C1776" t="str">
            <v xml:space="preserve">UN    </v>
          </cell>
          <cell r="D1776">
            <v>7.26</v>
          </cell>
        </row>
        <row r="1777">
          <cell r="A1777">
            <v>1787</v>
          </cell>
          <cell r="B1777" t="str">
            <v>CURVA 90 GRAUS DE FERRO GALVANIZADO, COM ROSCA BSP FEMEA, DE 1"</v>
          </cell>
          <cell r="C1777" t="str">
            <v xml:space="preserve">UN    </v>
          </cell>
          <cell r="D1777">
            <v>17.39</v>
          </cell>
        </row>
        <row r="1778">
          <cell r="A1778">
            <v>1791</v>
          </cell>
          <cell r="B1778" t="str">
            <v>CURVA 90 GRAUS DE FERRO GALVANIZADO, COM ROSCA BSP FEMEA, DE 2 1/2"</v>
          </cell>
          <cell r="C1778" t="str">
            <v xml:space="preserve">UN    </v>
          </cell>
          <cell r="D1778">
            <v>105.44</v>
          </cell>
        </row>
        <row r="1779">
          <cell r="A1779">
            <v>1790</v>
          </cell>
          <cell r="B1779" t="str">
            <v>CURVA 90 GRAUS DE FERRO GALVANIZADO, COM ROSCA BSP FEMEA, DE 2"</v>
          </cell>
          <cell r="C1779" t="str">
            <v xml:space="preserve">UN    </v>
          </cell>
          <cell r="D1779">
            <v>60.76</v>
          </cell>
        </row>
        <row r="1780">
          <cell r="A1780">
            <v>1813</v>
          </cell>
          <cell r="B1780" t="str">
            <v>CURVA 90 GRAUS DE FERRO GALVANIZADO, COM ROSCA BSP FEMEA, DE 3/4"</v>
          </cell>
          <cell r="C1780" t="str">
            <v xml:space="preserve">UN    </v>
          </cell>
          <cell r="D1780">
            <v>11.52</v>
          </cell>
        </row>
        <row r="1781">
          <cell r="A1781">
            <v>1792</v>
          </cell>
          <cell r="B1781" t="str">
            <v>CURVA 90 GRAUS DE FERRO GALVANIZADO, COM ROSCA BSP FEMEA, DE 3"</v>
          </cell>
          <cell r="C1781" t="str">
            <v xml:space="preserve">UN    </v>
          </cell>
          <cell r="D1781">
            <v>142.33000000000001</v>
          </cell>
        </row>
        <row r="1782">
          <cell r="A1782">
            <v>1793</v>
          </cell>
          <cell r="B1782" t="str">
            <v>CURVA 90 GRAUS DE FERRO GALVANIZADO, COM ROSCA BSP FEMEA, DE 4"</v>
          </cell>
          <cell r="C1782" t="str">
            <v xml:space="preserve">UN    </v>
          </cell>
          <cell r="D1782">
            <v>287.60000000000002</v>
          </cell>
        </row>
        <row r="1783">
          <cell r="A1783">
            <v>1809</v>
          </cell>
          <cell r="B1783" t="str">
            <v>CURVA 90 GRAUS DE FERRO GALVANIZADO, COM ROSCA BSP MACHO/FEMEA, DE 1 1/2"</v>
          </cell>
          <cell r="C1783" t="str">
            <v xml:space="preserve">UN    </v>
          </cell>
          <cell r="D1783">
            <v>34.200000000000003</v>
          </cell>
        </row>
        <row r="1784">
          <cell r="A1784">
            <v>1814</v>
          </cell>
          <cell r="B1784" t="str">
            <v>CURVA 90 GRAUS DE FERRO GALVANIZADO, COM ROSCA BSP MACHO/FEMEA, DE 1 1/4"</v>
          </cell>
          <cell r="C1784" t="str">
            <v xml:space="preserve">UN    </v>
          </cell>
          <cell r="D1784">
            <v>28.1</v>
          </cell>
        </row>
        <row r="1785">
          <cell r="A1785">
            <v>1803</v>
          </cell>
          <cell r="B1785" t="str">
            <v>CURVA 90 GRAUS DE FERRO GALVANIZADO, COM ROSCA BSP MACHO/FEMEA, DE 1/2"</v>
          </cell>
          <cell r="C1785" t="str">
            <v xml:space="preserve">UN    </v>
          </cell>
          <cell r="D1785">
            <v>7.1</v>
          </cell>
        </row>
        <row r="1786">
          <cell r="A1786">
            <v>1805</v>
          </cell>
          <cell r="B1786" t="str">
            <v>CURVA 90 GRAUS DE FERRO GALVANIZADO, COM ROSCA BSP MACHO/FEMEA, DE 1"</v>
          </cell>
          <cell r="C1786" t="str">
            <v xml:space="preserve">UN    </v>
          </cell>
          <cell r="D1786">
            <v>16.3</v>
          </cell>
        </row>
        <row r="1787">
          <cell r="A1787">
            <v>1821</v>
          </cell>
          <cell r="B1787" t="str">
            <v>CURVA 90 GRAUS DE FERRO GALVANIZADO, COM ROSCA BSP MACHO/FEMEA, DE 2 1/2"</v>
          </cell>
          <cell r="C1787" t="str">
            <v xml:space="preserve">UN    </v>
          </cell>
          <cell r="D1787">
            <v>96.34</v>
          </cell>
        </row>
        <row r="1788">
          <cell r="A1788">
            <v>1806</v>
          </cell>
          <cell r="B1788" t="str">
            <v>CURVA 90 GRAUS DE FERRO GALVANIZADO, COM ROSCA BSP MACHO/FEMEA, DE 2"</v>
          </cell>
          <cell r="C1788" t="str">
            <v xml:space="preserve">UN    </v>
          </cell>
          <cell r="D1788">
            <v>57.34</v>
          </cell>
        </row>
        <row r="1789">
          <cell r="A1789">
            <v>1804</v>
          </cell>
          <cell r="B1789" t="str">
            <v>CURVA 90 GRAUS DE FERRO GALVANIZADO, COM ROSCA BSP MACHO/FEMEA, DE 3/4"</v>
          </cell>
          <cell r="C1789" t="str">
            <v xml:space="preserve">UN    </v>
          </cell>
          <cell r="D1789">
            <v>10.1</v>
          </cell>
        </row>
        <row r="1790">
          <cell r="A1790">
            <v>1807</v>
          </cell>
          <cell r="B1790" t="str">
            <v>CURVA 90 GRAUS DE FERRO GALVANIZADO, COM ROSCA BSP MACHO/FEMEA, DE 3"</v>
          </cell>
          <cell r="C1790" t="str">
            <v xml:space="preserve">UN    </v>
          </cell>
          <cell r="D1790">
            <v>137.78</v>
          </cell>
        </row>
        <row r="1791">
          <cell r="A1791">
            <v>1808</v>
          </cell>
          <cell r="B1791" t="str">
            <v>CURVA 90 GRAUS DE FERRO GALVANIZADO, COM ROSCA BSP MACHO/FEMEA, DE 4"</v>
          </cell>
          <cell r="C1791" t="str">
            <v xml:space="preserve">UN    </v>
          </cell>
          <cell r="D1791">
            <v>276.22000000000003</v>
          </cell>
        </row>
        <row r="1792">
          <cell r="A1792">
            <v>1797</v>
          </cell>
          <cell r="B1792" t="str">
            <v>CURVA 90 GRAUS DE FERRO GALVANIZADO, COM ROSCA BSP MACHO, DE 1 1/2"</v>
          </cell>
          <cell r="C1792" t="str">
            <v xml:space="preserve">UN    </v>
          </cell>
          <cell r="D1792">
            <v>41.42</v>
          </cell>
        </row>
        <row r="1793">
          <cell r="A1793">
            <v>1796</v>
          </cell>
          <cell r="B1793" t="str">
            <v>CURVA 90 GRAUS DE FERRO GALVANIZADO, COM ROSCA BSP MACHO, DE 1 1/4"</v>
          </cell>
          <cell r="C1793" t="str">
            <v xml:space="preserve">UN    </v>
          </cell>
          <cell r="D1793">
            <v>31.78</v>
          </cell>
        </row>
        <row r="1794">
          <cell r="A1794">
            <v>1794</v>
          </cell>
          <cell r="B1794" t="str">
            <v>CURVA 90 GRAUS DE FERRO GALVANIZADO, COM ROSCA BSP MACHO, DE 1/2"</v>
          </cell>
          <cell r="C1794" t="str">
            <v xml:space="preserve">UN    </v>
          </cell>
          <cell r="D1794">
            <v>7.58</v>
          </cell>
        </row>
        <row r="1795">
          <cell r="A1795">
            <v>1816</v>
          </cell>
          <cell r="B1795" t="str">
            <v>CURVA 90 GRAUS DE FERRO GALVANIZADO, COM ROSCA BSP MACHO, DE 1"</v>
          </cell>
          <cell r="C1795" t="str">
            <v xml:space="preserve">UN    </v>
          </cell>
          <cell r="D1795">
            <v>17.100000000000001</v>
          </cell>
        </row>
        <row r="1796">
          <cell r="A1796">
            <v>1815</v>
          </cell>
          <cell r="B1796" t="str">
            <v>CURVA 90 GRAUS DE FERRO GALVANIZADO, COM ROSCA BSP MACHO, DE 2 1/2"</v>
          </cell>
          <cell r="C1796" t="str">
            <v xml:space="preserve">UN    </v>
          </cell>
          <cell r="D1796">
            <v>131.35</v>
          </cell>
        </row>
        <row r="1797">
          <cell r="A1797">
            <v>1798</v>
          </cell>
          <cell r="B1797" t="str">
            <v>CURVA 90 GRAUS DE FERRO GALVANIZADO, COM ROSCA BSP MACHO, DE 2"</v>
          </cell>
          <cell r="C1797" t="str">
            <v xml:space="preserve">UN    </v>
          </cell>
          <cell r="D1797">
            <v>58.77</v>
          </cell>
        </row>
        <row r="1798">
          <cell r="A1798">
            <v>1795</v>
          </cell>
          <cell r="B1798" t="str">
            <v>CURVA 90 GRAUS DE FERRO GALVANIZADO, COM ROSCA BSP MACHO, DE 3/4"</v>
          </cell>
          <cell r="C1798" t="str">
            <v xml:space="preserve">UN    </v>
          </cell>
          <cell r="D1798">
            <v>10.51</v>
          </cell>
        </row>
        <row r="1799">
          <cell r="A1799">
            <v>1799</v>
          </cell>
          <cell r="B1799" t="str">
            <v>CURVA 90 GRAUS DE FERRO GALVANIZADO, COM ROSCA BSP MACHO, DE 3"</v>
          </cell>
          <cell r="C1799" t="str">
            <v xml:space="preserve">UN    </v>
          </cell>
          <cell r="D1799">
            <v>171.07</v>
          </cell>
        </row>
        <row r="1800">
          <cell r="A1800">
            <v>1800</v>
          </cell>
          <cell r="B1800" t="str">
            <v>CURVA 90 GRAUS DE FERRO GALVANIZADO, COM ROSCA BSP MACHO, DE 4"</v>
          </cell>
          <cell r="C1800" t="str">
            <v xml:space="preserve">UN    </v>
          </cell>
          <cell r="D1800">
            <v>326.61</v>
          </cell>
        </row>
        <row r="1801">
          <cell r="A1801">
            <v>1802</v>
          </cell>
          <cell r="B1801" t="str">
            <v>CURVA 90 GRAUS DE FERRO GALVANIZADO, COM ROSCA BSP MACHO, DE 6"</v>
          </cell>
          <cell r="C1801" t="str">
            <v xml:space="preserve">UN    </v>
          </cell>
          <cell r="D1801">
            <v>816.99</v>
          </cell>
        </row>
        <row r="1802">
          <cell r="A1802">
            <v>40385</v>
          </cell>
          <cell r="B1802" t="str">
            <v>CURVA 90 GRAUS EM ACO CARBONO, RAIO CURTO, SOLDAVEL, PRESSAO 3.000 LBS, DN 1 1/2"</v>
          </cell>
          <cell r="C1802" t="str">
            <v xml:space="preserve">UN    </v>
          </cell>
          <cell r="D1802">
            <v>41.38</v>
          </cell>
        </row>
        <row r="1803">
          <cell r="A1803">
            <v>40383</v>
          </cell>
          <cell r="B1803" t="str">
            <v>CURVA 90 GRAUS EM ACO CARBONO, RAIO CURTO, SOLDAVEL, PRESSAO 3.000 LBS, DN 1 1/4"</v>
          </cell>
          <cell r="C1803" t="str">
            <v xml:space="preserve">UN    </v>
          </cell>
          <cell r="D1803">
            <v>28.33</v>
          </cell>
        </row>
        <row r="1804">
          <cell r="A1804">
            <v>40378</v>
          </cell>
          <cell r="B1804" t="str">
            <v>CURVA 90 GRAUS EM ACO CARBONO, RAIO CURTO, SOLDAVEL, PRESSAO 3.000 LBS, DN 1/2"</v>
          </cell>
          <cell r="C1804" t="str">
            <v xml:space="preserve">UN    </v>
          </cell>
          <cell r="D1804">
            <v>9.7899999999999991</v>
          </cell>
        </row>
        <row r="1805">
          <cell r="A1805">
            <v>40382</v>
          </cell>
          <cell r="B1805" t="str">
            <v>CURVA 90 GRAUS EM ACO CARBONO, RAIO CURTO, SOLDAVEL, PRESSAO 3.000 LBS, DN 1"</v>
          </cell>
          <cell r="C1805" t="str">
            <v xml:space="preserve">UN    </v>
          </cell>
          <cell r="D1805">
            <v>18.53</v>
          </cell>
        </row>
        <row r="1806">
          <cell r="A1806">
            <v>40422</v>
          </cell>
          <cell r="B1806" t="str">
            <v>CURVA 90 GRAUS EM ACO CARBONO, RAIO CURTO, SOLDAVEL, PRESSAO 3.000 LBS, DN 2 1/2"</v>
          </cell>
          <cell r="C1806" t="str">
            <v xml:space="preserve">UN    </v>
          </cell>
          <cell r="D1806">
            <v>126.26</v>
          </cell>
        </row>
        <row r="1807">
          <cell r="A1807">
            <v>40387</v>
          </cell>
          <cell r="B1807" t="str">
            <v>CURVA 90 GRAUS EM ACO CARBONO, RAIO CURTO, SOLDAVEL, PRESSAO 3.000 LBS, DN 2"</v>
          </cell>
          <cell r="C1807" t="str">
            <v xml:space="preserve">UN    </v>
          </cell>
          <cell r="D1807">
            <v>64.28</v>
          </cell>
        </row>
        <row r="1808">
          <cell r="A1808">
            <v>40380</v>
          </cell>
          <cell r="B1808" t="str">
            <v>CURVA 90 GRAUS EM ACO CARBONO, RAIO CURTO, SOLDAVEL, PRESSAO 3.000 LBS, DN 3/4"</v>
          </cell>
          <cell r="C1808" t="str">
            <v xml:space="preserve">UN    </v>
          </cell>
          <cell r="D1808">
            <v>13.06</v>
          </cell>
        </row>
        <row r="1809">
          <cell r="A1809">
            <v>40390</v>
          </cell>
          <cell r="B1809" t="str">
            <v>CURVA 90 GRAUS EM ACO CARBONO, RAIO CURTO, SOLDAVEL, PRESSAO 3.000 LBS, DN 3"</v>
          </cell>
          <cell r="C1809" t="str">
            <v xml:space="preserve">UN    </v>
          </cell>
          <cell r="D1809">
            <v>265.92</v>
          </cell>
        </row>
        <row r="1810">
          <cell r="A1810">
            <v>40413</v>
          </cell>
          <cell r="B1810" t="str">
            <v>CURVA 90 GRAUS RANHURADA EM FERRO FUNDIDO, DN 50 MM (2")</v>
          </cell>
          <cell r="C1810" t="str">
            <v xml:space="preserve">UN    </v>
          </cell>
          <cell r="D1810">
            <v>12.91</v>
          </cell>
        </row>
        <row r="1811">
          <cell r="A1811">
            <v>40415</v>
          </cell>
          <cell r="B1811" t="str">
            <v>CURVA 90 GRAUS RANHURADA EM FERRO FUNDIDO, DN 65 MM (2 1/2")</v>
          </cell>
          <cell r="C1811" t="str">
            <v xml:space="preserve">UN    </v>
          </cell>
          <cell r="D1811">
            <v>18.399999999999999</v>
          </cell>
        </row>
        <row r="1812">
          <cell r="A1812">
            <v>40417</v>
          </cell>
          <cell r="B1812" t="str">
            <v>CURVA 90 GRAUS RANHURADA EM FERRO FUNDIDO, DN 80 MM (3")</v>
          </cell>
          <cell r="C1812" t="str">
            <v xml:space="preserve">UN    </v>
          </cell>
          <cell r="D1812">
            <v>21.71</v>
          </cell>
        </row>
        <row r="1813">
          <cell r="A1813">
            <v>39271</v>
          </cell>
          <cell r="B1813" t="str">
            <v>CURVA 90 GRAUS, CURTA, DE PVC RIGIDO ROSCAVEL, DE 1/2", PARA ELETRODUTO</v>
          </cell>
          <cell r="C1813" t="str">
            <v xml:space="preserve">UN    </v>
          </cell>
          <cell r="D1813">
            <v>1.48</v>
          </cell>
        </row>
        <row r="1814">
          <cell r="A1814">
            <v>39273</v>
          </cell>
          <cell r="B1814" t="str">
            <v>CURVA 90 GRAUS, CURTA, DE PVC RIGIDO ROSCAVEL, DE 1", PARA ELETRODUTO</v>
          </cell>
          <cell r="C1814" t="str">
            <v xml:space="preserve">UN    </v>
          </cell>
          <cell r="D1814">
            <v>2.52</v>
          </cell>
        </row>
        <row r="1815">
          <cell r="A1815">
            <v>39272</v>
          </cell>
          <cell r="B1815" t="str">
            <v>CURVA 90 GRAUS, CURTA, DE PVC RIGIDO ROSCAVEL, DE 3/4", PARA ELETRODUTO</v>
          </cell>
          <cell r="C1815" t="str">
            <v xml:space="preserve">UN    </v>
          </cell>
          <cell r="D1815">
            <v>1.82</v>
          </cell>
        </row>
        <row r="1816">
          <cell r="A1816">
            <v>1875</v>
          </cell>
          <cell r="B1816" t="str">
            <v>CURVA 90 GRAUS, LONGA, DE PVC RIGIDO ROSCAVEL, DE 1 1/2", PARA ELETRODUTO</v>
          </cell>
          <cell r="C1816" t="str">
            <v xml:space="preserve">UN    </v>
          </cell>
          <cell r="D1816">
            <v>4.0199999999999996</v>
          </cell>
        </row>
        <row r="1817">
          <cell r="A1817">
            <v>1874</v>
          </cell>
          <cell r="B1817" t="str">
            <v>CURVA 90 GRAUS, LONGA, DE PVC RIGIDO ROSCAVEL, DE 1 1/4", PARA ELETRODUTO</v>
          </cell>
          <cell r="C1817" t="str">
            <v xml:space="preserve">UN    </v>
          </cell>
          <cell r="D1817">
            <v>3.32</v>
          </cell>
        </row>
        <row r="1818">
          <cell r="A1818">
            <v>1870</v>
          </cell>
          <cell r="B1818" t="str">
            <v>CURVA 90 GRAUS, LONGA, DE PVC RIGIDO ROSCAVEL, DE 1/2", PARA ELETRODUTO</v>
          </cell>
          <cell r="C1818" t="str">
            <v xml:space="preserve">UN    </v>
          </cell>
          <cell r="D1818">
            <v>1.92</v>
          </cell>
        </row>
        <row r="1819">
          <cell r="A1819">
            <v>1884</v>
          </cell>
          <cell r="B1819" t="str">
            <v>CURVA 90 GRAUS, LONGA, DE PVC RIGIDO ROSCAVEL, DE 1", PARA ELETRODUTO</v>
          </cell>
          <cell r="C1819" t="str">
            <v xml:space="preserve">UN    </v>
          </cell>
          <cell r="D1819">
            <v>2.94</v>
          </cell>
        </row>
        <row r="1820">
          <cell r="A1820">
            <v>1887</v>
          </cell>
          <cell r="B1820" t="str">
            <v>CURVA 90 GRAUS, LONGA, DE PVC RIGIDO ROSCAVEL, DE 2 1/2", PARA ELETRODUTO</v>
          </cell>
          <cell r="C1820" t="str">
            <v xml:space="preserve">UN    </v>
          </cell>
          <cell r="D1820">
            <v>16.690000000000001</v>
          </cell>
        </row>
        <row r="1821">
          <cell r="A1821">
            <v>1876</v>
          </cell>
          <cell r="B1821" t="str">
            <v>CURVA 90 GRAUS, LONGA, DE PVC RIGIDO ROSCAVEL, DE 2", PARA ELETRODUTO</v>
          </cell>
          <cell r="C1821" t="str">
            <v xml:space="preserve">UN    </v>
          </cell>
          <cell r="D1821">
            <v>6.54</v>
          </cell>
        </row>
        <row r="1822">
          <cell r="A1822">
            <v>1879</v>
          </cell>
          <cell r="B1822" t="str">
            <v>CURVA 90 GRAUS, LONGA, DE PVC RIGIDO ROSCAVEL, DE 3/4", PARA ELETRODUTO</v>
          </cell>
          <cell r="C1822" t="str">
            <v xml:space="preserve">UN    </v>
          </cell>
          <cell r="D1822">
            <v>1.94</v>
          </cell>
        </row>
        <row r="1823">
          <cell r="A1823">
            <v>1877</v>
          </cell>
          <cell r="B1823" t="str">
            <v>CURVA 90 GRAUS, LONGA, DE PVC RIGIDO ROSCAVEL, DE 3", PARA ELETRODUTO</v>
          </cell>
          <cell r="C1823" t="str">
            <v xml:space="preserve">UN    </v>
          </cell>
          <cell r="D1823">
            <v>16.71</v>
          </cell>
        </row>
        <row r="1824">
          <cell r="A1824">
            <v>1878</v>
          </cell>
          <cell r="B1824" t="str">
            <v>CURVA 90 GRAUS, LONGA, DE PVC RIGIDO ROSCAVEL, DE 4", PARA ELETRODUTO</v>
          </cell>
          <cell r="C1824" t="str">
            <v xml:space="preserve">UN    </v>
          </cell>
          <cell r="D1824">
            <v>33.58</v>
          </cell>
        </row>
        <row r="1825">
          <cell r="A1825">
            <v>2621</v>
          </cell>
          <cell r="B1825" t="str">
            <v>CURVA 90 GRAUS, PARA ELETRODUTO, EM ACO GALVANIZADO ELETROLITICO, DIAMETRO DE 100 MM (4")</v>
          </cell>
          <cell r="C1825" t="str">
            <v xml:space="preserve">UN    </v>
          </cell>
          <cell r="D1825">
            <v>139.82</v>
          </cell>
        </row>
        <row r="1826">
          <cell r="A1826">
            <v>2616</v>
          </cell>
          <cell r="B1826" t="str">
            <v>CURVA 90 GRAUS, PARA ELETRODUTO, EM ACO GALVANIZADO ELETROLITICO, DIAMETRO DE 15 MM (1/2")</v>
          </cell>
          <cell r="C1826" t="str">
            <v xml:space="preserve">UN    </v>
          </cell>
          <cell r="D1826">
            <v>3.95</v>
          </cell>
        </row>
        <row r="1827">
          <cell r="A1827">
            <v>2633</v>
          </cell>
          <cell r="B1827" t="str">
            <v>CURVA 90 GRAUS, PARA ELETRODUTO, EM ACO GALVANIZADO ELETROLITICO, DIAMETRO DE 20 MM (3/4")</v>
          </cell>
          <cell r="C1827" t="str">
            <v xml:space="preserve">UN    </v>
          </cell>
          <cell r="D1827">
            <v>4.47</v>
          </cell>
        </row>
        <row r="1828">
          <cell r="A1828">
            <v>2617</v>
          </cell>
          <cell r="B1828" t="str">
            <v>CURVA 90 GRAUS, PARA ELETRODUTO, EM ACO GALVANIZADO ELETROLITICO, DIAMETRO DE 25 MM (1")</v>
          </cell>
          <cell r="C1828" t="str">
            <v xml:space="preserve">UN    </v>
          </cell>
          <cell r="D1828">
            <v>6.08</v>
          </cell>
        </row>
        <row r="1829">
          <cell r="A1829">
            <v>2618</v>
          </cell>
          <cell r="B1829" t="str">
            <v>CURVA 90 GRAUS, PARA ELETRODUTO, EM ACO GALVANIZADO ELETROLITICO, DIAMETRO DE 32 MM (1 1/4")</v>
          </cell>
          <cell r="C1829" t="str">
            <v xml:space="preserve">UN    </v>
          </cell>
          <cell r="D1829">
            <v>13.85</v>
          </cell>
        </row>
        <row r="1830">
          <cell r="A1830">
            <v>2632</v>
          </cell>
          <cell r="B1830" t="str">
            <v>CURVA 90 GRAUS, PARA ELETRODUTO, EM ACO GALVANIZADO ELETROLITICO, DIAMETRO DE 40 MM (1 1/2")</v>
          </cell>
          <cell r="C1830" t="str">
            <v xml:space="preserve">UN    </v>
          </cell>
          <cell r="D1830">
            <v>16.89</v>
          </cell>
        </row>
        <row r="1831">
          <cell r="A1831">
            <v>2631</v>
          </cell>
          <cell r="B1831" t="str">
            <v>CURVA 90 GRAUS, PARA ELETRODUTO, EM ACO GALVANIZADO ELETROLITICO, DIAMETRO DE 50 MM (2")</v>
          </cell>
          <cell r="C1831" t="str">
            <v xml:space="preserve">UN    </v>
          </cell>
          <cell r="D1831">
            <v>24.8</v>
          </cell>
        </row>
        <row r="1832">
          <cell r="A1832">
            <v>2619</v>
          </cell>
          <cell r="B1832" t="str">
            <v>CURVA 90 GRAUS, PARA ELETRODUTO, EM ACO GALVANIZADO ELETROLITICO, DIAMETRO DE 65 MM (2 1/2")</v>
          </cell>
          <cell r="C1832" t="str">
            <v xml:space="preserve">UN    </v>
          </cell>
          <cell r="D1832">
            <v>62.79</v>
          </cell>
        </row>
        <row r="1833">
          <cell r="A1833">
            <v>2620</v>
          </cell>
          <cell r="B1833" t="str">
            <v>CURVA 90 GRAUS, PARA ELETRODUTO, EM ACO GALVANIZADO ELETROLITICO, DIAMETRO DE 80 MM (3")</v>
          </cell>
          <cell r="C1833" t="str">
            <v xml:space="preserve">UN    </v>
          </cell>
          <cell r="D1833">
            <v>82.44</v>
          </cell>
        </row>
        <row r="1834">
          <cell r="A1834">
            <v>25968</v>
          </cell>
          <cell r="B1834" t="str">
            <v>DENTE PARA FRESADORA</v>
          </cell>
          <cell r="C1834" t="str">
            <v xml:space="preserve">UN    </v>
          </cell>
          <cell r="D1834">
            <v>39.67</v>
          </cell>
        </row>
        <row r="1835">
          <cell r="A1835">
            <v>38369</v>
          </cell>
          <cell r="B1835" t="str">
            <v>DESEMPENADEIRA DE ACO DENTADA 12 X *25* CM, DENTES 8 X 8 MM, CABO FECHADO DE MADEIRA</v>
          </cell>
          <cell r="C1835" t="str">
            <v xml:space="preserve">UN    </v>
          </cell>
          <cell r="D1835">
            <v>12</v>
          </cell>
        </row>
        <row r="1836">
          <cell r="A1836">
            <v>38370</v>
          </cell>
          <cell r="B1836" t="str">
            <v>DESEMPENADEIRA DE ACO LISA 12 X *25* CM COM CABO FECHADO DE MADEIRA</v>
          </cell>
          <cell r="C1836" t="str">
            <v xml:space="preserve">UN    </v>
          </cell>
          <cell r="D1836">
            <v>12</v>
          </cell>
        </row>
        <row r="1837">
          <cell r="A1837">
            <v>38372</v>
          </cell>
          <cell r="B1837" t="str">
            <v>DESEMPENADEIRA PLASTICA LISA *14 X 27* CM</v>
          </cell>
          <cell r="C1837" t="str">
            <v xml:space="preserve">UN    </v>
          </cell>
          <cell r="D1837">
            <v>16.14</v>
          </cell>
        </row>
        <row r="1838">
          <cell r="A1838">
            <v>2357</v>
          </cell>
          <cell r="B1838" t="str">
            <v>DESENHISTA COPISTA</v>
          </cell>
          <cell r="C1838" t="str">
            <v xml:space="preserve">H     </v>
          </cell>
          <cell r="D1838">
            <v>16.989999999999998</v>
          </cell>
        </row>
        <row r="1839">
          <cell r="A1839">
            <v>40806</v>
          </cell>
          <cell r="B1839" t="str">
            <v>DESENHISTA COPISTA (MENSALISTA)</v>
          </cell>
          <cell r="C1839" t="str">
            <v xml:space="preserve">MES   </v>
          </cell>
          <cell r="D1839">
            <v>2365.66</v>
          </cell>
        </row>
        <row r="1840">
          <cell r="A1840">
            <v>2355</v>
          </cell>
          <cell r="B1840" t="str">
            <v>DESENHISTA DETALHISTA</v>
          </cell>
          <cell r="C1840" t="str">
            <v xml:space="preserve">H     </v>
          </cell>
          <cell r="D1840">
            <v>22.54</v>
          </cell>
        </row>
        <row r="1841">
          <cell r="A1841">
            <v>40805</v>
          </cell>
          <cell r="B1841" t="str">
            <v>DESENHISTA DETALHISTA (MENSALISTA)</v>
          </cell>
          <cell r="C1841" t="str">
            <v xml:space="preserve">MES   </v>
          </cell>
          <cell r="D1841">
            <v>3136.24</v>
          </cell>
        </row>
        <row r="1842">
          <cell r="A1842">
            <v>2358</v>
          </cell>
          <cell r="B1842" t="str">
            <v>DESENHISTA PROJETISTA</v>
          </cell>
          <cell r="C1842" t="str">
            <v xml:space="preserve">H     </v>
          </cell>
          <cell r="D1842">
            <v>18.010000000000002</v>
          </cell>
        </row>
        <row r="1843">
          <cell r="A1843">
            <v>40807</v>
          </cell>
          <cell r="B1843" t="str">
            <v>DESENHISTA PROJETISTA (MENSALISTA)</v>
          </cell>
          <cell r="C1843" t="str">
            <v xml:space="preserve">MES   </v>
          </cell>
          <cell r="D1843">
            <v>2506.89</v>
          </cell>
        </row>
        <row r="1844">
          <cell r="A1844">
            <v>2359</v>
          </cell>
          <cell r="B1844" t="str">
            <v>DESENHISTA TECNICO AUXILIAR</v>
          </cell>
          <cell r="C1844" t="str">
            <v xml:space="preserve">H     </v>
          </cell>
          <cell r="D1844">
            <v>18.010000000000002</v>
          </cell>
        </row>
        <row r="1845">
          <cell r="A1845">
            <v>40808</v>
          </cell>
          <cell r="B1845" t="str">
            <v>DESENHISTA TECNICO AUXILIAR (MENSALISTA)</v>
          </cell>
          <cell r="C1845" t="str">
            <v xml:space="preserve">MES   </v>
          </cell>
          <cell r="D1845">
            <v>2506.19</v>
          </cell>
        </row>
        <row r="1846">
          <cell r="A1846">
            <v>39397</v>
          </cell>
          <cell r="B1846" t="str">
            <v>DESMOLDANTE PARA FORMAS METALICAS A BASE DE OLEO VEGETAL</v>
          </cell>
          <cell r="C1846" t="str">
            <v xml:space="preserve">L     </v>
          </cell>
          <cell r="D1846">
            <v>11.73</v>
          </cell>
        </row>
        <row r="1847">
          <cell r="A1847">
            <v>2692</v>
          </cell>
          <cell r="B1847" t="str">
            <v>DESMOLDANTE PROTETOR PARA FORMAS DE MADEIRA, DE BASE OLEOSA EMULSIONADA EM AGUA</v>
          </cell>
          <cell r="C1847" t="str">
            <v xml:space="preserve">L     </v>
          </cell>
          <cell r="D1847">
            <v>5.55</v>
          </cell>
        </row>
        <row r="1848">
          <cell r="A1848">
            <v>6</v>
          </cell>
          <cell r="B1848" t="str">
            <v>DETERGENTE AMONIACO (AMONIA DILUIDA)</v>
          </cell>
          <cell r="C1848" t="str">
            <v xml:space="preserve">L     </v>
          </cell>
          <cell r="D1848">
            <v>3.3</v>
          </cell>
        </row>
        <row r="1849">
          <cell r="A1849">
            <v>5330</v>
          </cell>
          <cell r="B1849" t="str">
            <v>DILUENTE EPOXI</v>
          </cell>
          <cell r="C1849" t="str">
            <v xml:space="preserve">L     </v>
          </cell>
          <cell r="D1849">
            <v>34.6</v>
          </cell>
        </row>
        <row r="1850">
          <cell r="A1850">
            <v>26017</v>
          </cell>
          <cell r="B1850" t="str">
            <v>DISCO DE BORRACHA PARA LIXADEIRA RIGIDO 7 " COM ARRUELA CENTRAL</v>
          </cell>
          <cell r="C1850" t="str">
            <v xml:space="preserve">UN    </v>
          </cell>
          <cell r="D1850">
            <v>34.25</v>
          </cell>
        </row>
        <row r="1851">
          <cell r="A1851">
            <v>25931</v>
          </cell>
          <cell r="B1851" t="str">
            <v>DISCO DE CORTE DIAMANTADO SEGMENTADO DIAMETRO DE 180 MM PARA ESMERILHADEIRA 7 "</v>
          </cell>
          <cell r="C1851" t="str">
            <v xml:space="preserve">UN    </v>
          </cell>
          <cell r="D1851">
            <v>108.86</v>
          </cell>
        </row>
        <row r="1852">
          <cell r="A1852">
            <v>38140</v>
          </cell>
          <cell r="B1852" t="str">
            <v>DISCO DE CORTE DIAMANTADO SEGMENTADO PARA CONCRETO, DIAMETRO DE 110 MM, FURO DE 20 MM</v>
          </cell>
          <cell r="C1852" t="str">
            <v xml:space="preserve">UN    </v>
          </cell>
          <cell r="D1852">
            <v>26.4</v>
          </cell>
        </row>
        <row r="1853">
          <cell r="A1853">
            <v>13887</v>
          </cell>
          <cell r="B1853" t="str">
            <v>DISCO DE CORTE DIAMANTADO SEGMENTADO PARA CONCRETO, DIAMETRO DE 350 MM, FURO DE 1 " (14 X 1 ")</v>
          </cell>
          <cell r="C1853" t="str">
            <v xml:space="preserve">UN    </v>
          </cell>
          <cell r="D1853">
            <v>625.04</v>
          </cell>
        </row>
        <row r="1854">
          <cell r="A1854">
            <v>26018</v>
          </cell>
          <cell r="B1854" t="str">
            <v>DISCO DE CORTE PARA METAL COM DUAS TELAS 12 X 1/8 X 3/4 " (300 X 3,2 X 19,05 MM)</v>
          </cell>
          <cell r="C1854" t="str">
            <v xml:space="preserve">UN    </v>
          </cell>
          <cell r="D1854">
            <v>27.82</v>
          </cell>
        </row>
        <row r="1855">
          <cell r="A1855">
            <v>26019</v>
          </cell>
          <cell r="B1855" t="str">
            <v>DISCO DE DESBASTE PARA METAL FERROSO EM GERAL, COM TRES TELAS,  9 X 1/4 X 7/8 " (228,6 X 6,4 X 22,2 MM)</v>
          </cell>
          <cell r="C1855" t="str">
            <v xml:space="preserve">UN    </v>
          </cell>
          <cell r="D1855">
            <v>26.27</v>
          </cell>
        </row>
        <row r="1856">
          <cell r="A1856">
            <v>26020</v>
          </cell>
          <cell r="B1856" t="str">
            <v>DISCO DE LIXA PARA METAL, DIAMETRO = 180 MM, GRAO 120</v>
          </cell>
          <cell r="C1856" t="str">
            <v xml:space="preserve">UN    </v>
          </cell>
          <cell r="D1856">
            <v>6.85</v>
          </cell>
        </row>
        <row r="1857">
          <cell r="A1857">
            <v>34544</v>
          </cell>
          <cell r="B1857" t="str">
            <v>DISJUNTOR  TERMOMAGNETICO TRIPOLAR 3 X 400 A / ICC - 25 KA</v>
          </cell>
          <cell r="C1857" t="str">
            <v xml:space="preserve">UN    </v>
          </cell>
          <cell r="D1857">
            <v>1137.3900000000001</v>
          </cell>
        </row>
        <row r="1858">
          <cell r="A1858">
            <v>34729</v>
          </cell>
          <cell r="B1858" t="str">
            <v>DISJUNTOR TERMICO E MAGNETICO AJUSTAVEIS, TRIPOLAR DE 100 ATE 250A, CAPACIDADE DE INTERRUPCAO DE 35KA</v>
          </cell>
          <cell r="C1858" t="str">
            <v xml:space="preserve">UN    </v>
          </cell>
          <cell r="D1858">
            <v>894.74</v>
          </cell>
        </row>
        <row r="1859">
          <cell r="A1859">
            <v>34734</v>
          </cell>
          <cell r="B1859" t="str">
            <v>DISJUNTOR TERMICO E MAGNETICO AJUSTAVEIS, TRIPOLAR DE 300 ATE 400A, CAPACIDADE DE INTERRUPCAO DE 35KA</v>
          </cell>
          <cell r="C1859" t="str">
            <v xml:space="preserve">UN    </v>
          </cell>
          <cell r="D1859">
            <v>1385.34</v>
          </cell>
        </row>
        <row r="1860">
          <cell r="A1860">
            <v>34738</v>
          </cell>
          <cell r="B1860" t="str">
            <v>DISJUNTOR TERMICO E MAGNETICO AJUSTAVEIS, TRIPOLAR DE 450 ATE 600A, CAPACIDADE DE INTERRUPCAO DE 35KA</v>
          </cell>
          <cell r="C1860" t="str">
            <v xml:space="preserve">UN    </v>
          </cell>
          <cell r="D1860">
            <v>3236.58</v>
          </cell>
        </row>
        <row r="1861">
          <cell r="A1861">
            <v>2391</v>
          </cell>
          <cell r="B1861" t="str">
            <v>DISJUNTOR TERMOMAGNETICO TRIPOLAR 125A</v>
          </cell>
          <cell r="C1861" t="str">
            <v xml:space="preserve">UN    </v>
          </cell>
          <cell r="D1861">
            <v>263.24</v>
          </cell>
        </row>
        <row r="1862">
          <cell r="A1862">
            <v>2374</v>
          </cell>
          <cell r="B1862" t="str">
            <v>DISJUNTOR TERMOMAGNETICO TRIPOLAR 150 A / 600 V, TIPO FXD / ICC - 35 KA</v>
          </cell>
          <cell r="C1862" t="str">
            <v xml:space="preserve">UN    </v>
          </cell>
          <cell r="D1862">
            <v>298.64</v>
          </cell>
        </row>
        <row r="1863">
          <cell r="A1863">
            <v>2377</v>
          </cell>
          <cell r="B1863" t="str">
            <v>DISJUNTOR TERMOMAGNETICO TRIPOLAR 200 A / 600 V, TIPO FXD / ICC - 35 KA</v>
          </cell>
          <cell r="C1863" t="str">
            <v xml:space="preserve">UN    </v>
          </cell>
          <cell r="D1863">
            <v>419.11</v>
          </cell>
        </row>
        <row r="1864">
          <cell r="A1864">
            <v>2393</v>
          </cell>
          <cell r="B1864" t="str">
            <v>DISJUNTOR TERMOMAGNETICO TRIPOLAR 250 A / 600 V, TIPO FXD</v>
          </cell>
          <cell r="C1864" t="str">
            <v xml:space="preserve">UN    </v>
          </cell>
          <cell r="D1864">
            <v>701.85</v>
          </cell>
        </row>
        <row r="1865">
          <cell r="A1865">
            <v>34705</v>
          </cell>
          <cell r="B1865" t="str">
            <v>DISJUNTOR TERMOMAGNETICO TRIPOLAR 3  X 250 A/ICC - 25 KA</v>
          </cell>
          <cell r="C1865" t="str">
            <v xml:space="preserve">UN    </v>
          </cell>
          <cell r="D1865">
            <v>613.87</v>
          </cell>
        </row>
        <row r="1866">
          <cell r="A1866">
            <v>34707</v>
          </cell>
          <cell r="B1866" t="str">
            <v>DISJUNTOR TERMOMAGNETICO TRIPOLAR 3 X 350 A/ICC - 25 KA</v>
          </cell>
          <cell r="C1866" t="str">
            <v xml:space="preserve">UN    </v>
          </cell>
          <cell r="D1866">
            <v>1137.51</v>
          </cell>
        </row>
        <row r="1867">
          <cell r="A1867">
            <v>2378</v>
          </cell>
          <cell r="B1867" t="str">
            <v>DISJUNTOR TERMOMAGNETICO TRIPOLAR 300 A / 600 V, TIPO JXD / ICC - 40 KA</v>
          </cell>
          <cell r="C1867" t="str">
            <v xml:space="preserve">UN    </v>
          </cell>
          <cell r="D1867">
            <v>964.09</v>
          </cell>
        </row>
        <row r="1868">
          <cell r="A1868">
            <v>2379</v>
          </cell>
          <cell r="B1868" t="str">
            <v>DISJUNTOR TERMOMAGNETICO TRIPOLAR 400 A / 600 V, TIPO JXD / ICC - 40 KA</v>
          </cell>
          <cell r="C1868" t="str">
            <v xml:space="preserve">UN    </v>
          </cell>
          <cell r="D1868">
            <v>964.09</v>
          </cell>
        </row>
        <row r="1869">
          <cell r="A1869">
            <v>2376</v>
          </cell>
          <cell r="B1869" t="str">
            <v>DISJUNTOR TERMOMAGNETICO TRIPOLAR 600 A / 600 V, TIPO LXD / ICC - 40 KA</v>
          </cell>
          <cell r="C1869" t="str">
            <v xml:space="preserve">UN    </v>
          </cell>
          <cell r="D1869">
            <v>1587.85</v>
          </cell>
        </row>
        <row r="1870">
          <cell r="A1870">
            <v>2394</v>
          </cell>
          <cell r="B1870" t="str">
            <v>DISJUNTOR TERMOMAGNETICO TRIPOLAR 800 A / 600 V, TIPO LMXD</v>
          </cell>
          <cell r="C1870" t="str">
            <v xml:space="preserve">UN    </v>
          </cell>
          <cell r="D1870">
            <v>3394.53</v>
          </cell>
        </row>
        <row r="1871">
          <cell r="A1871">
            <v>34686</v>
          </cell>
          <cell r="B1871" t="str">
            <v>DISJUNTOR TIPO DIN / IEC, MONOPOLAR DE 40  ATE 50A</v>
          </cell>
          <cell r="C1871" t="str">
            <v xml:space="preserve">UN    </v>
          </cell>
          <cell r="D1871">
            <v>10.19</v>
          </cell>
        </row>
        <row r="1872">
          <cell r="A1872">
            <v>34616</v>
          </cell>
          <cell r="B1872" t="str">
            <v>DISJUNTOR TIPO DIN/IEC, BIPOLAR DE 6 ATE 32A</v>
          </cell>
          <cell r="C1872" t="str">
            <v xml:space="preserve">UN    </v>
          </cell>
          <cell r="D1872">
            <v>39.39</v>
          </cell>
        </row>
        <row r="1873">
          <cell r="A1873">
            <v>34623</v>
          </cell>
          <cell r="B1873" t="str">
            <v>DISJUNTOR TIPO DIN/IEC, BIPOLAR 40 ATE 50A</v>
          </cell>
          <cell r="C1873" t="str">
            <v xml:space="preserve">UN    </v>
          </cell>
          <cell r="D1873">
            <v>38.78</v>
          </cell>
        </row>
        <row r="1874">
          <cell r="A1874">
            <v>34628</v>
          </cell>
          <cell r="B1874" t="str">
            <v>DISJUNTOR TIPO DIN/IEC, BIPOLAR 63 A</v>
          </cell>
          <cell r="C1874" t="str">
            <v xml:space="preserve">UN    </v>
          </cell>
          <cell r="D1874">
            <v>55.55</v>
          </cell>
        </row>
        <row r="1875">
          <cell r="A1875">
            <v>34653</v>
          </cell>
          <cell r="B1875" t="str">
            <v>DISJUNTOR TIPO DIN/IEC, MONOPOLAR DE 6  ATE  32A</v>
          </cell>
          <cell r="C1875" t="str">
            <v xml:space="preserve">UN    </v>
          </cell>
          <cell r="D1875">
            <v>6.87</v>
          </cell>
        </row>
        <row r="1876">
          <cell r="A1876">
            <v>34688</v>
          </cell>
          <cell r="B1876" t="str">
            <v>DISJUNTOR TIPO DIN/IEC, MONOPOLAR DE 63 A</v>
          </cell>
          <cell r="C1876" t="str">
            <v xml:space="preserve">UN    </v>
          </cell>
          <cell r="D1876">
            <v>12.45</v>
          </cell>
        </row>
        <row r="1877">
          <cell r="A1877">
            <v>34709</v>
          </cell>
          <cell r="B1877" t="str">
            <v>DISJUNTOR TIPO DIN/IEC, TRIPOLAR DE 10 ATE 50A</v>
          </cell>
          <cell r="C1877" t="str">
            <v xml:space="preserve">UN    </v>
          </cell>
          <cell r="D1877">
            <v>48.26</v>
          </cell>
        </row>
        <row r="1878">
          <cell r="A1878">
            <v>34714</v>
          </cell>
          <cell r="B1878" t="str">
            <v>DISJUNTOR TIPO DIN/IEC, TRIPOLAR 63 A</v>
          </cell>
          <cell r="C1878" t="str">
            <v xml:space="preserve">UN    </v>
          </cell>
          <cell r="D1878">
            <v>57.64</v>
          </cell>
        </row>
        <row r="1879">
          <cell r="A1879">
            <v>2388</v>
          </cell>
          <cell r="B1879" t="str">
            <v>DISJUNTOR TIPO NEMA, BIPOLAR 10  ATE  50 A, TENSAO MAXIMA 415 V</v>
          </cell>
          <cell r="C1879" t="str">
            <v xml:space="preserve">UN    </v>
          </cell>
          <cell r="D1879">
            <v>47.9</v>
          </cell>
        </row>
        <row r="1880">
          <cell r="A1880">
            <v>34606</v>
          </cell>
          <cell r="B1880" t="str">
            <v>DISJUNTOR TIPO NEMA, BIPOLAR 60 ATE 100A, TENSAO MAXIMA 415 V</v>
          </cell>
          <cell r="C1880" t="str">
            <v xml:space="preserve">UN    </v>
          </cell>
          <cell r="D1880">
            <v>73.47</v>
          </cell>
        </row>
        <row r="1881">
          <cell r="A1881">
            <v>34689</v>
          </cell>
          <cell r="B1881" t="str">
            <v>DISJUNTOR TIPO NEMA, MONOPOLAR DE 60 ATE 70A, TENSAO MAXIMA DE 240 V</v>
          </cell>
          <cell r="C1881" t="str">
            <v xml:space="preserve">UN    </v>
          </cell>
          <cell r="D1881">
            <v>23.39</v>
          </cell>
        </row>
        <row r="1882">
          <cell r="A1882">
            <v>2370</v>
          </cell>
          <cell r="B1882" t="str">
            <v>DISJUNTOR TIPO NEMA, MONOPOLAR 10 ATE 30A, TENSAO MAXIMA DE 240 V</v>
          </cell>
          <cell r="C1882" t="str">
            <v xml:space="preserve">UN    </v>
          </cell>
          <cell r="D1882">
            <v>8.9</v>
          </cell>
        </row>
        <row r="1883">
          <cell r="A1883">
            <v>2386</v>
          </cell>
          <cell r="B1883" t="str">
            <v>DISJUNTOR TIPO NEMA, MONOPOLAR 35  ATE  50 A, TENSAO MAXIMA DE 240 V</v>
          </cell>
          <cell r="C1883" t="str">
            <v xml:space="preserve">UN    </v>
          </cell>
          <cell r="D1883">
            <v>14.93</v>
          </cell>
        </row>
        <row r="1884">
          <cell r="A1884">
            <v>2392</v>
          </cell>
          <cell r="B1884" t="str">
            <v>DISJUNTOR TIPO NEMA, TRIPOLAR 10  ATE  50A, TENSAO MAXIMA DE 415 V</v>
          </cell>
          <cell r="C1884" t="str">
            <v xml:space="preserve">UN    </v>
          </cell>
          <cell r="D1884">
            <v>59.74</v>
          </cell>
        </row>
        <row r="1885">
          <cell r="A1885">
            <v>2373</v>
          </cell>
          <cell r="B1885" t="str">
            <v>DISJUNTOR TIPO NEMA, TRIPOLAR 60 ATE 100 A, TENSAO MAXIMA DE 415 V</v>
          </cell>
          <cell r="C1885" t="str">
            <v xml:space="preserve">UN    </v>
          </cell>
          <cell r="D1885">
            <v>84.17</v>
          </cell>
        </row>
        <row r="1886">
          <cell r="A1886">
            <v>39465</v>
          </cell>
          <cell r="B1886" t="str">
            <v>DISPOSITIVO DPS CLASSE II, 1 POLO, TENSAO MAXIMA DE 175 V, CORRENTE MAXIMA DE *20* KA (TIPO AC)</v>
          </cell>
          <cell r="C1886" t="str">
            <v xml:space="preserve">UN    </v>
          </cell>
          <cell r="D1886">
            <v>51.42</v>
          </cell>
        </row>
        <row r="1887">
          <cell r="A1887">
            <v>39466</v>
          </cell>
          <cell r="B1887" t="str">
            <v>DISPOSITIVO DPS CLASSE II, 1 POLO, TENSAO MAXIMA DE 175 V, CORRENTE MAXIMA DE *30* KA (TIPO AC)</v>
          </cell>
          <cell r="C1887" t="str">
            <v xml:space="preserve">UN    </v>
          </cell>
          <cell r="D1887">
            <v>57.85</v>
          </cell>
        </row>
        <row r="1888">
          <cell r="A1888">
            <v>39467</v>
          </cell>
          <cell r="B1888" t="str">
            <v>DISPOSITIVO DPS CLASSE II, 1 POLO, TENSAO MAXIMA DE 175 V, CORRENTE MAXIMA DE *45* KA (TIPO AC)</v>
          </cell>
          <cell r="C1888" t="str">
            <v xml:space="preserve">UN    </v>
          </cell>
          <cell r="D1888">
            <v>73.989999999999995</v>
          </cell>
        </row>
        <row r="1889">
          <cell r="A1889">
            <v>39468</v>
          </cell>
          <cell r="B1889" t="str">
            <v>DISPOSITIVO DPS CLASSE II, 1 POLO, TENSAO MAXIMA DE 175 V, CORRENTE MAXIMA DE *90* KA (TIPO AC)</v>
          </cell>
          <cell r="C1889" t="str">
            <v xml:space="preserve">UN    </v>
          </cell>
          <cell r="D1889">
            <v>131.52000000000001</v>
          </cell>
        </row>
        <row r="1890">
          <cell r="A1890">
            <v>39469</v>
          </cell>
          <cell r="B1890" t="str">
            <v>DISPOSITIVO DPS CLASSE II, 1 POLO, TENSAO MAXIMA DE 275 V, CORRENTE MAXIMA DE *20* KA (TIPO AC)</v>
          </cell>
          <cell r="C1890" t="str">
            <v xml:space="preserve">UN    </v>
          </cell>
          <cell r="D1890">
            <v>53.57</v>
          </cell>
        </row>
        <row r="1891">
          <cell r="A1891">
            <v>39470</v>
          </cell>
          <cell r="B1891" t="str">
            <v>DISPOSITIVO DPS CLASSE II, 1 POLO, TENSAO MAXIMA DE 275 V, CORRENTE MAXIMA DE *30* KA (TIPO AC)</v>
          </cell>
          <cell r="C1891" t="str">
            <v xml:space="preserve">UN    </v>
          </cell>
          <cell r="D1891">
            <v>65.83</v>
          </cell>
        </row>
        <row r="1892">
          <cell r="A1892">
            <v>39471</v>
          </cell>
          <cell r="B1892" t="str">
            <v>DISPOSITIVO DPS CLASSE II, 1 POLO, TENSAO MAXIMA DE 275 V, CORRENTE MAXIMA DE *45* KA (TIPO AC)</v>
          </cell>
          <cell r="C1892" t="str">
            <v xml:space="preserve">UN    </v>
          </cell>
          <cell r="D1892">
            <v>79.11</v>
          </cell>
        </row>
        <row r="1893">
          <cell r="A1893">
            <v>39472</v>
          </cell>
          <cell r="B1893" t="str">
            <v>DISPOSITIVO DPS CLASSE II, 1 POLO, TENSAO MAXIMA DE 275 V, CORRENTE MAXIMA DE *90* KA (TIPO AC)</v>
          </cell>
          <cell r="C1893" t="str">
            <v xml:space="preserve">UN    </v>
          </cell>
          <cell r="D1893">
            <v>137.44999999999999</v>
          </cell>
        </row>
        <row r="1894">
          <cell r="A1894">
            <v>39473</v>
          </cell>
          <cell r="B1894" t="str">
            <v>DISPOSITIVO DPS CLASSE II, 1 POLO, TENSAO MAXIMA DE 385 V, CORRENTE MAXIMA DE *20* KA (TIPO AC)</v>
          </cell>
          <cell r="C1894" t="str">
            <v xml:space="preserve">UN    </v>
          </cell>
          <cell r="D1894">
            <v>88.79</v>
          </cell>
        </row>
        <row r="1895">
          <cell r="A1895">
            <v>39474</v>
          </cell>
          <cell r="B1895" t="str">
            <v>DISPOSITIVO DPS CLASSE II, 1 POLO, TENSAO MAXIMA DE 385 V, CORRENTE MAXIMA DE *30* KA (TIPO AC)</v>
          </cell>
          <cell r="C1895" t="str">
            <v xml:space="preserve">UN    </v>
          </cell>
          <cell r="D1895">
            <v>94.66</v>
          </cell>
        </row>
        <row r="1896">
          <cell r="A1896">
            <v>39475</v>
          </cell>
          <cell r="B1896" t="str">
            <v>DISPOSITIVO DPS CLASSE II, 1 POLO, TENSAO MAXIMA DE 385 V, CORRENTE MAXIMA DE *45* KA (TIPO AC)</v>
          </cell>
          <cell r="C1896" t="str">
            <v xml:space="preserve">UN    </v>
          </cell>
          <cell r="D1896">
            <v>107.4</v>
          </cell>
        </row>
        <row r="1897">
          <cell r="A1897">
            <v>39476</v>
          </cell>
          <cell r="B1897" t="str">
            <v>DISPOSITIVO DPS CLASSE II, 1 POLO, TENSAO MAXIMA DE 385 V, CORRENTE MAXIMA DE *90* KA (TIPO AC)</v>
          </cell>
          <cell r="C1897" t="str">
            <v xml:space="preserve">UN    </v>
          </cell>
          <cell r="D1897">
            <v>202.17</v>
          </cell>
        </row>
        <row r="1898">
          <cell r="A1898">
            <v>39477</v>
          </cell>
          <cell r="B1898" t="str">
            <v>DISPOSITIVO DPS CLASSE II, 1 POLO, TENSAO MAXIMA DE 460 V, CORRENTE MAXIMA DE *20* KA (TIPO AC)</v>
          </cell>
          <cell r="C1898" t="str">
            <v xml:space="preserve">UN    </v>
          </cell>
          <cell r="D1898">
            <v>99.06</v>
          </cell>
        </row>
        <row r="1899">
          <cell r="A1899">
            <v>39478</v>
          </cell>
          <cell r="B1899" t="str">
            <v>DISPOSITIVO DPS CLASSE II, 1 POLO, TENSAO MAXIMA DE 460 V, CORRENTE MAXIMA DE *30* KA (TIPO AC)</v>
          </cell>
          <cell r="C1899" t="str">
            <v xml:space="preserve">UN    </v>
          </cell>
          <cell r="D1899">
            <v>102.12</v>
          </cell>
        </row>
        <row r="1900">
          <cell r="A1900">
            <v>39479</v>
          </cell>
          <cell r="B1900" t="str">
            <v>DISPOSITIVO DPS CLASSE II, 1 POLO, TENSAO MAXIMA DE 460 V, CORRENTE MAXIMA DE *45* KA (TIPO AC)</v>
          </cell>
          <cell r="C1900" t="str">
            <v xml:space="preserve">UN    </v>
          </cell>
          <cell r="D1900">
            <v>120.32</v>
          </cell>
        </row>
        <row r="1901">
          <cell r="A1901">
            <v>39480</v>
          </cell>
          <cell r="B1901" t="str">
            <v>DISPOSITIVO DPS CLASSE II, 1 POLO, TENSAO MAXIMA DE 460 V, CORRENTE MAXIMA DE *90* KA (TIPO AC)</v>
          </cell>
          <cell r="C1901" t="str">
            <v xml:space="preserve">UN    </v>
          </cell>
          <cell r="D1901">
            <v>248.29</v>
          </cell>
        </row>
        <row r="1902">
          <cell r="A1902">
            <v>39459</v>
          </cell>
          <cell r="B1902" t="str">
            <v>DISPOSITIVO DR, 2 POLOS, SENSIBILIDADE DE 30 MA, CORRENTE DE 100 A, TIPO AC</v>
          </cell>
          <cell r="C1902" t="str">
            <v xml:space="preserve">UN    </v>
          </cell>
          <cell r="D1902">
            <v>210.73</v>
          </cell>
        </row>
        <row r="1903">
          <cell r="A1903">
            <v>39445</v>
          </cell>
          <cell r="B1903" t="str">
            <v>DISPOSITIVO DR, 2 POLOS, SENSIBILIDADE DE 30 MA, CORRENTE DE 25 A, TIPO AC</v>
          </cell>
          <cell r="C1903" t="str">
            <v xml:space="preserve">UN    </v>
          </cell>
          <cell r="D1903">
            <v>105.81</v>
          </cell>
        </row>
        <row r="1904">
          <cell r="A1904">
            <v>39446</v>
          </cell>
          <cell r="B1904" t="str">
            <v>DISPOSITIVO DR, 2 POLOS, SENSIBILIDADE DE 30 MA, CORRENTE DE 40 A, TIPO AC</v>
          </cell>
          <cell r="C1904" t="str">
            <v xml:space="preserve">UN    </v>
          </cell>
          <cell r="D1904">
            <v>107.69</v>
          </cell>
        </row>
        <row r="1905">
          <cell r="A1905">
            <v>39447</v>
          </cell>
          <cell r="B1905" t="str">
            <v>DISPOSITIVO DR, 2 POLOS, SENSIBILIDADE DE 30 MA, CORRENTE DE 63 A, TIPO AC</v>
          </cell>
          <cell r="C1905" t="str">
            <v xml:space="preserve">UN    </v>
          </cell>
          <cell r="D1905">
            <v>115.16</v>
          </cell>
        </row>
        <row r="1906">
          <cell r="A1906">
            <v>39448</v>
          </cell>
          <cell r="B1906" t="str">
            <v>DISPOSITIVO DR, 2 POLOS, SENSIBILIDADE DE 30 MA, CORRENTE DE 80 A, TIPO AC</v>
          </cell>
          <cell r="C1906" t="str">
            <v xml:space="preserve">UN    </v>
          </cell>
          <cell r="D1906">
            <v>196.37</v>
          </cell>
        </row>
        <row r="1907">
          <cell r="A1907">
            <v>39450</v>
          </cell>
          <cell r="B1907" t="str">
            <v>DISPOSITIVO DR, 2 POLOS, SENSIBILIDADE DE 300 MA, CORRENTE DE 25 A, TIPO AC</v>
          </cell>
          <cell r="C1907" t="str">
            <v xml:space="preserve">UN    </v>
          </cell>
          <cell r="D1907">
            <v>119.81</v>
          </cell>
        </row>
        <row r="1908">
          <cell r="A1908">
            <v>39451</v>
          </cell>
          <cell r="B1908" t="str">
            <v>DISPOSITIVO DR, 2 POLOS, SENSIBILIDADE DE 300 MA, CORRENTE DE 40 A, TIPO AC</v>
          </cell>
          <cell r="C1908" t="str">
            <v xml:space="preserve">UN    </v>
          </cell>
          <cell r="D1908">
            <v>130.68</v>
          </cell>
        </row>
        <row r="1909">
          <cell r="A1909">
            <v>39452</v>
          </cell>
          <cell r="B1909" t="str">
            <v>DISPOSITIVO DR, 2 POLOS, SENSIBILIDADE DE 300 MA, CORRENTE DE 63 A, TIPO AC</v>
          </cell>
          <cell r="C1909" t="str">
            <v xml:space="preserve">UN    </v>
          </cell>
          <cell r="D1909">
            <v>131.46</v>
          </cell>
        </row>
        <row r="1910">
          <cell r="A1910">
            <v>39523</v>
          </cell>
          <cell r="B1910" t="str">
            <v>DISPOSITIVO DR, 2 POLOS, SENSIBILIDADE DE 300 MA, CORRENTE DE 80 A, TIPO  AC</v>
          </cell>
          <cell r="C1910" t="str">
            <v xml:space="preserve">UN    </v>
          </cell>
          <cell r="D1910">
            <v>219.99</v>
          </cell>
        </row>
        <row r="1911">
          <cell r="A1911">
            <v>39449</v>
          </cell>
          <cell r="B1911" t="str">
            <v>DISPOSITIVO DR, 4 POLOS, SENSIBILIDADE DE 30 MA, CORRENTE DE 100 A, TIPO AC</v>
          </cell>
          <cell r="C1911" t="str">
            <v xml:space="preserve">UN    </v>
          </cell>
          <cell r="D1911">
            <v>243.63</v>
          </cell>
        </row>
        <row r="1912">
          <cell r="A1912">
            <v>39455</v>
          </cell>
          <cell r="B1912" t="str">
            <v>DISPOSITIVO DR, 4 POLOS, SENSIBILIDADE DE 30 MA, CORRENTE DE 25 A, TIPO AC</v>
          </cell>
          <cell r="C1912" t="str">
            <v xml:space="preserve">UN    </v>
          </cell>
          <cell r="D1912">
            <v>120.55</v>
          </cell>
        </row>
        <row r="1913">
          <cell r="A1913">
            <v>39456</v>
          </cell>
          <cell r="B1913" t="str">
            <v>DISPOSITIVO DR, 4 POLOS, SENSIBILIDADE DE 30 MA, CORRENTE DE 40 A, TIPO AC</v>
          </cell>
          <cell r="C1913" t="str">
            <v xml:space="preserve">UN    </v>
          </cell>
          <cell r="D1913">
            <v>120.64</v>
          </cell>
        </row>
        <row r="1914">
          <cell r="A1914">
            <v>39457</v>
          </cell>
          <cell r="B1914" t="str">
            <v>DISPOSITIVO DR, 4 POLOS, SENSIBILIDADE DE 30 MA, CORRENTE DE 63 A, TIPO AC</v>
          </cell>
          <cell r="C1914" t="str">
            <v xml:space="preserve">UN    </v>
          </cell>
          <cell r="D1914">
            <v>131.52000000000001</v>
          </cell>
        </row>
        <row r="1915">
          <cell r="A1915">
            <v>39458</v>
          </cell>
          <cell r="B1915" t="str">
            <v>DISPOSITIVO DR, 4 POLOS, SENSIBILIDADE DE 30 MA, CORRENTE DE 80 A, TIPO AC</v>
          </cell>
          <cell r="C1915" t="str">
            <v xml:space="preserve">UN    </v>
          </cell>
          <cell r="D1915">
            <v>245.42</v>
          </cell>
        </row>
        <row r="1916">
          <cell r="A1916">
            <v>39464</v>
          </cell>
          <cell r="B1916" t="str">
            <v>DISPOSITIVO DR, 4 POLOS, SENSIBILIDADE DE 300 MA, CORRENTE DE 100 A, TIPO AC</v>
          </cell>
          <cell r="C1916" t="str">
            <v xml:space="preserve">UN    </v>
          </cell>
          <cell r="D1916">
            <v>394.66</v>
          </cell>
        </row>
        <row r="1917">
          <cell r="A1917">
            <v>39460</v>
          </cell>
          <cell r="B1917" t="str">
            <v>DISPOSITIVO DR, 4 POLOS, SENSIBILIDADE DE 300 MA, CORRENTE DE 25 A, TIPO AC</v>
          </cell>
          <cell r="C1917" t="str">
            <v xml:space="preserve">UN    </v>
          </cell>
          <cell r="D1917">
            <v>149.68</v>
          </cell>
        </row>
        <row r="1918">
          <cell r="A1918">
            <v>39461</v>
          </cell>
          <cell r="B1918" t="str">
            <v>DISPOSITIVO DR, 4 POLOS, SENSIBILIDADE DE 300 MA, CORRENTE DE 40 A, TIPO AC</v>
          </cell>
          <cell r="C1918" t="str">
            <v xml:space="preserve">UN    </v>
          </cell>
          <cell r="D1918">
            <v>175.39</v>
          </cell>
        </row>
        <row r="1919">
          <cell r="A1919">
            <v>39462</v>
          </cell>
          <cell r="B1919" t="str">
            <v>DISPOSITIVO DR, 4 POLOS, SENSIBILIDADE DE 300 MA, CORRENTE DE 63 A, TIPO AC</v>
          </cell>
          <cell r="C1919" t="str">
            <v xml:space="preserve">UN    </v>
          </cell>
          <cell r="D1919">
            <v>169.04</v>
          </cell>
        </row>
        <row r="1920">
          <cell r="A1920">
            <v>39463</v>
          </cell>
          <cell r="B1920" t="str">
            <v>DISPOSITIVO DR, 4 POLOS, SENSIBILIDADE DE 300 MA, CORRENTE DE 80 A, TIPO AC</v>
          </cell>
          <cell r="C1920" t="str">
            <v xml:space="preserve">UN    </v>
          </cell>
          <cell r="D1920">
            <v>391.6</v>
          </cell>
        </row>
        <row r="1921">
          <cell r="A1921">
            <v>26039</v>
          </cell>
          <cell r="B1921" t="str">
            <v>DISTRIBUIDOR DE AGREGADOS AUTOPROPELIDO, CAP 3 M3, A DIESEL, 6 CC, 176 CV</v>
          </cell>
          <cell r="C1921" t="str">
            <v xml:space="preserve">UN    </v>
          </cell>
          <cell r="D1921">
            <v>249588.52</v>
          </cell>
        </row>
        <row r="1922">
          <cell r="A1922">
            <v>2401</v>
          </cell>
          <cell r="B1922" t="str">
            <v>DISTRIBUIDOR DE AGREGADOS REBOCAVEL, CAPACIDADE 1,9 M3, LARGURA DE TRABALHO 3,66 M</v>
          </cell>
          <cell r="C1922" t="str">
            <v xml:space="preserve">UN    </v>
          </cell>
          <cell r="D1922">
            <v>57408.12</v>
          </cell>
        </row>
        <row r="1923">
          <cell r="A1923">
            <v>38870</v>
          </cell>
          <cell r="B1923" t="str">
            <v>DISTRIBUIDOR METALICO, COM ROSCA, 2 SAIDAS, DN 1" X 1/2", PARA CONEXAO COM ANEL DESLIZANTE EM TUBO PEX</v>
          </cell>
          <cell r="C1923" t="str">
            <v xml:space="preserve">UN    </v>
          </cell>
          <cell r="D1923">
            <v>32.61</v>
          </cell>
        </row>
        <row r="1924">
          <cell r="A1924">
            <v>38869</v>
          </cell>
          <cell r="B1924" t="str">
            <v>DISTRIBUIDOR METALICO, COM ROSCA, 2 SAIDAS, DN 3/4" X 1/2", PARA CONEXAO COM ANEL DESLIZANTE EM TUBO PEX</v>
          </cell>
          <cell r="C1924" t="str">
            <v xml:space="preserve">UN    </v>
          </cell>
          <cell r="D1924">
            <v>28.77</v>
          </cell>
        </row>
        <row r="1925">
          <cell r="A1925">
            <v>38872</v>
          </cell>
          <cell r="B1925" t="str">
            <v>DISTRIBUIDOR METALICO, COM ROSCA, 3 SAIDAS, DN 1" X 1/2", PARA CONEXAO COM ANEL DESLIZANTE EM TUBO PEX</v>
          </cell>
          <cell r="C1925" t="str">
            <v xml:space="preserve">UN    </v>
          </cell>
          <cell r="D1925">
            <v>44.55</v>
          </cell>
        </row>
        <row r="1926">
          <cell r="A1926">
            <v>38871</v>
          </cell>
          <cell r="B1926" t="str">
            <v>DISTRIBUIDOR METALICO, COM ROSCA, 3 SAIDAS, DN 3/4" X 1/2", PARA CONEXAO COM ANEL DESLIZANTE EM TUBO PEX</v>
          </cell>
          <cell r="C1926" t="str">
            <v xml:space="preserve">UN    </v>
          </cell>
          <cell r="D1926">
            <v>35.840000000000003</v>
          </cell>
        </row>
        <row r="1927">
          <cell r="A1927">
            <v>39283</v>
          </cell>
          <cell r="B1927" t="str">
            <v>DISTRIBUIDOR, PLASTICO, 2 SAIDAS, DN 32 X 16 MM, PARA CONEXAO COM CRIMPAGEM EM TUBO PEX</v>
          </cell>
          <cell r="C1927" t="str">
            <v xml:space="preserve">UN    </v>
          </cell>
          <cell r="D1927">
            <v>111.62</v>
          </cell>
        </row>
        <row r="1928">
          <cell r="A1928">
            <v>39284</v>
          </cell>
          <cell r="B1928" t="str">
            <v>DISTRIBUIDOR, PLASTICO, 2 SAIDAS, DN 32 X 20 MM, PARA CONEXAO COM CRIMPAGEM EM TUBO PEX</v>
          </cell>
          <cell r="C1928" t="str">
            <v xml:space="preserve">UN    </v>
          </cell>
          <cell r="D1928">
            <v>120.96</v>
          </cell>
        </row>
        <row r="1929">
          <cell r="A1929">
            <v>39285</v>
          </cell>
          <cell r="B1929" t="str">
            <v>DISTRIBUIDOR, PLASTICO, 2 SAIDAS, DN 32 X 25 MM, PARA CONEXAO COM CRIMPAGEM EM TUBO PEX</v>
          </cell>
          <cell r="C1929" t="str">
            <v xml:space="preserve">UN    </v>
          </cell>
          <cell r="D1929">
            <v>122.71</v>
          </cell>
        </row>
        <row r="1930">
          <cell r="A1930">
            <v>39286</v>
          </cell>
          <cell r="B1930" t="str">
            <v>DISTRIBUIDOR, PLASTICO, 3 SAIDAS, DN 32 X 16 MM, PARA CONEXAO COM CRIMPAGEM EM TUBO PEX</v>
          </cell>
          <cell r="C1930" t="str">
            <v xml:space="preserve">UN    </v>
          </cell>
          <cell r="D1930">
            <v>120.03</v>
          </cell>
        </row>
        <row r="1931">
          <cell r="A1931">
            <v>39287</v>
          </cell>
          <cell r="B1931" t="str">
            <v>DISTRIBUIDOR, PLASTICO, 3 SAIDAS, DN 32 X 20 MM, PARA CONEXAO COM CRIMPAGEM EM TUBO PEX</v>
          </cell>
          <cell r="C1931" t="str">
            <v xml:space="preserve">UN    </v>
          </cell>
          <cell r="D1931">
            <v>140.94</v>
          </cell>
        </row>
        <row r="1932">
          <cell r="A1932">
            <v>39288</v>
          </cell>
          <cell r="B1932" t="str">
            <v>DISTRIBUIDOR, PLASTICO, 3 SAIDAS, DN 32 X 25 MM, PARA CONEXAO COM CRIMPAGEM EM TUBO PEX</v>
          </cell>
          <cell r="C1932" t="str">
            <v xml:space="preserve">UN    </v>
          </cell>
          <cell r="D1932">
            <v>150.41999999999999</v>
          </cell>
        </row>
        <row r="1933">
          <cell r="A1933">
            <v>2414</v>
          </cell>
          <cell r="B1933" t="str">
            <v>DIVISORIA (N2) PAINEL/VIDRO - PAINEL C/ MSO/COMEIA E=35MM - MONTANTE/RODAPE DUPLO ACO GALV PINTADO - COLOCADA</v>
          </cell>
          <cell r="C1933" t="str">
            <v xml:space="preserve">M2    </v>
          </cell>
          <cell r="D1933">
            <v>104.95</v>
          </cell>
        </row>
        <row r="1934">
          <cell r="A1934">
            <v>2413</v>
          </cell>
          <cell r="B1934" t="str">
            <v>DIVISORIA (N2) PAINEL/VIDRO - PAINEL C/ MSO/COMEIA E=35MM - PERFIS SIMPLES ACO GALV PINTADO - COLOCADA</v>
          </cell>
          <cell r="C1934" t="str">
            <v xml:space="preserve">M2    </v>
          </cell>
          <cell r="D1934">
            <v>100.97</v>
          </cell>
        </row>
        <row r="1935">
          <cell r="A1935">
            <v>2405</v>
          </cell>
          <cell r="B1935" t="str">
            <v>DIVISORIA (N2) PAINEL/VIDRO - PAINEL MSO/COMEIA E=35MM - MONTANTE/RODAPE DUPLO ALUMINIO ANOD NAT - COLOCADA</v>
          </cell>
          <cell r="C1935" t="str">
            <v xml:space="preserve">M2    </v>
          </cell>
          <cell r="D1935">
            <v>117.52</v>
          </cell>
        </row>
        <row r="1936">
          <cell r="A1936">
            <v>13361</v>
          </cell>
          <cell r="B1936" t="str">
            <v>DIVISORIA (N2) PAINEL/VIDRO - PAINEL MSO/COMEIA E=35MM - PERFIS SIMPLES ALUMINIO ANOD NAT - COLOCADA</v>
          </cell>
          <cell r="C1936" t="str">
            <v xml:space="preserve">M2    </v>
          </cell>
          <cell r="D1936">
            <v>98.31</v>
          </cell>
        </row>
        <row r="1937">
          <cell r="A1937">
            <v>11987</v>
          </cell>
          <cell r="B1937" t="str">
            <v>DIVISORIA (N2) PAINEL/VIDRO - PAINEL VERMICULITA E=35MM - PERFIS SIMPLES ALUMINIO ANOD NATURAL - COLOCADA</v>
          </cell>
          <cell r="C1937" t="str">
            <v xml:space="preserve">M2    </v>
          </cell>
          <cell r="D1937">
            <v>263.05</v>
          </cell>
        </row>
        <row r="1938">
          <cell r="A1938">
            <v>2416</v>
          </cell>
          <cell r="B1938" t="str">
            <v>DIVISORIA (N3) PAINEL/VIDRO/PAINEL MSO/COMEIA E=35MM - MONTANTE/RODAPE DUPLO ACO GALV PINTADO - COLOCADA</v>
          </cell>
          <cell r="C1938" t="str">
            <v xml:space="preserve">M2    </v>
          </cell>
          <cell r="D1938">
            <v>116.38</v>
          </cell>
        </row>
        <row r="1939">
          <cell r="A1939">
            <v>2412</v>
          </cell>
          <cell r="B1939" t="str">
            <v>DIVISORIA (N3) PAINEL/VIDRO/PAINEL MSO/COMEIA E=35MM - MONTANTE/RODAPE DUPLO ALUMINIO ANOD NAT - COLOCADA</v>
          </cell>
          <cell r="C1939" t="str">
            <v xml:space="preserve">M2    </v>
          </cell>
          <cell r="D1939">
            <v>112.39</v>
          </cell>
        </row>
        <row r="1940">
          <cell r="A1940">
            <v>2411</v>
          </cell>
          <cell r="B1940" t="str">
            <v>DIVISORIA (N3) PAINEL/VIDRO/PAINEL MSO/COMEIA E=35MM - PERFIS SIMPLES ACO GALV PINTADO - COLOCADA</v>
          </cell>
          <cell r="C1940" t="str">
            <v xml:space="preserve">M2    </v>
          </cell>
          <cell r="D1940">
            <v>98.31</v>
          </cell>
        </row>
        <row r="1941">
          <cell r="A1941">
            <v>2406</v>
          </cell>
          <cell r="B1941" t="str">
            <v>DIVISORIA (N3) PAINEL/VIDRO/PAINEL MSO/COMEIA E=35MM - PERFIS SIMPLES ALUMINIO ANOD NAT - COLOCADA</v>
          </cell>
          <cell r="C1941" t="str">
            <v xml:space="preserve">M2    </v>
          </cell>
          <cell r="D1941">
            <v>95.65</v>
          </cell>
        </row>
        <row r="1942">
          <cell r="A1942">
            <v>10571</v>
          </cell>
          <cell r="B1942" t="str">
            <v>DIVISORIA (N3) PAINEL/VIDRO/PAINEL VERMICULITA E=35MM - MONTANTE/RODAPE DUPLO ALUMINIO ANOD NATURAL - COLOCADA</v>
          </cell>
          <cell r="C1942" t="str">
            <v xml:space="preserve">M2    </v>
          </cell>
          <cell r="D1942">
            <v>233.82</v>
          </cell>
        </row>
        <row r="1943">
          <cell r="A1943">
            <v>11985</v>
          </cell>
          <cell r="B1943" t="str">
            <v>DIVISORIA (N3) PAINEL/VIDRO/PAINEL VERMICULITA E=35MM - MONTANTE/RODAPE PERFIL DUPLO ACO GALV PINTADO - COLOCADA</v>
          </cell>
          <cell r="C1943" t="str">
            <v xml:space="preserve">M2    </v>
          </cell>
          <cell r="D1943">
            <v>225.85</v>
          </cell>
        </row>
        <row r="1944">
          <cell r="A1944">
            <v>2410</v>
          </cell>
          <cell r="B1944" t="str">
            <v>DIVISORIA CEGA (N1) - PAINEL MSO/COMEIA E=35MM - MONTANTE/RODAPE DUPLO   ACO GALV PINTADO - COLOCADA</v>
          </cell>
          <cell r="C1944" t="str">
            <v xml:space="preserve">M2    </v>
          </cell>
          <cell r="D1944">
            <v>99.64</v>
          </cell>
        </row>
        <row r="1945">
          <cell r="A1945">
            <v>2417</v>
          </cell>
          <cell r="B1945" t="str">
            <v>DIVISORIA CEGA (N1) - PAINEL MSO/COMEIA E=35MM - MONTANTE/RODAPE DUPLO ALUMINIO ANOD NAT - COLOCADA</v>
          </cell>
          <cell r="C1945" t="str">
            <v xml:space="preserve">M2    </v>
          </cell>
          <cell r="D1945">
            <v>106.28</v>
          </cell>
        </row>
        <row r="1946">
          <cell r="A1946">
            <v>2415</v>
          </cell>
          <cell r="B1946" t="str">
            <v>DIVISORIA CEGA (N1) - PAINEL MSO/COMEIA E=35MM - PERFIS SIMPLES ACO GALV PINTADO   - COLOCADA</v>
          </cell>
          <cell r="C1946" t="str">
            <v xml:space="preserve">M2    </v>
          </cell>
          <cell r="D1946">
            <v>85.02</v>
          </cell>
        </row>
        <row r="1947">
          <cell r="A1947">
            <v>13360</v>
          </cell>
          <cell r="B1947" t="str">
            <v>DIVISORIA CEGA (N1) - PAINEL MSO/COMEIA E=35MM - PERFIS SIMPLES ALUMINIO ANOD NAT - COLOCADA</v>
          </cell>
          <cell r="C1947" t="str">
            <v xml:space="preserve">M2    </v>
          </cell>
          <cell r="D1947">
            <v>85.02</v>
          </cell>
        </row>
        <row r="1948">
          <cell r="A1948">
            <v>11983</v>
          </cell>
          <cell r="B1948" t="str">
            <v>DIVISORIA CEGA (N1) - PAINEL VERMICULITA E=35MM - MONTANTE/RODAPE PERFIS SIMPLES ACO GALV PINTADO - COLOCADA</v>
          </cell>
          <cell r="C1948" t="str">
            <v xml:space="preserve">M2    </v>
          </cell>
          <cell r="D1948">
            <v>207.25</v>
          </cell>
        </row>
        <row r="1949">
          <cell r="A1949">
            <v>11986</v>
          </cell>
          <cell r="B1949" t="str">
            <v>DIVISORIA CEGA (N1) - PAINEL VERMICULITA E=35MM - PERFIS SIMPLES ALUMINIO ANOD NATURAL - COLOCADA</v>
          </cell>
          <cell r="C1949" t="str">
            <v xml:space="preserve">M2    </v>
          </cell>
          <cell r="D1949">
            <v>252.42</v>
          </cell>
        </row>
        <row r="1950">
          <cell r="A1950">
            <v>25976</v>
          </cell>
          <cell r="B1950" t="str">
            <v>DIVISORIA EM GRANITO, COM DUAS FACES POLIDAS, TIPO ANDORINHA/ QUARTZ/ CASTELO/ CORUMBA OU OUTROS EQUIVALENTES DA REGIAO, E=  *3,0* CM</v>
          </cell>
          <cell r="C1950" t="str">
            <v xml:space="preserve">M2    </v>
          </cell>
          <cell r="D1950">
            <v>483.48</v>
          </cell>
        </row>
        <row r="1951">
          <cell r="A1951">
            <v>10629</v>
          </cell>
          <cell r="B1951" t="str">
            <v>DIVISORIA EM MARMORE, COM DUAS FACES POLIDAS, BRANCO COMUM, E=  *3,0* CM</v>
          </cell>
          <cell r="C1951" t="str">
            <v xml:space="preserve">M2    </v>
          </cell>
          <cell r="D1951">
            <v>403.93</v>
          </cell>
        </row>
        <row r="1952">
          <cell r="A1952">
            <v>10698</v>
          </cell>
          <cell r="B1952" t="str">
            <v>DIVISORIA, PLACA  PRE-MOLDADA EM GRANILITE, MARMORITE OU GRANITINA,  E = *3 CM</v>
          </cell>
          <cell r="C1952" t="str">
            <v xml:space="preserve">M2    </v>
          </cell>
          <cell r="D1952">
            <v>143.47</v>
          </cell>
        </row>
        <row r="1953">
          <cell r="A1953">
            <v>40521</v>
          </cell>
          <cell r="B1953" t="str">
            <v>DOBRADEIRA ELETROMECANICA DE VERGALHAO, PARA ACO DE DIAMETRO ATE 1 1/2 "Â, MOTOR ELETRICO TRIFASICO, POTENCIA DE 3 HP ATE 5 HP</v>
          </cell>
          <cell r="C1953" t="str">
            <v xml:space="preserve">UN    </v>
          </cell>
          <cell r="D1953">
            <v>113878.75</v>
          </cell>
        </row>
        <row r="1954">
          <cell r="A1954">
            <v>2432</v>
          </cell>
          <cell r="B1954" t="str">
            <v>DOBRADICA EM ACO/FERRO, 3 1/2" X  3", E= 1,9  A 2 MM, COM ANEL,  CROMADO OU ZINCADO, TAMPA BOLA, COM PARAFUSOS</v>
          </cell>
          <cell r="C1954" t="str">
            <v xml:space="preserve">UN    </v>
          </cell>
          <cell r="D1954">
            <v>25.85</v>
          </cell>
        </row>
        <row r="1955">
          <cell r="A1955">
            <v>2418</v>
          </cell>
          <cell r="B1955" t="str">
            <v>DOBRADICA EM ACO/FERRO, 3" X 2 1/2", E= 1,2 A 1,8 MM, SEM ANEL,  CROMADO OU ZINCADO, TAMPA BOLA, COM PARAFUSOS</v>
          </cell>
          <cell r="C1955" t="str">
            <v xml:space="preserve">UN    </v>
          </cell>
          <cell r="D1955">
            <v>11.99</v>
          </cell>
        </row>
        <row r="1956">
          <cell r="A1956">
            <v>2433</v>
          </cell>
          <cell r="B1956" t="str">
            <v>DOBRADICA EM ACO/FERRO, 3" X 2 1/2", E= 1,2 A 1,8 MM, SEM ANEL,  CROMADO OU ZINCADO, TAMPA CHATA, COM PARAFUSOS</v>
          </cell>
          <cell r="C1956" t="str">
            <v xml:space="preserve">UN    </v>
          </cell>
          <cell r="D1956">
            <v>8.75</v>
          </cell>
        </row>
        <row r="1957">
          <cell r="A1957">
            <v>2420</v>
          </cell>
          <cell r="B1957" t="str">
            <v>DOBRADICA EM ACO/FERRO, 3" X 2 1/2", E= 1,9 A 2 MM, SEM ANEL,  CROMADO OU ZINCADO, TAMPA BOLA, COM PARAFUSOS</v>
          </cell>
          <cell r="C1957" t="str">
            <v xml:space="preserve">UN    </v>
          </cell>
          <cell r="D1957">
            <v>15.04</v>
          </cell>
        </row>
        <row r="1958">
          <cell r="A1958">
            <v>2421</v>
          </cell>
          <cell r="B1958" t="str">
            <v>DOBRADICA EM ACO/FERRO, 4" X 3", E= 2,2 A 3,0 MM, COM ANEL, CROMADO OU ZINCADO,TAMPA BOLA, COM PARAFUSOS</v>
          </cell>
          <cell r="C1958" t="str">
            <v xml:space="preserve">UN    </v>
          </cell>
          <cell r="D1958">
            <v>32.81</v>
          </cell>
        </row>
        <row r="1959">
          <cell r="A1959">
            <v>11447</v>
          </cell>
          <cell r="B1959" t="str">
            <v>DOBRADICA EM LATAO, 3 " X 2 1/2 ", E= 1,9 A 2 MM, COM ANEL, CROMADO, TAMPA BOLA, COM PARAFUSOS</v>
          </cell>
          <cell r="C1959" t="str">
            <v xml:space="preserve">UN    </v>
          </cell>
          <cell r="D1959">
            <v>29.72</v>
          </cell>
        </row>
        <row r="1960">
          <cell r="A1960">
            <v>2429</v>
          </cell>
          <cell r="B1960" t="str">
            <v>DOBRADICA EM LATAO, 4" X 3", E= 2,2 A 3,0 MM, COM ANEL,  TAMPA BOLA, COM PARAFUSOS</v>
          </cell>
          <cell r="C1960" t="str">
            <v xml:space="preserve">UN    </v>
          </cell>
          <cell r="D1960">
            <v>75.22</v>
          </cell>
        </row>
        <row r="1961">
          <cell r="A1961">
            <v>11449</v>
          </cell>
          <cell r="B1961" t="str">
            <v>DOBRADICA TIPO PIANO EM ACO/FERRO, 1'' X 3 M, GALVANIZADO, COM PARAFUSOS</v>
          </cell>
          <cell r="C1961" t="str">
            <v xml:space="preserve">UN    </v>
          </cell>
          <cell r="D1961">
            <v>81.03</v>
          </cell>
        </row>
        <row r="1962">
          <cell r="A1962">
            <v>11451</v>
          </cell>
          <cell r="B1962" t="str">
            <v>DOBRADICA TIPO VAI-E-VEM EM ACO/FERRO, TAMANHO 3'', GALVANIZADO, COM PARAFUSOS</v>
          </cell>
          <cell r="C1962" t="str">
            <v xml:space="preserve">UN    </v>
          </cell>
          <cell r="D1962">
            <v>79.67</v>
          </cell>
        </row>
        <row r="1963">
          <cell r="A1963">
            <v>11116</v>
          </cell>
          <cell r="B1963" t="str">
            <v>DOMOS INDIVIDUAL EM ACRILICO BRANCO *95 X 95* CM, SEM INSTALACAO</v>
          </cell>
          <cell r="C1963" t="str">
            <v xml:space="preserve">UN    </v>
          </cell>
          <cell r="D1963">
            <v>476.97</v>
          </cell>
        </row>
        <row r="1964">
          <cell r="A1964">
            <v>38411</v>
          </cell>
          <cell r="B1964" t="str">
            <v>DOSADOR DE AREIA, CAPACIDADE DE *26* LITROS</v>
          </cell>
          <cell r="C1964" t="str">
            <v xml:space="preserve">UN    </v>
          </cell>
          <cell r="D1964">
            <v>1237.44</v>
          </cell>
        </row>
        <row r="1965">
          <cell r="A1965">
            <v>1370</v>
          </cell>
          <cell r="B1965" t="str">
            <v>DUCHA HIGIENICA PLASTICA COM REGISTRO METALICO 1/2 "</v>
          </cell>
          <cell r="C1965" t="str">
            <v xml:space="preserve">UN    </v>
          </cell>
          <cell r="D1965">
            <v>81.180000000000007</v>
          </cell>
        </row>
        <row r="1966">
          <cell r="A1966">
            <v>38189</v>
          </cell>
          <cell r="B1966" t="str">
            <v>DUCHA METALICA DE PAREDE, ARTICULAVEL, COM BRACO/CANO, SEM DESVIADOR</v>
          </cell>
          <cell r="C1966" t="str">
            <v xml:space="preserve">UN    </v>
          </cell>
          <cell r="D1966">
            <v>177.51</v>
          </cell>
        </row>
        <row r="1967">
          <cell r="A1967">
            <v>38190</v>
          </cell>
          <cell r="B1967" t="str">
            <v>DUCHA METALICA DE PAREDE, ARTICULAVEL, COM DESVIADOR E DUCHA MANUAL</v>
          </cell>
          <cell r="C1967" t="str">
            <v xml:space="preserve">UN    </v>
          </cell>
          <cell r="D1967">
            <v>399.18</v>
          </cell>
        </row>
        <row r="1968">
          <cell r="A1968">
            <v>36516</v>
          </cell>
          <cell r="B1968" t="str">
            <v>DUMPER COM CAPACIDADE DE CARGA DE 1700 KG, PARTIDA ELETRICA, MOTOR DIESEL COM POTENCIA DE 16 CV</v>
          </cell>
          <cell r="C1968" t="str">
            <v xml:space="preserve">UN    </v>
          </cell>
          <cell r="D1968">
            <v>68644.84</v>
          </cell>
        </row>
        <row r="1969">
          <cell r="A1969">
            <v>34777</v>
          </cell>
          <cell r="B1969" t="str">
            <v>ELEMENTO VAZADO CERAMICO 25 X 18 X 7 CM</v>
          </cell>
          <cell r="C1969" t="str">
            <v xml:space="preserve">UN    </v>
          </cell>
          <cell r="D1969">
            <v>1.77</v>
          </cell>
        </row>
        <row r="1970">
          <cell r="A1970">
            <v>7273</v>
          </cell>
          <cell r="B1970" t="str">
            <v>ELEMENTO VAZADO CERAMICO 7 X 20 X 20 CM</v>
          </cell>
          <cell r="C1970" t="str">
            <v xml:space="preserve">UN    </v>
          </cell>
          <cell r="D1970">
            <v>2.9</v>
          </cell>
        </row>
        <row r="1971">
          <cell r="A1971">
            <v>7272</v>
          </cell>
          <cell r="B1971" t="str">
            <v>ELEMENTO VAZADO CERAMICO 9 X 20 X 20 CM</v>
          </cell>
          <cell r="C1971" t="str">
            <v xml:space="preserve">UN    </v>
          </cell>
          <cell r="D1971">
            <v>4.05</v>
          </cell>
        </row>
        <row r="1972">
          <cell r="A1972">
            <v>10605</v>
          </cell>
          <cell r="B1972" t="str">
            <v>ELEMENTO VAZADO DE CONCRETO, QUADRICULADO, 1 FURO *10 X 10 X 10* CM</v>
          </cell>
          <cell r="C1972" t="str">
            <v xml:space="preserve">UN    </v>
          </cell>
          <cell r="D1972">
            <v>2.06</v>
          </cell>
        </row>
        <row r="1973">
          <cell r="A1973">
            <v>10604</v>
          </cell>
          <cell r="B1973" t="str">
            <v>ELEMENTO VAZADO DE CONCRETO, QUADRICULADO, 1 FURO *20 X 10 X 7* CM</v>
          </cell>
          <cell r="C1973" t="str">
            <v xml:space="preserve">UN    </v>
          </cell>
          <cell r="D1973">
            <v>4.1100000000000003</v>
          </cell>
        </row>
        <row r="1974">
          <cell r="A1974">
            <v>672</v>
          </cell>
          <cell r="B1974" t="str">
            <v>ELEMENTO VAZADO DE CONCRETO, QUADRICULADO, 1 FURO *20 X 20 X 6,5* CM</v>
          </cell>
          <cell r="C1974" t="str">
            <v xml:space="preserve">UN    </v>
          </cell>
          <cell r="D1974">
            <v>4.1399999999999997</v>
          </cell>
        </row>
        <row r="1975">
          <cell r="A1975">
            <v>668</v>
          </cell>
          <cell r="B1975" t="str">
            <v>ELEMENTO VAZADO DE CONCRETO, QUADRICULADO, 16 FUROS *29 X 29 X 6* CM</v>
          </cell>
          <cell r="C1975" t="str">
            <v xml:space="preserve">UN    </v>
          </cell>
          <cell r="D1975">
            <v>6.53</v>
          </cell>
        </row>
        <row r="1976">
          <cell r="A1976">
            <v>10578</v>
          </cell>
          <cell r="B1976" t="str">
            <v>ELEMENTO VAZADO DE CONCRETO, QUADRICULADO, 16 FUROS *33 X 33 X 10* CM</v>
          </cell>
          <cell r="C1976" t="str">
            <v xml:space="preserve">UN    </v>
          </cell>
          <cell r="D1976">
            <v>11.39</v>
          </cell>
        </row>
        <row r="1977">
          <cell r="A1977">
            <v>666</v>
          </cell>
          <cell r="B1977" t="str">
            <v>ELEMENTO VAZADO DE CONCRETO, QUADRICULADO, 16 FUROS *40 X 40 X 7* CM</v>
          </cell>
          <cell r="C1977" t="str">
            <v xml:space="preserve">UN    </v>
          </cell>
          <cell r="D1977">
            <v>11.31</v>
          </cell>
        </row>
        <row r="1978">
          <cell r="A1978">
            <v>665</v>
          </cell>
          <cell r="B1978" t="str">
            <v>ELEMENTO VAZADO DE CONCRETO, QUADRICULADO, 16 FUROS *50 X 50 X 7* CM</v>
          </cell>
          <cell r="C1978" t="str">
            <v xml:space="preserve">UN    </v>
          </cell>
          <cell r="D1978">
            <v>21.2</v>
          </cell>
        </row>
        <row r="1979">
          <cell r="A1979">
            <v>10577</v>
          </cell>
          <cell r="B1979" t="str">
            <v>ELEMENTO VAZADO DE CONCRETO, QUADRICULADO, 25 FUROS *50 X 50 X 5* CM</v>
          </cell>
          <cell r="C1979" t="str">
            <v xml:space="preserve">UN    </v>
          </cell>
          <cell r="D1979">
            <v>16.59</v>
          </cell>
        </row>
        <row r="1980">
          <cell r="A1980">
            <v>10583</v>
          </cell>
          <cell r="B1980" t="str">
            <v>ELEMENTO VAZADO DE CONCRETO, VENEZIANA *39 X 22 X 15* CM</v>
          </cell>
          <cell r="C1980" t="str">
            <v xml:space="preserve">UN    </v>
          </cell>
          <cell r="D1980">
            <v>9.3000000000000007</v>
          </cell>
        </row>
        <row r="1981">
          <cell r="A1981">
            <v>10579</v>
          </cell>
          <cell r="B1981" t="str">
            <v>ELEMENTO VAZADO DE CONCRETO, VENEZIANA *39 X 29 X 10* CM</v>
          </cell>
          <cell r="C1981" t="str">
            <v xml:space="preserve">UN    </v>
          </cell>
          <cell r="D1981">
            <v>15.17</v>
          </cell>
        </row>
        <row r="1982">
          <cell r="A1982">
            <v>10582</v>
          </cell>
          <cell r="B1982" t="str">
            <v>ELEMENTO VAZADO DE CONCRETO, VENEZIANA *40 X 10 X 10* CM</v>
          </cell>
          <cell r="C1982" t="str">
            <v xml:space="preserve">UN    </v>
          </cell>
          <cell r="D1982">
            <v>5.31</v>
          </cell>
        </row>
        <row r="1983">
          <cell r="A1983">
            <v>2436</v>
          </cell>
          <cell r="B1983" t="str">
            <v>ELETRICISTA</v>
          </cell>
          <cell r="C1983" t="str">
            <v xml:space="preserve">H     </v>
          </cell>
          <cell r="D1983">
            <v>15.5</v>
          </cell>
        </row>
        <row r="1984">
          <cell r="A1984">
            <v>40918</v>
          </cell>
          <cell r="B1984" t="str">
            <v>ELETRICISTA (MENSALISTA)</v>
          </cell>
          <cell r="C1984" t="str">
            <v xml:space="preserve">MES   </v>
          </cell>
          <cell r="D1984">
            <v>2744.1</v>
          </cell>
        </row>
        <row r="1985">
          <cell r="A1985">
            <v>2439</v>
          </cell>
          <cell r="B1985" t="str">
            <v>ELETRICISTA DE MANUTENCAO INDUSTRIAL</v>
          </cell>
          <cell r="C1985" t="str">
            <v xml:space="preserve">H     </v>
          </cell>
          <cell r="D1985">
            <v>15.5</v>
          </cell>
        </row>
        <row r="1986">
          <cell r="A1986">
            <v>40923</v>
          </cell>
          <cell r="B1986" t="str">
            <v>ELETRICISTA DE MANUTENCAO INDUSTRIAL (MENSALISTA)</v>
          </cell>
          <cell r="C1986" t="str">
            <v xml:space="preserve">MES   </v>
          </cell>
          <cell r="D1986">
            <v>2744.1</v>
          </cell>
        </row>
        <row r="1987">
          <cell r="A1987">
            <v>10998</v>
          </cell>
          <cell r="B1987" t="str">
            <v>ELETRODO REVESTIDO AWS - E-6010, DIAMETRO IGUAL A 4,00 MM</v>
          </cell>
          <cell r="C1987" t="str">
            <v xml:space="preserve">KG    </v>
          </cell>
          <cell r="D1987">
            <v>13.44</v>
          </cell>
        </row>
        <row r="1988">
          <cell r="A1988">
            <v>11002</v>
          </cell>
          <cell r="B1988" t="str">
            <v>ELETRODO REVESTIDO AWS - E6013, DIAMETRO IGUAL A 2,50 MM</v>
          </cell>
          <cell r="C1988" t="str">
            <v xml:space="preserve">KG    </v>
          </cell>
          <cell r="D1988">
            <v>12.32</v>
          </cell>
        </row>
        <row r="1989">
          <cell r="A1989">
            <v>10999</v>
          </cell>
          <cell r="B1989" t="str">
            <v>ELETRODO REVESTIDO AWS - E6013, DIAMETRO IGUAL A 4,00 MM</v>
          </cell>
          <cell r="C1989" t="str">
            <v xml:space="preserve">KG    </v>
          </cell>
          <cell r="D1989">
            <v>11.83</v>
          </cell>
        </row>
        <row r="1990">
          <cell r="A1990">
            <v>10997</v>
          </cell>
          <cell r="B1990" t="str">
            <v>ELETRODO REVESTIDO AWS - E7018, DIAMETRO IGUAL A 4,00 MM</v>
          </cell>
          <cell r="C1990" t="str">
            <v xml:space="preserve">KG    </v>
          </cell>
          <cell r="D1990">
            <v>12.83</v>
          </cell>
        </row>
        <row r="1991">
          <cell r="A1991">
            <v>2685</v>
          </cell>
          <cell r="B1991" t="str">
            <v>ELETRODUTO DE PVC RIGIDO ROSCAVEL DE 1 ", SEM LUVA</v>
          </cell>
          <cell r="C1991" t="str">
            <v xml:space="preserve">M     </v>
          </cell>
          <cell r="D1991">
            <v>3.89</v>
          </cell>
        </row>
        <row r="1992">
          <cell r="A1992">
            <v>2680</v>
          </cell>
          <cell r="B1992" t="str">
            <v>ELETRODUTO DE PVC RIGIDO ROSCAVEL DE 1 1/2 ", SEM LUVA</v>
          </cell>
          <cell r="C1992" t="str">
            <v xml:space="preserve">M     </v>
          </cell>
          <cell r="D1992">
            <v>5.69</v>
          </cell>
        </row>
        <row r="1993">
          <cell r="A1993">
            <v>2684</v>
          </cell>
          <cell r="B1993" t="str">
            <v>ELETRODUTO DE PVC RIGIDO ROSCAVEL DE 1 1/4 ", SEM LUVA</v>
          </cell>
          <cell r="C1993" t="str">
            <v xml:space="preserve">M     </v>
          </cell>
          <cell r="D1993">
            <v>5.18</v>
          </cell>
        </row>
        <row r="1994">
          <cell r="A1994">
            <v>2673</v>
          </cell>
          <cell r="B1994" t="str">
            <v>ELETRODUTO DE PVC RIGIDO ROSCAVEL DE 1/2 ", SEM LUVA</v>
          </cell>
          <cell r="C1994" t="str">
            <v xml:space="preserve">M     </v>
          </cell>
          <cell r="D1994">
            <v>2</v>
          </cell>
        </row>
        <row r="1995">
          <cell r="A1995">
            <v>2681</v>
          </cell>
          <cell r="B1995" t="str">
            <v>ELETRODUTO DE PVC RIGIDO ROSCAVEL DE 2 ", SEM LUVA</v>
          </cell>
          <cell r="C1995" t="str">
            <v xml:space="preserve">M     </v>
          </cell>
          <cell r="D1995">
            <v>9.3000000000000007</v>
          </cell>
        </row>
        <row r="1996">
          <cell r="A1996">
            <v>2682</v>
          </cell>
          <cell r="B1996" t="str">
            <v>ELETRODUTO DE PVC RIGIDO ROSCAVEL DE 2 1/2 ", SEM LUVA</v>
          </cell>
          <cell r="C1996" t="str">
            <v xml:space="preserve">M     </v>
          </cell>
          <cell r="D1996">
            <v>13.57</v>
          </cell>
        </row>
        <row r="1997">
          <cell r="A1997">
            <v>2686</v>
          </cell>
          <cell r="B1997" t="str">
            <v>ELETRODUTO DE PVC RIGIDO ROSCAVEL DE 3 ", SEM LUVA</v>
          </cell>
          <cell r="C1997" t="str">
            <v xml:space="preserve">M     </v>
          </cell>
          <cell r="D1997">
            <v>17.02</v>
          </cell>
        </row>
        <row r="1998">
          <cell r="A1998">
            <v>2674</v>
          </cell>
          <cell r="B1998" t="str">
            <v>ELETRODUTO DE PVC RIGIDO ROSCAVEL DE 3/4 ", SEM LUVA</v>
          </cell>
          <cell r="C1998" t="str">
            <v xml:space="preserve">M     </v>
          </cell>
          <cell r="D1998">
            <v>2.4900000000000002</v>
          </cell>
        </row>
        <row r="1999">
          <cell r="A1999">
            <v>2683</v>
          </cell>
          <cell r="B1999" t="str">
            <v>ELETRODUTO DE PVC RIGIDO ROSCAVEL DE 4 ", SEM LUVA</v>
          </cell>
          <cell r="C1999" t="str">
            <v xml:space="preserve">M     </v>
          </cell>
          <cell r="D1999">
            <v>26.83</v>
          </cell>
        </row>
        <row r="2000">
          <cell r="A2000">
            <v>2676</v>
          </cell>
          <cell r="B2000" t="str">
            <v>ELETRODUTO DE PVC RIGIDO SOLDAVEL, CLASSE B, DE 20 MM</v>
          </cell>
          <cell r="C2000" t="str">
            <v xml:space="preserve">M     </v>
          </cell>
          <cell r="D2000">
            <v>1.1599999999999999</v>
          </cell>
        </row>
        <row r="2001">
          <cell r="A2001">
            <v>2678</v>
          </cell>
          <cell r="B2001" t="str">
            <v>ELETRODUTO DE PVC RIGIDO SOLDAVEL, CLASSE B, DE 25 MM</v>
          </cell>
          <cell r="C2001" t="str">
            <v xml:space="preserve">M     </v>
          </cell>
          <cell r="D2001">
            <v>1.45</v>
          </cell>
        </row>
        <row r="2002">
          <cell r="A2002">
            <v>2679</v>
          </cell>
          <cell r="B2002" t="str">
            <v>ELETRODUTO DE PVC RIGIDO SOLDAVEL, CLASSE B, DE 32 MM</v>
          </cell>
          <cell r="C2002" t="str">
            <v xml:space="preserve">M     </v>
          </cell>
          <cell r="D2002">
            <v>2.2400000000000002</v>
          </cell>
        </row>
        <row r="2003">
          <cell r="A2003">
            <v>12070</v>
          </cell>
          <cell r="B2003" t="str">
            <v>ELETRODUTO DE PVC RIGIDO SOLDAVEL, CLASSE B, DE 40 MM</v>
          </cell>
          <cell r="C2003" t="str">
            <v xml:space="preserve">M     </v>
          </cell>
          <cell r="D2003">
            <v>3.12</v>
          </cell>
        </row>
        <row r="2004">
          <cell r="A2004">
            <v>2675</v>
          </cell>
          <cell r="B2004" t="str">
            <v>ELETRODUTO DE PVC RIGIDO SOLDAVEL, CLASSE B, DE 50 MM</v>
          </cell>
          <cell r="C2004" t="str">
            <v xml:space="preserve">M     </v>
          </cell>
          <cell r="D2004">
            <v>4.0599999999999996</v>
          </cell>
        </row>
        <row r="2005">
          <cell r="A2005">
            <v>12067</v>
          </cell>
          <cell r="B2005" t="str">
            <v>ELETRODUTO DE PVC RIGIDO SOLDAVEL, CLASSE B, DE 60 MM</v>
          </cell>
          <cell r="C2005" t="str">
            <v xml:space="preserve">M     </v>
          </cell>
          <cell r="D2005">
            <v>5.51</v>
          </cell>
        </row>
        <row r="2006">
          <cell r="A2006">
            <v>40401</v>
          </cell>
          <cell r="B2006" t="str">
            <v>ELETRODUTO FLEXIVEL PLANO EM PEAD, COR PRETA E LARANJA,  DIAMETRO 32 MM</v>
          </cell>
          <cell r="C2006" t="str">
            <v xml:space="preserve">M     </v>
          </cell>
          <cell r="D2006">
            <v>2.08</v>
          </cell>
        </row>
        <row r="2007">
          <cell r="A2007">
            <v>40402</v>
          </cell>
          <cell r="B2007" t="str">
            <v>ELETRODUTO FLEXIVEL PLANO EM PEAD, COR PRETA E LARANJA,  DIAMETRO 40 MM</v>
          </cell>
          <cell r="C2007" t="str">
            <v xml:space="preserve">M     </v>
          </cell>
          <cell r="D2007">
            <v>2.67</v>
          </cell>
        </row>
        <row r="2008">
          <cell r="A2008">
            <v>40400</v>
          </cell>
          <cell r="B2008" t="str">
            <v>ELETRODUTO FLEXIVEL PLANO EM PEAD, COR PRETA E LARANJA, DIAMETRO 25 MM</v>
          </cell>
          <cell r="C2008" t="str">
            <v xml:space="preserve">M     </v>
          </cell>
          <cell r="D2008">
            <v>1.41</v>
          </cell>
        </row>
        <row r="2009">
          <cell r="A2009">
            <v>2504</v>
          </cell>
          <cell r="B2009" t="str">
            <v>ELETRODUTO FLEXIVEL, EM ACO GALVANIZADO, REVESTIDO EXTERNAMENTE COM PVC PRETO, DIAMETRO EXTERNO DE 25 MM (3/4"), TIPO SEALTUBO</v>
          </cell>
          <cell r="C2009" t="str">
            <v xml:space="preserve">M     </v>
          </cell>
          <cell r="D2009">
            <v>10.16</v>
          </cell>
        </row>
        <row r="2010">
          <cell r="A2010">
            <v>2501</v>
          </cell>
          <cell r="B2010" t="str">
            <v>ELETRODUTO FLEXIVEL, EM ACO GALVANIZADO, REVESTIDO EXTERNAMENTE COM PVC PRETO, DIAMETRO EXTERNO DE 32 MM (1"), TIPO SEALTUBO</v>
          </cell>
          <cell r="C2010" t="str">
            <v xml:space="preserve">M     </v>
          </cell>
          <cell r="D2010">
            <v>13.33</v>
          </cell>
        </row>
        <row r="2011">
          <cell r="A2011">
            <v>2502</v>
          </cell>
          <cell r="B2011" t="str">
            <v>ELETRODUTO FLEXIVEL, EM ACO GALVANIZADO, REVESTIDO EXTERNAMENTE COM PVC PRETO, DIAMETRO EXTERNO DE 40 MM (1 1/4"), TIPO SEALTUBO</v>
          </cell>
          <cell r="C2011" t="str">
            <v xml:space="preserve">M     </v>
          </cell>
          <cell r="D2011">
            <v>20.11</v>
          </cell>
        </row>
        <row r="2012">
          <cell r="A2012">
            <v>2503</v>
          </cell>
          <cell r="B2012" t="str">
            <v>ELETRODUTO FLEXIVEL, EM ACO GALVANIZADO, REVESTIDO EXTERNAMENTE COM PVC PRETO, DIAMETRO EXTERNO DE 50 MM( 1 1/2"), TIPO SEALTUBO</v>
          </cell>
          <cell r="C2012" t="str">
            <v xml:space="preserve">M     </v>
          </cell>
          <cell r="D2012">
            <v>25.88</v>
          </cell>
        </row>
        <row r="2013">
          <cell r="A2013">
            <v>2500</v>
          </cell>
          <cell r="B2013" t="str">
            <v>ELETRODUTO FLEXIVEL, EM ACO GALVANIZADO, REVESTIDO EXTERNAMENTE COM PVC PRETO, DIAMETRO EXTERNO DE 60 MM (2"), TIPO SEALTUBO</v>
          </cell>
          <cell r="C2013" t="str">
            <v xml:space="preserve">M     </v>
          </cell>
          <cell r="D2013">
            <v>34.479999999999997</v>
          </cell>
        </row>
        <row r="2014">
          <cell r="A2014">
            <v>2505</v>
          </cell>
          <cell r="B2014" t="str">
            <v>ELETRODUTO FLEXIVEL, EM ACO GALVANIZADO, REVESTIDO EXTERNAMENTE COM PVC PRETO, DIAMETRO EXTERNO DE 75 MM (2 1/2"), TIPO SEALTUBO</v>
          </cell>
          <cell r="C2014" t="str">
            <v xml:space="preserve">M     </v>
          </cell>
          <cell r="D2014">
            <v>53.73</v>
          </cell>
        </row>
        <row r="2015">
          <cell r="A2015">
            <v>12056</v>
          </cell>
          <cell r="B2015" t="str">
            <v>ELETRODUTO FLEXIVEL, EM ACO, TIPO CONDUITE, DIAMETRO DE 1 1/2"</v>
          </cell>
          <cell r="C2015" t="str">
            <v xml:space="preserve">M     </v>
          </cell>
          <cell r="D2015">
            <v>21.71</v>
          </cell>
        </row>
        <row r="2016">
          <cell r="A2016">
            <v>12057</v>
          </cell>
          <cell r="B2016" t="str">
            <v>ELETRODUTO FLEXIVEL, EM ACO, TIPO CONDUITE, DIAMETRO DE 1 1/4"</v>
          </cell>
          <cell r="C2016" t="str">
            <v xml:space="preserve">M     </v>
          </cell>
          <cell r="D2016">
            <v>18.440000000000001</v>
          </cell>
        </row>
        <row r="2017">
          <cell r="A2017">
            <v>12059</v>
          </cell>
          <cell r="B2017" t="str">
            <v>ELETRODUTO FLEXIVEL, EM ACO, TIPO CONDUITE, DIAMETRO DE 1/2"</v>
          </cell>
          <cell r="C2017" t="str">
            <v xml:space="preserve">M     </v>
          </cell>
          <cell r="D2017">
            <v>6.47</v>
          </cell>
        </row>
        <row r="2018">
          <cell r="A2018">
            <v>12058</v>
          </cell>
          <cell r="B2018" t="str">
            <v>ELETRODUTO FLEXIVEL, EM ACO, TIPO CONDUITE, DIAMETRO DE 1"</v>
          </cell>
          <cell r="C2018" t="str">
            <v xml:space="preserve">M     </v>
          </cell>
          <cell r="D2018">
            <v>11.49</v>
          </cell>
        </row>
        <row r="2019">
          <cell r="A2019">
            <v>12060</v>
          </cell>
          <cell r="B2019" t="str">
            <v>ELETRODUTO FLEXIVEL, EM ACO, TIPO CONDUITE, DIAMETRO DE 2 1/2"</v>
          </cell>
          <cell r="C2019" t="str">
            <v xml:space="preserve">M     </v>
          </cell>
          <cell r="D2019">
            <v>47.91</v>
          </cell>
        </row>
        <row r="2020">
          <cell r="A2020">
            <v>12061</v>
          </cell>
          <cell r="B2020" t="str">
            <v>ELETRODUTO FLEXIVEL, EM ACO, TIPO CONDUITE, DIAMETRO DE 2"</v>
          </cell>
          <cell r="C2020" t="str">
            <v xml:space="preserve">M     </v>
          </cell>
          <cell r="D2020">
            <v>29.25</v>
          </cell>
        </row>
        <row r="2021">
          <cell r="A2021">
            <v>12062</v>
          </cell>
          <cell r="B2021" t="str">
            <v>ELETRODUTO FLEXIVEL, EM ACO, TIPO CONDUITE, DIAMETRO DE 3"</v>
          </cell>
          <cell r="C2021" t="str">
            <v xml:space="preserve">M     </v>
          </cell>
          <cell r="D2021">
            <v>53.95</v>
          </cell>
        </row>
        <row r="2022">
          <cell r="A2022">
            <v>21137</v>
          </cell>
          <cell r="B2022" t="str">
            <v>ELETRODUTO METALICO FLEXIVEL REVESTIDO COM PVC PRETO, DIAMETRO EXTERNO DE 15 MM (3/8"), TIPO COPEX</v>
          </cell>
          <cell r="C2022" t="str">
            <v xml:space="preserve">M     </v>
          </cell>
          <cell r="D2022">
            <v>9.3699999999999992</v>
          </cell>
        </row>
        <row r="2023">
          <cell r="A2023">
            <v>2687</v>
          </cell>
          <cell r="B2023" t="str">
            <v>ELETRODUTO PVC FLEXIVEL CORRUGADO, COR AMARELA, DE 16 MM</v>
          </cell>
          <cell r="C2023" t="str">
            <v xml:space="preserve">M     </v>
          </cell>
          <cell r="D2023">
            <v>1.01</v>
          </cell>
        </row>
        <row r="2024">
          <cell r="A2024">
            <v>2689</v>
          </cell>
          <cell r="B2024" t="str">
            <v>ELETRODUTO PVC FLEXIVEL CORRUGADO, COR AMARELA, DE 20 MM</v>
          </cell>
          <cell r="C2024" t="str">
            <v xml:space="preserve">M     </v>
          </cell>
          <cell r="D2024">
            <v>1.21</v>
          </cell>
        </row>
        <row r="2025">
          <cell r="A2025">
            <v>2688</v>
          </cell>
          <cell r="B2025" t="str">
            <v>ELETRODUTO PVC FLEXIVEL CORRUGADO, COR AMARELA, DE 25 MM</v>
          </cell>
          <cell r="C2025" t="str">
            <v xml:space="preserve">M     </v>
          </cell>
          <cell r="D2025">
            <v>1.31</v>
          </cell>
        </row>
        <row r="2026">
          <cell r="A2026">
            <v>2690</v>
          </cell>
          <cell r="B2026" t="str">
            <v>ELETRODUTO PVC FLEXIVEL CORRUGADO, COR AMARELA, DE 32 MM</v>
          </cell>
          <cell r="C2026" t="str">
            <v xml:space="preserve">M     </v>
          </cell>
          <cell r="D2026">
            <v>2.2400000000000002</v>
          </cell>
        </row>
        <row r="2027">
          <cell r="A2027">
            <v>39243</v>
          </cell>
          <cell r="B2027" t="str">
            <v>ELETRODUTO PVC FLEXIVEL CORRUGADO, REFORCADO, COR LARANJA, DE 20 MM, PARA LAJES E PISOS</v>
          </cell>
          <cell r="C2027" t="str">
            <v xml:space="preserve">M     </v>
          </cell>
          <cell r="D2027">
            <v>1.47</v>
          </cell>
        </row>
        <row r="2028">
          <cell r="A2028">
            <v>39244</v>
          </cell>
          <cell r="B2028" t="str">
            <v>ELETRODUTO PVC FLEXIVEL CORRUGADO, REFORCADO, COR LARANJA, DE 25 MM, PARA LAJES E PISOS</v>
          </cell>
          <cell r="C2028" t="str">
            <v xml:space="preserve">M     </v>
          </cell>
          <cell r="D2028">
            <v>1.99</v>
          </cell>
        </row>
        <row r="2029">
          <cell r="A2029">
            <v>39245</v>
          </cell>
          <cell r="B2029" t="str">
            <v>ELETRODUTO PVC FLEXIVEL CORRUGADO, REFORCADO, COR LARANJA, DE 32 MM, PARA LAJES E PISOS</v>
          </cell>
          <cell r="C2029" t="str">
            <v xml:space="preserve">M     </v>
          </cell>
          <cell r="D2029">
            <v>3.84</v>
          </cell>
        </row>
        <row r="2030">
          <cell r="A2030">
            <v>39254</v>
          </cell>
          <cell r="B2030" t="str">
            <v>ELETRODUTO/CONDULETE DE PVC RIGIDO, LISO, COR CINZA, DE 1/2", PARA INSTALACOES APARENTES (NBR 5410)</v>
          </cell>
          <cell r="C2030" t="str">
            <v xml:space="preserve">M     </v>
          </cell>
          <cell r="D2030">
            <v>5.74</v>
          </cell>
        </row>
        <row r="2031">
          <cell r="A2031">
            <v>39255</v>
          </cell>
          <cell r="B2031" t="str">
            <v>ELETRODUTO/CONDULETE DE PVC RIGIDO, LISO, COR CINZA, DE 1", PARA INSTALACOES APARENTES (NBR 5410)</v>
          </cell>
          <cell r="C2031" t="str">
            <v xml:space="preserve">M     </v>
          </cell>
          <cell r="D2031">
            <v>10.63</v>
          </cell>
        </row>
        <row r="2032">
          <cell r="A2032">
            <v>39253</v>
          </cell>
          <cell r="B2032" t="str">
            <v>ELETRODUTO/CONDULETE DE PVC RIGIDO, LISO, COR CINZA, DE 3/4", PARA INSTALACOES APARENTES (NBR 5410)</v>
          </cell>
          <cell r="C2032" t="str">
            <v xml:space="preserve">M     </v>
          </cell>
          <cell r="D2032">
            <v>7.32</v>
          </cell>
        </row>
        <row r="2033">
          <cell r="A2033">
            <v>2446</v>
          </cell>
          <cell r="B2033" t="str">
            <v>ELETRODUTO/DUTO PEAD FLEXIVEL PAREDE SIMPLES, CORRUGACAO HELICOIDAL, COR PRETA, SEM ROSCA, DE 2",  PARA CABEAMENTO SUBTERRANEO (NBR 15715)</v>
          </cell>
          <cell r="C2033" t="str">
            <v xml:space="preserve">M     </v>
          </cell>
          <cell r="D2033">
            <v>5.19</v>
          </cell>
        </row>
        <row r="2034">
          <cell r="A2034">
            <v>2442</v>
          </cell>
          <cell r="B2034" t="str">
            <v>ELETRODUTO/DUTO PEAD FLEXIVEL PAREDE SIMPLES, CORRUGACAO HELICOIDAL, COR PRETA, SEM ROSCA, DE 3",  PARA CABEAMENTO SUBTERRANEO (NBR 15715)</v>
          </cell>
          <cell r="C2034" t="str">
            <v xml:space="preserve">M     </v>
          </cell>
          <cell r="D2034">
            <v>7.27</v>
          </cell>
        </row>
        <row r="2035">
          <cell r="A2035">
            <v>39246</v>
          </cell>
          <cell r="B2035" t="str">
            <v>ELETRODUTODUTO PEAD FLEXIVEL PAREDE SIMPLES, CORRUGACAO HELICOIDAL, COR PRETA, SEM ROSCA, DE 1 1/2",  PARA CABEAMENTO SUBTERRANEO (NBR 15715)</v>
          </cell>
          <cell r="C2035" t="str">
            <v xml:space="preserve">M     </v>
          </cell>
          <cell r="D2035">
            <v>3.61</v>
          </cell>
        </row>
        <row r="2036">
          <cell r="A2036">
            <v>39247</v>
          </cell>
          <cell r="B2036" t="str">
            <v>ELETRODUTODUTO PEAD FLEXIVEL PAREDE SIMPLES, CORRUGACAO HELICOIDAL, COR PRETA, SEM ROSCA, DE 1 1/4",  PARA CABEAMENTO SUBTERRANEO (NBR 15715)</v>
          </cell>
          <cell r="C2036" t="str">
            <v xml:space="preserve">M     </v>
          </cell>
          <cell r="D2036">
            <v>3.15</v>
          </cell>
        </row>
        <row r="2037">
          <cell r="A2037">
            <v>39248</v>
          </cell>
          <cell r="B2037" t="str">
            <v>ELETRODUTODUTO PEAD FLEXIVEL PAREDE SIMPLES, CORRUGACAO HELICOIDAL, COR PRETA, SEM ROSCA, DE 4",  PARA CABEAMENTO SUBTERRANEO (NBR 15715)</v>
          </cell>
          <cell r="C2037" t="str">
            <v xml:space="preserve">M     </v>
          </cell>
          <cell r="D2037">
            <v>10.130000000000001</v>
          </cell>
        </row>
        <row r="2038">
          <cell r="A2038">
            <v>2438</v>
          </cell>
          <cell r="B2038" t="str">
            <v>ELETROTECNICO</v>
          </cell>
          <cell r="C2038" t="str">
            <v xml:space="preserve">H     </v>
          </cell>
          <cell r="D2038">
            <v>15.65</v>
          </cell>
        </row>
        <row r="2039">
          <cell r="A2039">
            <v>40922</v>
          </cell>
          <cell r="B2039" t="str">
            <v>ELETROTECNICO (MENSALISTA)</v>
          </cell>
          <cell r="C2039" t="str">
            <v xml:space="preserve">MES   </v>
          </cell>
          <cell r="D2039">
            <v>2774.6</v>
          </cell>
        </row>
        <row r="2040">
          <cell r="A2040">
            <v>36486</v>
          </cell>
          <cell r="B2040" t="str">
            <v>ELEVADOR DE CARGA A CABO, CABINE SEMI FECHADA 2,0 X 1,5 X 2,0 M, CAPACIDADE DE CARGA 1000 KG, TORRE  2,38 X 2,21 X 15 M, GUINCHO DE EMBREAGEM, FREIO DE SEGURANCA, LIMITADOR DE VELOCIDADE E CANCELA</v>
          </cell>
          <cell r="C2040" t="str">
            <v xml:space="preserve">UN    </v>
          </cell>
          <cell r="D2040">
            <v>35977.949999999997</v>
          </cell>
        </row>
        <row r="2041">
          <cell r="A2041">
            <v>37777</v>
          </cell>
          <cell r="B2041" t="str">
            <v>ELEVADOR DE CREMALHEIRA CABINE FECHADA 1,5 X 2,5 X 2,35 M (UMA POR TORRE), CAPACIDADE DE CARGA 1200 KG (15 PESSOAS), TORRE  24 M (16 MODULOS), FREIO DE SEGURANCA, LIMITADOR DE CARGA</v>
          </cell>
          <cell r="C2041" t="str">
            <v xml:space="preserve">UN    </v>
          </cell>
          <cell r="D2041">
            <v>169383.5</v>
          </cell>
        </row>
        <row r="2042">
          <cell r="A2042">
            <v>12624</v>
          </cell>
          <cell r="B2042" t="str">
            <v>EMENDA PARA CALHA PLUVIAL, PVC, DIAMETRO ENTRE 119 E 170 MM, PARA DRENAGEM PREDIAL</v>
          </cell>
          <cell r="C2042" t="str">
            <v xml:space="preserve">UN    </v>
          </cell>
          <cell r="D2042">
            <v>10.26</v>
          </cell>
        </row>
        <row r="2043">
          <cell r="A2043">
            <v>10638</v>
          </cell>
          <cell r="B2043" t="str">
            <v>EMPILHADEIRA SOBRE PNEUS COM TORRE DE TRES ESTAGIOS, 4,70M DE ELEVACAO, C/ DESLOCADOR LATERAL DOS GARFOS, MOTOR GLP 4.3L, CAPACIDADE NOMINAL DE CARGA DE 6T</v>
          </cell>
          <cell r="C2043" t="str">
            <v xml:space="preserve">UN    </v>
          </cell>
          <cell r="D2043">
            <v>321401.8</v>
          </cell>
        </row>
        <row r="2044">
          <cell r="A2044">
            <v>10635</v>
          </cell>
          <cell r="B2044" t="str">
            <v>EMPILHADEIRA SOBRE PNEUS COM TORRE DE TRES ESTAGIOS, 4,80M DE ELEVACAO, C/ DESLOCADOR LATERAL DOS GARFOS, MOTOR GLP 2.2L, CAPACIDADE NOMINAL DE CARGA DE 3T</v>
          </cell>
          <cell r="C2044" t="str">
            <v xml:space="preserve">UN    </v>
          </cell>
          <cell r="D2044">
            <v>111092.81</v>
          </cell>
        </row>
        <row r="2045">
          <cell r="A2045">
            <v>10634</v>
          </cell>
          <cell r="B2045" t="str">
            <v>EMPILHADEIRA SOBRE PNEUS COM TORRE DE TRES ESTAGIOS, 4,80M DE ELEVACAO, C/ DESLOCADOR LATERAL DOS GARFOS, MOTOR GLP 2.4L, CAPACIDADE NOMINAL DE CARGA DE 2,5T</v>
          </cell>
          <cell r="C2045" t="str">
            <v xml:space="preserve">UN    </v>
          </cell>
          <cell r="D2045">
            <v>95129.5</v>
          </cell>
        </row>
        <row r="2046">
          <cell r="A2046">
            <v>10636</v>
          </cell>
          <cell r="B2046" t="str">
            <v>EMPILHADEIRA SOBRE PNEUS COM TORRE DE TRES ESTAGIOS, 4,80M DE ELEVACAO, C/ DESLOCADOR LATERAL DOS GARFOS, MOTOR GLP 4.3L, CAPACIDADE NOMINAL DE CARGA DE 4T</v>
          </cell>
          <cell r="C2046" t="str">
            <v xml:space="preserve">UN    </v>
          </cell>
          <cell r="D2046">
            <v>209498.45</v>
          </cell>
        </row>
        <row r="2047">
          <cell r="A2047">
            <v>10637</v>
          </cell>
          <cell r="B2047" t="str">
            <v>EMPILHADEIRA SOBRE PNEUS COM TORRE DE TRES ESTAGIOS, 4,80M DE ELEVACAO, C/ DESLOCADOR LATERAL DOS GARFOS, MOTOR GLP 4.3L, CAPACIDADE NOMINAL DE CARGA DE 5T</v>
          </cell>
          <cell r="C2047" t="str">
            <v xml:space="preserve">UN    </v>
          </cell>
          <cell r="D2047">
            <v>219137.59</v>
          </cell>
        </row>
        <row r="2048">
          <cell r="A2048">
            <v>517</v>
          </cell>
          <cell r="B2048" t="str">
            <v>EMULSAO ASFALTICA ANIONICA</v>
          </cell>
          <cell r="C2048" t="str">
            <v xml:space="preserve">L     </v>
          </cell>
          <cell r="D2048">
            <v>7.65</v>
          </cell>
        </row>
        <row r="2049">
          <cell r="A2049">
            <v>41904</v>
          </cell>
          <cell r="B2049" t="str">
            <v>EMULSAO ASFALTICA CATIONICA RL-1C PARA USO EM PAVIMENTACAO ASFALTICA (COLETADO CAIXA NA ANP ACRESCIDO DE ICMS)</v>
          </cell>
          <cell r="C2049" t="str">
            <v xml:space="preserve">T     </v>
          </cell>
          <cell r="D2049">
            <v>2663.08</v>
          </cell>
        </row>
        <row r="2050">
          <cell r="A2050">
            <v>41905</v>
          </cell>
          <cell r="B2050" t="str">
            <v>EMULSAO ASFALTICA CATIONICA RR-1C PARA USO EM PAVIMENTACAO ASFALTICA (COLETADO CAIXA NA ANP ACRESCIDO DE ICMS)</v>
          </cell>
          <cell r="C2050" t="str">
            <v xml:space="preserve">KG    </v>
          </cell>
          <cell r="D2050">
            <v>2.2000000000000002</v>
          </cell>
        </row>
        <row r="2051">
          <cell r="A2051">
            <v>41903</v>
          </cell>
          <cell r="B2051" t="str">
            <v>EMULSAO ASFALTICA CATIONICA RR-2C PARA USO EM PAVIMENTACAO ASFALTICA (COLETADO CAIXA NA ANP ACRESCIDO DE ICMS)</v>
          </cell>
          <cell r="C2051" t="str">
            <v xml:space="preserve">KG    </v>
          </cell>
          <cell r="D2051">
            <v>2.86</v>
          </cell>
        </row>
        <row r="2052">
          <cell r="A2052">
            <v>37534</v>
          </cell>
          <cell r="B2052" t="str">
            <v>EMULSAO EXPLOSIVA EM CARTUCHOS DE 1" X 12", DENSIDADE 1.15 G/CM3, INICIACAO ESPOLETA N. 8 / CORDEL</v>
          </cell>
          <cell r="C2052" t="str">
            <v xml:space="preserve">KG    </v>
          </cell>
          <cell r="D2052">
            <v>15.19</v>
          </cell>
        </row>
        <row r="2053">
          <cell r="A2053">
            <v>37535</v>
          </cell>
          <cell r="B2053" t="str">
            <v>EMULSAO EXPLOSIVA EM CARTUCHOS DE 1" X 24", DENSIDADE 1.15 G/CM3, INICIACAO ESPOLETA N. 8 / CORDEL</v>
          </cell>
          <cell r="C2053" t="str">
            <v xml:space="preserve">KG    </v>
          </cell>
          <cell r="D2053">
            <v>15.19</v>
          </cell>
        </row>
        <row r="2054">
          <cell r="A2054">
            <v>37533</v>
          </cell>
          <cell r="B2054" t="str">
            <v>EMULSAO EXPLOSIVA EM CARTUCHOS DE 1" X 8", DENSIDADE 1.15 G/CM3, INICIACAO ESPOLETA N. 8 / CORDEL</v>
          </cell>
          <cell r="C2054" t="str">
            <v xml:space="preserve">KG    </v>
          </cell>
          <cell r="D2054">
            <v>15.19</v>
          </cell>
        </row>
        <row r="2055">
          <cell r="A2055">
            <v>37537</v>
          </cell>
          <cell r="B2055" t="str">
            <v>EMULSAO EXPLOSIVA EM CARTUCHOS DE 2 1/2" X 24", DENSIDADE 1.15 G/CM3, INICIACAO ESPOLETA N. 8 / CORDEL</v>
          </cell>
          <cell r="C2055" t="str">
            <v xml:space="preserve">KG    </v>
          </cell>
          <cell r="D2055">
            <v>11.5</v>
          </cell>
        </row>
        <row r="2056">
          <cell r="A2056">
            <v>37536</v>
          </cell>
          <cell r="B2056" t="str">
            <v>EMULSAO EXPLOSIVA EM CARTUCHOS DE 2 1/4" X 24", DENSIDADE 1.15 G/CM3, INICIACAO ESPOLETA N. 8 / CORDEL</v>
          </cell>
          <cell r="C2056" t="str">
            <v xml:space="preserve">KG    </v>
          </cell>
          <cell r="D2056">
            <v>11.5</v>
          </cell>
        </row>
        <row r="2057">
          <cell r="A2057">
            <v>37532</v>
          </cell>
          <cell r="B2057" t="str">
            <v>EMULSAO EXPLOSIVA EM CARTUCHOS DE 2" X 24", DENSIDADE 1.15 G/CM3, INICIACAO ESPOLETA N. 8 / CORDEL</v>
          </cell>
          <cell r="C2057" t="str">
            <v xml:space="preserve">KG    </v>
          </cell>
          <cell r="D2057">
            <v>11.5</v>
          </cell>
        </row>
        <row r="2058">
          <cell r="A2058">
            <v>2696</v>
          </cell>
          <cell r="B2058" t="str">
            <v>ENCANADOR OU BOMBEIRO HIDRAULICO</v>
          </cell>
          <cell r="C2058" t="str">
            <v xml:space="preserve">H     </v>
          </cell>
          <cell r="D2058">
            <v>15.5</v>
          </cell>
        </row>
        <row r="2059">
          <cell r="A2059">
            <v>40928</v>
          </cell>
          <cell r="B2059" t="str">
            <v>ENCANADOR OU BOMBEIRO HIDRAULICO (MENSALISTA)</v>
          </cell>
          <cell r="C2059" t="str">
            <v xml:space="preserve">MES   </v>
          </cell>
          <cell r="D2059">
            <v>2744.1</v>
          </cell>
        </row>
        <row r="2060">
          <cell r="A2060">
            <v>4083</v>
          </cell>
          <cell r="B2060" t="str">
            <v>ENCARREGADO GERAL DE OBRAS</v>
          </cell>
          <cell r="C2060" t="str">
            <v xml:space="preserve">H     </v>
          </cell>
          <cell r="D2060">
            <v>20.079999999999998</v>
          </cell>
        </row>
        <row r="2061">
          <cell r="A2061">
            <v>40818</v>
          </cell>
          <cell r="B2061" t="str">
            <v>ENCARREGADO GERAL DE OBRAS (MENSALISTA)</v>
          </cell>
          <cell r="C2061" t="str">
            <v xml:space="preserve">MES   </v>
          </cell>
          <cell r="D2061">
            <v>3553.21</v>
          </cell>
        </row>
        <row r="2062">
          <cell r="A2062">
            <v>2705</v>
          </cell>
          <cell r="B2062" t="str">
            <v>ENERGIA ELETRICA ATE 2000 KWH INDUSTRIAL, SEM DEMANDA</v>
          </cell>
          <cell r="C2062" t="str">
            <v xml:space="preserve">KW/H  </v>
          </cell>
          <cell r="D2062">
            <v>0.59</v>
          </cell>
        </row>
        <row r="2063">
          <cell r="A2063">
            <v>14250</v>
          </cell>
          <cell r="B2063" t="str">
            <v>ENERGIA ELETRICA COMERCIAL, BAIXA TENSAO, RELATIVA AO CONSUMO DE ATE 100 KWH, INCLUINDO ICMS, PIS/PASEP E COFINS</v>
          </cell>
          <cell r="C2063" t="str">
            <v xml:space="preserve">KW/H  </v>
          </cell>
          <cell r="D2063">
            <v>0.6</v>
          </cell>
        </row>
        <row r="2064">
          <cell r="A2064">
            <v>11683</v>
          </cell>
          <cell r="B2064" t="str">
            <v>ENGATE / RABICHO FLEXIVEL INOX 1/2 " X 30 CM</v>
          </cell>
          <cell r="C2064" t="str">
            <v xml:space="preserve">UN    </v>
          </cell>
          <cell r="D2064">
            <v>31.45</v>
          </cell>
        </row>
        <row r="2065">
          <cell r="A2065">
            <v>11684</v>
          </cell>
          <cell r="B2065" t="str">
            <v>ENGATE / RABICHO FLEXIVEL INOX 1/2 " X 40 CM</v>
          </cell>
          <cell r="C2065" t="str">
            <v xml:space="preserve">UN    </v>
          </cell>
          <cell r="D2065">
            <v>34.42</v>
          </cell>
        </row>
        <row r="2066">
          <cell r="A2066">
            <v>6141</v>
          </cell>
          <cell r="B2066" t="str">
            <v>ENGATE/RABICHO FLEXIVEL PLASTICO (PVC OU ABS) BRANCO 1/2 " X 30 CM</v>
          </cell>
          <cell r="C2066" t="str">
            <v xml:space="preserve">UN    </v>
          </cell>
          <cell r="D2066">
            <v>3.8</v>
          </cell>
        </row>
        <row r="2067">
          <cell r="A2067">
            <v>11681</v>
          </cell>
          <cell r="B2067" t="str">
            <v>ENGATE/RABICHO FLEXIVEL PLASTICO (PVC OU ABS) BRANCO 1/2 " X 40 CM</v>
          </cell>
          <cell r="C2067" t="str">
            <v xml:space="preserve">UN    </v>
          </cell>
          <cell r="D2067">
            <v>6.36</v>
          </cell>
        </row>
        <row r="2068">
          <cell r="A2068">
            <v>2706</v>
          </cell>
          <cell r="B2068" t="str">
            <v>ENGENHEIRO CIVIL DE OBRA JUNIOR</v>
          </cell>
          <cell r="C2068" t="str">
            <v xml:space="preserve">H     </v>
          </cell>
          <cell r="D2068">
            <v>90.7</v>
          </cell>
        </row>
        <row r="2069">
          <cell r="A2069">
            <v>40811</v>
          </cell>
          <cell r="B2069" t="str">
            <v>ENGENHEIRO CIVIL DE OBRA JUNIOR (MENSALISTA)</v>
          </cell>
          <cell r="C2069" t="str">
            <v xml:space="preserve">MES   </v>
          </cell>
          <cell r="D2069">
            <v>16048.63</v>
          </cell>
        </row>
        <row r="2070">
          <cell r="A2070">
            <v>2707</v>
          </cell>
          <cell r="B2070" t="str">
            <v>ENGENHEIRO CIVIL DE OBRA PLENO</v>
          </cell>
          <cell r="C2070" t="str">
            <v xml:space="preserve">H     </v>
          </cell>
          <cell r="D2070">
            <v>103.23</v>
          </cell>
        </row>
        <row r="2071">
          <cell r="A2071">
            <v>40813</v>
          </cell>
          <cell r="B2071" t="str">
            <v>ENGENHEIRO CIVIL DE OBRA PLENO (MENSALISTA)</v>
          </cell>
          <cell r="C2071" t="str">
            <v xml:space="preserve">MES   </v>
          </cell>
          <cell r="D2071">
            <v>18266.64</v>
          </cell>
        </row>
        <row r="2072">
          <cell r="A2072">
            <v>2708</v>
          </cell>
          <cell r="B2072" t="str">
            <v>ENGENHEIRO CIVIL DE OBRA SENIOR</v>
          </cell>
          <cell r="C2072" t="str">
            <v xml:space="preserve">H     </v>
          </cell>
          <cell r="D2072">
            <v>141.11000000000001</v>
          </cell>
        </row>
        <row r="2073">
          <cell r="A2073">
            <v>40814</v>
          </cell>
          <cell r="B2073" t="str">
            <v>ENGENHEIRO CIVIL DE OBRA SENIOR (MENSALISTA)</v>
          </cell>
          <cell r="C2073" t="str">
            <v xml:space="preserve">MES   </v>
          </cell>
          <cell r="D2073">
            <v>24970.01</v>
          </cell>
        </row>
        <row r="2074">
          <cell r="A2074">
            <v>34779</v>
          </cell>
          <cell r="B2074" t="str">
            <v>ENGENHEIRO CIVIL JUNIOR</v>
          </cell>
          <cell r="C2074" t="str">
            <v xml:space="preserve">H     </v>
          </cell>
          <cell r="D2074">
            <v>92.01</v>
          </cell>
        </row>
        <row r="2075">
          <cell r="A2075">
            <v>40936</v>
          </cell>
          <cell r="B2075" t="str">
            <v>ENGENHEIRO CIVIL JUNIOR (MENSALISTA)</v>
          </cell>
          <cell r="C2075" t="str">
            <v xml:space="preserve">MES   </v>
          </cell>
          <cell r="D2075">
            <v>16282.74</v>
          </cell>
        </row>
        <row r="2076">
          <cell r="A2076">
            <v>34780</v>
          </cell>
          <cell r="B2076" t="str">
            <v>ENGENHEIRO CIVIL PLENO</v>
          </cell>
          <cell r="C2076" t="str">
            <v xml:space="preserve">H     </v>
          </cell>
          <cell r="D2076">
            <v>103.81</v>
          </cell>
        </row>
        <row r="2077">
          <cell r="A2077">
            <v>40937</v>
          </cell>
          <cell r="B2077" t="str">
            <v>ENGENHEIRO CIVIL PLENO (MENSALISTA)</v>
          </cell>
          <cell r="C2077" t="str">
            <v xml:space="preserve">MES   </v>
          </cell>
          <cell r="D2077">
            <v>18370.16</v>
          </cell>
        </row>
        <row r="2078">
          <cell r="A2078">
            <v>34782</v>
          </cell>
          <cell r="B2078" t="str">
            <v>ENGENHEIRO CIVIL SENIOR</v>
          </cell>
          <cell r="C2078" t="str">
            <v xml:space="preserve">H     </v>
          </cell>
          <cell r="D2078">
            <v>142.27000000000001</v>
          </cell>
        </row>
        <row r="2079">
          <cell r="A2079">
            <v>40938</v>
          </cell>
          <cell r="B2079" t="str">
            <v>ENGENHEIRO CIVIL SENIOR (MENSALISTA)</v>
          </cell>
          <cell r="C2079" t="str">
            <v xml:space="preserve">MES   </v>
          </cell>
          <cell r="D2079">
            <v>25174.560000000001</v>
          </cell>
        </row>
        <row r="2080">
          <cell r="A2080">
            <v>34783</v>
          </cell>
          <cell r="B2080" t="str">
            <v>ENGENHEIRO ELETRICISTA</v>
          </cell>
          <cell r="C2080" t="str">
            <v xml:space="preserve">H     </v>
          </cell>
          <cell r="D2080">
            <v>86.49</v>
          </cell>
        </row>
        <row r="2081">
          <cell r="A2081">
            <v>40939</v>
          </cell>
          <cell r="B2081" t="str">
            <v>ENGENHEIRO ELETRICISTA (MENSALISTA)</v>
          </cell>
          <cell r="C2081" t="str">
            <v xml:space="preserve">MES   </v>
          </cell>
          <cell r="D2081">
            <v>15307.78</v>
          </cell>
        </row>
        <row r="2082">
          <cell r="A2082">
            <v>34785</v>
          </cell>
          <cell r="B2082" t="str">
            <v>ENGENHEIRO SANITARISTA</v>
          </cell>
          <cell r="C2082" t="str">
            <v xml:space="preserve">H     </v>
          </cell>
          <cell r="D2082">
            <v>85.65</v>
          </cell>
        </row>
        <row r="2083">
          <cell r="A2083">
            <v>40940</v>
          </cell>
          <cell r="B2083" t="str">
            <v>ENGENHEIRO SANITARISTA (MENSALISTA)</v>
          </cell>
          <cell r="C2083" t="str">
            <v xml:space="preserve">MES   </v>
          </cell>
          <cell r="D2083">
            <v>15157.03</v>
          </cell>
        </row>
        <row r="2084">
          <cell r="A2084">
            <v>38403</v>
          </cell>
          <cell r="B2084" t="str">
            <v>ENXADA ESTREITA *25 X 23* CM COM CABO</v>
          </cell>
          <cell r="C2084" t="str">
            <v xml:space="preserve">UN    </v>
          </cell>
          <cell r="D2084">
            <v>29.7</v>
          </cell>
        </row>
        <row r="2085">
          <cell r="A2085">
            <v>43494</v>
          </cell>
          <cell r="B2085" t="str">
            <v>EPI - FAMILIA ALMOXARIFE - HORISTA (ENCARGOS COMPLEMENTARES - COLETADO CAIXA)</v>
          </cell>
          <cell r="C2085" t="str">
            <v xml:space="preserve">MES   </v>
          </cell>
          <cell r="D2085">
            <v>112.27</v>
          </cell>
        </row>
        <row r="2086">
          <cell r="A2086">
            <v>43482</v>
          </cell>
          <cell r="B2086" t="str">
            <v>EPI - FAMILIA ALMOXARIFE - HORISTA (ENCARGOS COMPLEMENTARES - COLETADO CAIXA)</v>
          </cell>
          <cell r="C2086" t="str">
            <v xml:space="preserve">H     </v>
          </cell>
          <cell r="D2086">
            <v>0.6</v>
          </cell>
        </row>
        <row r="2087">
          <cell r="A2087">
            <v>43483</v>
          </cell>
          <cell r="B2087" t="str">
            <v>EPI - FAMILIA CARPINTEIRO DE FORMAS - HORISTA (ENCARGOS COMPLEMENTARES - COLETADO CAIXA)</v>
          </cell>
          <cell r="C2087" t="str">
            <v xml:space="preserve">H     </v>
          </cell>
          <cell r="D2087">
            <v>1.07</v>
          </cell>
        </row>
        <row r="2088">
          <cell r="A2088">
            <v>43495</v>
          </cell>
          <cell r="B2088" t="str">
            <v>EPI - FAMILIA CARPINTEIRO DE FORMAS - MENSALISTA (ENCARGOS COMPLEMENTARES - COLETADO CAIXA)</v>
          </cell>
          <cell r="C2088" t="str">
            <v xml:space="preserve">MES   </v>
          </cell>
          <cell r="D2088">
            <v>201.17</v>
          </cell>
        </row>
        <row r="2089">
          <cell r="A2089">
            <v>43484</v>
          </cell>
          <cell r="B2089" t="str">
            <v>EPI - FAMILIA ELETRICISTA - HORISTA (ENCARGOS COMPLEMENTARES - COLETADO CAIXA)</v>
          </cell>
          <cell r="C2089" t="str">
            <v xml:space="preserve">H     </v>
          </cell>
          <cell r="D2089">
            <v>0.94</v>
          </cell>
        </row>
        <row r="2090">
          <cell r="A2090">
            <v>43496</v>
          </cell>
          <cell r="B2090" t="str">
            <v>EPI - FAMILIA ELETRICISTA - MENSALISTA (ENCARGOS COMPLEMENTARES - COLETADO CAIXA)</v>
          </cell>
          <cell r="C2090" t="str">
            <v xml:space="preserve">MES   </v>
          </cell>
          <cell r="D2090">
            <v>176.6</v>
          </cell>
        </row>
        <row r="2091">
          <cell r="A2091">
            <v>43485</v>
          </cell>
          <cell r="B2091" t="str">
            <v>EPI - FAMILIA ENCANADOR - HORISTA (ENCARGOS COMPLEMENTARES - COLETADO CAIXA)</v>
          </cell>
          <cell r="C2091" t="str">
            <v xml:space="preserve">H     </v>
          </cell>
          <cell r="D2091">
            <v>0.84</v>
          </cell>
        </row>
        <row r="2092">
          <cell r="A2092">
            <v>43497</v>
          </cell>
          <cell r="B2092" t="str">
            <v>EPI - FAMILIA ENCANADOR - MENSALISTA (ENCARGOS COMPLEMENTARES - COLETADO CAIXA)</v>
          </cell>
          <cell r="C2092" t="str">
            <v xml:space="preserve">MES   </v>
          </cell>
          <cell r="D2092">
            <v>158.03</v>
          </cell>
        </row>
        <row r="2093">
          <cell r="A2093">
            <v>43499</v>
          </cell>
          <cell r="B2093" t="str">
            <v>EPI - FAMILIA ENCARREGADO GERAL - HORISTA (ENCARGOS COMPLEMENTARES - COLETADO CAIXA)</v>
          </cell>
          <cell r="C2093" t="str">
            <v xml:space="preserve">MES   </v>
          </cell>
          <cell r="D2093">
            <v>177.3</v>
          </cell>
        </row>
        <row r="2094">
          <cell r="A2094">
            <v>43487</v>
          </cell>
          <cell r="B2094" t="str">
            <v>EPI - FAMILIA ENCARREGADO GERAL - HORISTA (ENCARGOS COMPLEMENTARES - COLETADO CAIXA)</v>
          </cell>
          <cell r="C2094" t="str">
            <v xml:space="preserve">H     </v>
          </cell>
          <cell r="D2094">
            <v>0.94</v>
          </cell>
        </row>
        <row r="2095">
          <cell r="A2095">
            <v>43486</v>
          </cell>
          <cell r="B2095" t="str">
            <v>EPI - FAMILIA ENGENHEIRO CIVIL - HORISTA (ENCARGOS COMPLEMENTARES - COLETADO CAIXA)</v>
          </cell>
          <cell r="C2095" t="str">
            <v xml:space="preserve">H     </v>
          </cell>
          <cell r="D2095">
            <v>0.56000000000000005</v>
          </cell>
        </row>
        <row r="2096">
          <cell r="A2096">
            <v>43498</v>
          </cell>
          <cell r="B2096" t="str">
            <v>EPI - FAMILIA ENGENHEIRO CIVIL - MENSALISTA (ENCARGOS COMPLEMENTARES - COLETADO CAIXA)</v>
          </cell>
          <cell r="C2096" t="str">
            <v xml:space="preserve">MES   </v>
          </cell>
          <cell r="D2096">
            <v>106.47</v>
          </cell>
        </row>
        <row r="2097">
          <cell r="A2097">
            <v>43488</v>
          </cell>
          <cell r="B2097" t="str">
            <v>EPI - FAMILIA OPERADOR ESCAVADEIRA - HORISTA (ENCARGOS COMPLEMENTARES - COLETADO CAIXA)</v>
          </cell>
          <cell r="C2097" t="str">
            <v xml:space="preserve">H     </v>
          </cell>
          <cell r="D2097">
            <v>0.65</v>
          </cell>
        </row>
        <row r="2098">
          <cell r="A2098">
            <v>43500</v>
          </cell>
          <cell r="B2098" t="str">
            <v>EPI - FAMILIA OPERADOR ESCAVADEIRA - MENSALISTA (ENCARGOS COMPLEMENTARES - COLETADO CAIXA)</v>
          </cell>
          <cell r="C2098" t="str">
            <v xml:space="preserve">MES   </v>
          </cell>
          <cell r="D2098">
            <v>123.35</v>
          </cell>
        </row>
        <row r="2099">
          <cell r="A2099">
            <v>43489</v>
          </cell>
          <cell r="B2099" t="str">
            <v>EPI - FAMILIA PEDREIRO - HORISTA (ENCARGOS COMPLEMENTARES - COLETADO CAIXA)</v>
          </cell>
          <cell r="C2099" t="str">
            <v xml:space="preserve">H     </v>
          </cell>
          <cell r="D2099">
            <v>0.97</v>
          </cell>
        </row>
        <row r="2100">
          <cell r="A2100">
            <v>43501</v>
          </cell>
          <cell r="B2100" t="str">
            <v>EPI - FAMILIA PEDREIRO - MENSALISTA (ENCARGOS COMPLEMENTARES - COLETADO CAIXA)</v>
          </cell>
          <cell r="C2100" t="str">
            <v xml:space="preserve">MES   </v>
          </cell>
          <cell r="D2100">
            <v>183.18</v>
          </cell>
        </row>
        <row r="2101">
          <cell r="A2101">
            <v>43490</v>
          </cell>
          <cell r="B2101" t="str">
            <v>EPI - FAMILIA PINTOR - HORISTA (ENCARGOS COMPLEMENTARES - COLETADO CAIXA)</v>
          </cell>
          <cell r="C2101" t="str">
            <v xml:space="preserve">H     </v>
          </cell>
          <cell r="D2101">
            <v>1.48</v>
          </cell>
        </row>
        <row r="2102">
          <cell r="A2102">
            <v>43502</v>
          </cell>
          <cell r="B2102" t="str">
            <v>EPI - FAMILIA PINTOR - MENSALISTA (ENCARGOS COMPLEMENTARES - COLETADO CAIXA)</v>
          </cell>
          <cell r="C2102" t="str">
            <v xml:space="preserve">MES   </v>
          </cell>
          <cell r="D2102">
            <v>279.94</v>
          </cell>
        </row>
        <row r="2103">
          <cell r="A2103">
            <v>43491</v>
          </cell>
          <cell r="B2103" t="str">
            <v>EPI - FAMILIA SERVENTE - HORISTA (ENCARGOS COMPLEMENTARES - COLETADO CAIXA)</v>
          </cell>
          <cell r="C2103" t="str">
            <v xml:space="preserve">H     </v>
          </cell>
          <cell r="D2103">
            <v>1.02</v>
          </cell>
        </row>
        <row r="2104">
          <cell r="A2104">
            <v>43503</v>
          </cell>
          <cell r="B2104" t="str">
            <v>EPI - FAMILIA SERVENTE - MENSALISTA (ENCARGOS COMPLEMENTARES - COLETADO CAIXA)</v>
          </cell>
          <cell r="C2104" t="str">
            <v xml:space="preserve">MES   </v>
          </cell>
          <cell r="D2104">
            <v>192.92</v>
          </cell>
        </row>
        <row r="2105">
          <cell r="A2105">
            <v>43492</v>
          </cell>
          <cell r="B2105" t="str">
            <v>EPI - FAMILIA SOLDADOR - HORISTA (ENCARGOS COMPLEMENTARES - COLETADO CAIXA)</v>
          </cell>
          <cell r="C2105" t="str">
            <v xml:space="preserve">H     </v>
          </cell>
          <cell r="D2105">
            <v>1.4</v>
          </cell>
        </row>
        <row r="2106">
          <cell r="A2106">
            <v>43504</v>
          </cell>
          <cell r="B2106" t="str">
            <v>EPI - FAMILIA SOLDADOR - MENSALISTA (ENCARGOS COMPLEMENTARES - COLETADO CAIXA)</v>
          </cell>
          <cell r="C2106" t="str">
            <v xml:space="preserve">MES   </v>
          </cell>
          <cell r="D2106">
            <v>264.54000000000002</v>
          </cell>
        </row>
        <row r="2107">
          <cell r="A2107">
            <v>43493</v>
          </cell>
          <cell r="B2107" t="str">
            <v>EPI - FAMILIA TOPOGRAFO - HORISTA (ENCARGOS COMPLEMENTARES - COLETADO CAIXA)</v>
          </cell>
          <cell r="C2107" t="str">
            <v xml:space="preserve">H     </v>
          </cell>
          <cell r="D2107">
            <v>0.54</v>
          </cell>
        </row>
        <row r="2108">
          <cell r="A2108">
            <v>43505</v>
          </cell>
          <cell r="B2108" t="str">
            <v>EPI - FAMILIA TOPOGRAFO - MENSALISTA (ENCARGOS COMPLEMENTARES - COLETADO CAIXA)</v>
          </cell>
          <cell r="C2108" t="str">
            <v xml:space="preserve">MES   </v>
          </cell>
          <cell r="D2108">
            <v>101.06</v>
          </cell>
        </row>
        <row r="2109">
          <cell r="A2109">
            <v>37774</v>
          </cell>
          <cell r="B2109" t="str">
            <v>EQUIPAMENTO DE LIMPEZA COMBINADO (VACUO/ALTA PRESSAO) 95% VACUO, TANQUE 7000 L, BOMBA 140 KGF/CM2 66 L/MIN COM MOTOR INDEPENDENTE A DIESEL DE 60 CV (INCLUI MONTAGEM, NAO INCLUI CAMINHAO)</v>
          </cell>
          <cell r="C2109" t="str">
            <v xml:space="preserve">UN    </v>
          </cell>
          <cell r="D2109">
            <v>188694.18</v>
          </cell>
        </row>
        <row r="2110">
          <cell r="A2110">
            <v>38630</v>
          </cell>
          <cell r="B2110" t="str">
            <v>EQUIPAMENTO PARA DEMARCACAO DE FAIXAS DE TRAFEGO A FRIO, A SER MONTADO SOBRE CAMINHAO DE PBT MINIMO DE 9 T E DISTANCIA MINIMA ENTRE EIXOS DE 4,3 M, CAPACIDADE PARA 800 L DE TINTA (INCLUI MONTAGEM, NAO INCLUI CAMINHAO)</v>
          </cell>
          <cell r="C2110" t="str">
            <v xml:space="preserve">UN    </v>
          </cell>
          <cell r="D2110">
            <v>972265.62</v>
          </cell>
        </row>
        <row r="2111">
          <cell r="A2111">
            <v>38629</v>
          </cell>
          <cell r="B2111"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1" t="str">
            <v xml:space="preserve">UN    </v>
          </cell>
          <cell r="D2111">
            <v>1447265.62</v>
          </cell>
        </row>
        <row r="2112">
          <cell r="A2112">
            <v>38476</v>
          </cell>
          <cell r="B2112" t="str">
            <v>ESCADA DUPLA DE ABRIR EM ALUMINIO, MODELO PINTOR, 8 DEGRAUS</v>
          </cell>
          <cell r="C2112" t="str">
            <v xml:space="preserve">UN    </v>
          </cell>
          <cell r="D2112">
            <v>223.23</v>
          </cell>
        </row>
        <row r="2113">
          <cell r="A2113">
            <v>38477</v>
          </cell>
          <cell r="B2113" t="str">
            <v>ESCADA EXTENSIVEL EM ALUMINIO COM 6,00 M ESTENDIDA</v>
          </cell>
          <cell r="C2113" t="str">
            <v xml:space="preserve">UN    </v>
          </cell>
          <cell r="D2113">
            <v>632.20000000000005</v>
          </cell>
        </row>
        <row r="2114">
          <cell r="A2114">
            <v>40635</v>
          </cell>
          <cell r="B2114" t="str">
            <v>ESCAVADEIRA HIDRAULICA SOBRE ESTEIRA, COM GARRA GIRATORIA DE MANDIBULAS, PESO OPERACIONAL ENTRE 22,00 E 25,50 TON, POTENCIA LIQUIDA ENTRE 150 E 160 HP</v>
          </cell>
          <cell r="C2114" t="str">
            <v xml:space="preserve">UN    </v>
          </cell>
          <cell r="D2114">
            <v>477009.24</v>
          </cell>
        </row>
        <row r="2115">
          <cell r="A2115">
            <v>36483</v>
          </cell>
          <cell r="B2115" t="str">
            <v>ESCAVADEIRA HIDRAULICA SOBRE ESTEIRAS CACAMBA 0,40 A 1,20 M3, PESO OPERACIONAL 21,19 T, POTENCIA LIQUIDA 173 HP</v>
          </cell>
          <cell r="C2115" t="str">
            <v xml:space="preserve">UN    </v>
          </cell>
          <cell r="D2115">
            <v>432246.78</v>
          </cell>
        </row>
        <row r="2116">
          <cell r="A2116">
            <v>14525</v>
          </cell>
          <cell r="B2116" t="str">
            <v>ESCAVADEIRA HIDRAULICA SOBRE ESTEIRAS COM CACAMBA DE 1,20 M3, PESO OPERACIONAL 21 T, POTENCIA BRUTA 155 HP</v>
          </cell>
          <cell r="C2116" t="str">
            <v xml:space="preserve">UN    </v>
          </cell>
          <cell r="D2116">
            <v>452587.8</v>
          </cell>
        </row>
        <row r="2117">
          <cell r="A2117">
            <v>36482</v>
          </cell>
          <cell r="B2117" t="str">
            <v>ESCAVADEIRA HIDRAULICA SOBRE ESTEIRAS, CACAMBA  0,80 M3, PESO OPERACIONAL 17,8 T, POTENCIA LIQUIDA 110 HP</v>
          </cell>
          <cell r="C2117" t="str">
            <v xml:space="preserve">UN    </v>
          </cell>
          <cell r="D2117">
            <v>388157.08</v>
          </cell>
        </row>
        <row r="2118">
          <cell r="A2118">
            <v>36408</v>
          </cell>
          <cell r="B2118" t="str">
            <v>ESCAVADEIRA HIDRAULICA SOBRE ESTEIRAS, CACAMBA 0,4 A 1,70 M3, PESO OPERACIONAL 23,2 T, POTENCIA BRUTA 183 HP</v>
          </cell>
          <cell r="C2118" t="str">
            <v xml:space="preserve">UN    </v>
          </cell>
          <cell r="D2118">
            <v>463775.37</v>
          </cell>
        </row>
        <row r="2119">
          <cell r="A2119">
            <v>2723</v>
          </cell>
          <cell r="B2119" t="str">
            <v>ESCAVADEIRA HIDRAULICA SOBRE ESTEIRAS, CACAMBA 0,62M3, PESO OPERACIONAL 12,61T, POTENCIA LIQUIDA 95HP</v>
          </cell>
          <cell r="C2119" t="str">
            <v xml:space="preserve">UN    </v>
          </cell>
          <cell r="D2119">
            <v>355967.93</v>
          </cell>
        </row>
        <row r="2120">
          <cell r="A2120">
            <v>36481</v>
          </cell>
          <cell r="B2120" t="str">
            <v>ESCAVADEIRA HIDRAULICA SOBRE ESTEIRAS, CACAMBA 0,80 A 1,30 M3, PESO OPERACIONAL 22,18 T, POTENCIA LIQUIDA 170 HP</v>
          </cell>
          <cell r="C2120" t="str">
            <v xml:space="preserve">UN    </v>
          </cell>
          <cell r="D2120">
            <v>424618.89</v>
          </cell>
        </row>
        <row r="2121">
          <cell r="A2121">
            <v>10685</v>
          </cell>
          <cell r="B2121" t="str">
            <v>ESCAVADEIRA HIDRAULICA SOBRE ESTEIRAS, CACAMBA 0,80M3, PESO OPERACIONAL 17T, POTENCIA BRUTA 111HP</v>
          </cell>
          <cell r="C2121" t="str">
            <v xml:space="preserve">UN    </v>
          </cell>
          <cell r="D2121">
            <v>406820.5</v>
          </cell>
        </row>
        <row r="2122">
          <cell r="A2122">
            <v>40636</v>
          </cell>
          <cell r="B2122" t="str">
            <v>ESCAVADEIRA HIDRAULICA SOBRE ESTEIRAS, CAPACIDADE DA CACAMBA ENTRE 1,20 E 1,50 M3, PESO OPERACIONAL ENTRE 20,00 E 22,00 TON, POTENCIA LIQUIDA ENTRE 150 E 155 HP, EQUIPADA COM CLAMSHELL</v>
          </cell>
          <cell r="C2122" t="str">
            <v xml:space="preserve">UN    </v>
          </cell>
          <cell r="D2122">
            <v>459210.84</v>
          </cell>
        </row>
        <row r="2123">
          <cell r="A2123">
            <v>4111</v>
          </cell>
          <cell r="B2123" t="str">
            <v>ESCORA PRE-MOLDADA EM CONCRETO, *10 X 10* CM, H = 2,30M</v>
          </cell>
          <cell r="C2123" t="str">
            <v xml:space="preserve">UN    </v>
          </cell>
          <cell r="D2123">
            <v>35.42</v>
          </cell>
        </row>
        <row r="2124">
          <cell r="A2124">
            <v>26021</v>
          </cell>
          <cell r="B2124" t="str">
            <v>ESCOVA CIRCULAR EM ACO LATONADO, 6 X 1 " (DIAMETRO X ESPESSURA), FURO DE 1 1/4 ", FIO ONDULADO *0,30* MM</v>
          </cell>
          <cell r="C2124" t="str">
            <v xml:space="preserve">UN    </v>
          </cell>
          <cell r="D2124">
            <v>63.25</v>
          </cell>
        </row>
        <row r="2125">
          <cell r="A2125">
            <v>12</v>
          </cell>
          <cell r="B2125" t="str">
            <v>ESCOVA DE ACO, COM CABO, *4  X 15* FILEIRAS DE CERDAS</v>
          </cell>
          <cell r="C2125" t="str">
            <v xml:space="preserve">UN    </v>
          </cell>
          <cell r="D2125">
            <v>8.86</v>
          </cell>
        </row>
        <row r="2126">
          <cell r="A2126">
            <v>37554</v>
          </cell>
          <cell r="B2126" t="str">
            <v>ESGUICHO JATO REGULAVEL, TIPO ELKHART, ENGATE RAPIDO 1 1/2", PARA COMBATE A INCENDIO</v>
          </cell>
          <cell r="C2126" t="str">
            <v xml:space="preserve">UN    </v>
          </cell>
          <cell r="D2126">
            <v>119.78</v>
          </cell>
        </row>
        <row r="2127">
          <cell r="A2127">
            <v>37555</v>
          </cell>
          <cell r="B2127" t="str">
            <v>ESGUICHO JATO REGULAVEL, TIPO ELKHART, ENGATE RAPIDO 2 1/2", PARA COMBATE A INCENDIO</v>
          </cell>
          <cell r="C2127" t="str">
            <v xml:space="preserve">UN    </v>
          </cell>
          <cell r="D2127">
            <v>145.71</v>
          </cell>
        </row>
        <row r="2128">
          <cell r="A2128">
            <v>10902</v>
          </cell>
          <cell r="B2128" t="str">
            <v>ESGUICHO TIPO JATO SOLIDO, EM LATAO, ENGATE RAPIDO 1 1/2" X 13 MM, PARA MANGUEIRA EM INSTALACAO PREDIAL COMBATE A INCENDIO</v>
          </cell>
          <cell r="C2128" t="str">
            <v xml:space="preserve">UN    </v>
          </cell>
          <cell r="D2128">
            <v>36.56</v>
          </cell>
        </row>
        <row r="2129">
          <cell r="A2129">
            <v>20965</v>
          </cell>
          <cell r="B2129" t="str">
            <v>ESGUICHO TIPO JATO SOLIDO, EM LATAO, ENGATE RAPIDO 1 1/2" X 16 MM, PARA MANGUEIRA EM INSTALACAO PREDIAL COMBATE A INCENDIO</v>
          </cell>
          <cell r="C2129" t="str">
            <v xml:space="preserve">UN    </v>
          </cell>
          <cell r="D2129">
            <v>36.9</v>
          </cell>
        </row>
        <row r="2130">
          <cell r="A2130">
            <v>20966</v>
          </cell>
          <cell r="B2130" t="str">
            <v>ESGUICHO TIPO JATO SOLIDO, EM LATAO, ENGATE RAPIDO 1 1/2" X 19 MM, PARA MANGUEIRA EM INSTALACAO PREDIAL COMBATE A INCENDIO</v>
          </cell>
          <cell r="C2130" t="str">
            <v xml:space="preserve">UN    </v>
          </cell>
          <cell r="D2130">
            <v>39.729999999999997</v>
          </cell>
        </row>
        <row r="2131">
          <cell r="A2131">
            <v>10903</v>
          </cell>
          <cell r="B2131" t="str">
            <v>ESGUICHO TIPO JATO SOLIDO, EM LATAO, ENGATE RAPIDO 2 1/2" X 13 MM, PARA MANGUEIRA EM INSTALACAO PREDIAL COMBATE A INCENDIO</v>
          </cell>
          <cell r="C2131" t="str">
            <v xml:space="preserve">UN    </v>
          </cell>
          <cell r="D2131">
            <v>60.22</v>
          </cell>
        </row>
        <row r="2132">
          <cell r="A2132">
            <v>20967</v>
          </cell>
          <cell r="B2132" t="str">
            <v>ESGUICHO TIPO JATO SOLIDO, EM LATAO, ENGATE RAPIDO 2 1/2" X 16 MM, PARA MANGUEIRA EM INSTALACAO PREDIAL COMBATE A INCENDIO</v>
          </cell>
          <cell r="C2132" t="str">
            <v xml:space="preserve">UN    </v>
          </cell>
          <cell r="D2132">
            <v>60.22</v>
          </cell>
        </row>
        <row r="2133">
          <cell r="A2133">
            <v>20968</v>
          </cell>
          <cell r="B2133" t="str">
            <v>ESGUICHO TIPO JATO SOLIDO, EM LATAO, ENGATE RAPIDO 2 1/2" X 19 MM, PARA MANGUEIRA EM INSTALACAO PREDIAL COMBATE A INCENDIO</v>
          </cell>
          <cell r="C2133" t="str">
            <v xml:space="preserve">UN    </v>
          </cell>
          <cell r="D2133">
            <v>66.05</v>
          </cell>
        </row>
        <row r="2134">
          <cell r="A2134">
            <v>11359</v>
          </cell>
          <cell r="B2134" t="str">
            <v>ESMERILHADEIRA ANGULAR ELETRICA, DIAMETRO DO DISCO 7 '' (180 MM), ROTACAO 8500 RPM, POTENCIA 2400 W</v>
          </cell>
          <cell r="C2134" t="str">
            <v xml:space="preserve">UN    </v>
          </cell>
          <cell r="D2134">
            <v>943.44</v>
          </cell>
        </row>
        <row r="2135">
          <cell r="A2135">
            <v>39017</v>
          </cell>
          <cell r="B2135" t="str">
            <v>ESPACADOR / DISTANCIADOR CIRCULAR COM ENTRADA LATERAL, EM PLASTICO, PARA VERGALHAO *4,2 A 12,5* MM, COBRIMENTO 20 MM</v>
          </cell>
          <cell r="C2135" t="str">
            <v xml:space="preserve">UN    </v>
          </cell>
          <cell r="D2135">
            <v>0.14000000000000001</v>
          </cell>
        </row>
        <row r="2136">
          <cell r="A2136">
            <v>39315</v>
          </cell>
          <cell r="B2136" t="str">
            <v>ESPACADOR / DISTANCIADOR TIPO GARRA DUPLA, EM PLASTICO, COBRIMENTO *20* MM, PARA FERRAGENS DE LAJES E FUNDO DE VIGAS</v>
          </cell>
          <cell r="C2136" t="str">
            <v xml:space="preserve">UN    </v>
          </cell>
          <cell r="D2136">
            <v>0.23</v>
          </cell>
        </row>
        <row r="2137">
          <cell r="A2137">
            <v>39016</v>
          </cell>
          <cell r="B2137" t="str">
            <v>ESPACADOR / DISTANCIADOR TIPO PINO EM PLASTICO, PARA VERGALHAO ATE 10 MM, PARA APOIO DE ARMADURA</v>
          </cell>
          <cell r="C2137" t="str">
            <v xml:space="preserve">UN    </v>
          </cell>
          <cell r="D2137">
            <v>0.23</v>
          </cell>
        </row>
        <row r="2138">
          <cell r="A2138">
            <v>40432</v>
          </cell>
          <cell r="B2138" t="str">
            <v>ESPACADOR / SEPARADOR DE BARRA , METALICO, TIPO CARAMBOLA, PARA TIRANTES, 25 X 84 MM</v>
          </cell>
          <cell r="C2138" t="str">
            <v xml:space="preserve">UN    </v>
          </cell>
          <cell r="D2138">
            <v>1.82</v>
          </cell>
        </row>
        <row r="2139">
          <cell r="A2139">
            <v>39481</v>
          </cell>
          <cell r="B2139" t="str">
            <v>ESPACADOR OU DISTANCIADOR, EM PLASTICO, TIPO APOIO DE CORDOALHA (CARANGUEJO), PARA ARMADURA NEGATIVA E PROTENSAO, COBRIMENTO 50 MM</v>
          </cell>
          <cell r="C2139" t="str">
            <v xml:space="preserve">UN    </v>
          </cell>
          <cell r="D2139">
            <v>1.1499999999999999</v>
          </cell>
        </row>
        <row r="2140">
          <cell r="A2140">
            <v>40433</v>
          </cell>
          <cell r="B2140" t="str">
            <v>ESPACADOR/SEPARADOR DE CORDOALHA TIPO DISCO 12 FUROS DE 14 MM, PARA TIRANTES</v>
          </cell>
          <cell r="C2140" t="str">
            <v xml:space="preserve">UN    </v>
          </cell>
          <cell r="D2140">
            <v>1.01</v>
          </cell>
        </row>
        <row r="2141">
          <cell r="A2141">
            <v>20219</v>
          </cell>
          <cell r="B2141" t="str">
            <v>ESPARGIDOR DE ASFALTO PRESSURIZADO, REBOCAVEL, TANQUE DE 2500 L, PNEUMATICO,  COM MOTOR A GASOLINA 3,4HP</v>
          </cell>
          <cell r="C2141" t="str">
            <v xml:space="preserve">UN    </v>
          </cell>
          <cell r="D2141">
            <v>74000</v>
          </cell>
        </row>
        <row r="2142">
          <cell r="A2142">
            <v>36484</v>
          </cell>
          <cell r="B2142" t="str">
            <v>ESPARGIDOR DE ASFALTO PRESSURIZADO, TANQUE 6 M3 COM ISOLACAO TERMICA, AQUECIDO COM 2 MACARICOS, COM BARRA ESPARGIDORA 3,60 M, A SER MONTADO SOBRE CAMINHAO</v>
          </cell>
          <cell r="C2142" t="str">
            <v xml:space="preserve">UN    </v>
          </cell>
          <cell r="D2142">
            <v>157088.51999999999</v>
          </cell>
        </row>
        <row r="2143">
          <cell r="A2143">
            <v>38367</v>
          </cell>
          <cell r="B2143" t="str">
            <v>ESPATULA DE ACO INOX COM CABO DE MADEIRA, LARGURA 8 CM</v>
          </cell>
          <cell r="C2143" t="str">
            <v xml:space="preserve">UN    </v>
          </cell>
          <cell r="D2143">
            <v>11.99</v>
          </cell>
        </row>
        <row r="2144">
          <cell r="A2144">
            <v>38368</v>
          </cell>
          <cell r="B2144" t="str">
            <v>ESPATULA DE PLASTICO LISA, LARGURA 10 CM</v>
          </cell>
          <cell r="C2144" t="str">
            <v xml:space="preserve">UN    </v>
          </cell>
          <cell r="D2144">
            <v>6.27</v>
          </cell>
        </row>
        <row r="2145">
          <cell r="A2145">
            <v>38091</v>
          </cell>
          <cell r="B2145" t="str">
            <v>ESPELHO / PLACA CEGA 4" X 2", PARA INSTALACAO DE TOMADAS E INTERRUPTORES</v>
          </cell>
          <cell r="C2145" t="str">
            <v xml:space="preserve">UN    </v>
          </cell>
          <cell r="D2145">
            <v>1.84</v>
          </cell>
        </row>
        <row r="2146">
          <cell r="A2146">
            <v>38095</v>
          </cell>
          <cell r="B2146" t="str">
            <v>ESPELHO / PLACA CEGA 4" X 4", PARA INSTALACAO DE TOMADAS E INTERRUPTORES</v>
          </cell>
          <cell r="C2146" t="str">
            <v xml:space="preserve">UN    </v>
          </cell>
          <cell r="D2146">
            <v>3.9</v>
          </cell>
        </row>
        <row r="2147">
          <cell r="A2147">
            <v>38092</v>
          </cell>
          <cell r="B2147" t="str">
            <v>ESPELHO / PLACA DE 1 POSTO 4" X 2", PARA INSTALACAO DE TOMADAS E INTERRUPTORES</v>
          </cell>
          <cell r="C2147" t="str">
            <v xml:space="preserve">UN    </v>
          </cell>
          <cell r="D2147">
            <v>1.75</v>
          </cell>
        </row>
        <row r="2148">
          <cell r="A2148">
            <v>38093</v>
          </cell>
          <cell r="B2148" t="str">
            <v>ESPELHO / PLACA DE 2 POSTOS 4" X 2", PARA INSTALACAO DE TOMADAS E INTERRUPTORES</v>
          </cell>
          <cell r="C2148" t="str">
            <v xml:space="preserve">UN    </v>
          </cell>
          <cell r="D2148">
            <v>1.81</v>
          </cell>
        </row>
        <row r="2149">
          <cell r="A2149">
            <v>38096</v>
          </cell>
          <cell r="B2149" t="str">
            <v>ESPELHO / PLACA DE 2 POSTOS 4" X 4", PARA INSTALACAO DE TOMADAS E INTERRUPTORES</v>
          </cell>
          <cell r="C2149" t="str">
            <v xml:space="preserve">UN    </v>
          </cell>
          <cell r="D2149">
            <v>4.1900000000000004</v>
          </cell>
        </row>
        <row r="2150">
          <cell r="A2150">
            <v>38094</v>
          </cell>
          <cell r="B2150" t="str">
            <v>ESPELHO / PLACA DE 3 POSTOS 4" X 2", PARA INSTALACAO DE TOMADAS E INTERRUPTORES</v>
          </cell>
          <cell r="C2150" t="str">
            <v xml:space="preserve">UN    </v>
          </cell>
          <cell r="D2150">
            <v>2.21</v>
          </cell>
        </row>
        <row r="2151">
          <cell r="A2151">
            <v>38097</v>
          </cell>
          <cell r="B2151" t="str">
            <v>ESPELHO / PLACA DE 4 POSTOS 4" X 4", PARA INSTALACAO DE TOMADAS E INTERRUPTORES</v>
          </cell>
          <cell r="C2151" t="str">
            <v xml:space="preserve">UN    </v>
          </cell>
          <cell r="D2151">
            <v>4.5</v>
          </cell>
        </row>
        <row r="2152">
          <cell r="A2152">
            <v>38098</v>
          </cell>
          <cell r="B2152" t="str">
            <v>ESPELHO / PLACA DE 6 POSTOS 4" X 4", PARA INSTALACAO DE TOMADAS E INTERRUPTORES</v>
          </cell>
          <cell r="C2152" t="str">
            <v xml:space="preserve">UN    </v>
          </cell>
          <cell r="D2152">
            <v>4.5</v>
          </cell>
        </row>
        <row r="2153">
          <cell r="A2153">
            <v>11186</v>
          </cell>
          <cell r="B2153" t="str">
            <v>ESPELHO CRISTAL E = 4 MM</v>
          </cell>
          <cell r="C2153" t="str">
            <v xml:space="preserve">M2    </v>
          </cell>
          <cell r="D2153">
            <v>298.13</v>
          </cell>
        </row>
        <row r="2154">
          <cell r="A2154">
            <v>11558</v>
          </cell>
          <cell r="B2154" t="str">
            <v>ESPELHO, RETO OU CURVO, EM LATAO CROMADO, ESPESSURA ATE 6 MM, LARGURA *40*MM, ALTURA *180*MM - PARA FECHADURA DE EMBUTIR</v>
          </cell>
          <cell r="C2154" t="str">
            <v xml:space="preserve">PAR   </v>
          </cell>
          <cell r="D2154">
            <v>11.65</v>
          </cell>
        </row>
        <row r="2155">
          <cell r="A2155">
            <v>11557</v>
          </cell>
          <cell r="B2155" t="str">
            <v>ESPELHO, RETO OU CURVO, EM LATAO CROMADO, ESPESSURA MINIMA 6 MM, LARGURA *43*MM, ALTURA *230*MM - PARA FECHADURA DE EMBUTIR</v>
          </cell>
          <cell r="C2155" t="str">
            <v xml:space="preserve">PAR   </v>
          </cell>
          <cell r="D2155">
            <v>29.49</v>
          </cell>
        </row>
        <row r="2156">
          <cell r="A2156">
            <v>2759</v>
          </cell>
          <cell r="B2156" t="str">
            <v>ESPOLETA SIMPLES N 8.</v>
          </cell>
          <cell r="C2156" t="str">
            <v xml:space="preserve">UN    </v>
          </cell>
          <cell r="D2156">
            <v>4.8</v>
          </cell>
        </row>
        <row r="2157">
          <cell r="A2157">
            <v>38124</v>
          </cell>
          <cell r="B2157" t="str">
            <v>ESPUMA EXPANSIVA DE POLIURETANO, APLICACAO MANUAL - 500 ML</v>
          </cell>
          <cell r="C2157" t="str">
            <v xml:space="preserve">UN    </v>
          </cell>
          <cell r="D2157">
            <v>22.5</v>
          </cell>
        </row>
        <row r="2158">
          <cell r="A2158">
            <v>38380</v>
          </cell>
          <cell r="B2158" t="str">
            <v>ESQUADRO DE ACO 12 " (300 MM), CABO DE ALUMINIO</v>
          </cell>
          <cell r="C2158" t="str">
            <v xml:space="preserve">UN    </v>
          </cell>
          <cell r="D2158">
            <v>19.05</v>
          </cell>
        </row>
        <row r="2159">
          <cell r="A2159">
            <v>20059</v>
          </cell>
          <cell r="B2159" t="str">
            <v>ESQUADRO INTERNO OU EXTERNO PARA CALHA PLUVIAL, PVC, DIAMETRO ENTRE 119 E 170 MM, PARA DRENAGEM PREDIAL</v>
          </cell>
          <cell r="C2159" t="str">
            <v xml:space="preserve">UN    </v>
          </cell>
          <cell r="D2159">
            <v>14.56</v>
          </cell>
        </row>
        <row r="2160">
          <cell r="A2160">
            <v>42429</v>
          </cell>
          <cell r="B2160" t="str">
            <v>ESQUI TRIPLO, EM TUBO DE ACO CARBONO, PINTURA NO PROCESSO ELETROSTATICO - EQUIPAMENTO DE GINASTICA PARA ACADEMIA AO AR LIVRE / ACADEMIA DA TERCEIRA IDADE - ATI</v>
          </cell>
          <cell r="C2160" t="str">
            <v xml:space="preserve">UN    </v>
          </cell>
          <cell r="D2160">
            <v>3422.44</v>
          </cell>
        </row>
        <row r="2161">
          <cell r="A2161">
            <v>38538</v>
          </cell>
          <cell r="B2161" t="str">
            <v>ESTACA PRE-MOLDADA MACICA DE CONCRETO VIBRADO ARMADO, PARA CARGA DE 25 T, SECAO QUADRADA DE *16 X 16*, COM ANEL METALICO INCORPORADO A PECA (SOMENTE FORNECIMENTO)</v>
          </cell>
          <cell r="C2161" t="str">
            <v xml:space="preserve">M     </v>
          </cell>
          <cell r="D2161">
            <v>40</v>
          </cell>
        </row>
        <row r="2162">
          <cell r="A2162">
            <v>38539</v>
          </cell>
          <cell r="B2162" t="str">
            <v>ESTACA PRE-MOLDADA MACICA DE CONCRETO VIBRADO ARMADO, PARA CARGA DE 50 T, SECAO QUADRADA, COM ANEL METALICO INCORPORADO A PECA (SOMENTE FORNECIMENTO)</v>
          </cell>
          <cell r="C2162" t="str">
            <v xml:space="preserve">M     </v>
          </cell>
          <cell r="D2162">
            <v>54.39</v>
          </cell>
        </row>
        <row r="2163">
          <cell r="A2163">
            <v>38540</v>
          </cell>
          <cell r="B2163" t="str">
            <v>ESTACA PRE-MOLDADA VAZADA DE CONCRETO CENTRIFUGADO, PARA CARGA DE 100 T, SECAO CIRCULAR, COM ANEL METALICO INCORPORADO A PECA (SOMENTE FORNECIMENTO)</v>
          </cell>
          <cell r="C2163" t="str">
            <v xml:space="preserve">M     </v>
          </cell>
          <cell r="D2163">
            <v>139.4</v>
          </cell>
        </row>
        <row r="2164">
          <cell r="A2164">
            <v>38384</v>
          </cell>
          <cell r="B2164" t="str">
            <v>ESTILETE DE METAL, LAMINA 18 MM</v>
          </cell>
          <cell r="C2164" t="str">
            <v xml:space="preserve">UN    </v>
          </cell>
          <cell r="D2164">
            <v>16.260000000000002</v>
          </cell>
        </row>
        <row r="2165">
          <cell r="A2165">
            <v>13</v>
          </cell>
          <cell r="B2165" t="str">
            <v>ESTOPA</v>
          </cell>
          <cell r="C2165" t="str">
            <v xml:space="preserve">KG    </v>
          </cell>
          <cell r="D2165">
            <v>13.64</v>
          </cell>
        </row>
        <row r="2166">
          <cell r="A2166">
            <v>2762</v>
          </cell>
          <cell r="B2166" t="str">
            <v>ESTOPIM SIMPLES</v>
          </cell>
          <cell r="C2166" t="str">
            <v xml:space="preserve">M     </v>
          </cell>
          <cell r="D2166">
            <v>6</v>
          </cell>
        </row>
        <row r="2167">
          <cell r="A2167">
            <v>21142</v>
          </cell>
          <cell r="B2167" t="str">
            <v>ESTRIBO COM PARAFUSO EM CHAPA DE FERRO FUNDIDO DE 2" X 3/16" X 35 CM, SECAO "U", PARA MADEIRAMENTO DE TELHADO</v>
          </cell>
          <cell r="C2167" t="str">
            <v xml:space="preserve">UN    </v>
          </cell>
          <cell r="D2167">
            <v>19.32</v>
          </cell>
        </row>
        <row r="2168">
          <cell r="A2168">
            <v>12865</v>
          </cell>
          <cell r="B2168" t="str">
            <v>ESTUCADOR</v>
          </cell>
          <cell r="C2168" t="str">
            <v xml:space="preserve">H     </v>
          </cell>
          <cell r="D2168">
            <v>15.72</v>
          </cell>
        </row>
        <row r="2169">
          <cell r="A2169">
            <v>41074</v>
          </cell>
          <cell r="B2169" t="str">
            <v>ESTUCADOR (MENSALISTA)</v>
          </cell>
          <cell r="C2169" t="str">
            <v xml:space="preserve">MES   </v>
          </cell>
          <cell r="D2169">
            <v>2783.05</v>
          </cell>
        </row>
        <row r="2170">
          <cell r="A2170">
            <v>4223</v>
          </cell>
          <cell r="B2170" t="str">
            <v>ETANOL</v>
          </cell>
          <cell r="C2170" t="str">
            <v xml:space="preserve">L     </v>
          </cell>
          <cell r="D2170">
            <v>2.7</v>
          </cell>
        </row>
        <row r="2171">
          <cell r="A2171">
            <v>37372</v>
          </cell>
          <cell r="B2171" t="str">
            <v>EXAMES - HORISTA (COLETADO CAIXA)</v>
          </cell>
          <cell r="C2171" t="str">
            <v xml:space="preserve">H     </v>
          </cell>
          <cell r="D2171">
            <v>0.34</v>
          </cell>
        </row>
        <row r="2172">
          <cell r="A2172">
            <v>40863</v>
          </cell>
          <cell r="B2172" t="str">
            <v>EXAMES - MENSALISTA (COLETADO CAIXA)</v>
          </cell>
          <cell r="C2172" t="str">
            <v xml:space="preserve">MES   </v>
          </cell>
          <cell r="D2172">
            <v>63.58</v>
          </cell>
        </row>
        <row r="2173">
          <cell r="A2173">
            <v>38475</v>
          </cell>
          <cell r="B2173" t="str">
            <v>EXTENSAO DE SOLDA 201 ACETILENO, E = *1,5 A 2,5* MM</v>
          </cell>
          <cell r="C2173" t="str">
            <v xml:space="preserve">UN    </v>
          </cell>
          <cell r="D2173">
            <v>31.1</v>
          </cell>
        </row>
        <row r="2174">
          <cell r="A2174">
            <v>38474</v>
          </cell>
          <cell r="B2174" t="str">
            <v>EXTENSAO DE SOLDA 201 GLP, E = *2,5 A 4,0* MM</v>
          </cell>
          <cell r="C2174" t="str">
            <v xml:space="preserve">UN    </v>
          </cell>
          <cell r="D2174">
            <v>38.44</v>
          </cell>
        </row>
        <row r="2175">
          <cell r="A2175">
            <v>10886</v>
          </cell>
          <cell r="B2175" t="str">
            <v>EXTINTOR DE INCENDIO PORTATIL COM CARGA DE AGUA PRESSURIZADA DE 10 L, CLASSE A</v>
          </cell>
          <cell r="C2175" t="str">
            <v xml:space="preserve">UN    </v>
          </cell>
          <cell r="D2175">
            <v>123</v>
          </cell>
        </row>
        <row r="2176">
          <cell r="A2176">
            <v>10888</v>
          </cell>
          <cell r="B2176" t="str">
            <v>EXTINTOR DE INCENDIO PORTATIL COM CARGA DE GAS CARBONICO CO2 DE 4 KG, CLASSE BC</v>
          </cell>
          <cell r="C2176" t="str">
            <v xml:space="preserve">UN    </v>
          </cell>
          <cell r="D2176">
            <v>389.29</v>
          </cell>
        </row>
        <row r="2177">
          <cell r="A2177">
            <v>10889</v>
          </cell>
          <cell r="B2177" t="str">
            <v>EXTINTOR DE INCENDIO PORTATIL COM CARGA DE GAS CARBONICO CO2 DE 6 KG, CLASSE BC</v>
          </cell>
          <cell r="C2177" t="str">
            <v xml:space="preserve">UN    </v>
          </cell>
          <cell r="D2177">
            <v>421.74</v>
          </cell>
        </row>
        <row r="2178">
          <cell r="A2178">
            <v>10890</v>
          </cell>
          <cell r="B2178" t="str">
            <v>EXTINTOR DE INCENDIO PORTATIL COM CARGA DE PO QUIMICO SECO (PQS) DE 12 KG, CLASSE BC</v>
          </cell>
          <cell r="C2178" t="str">
            <v xml:space="preserve">UN    </v>
          </cell>
          <cell r="D2178">
            <v>194.64</v>
          </cell>
        </row>
        <row r="2179">
          <cell r="A2179">
            <v>10891</v>
          </cell>
          <cell r="B2179" t="str">
            <v>EXTINTOR DE INCENDIO PORTATIL COM CARGA DE PO QUIMICO SECO (PQS) DE 4 KG, CLASSE BC</v>
          </cell>
          <cell r="C2179" t="str">
            <v xml:space="preserve">UN    </v>
          </cell>
          <cell r="D2179">
            <v>118.95</v>
          </cell>
        </row>
        <row r="2180">
          <cell r="A2180">
            <v>10892</v>
          </cell>
          <cell r="B2180" t="str">
            <v>EXTINTOR DE INCENDIO PORTATIL COM CARGA DE PO QUIMICO SECO (PQS) DE 6 KG, CLASSE BC</v>
          </cell>
          <cell r="C2180" t="str">
            <v xml:space="preserve">UN    </v>
          </cell>
          <cell r="D2180">
            <v>140.58000000000001</v>
          </cell>
        </row>
        <row r="2181">
          <cell r="A2181">
            <v>20977</v>
          </cell>
          <cell r="B2181" t="str">
            <v>EXTINTOR DE INCENDIO PORTATIL COM CARGA DE PO QUIMICO SECO (PQS) DE 8 KG, CLASSE BC</v>
          </cell>
          <cell r="C2181" t="str">
            <v xml:space="preserve">UN    </v>
          </cell>
          <cell r="D2181">
            <v>167.61</v>
          </cell>
        </row>
        <row r="2182">
          <cell r="A2182">
            <v>3073</v>
          </cell>
          <cell r="B2182" t="str">
            <v>EXTREMIDADE PVC PBA, BF, JE, DN 100/ DE 110 MM (NBR 10351)</v>
          </cell>
          <cell r="C2182" t="str">
            <v xml:space="preserve">UN    </v>
          </cell>
          <cell r="D2182">
            <v>152.11000000000001</v>
          </cell>
        </row>
        <row r="2183">
          <cell r="A2183">
            <v>3068</v>
          </cell>
          <cell r="B2183" t="str">
            <v>EXTREMIDADE PVC PBA, BF, JE, DN 50 / DE 60 MM (NBR 10351)</v>
          </cell>
          <cell r="C2183" t="str">
            <v xml:space="preserve">UN    </v>
          </cell>
          <cell r="D2183">
            <v>30.41</v>
          </cell>
        </row>
        <row r="2184">
          <cell r="A2184">
            <v>3074</v>
          </cell>
          <cell r="B2184" t="str">
            <v>EXTREMIDADE PVC PBA, BF, JE, DN 75/ DE 85 MM (NBR 10351)</v>
          </cell>
          <cell r="C2184" t="str">
            <v xml:space="preserve">UN    </v>
          </cell>
          <cell r="D2184">
            <v>96.03</v>
          </cell>
        </row>
        <row r="2185">
          <cell r="A2185">
            <v>3076</v>
          </cell>
          <cell r="B2185" t="str">
            <v>EXTREMIDADE PVC PBA, PF, JE, DN 100 / DE 110 MM (NBR 10351)</v>
          </cell>
          <cell r="C2185" t="str">
            <v xml:space="preserve">UN    </v>
          </cell>
          <cell r="D2185">
            <v>125.05</v>
          </cell>
        </row>
        <row r="2186">
          <cell r="A2186">
            <v>3072</v>
          </cell>
          <cell r="B2186" t="str">
            <v>EXTREMIDADE PVC PBA, PF, JE, DN 50/ DE 60 MM (NBR 10351)</v>
          </cell>
          <cell r="C2186" t="str">
            <v xml:space="preserve">UN    </v>
          </cell>
          <cell r="D2186">
            <v>31.5</v>
          </cell>
        </row>
        <row r="2187">
          <cell r="A2187">
            <v>3075</v>
          </cell>
          <cell r="B2187" t="str">
            <v>EXTREMIDADE PVC PBA, PF, JE, DN 75 / DE 85 MM (NBR 10351)</v>
          </cell>
          <cell r="C2187" t="str">
            <v xml:space="preserve">UN    </v>
          </cell>
          <cell r="D2187">
            <v>79.02</v>
          </cell>
        </row>
        <row r="2188">
          <cell r="A2188">
            <v>10780</v>
          </cell>
          <cell r="B2188" t="str">
            <v>EXTREMIDADE/TUBETE PARA HIDROMETRO PVC, COM ROSCA, CURTA, COM BUCHA LATAO, 1/2"</v>
          </cell>
          <cell r="C2188" t="str">
            <v xml:space="preserve">UN    </v>
          </cell>
          <cell r="D2188">
            <v>6.68</v>
          </cell>
        </row>
        <row r="2189">
          <cell r="A2189">
            <v>10781</v>
          </cell>
          <cell r="B2189" t="str">
            <v>EXTREMIDADE/TUBETE PARA HIDROMETRO PVC, COM ROSCA, CURTA, COM BUCHA LATAO, 3/4"</v>
          </cell>
          <cell r="C2189" t="str">
            <v xml:space="preserve">UN    </v>
          </cell>
          <cell r="D2189">
            <v>10.71</v>
          </cell>
        </row>
        <row r="2190">
          <cell r="A2190">
            <v>20106</v>
          </cell>
          <cell r="B2190" t="str">
            <v>EXTREMIDADE/TUBETE PARA HIDROMETRO PVC, COM ROSCA, CURTA, SEM BUCHA LATAO, 1/2"</v>
          </cell>
          <cell r="C2190" t="str">
            <v xml:space="preserve">UN    </v>
          </cell>
          <cell r="D2190">
            <v>3.53</v>
          </cell>
        </row>
        <row r="2191">
          <cell r="A2191">
            <v>20107</v>
          </cell>
          <cell r="B2191" t="str">
            <v>EXTREMIDADE/TUBETE PARA HIDROMETRO PVC, COM ROSCA, CURTA, SEM BUCHA LATAO, 3/4"</v>
          </cell>
          <cell r="C2191" t="str">
            <v xml:space="preserve">UN    </v>
          </cell>
          <cell r="D2191">
            <v>4.04</v>
          </cell>
        </row>
        <row r="2192">
          <cell r="A2192">
            <v>20108</v>
          </cell>
          <cell r="B2192" t="str">
            <v>EXTREMIDADE/TUBETE PARA HIDROMETRO PVC, COM ROSCA, LONGA, SEM BUCHA LATAO, 1/2"</v>
          </cell>
          <cell r="C2192" t="str">
            <v xml:space="preserve">UN    </v>
          </cell>
          <cell r="D2192">
            <v>5.34</v>
          </cell>
        </row>
        <row r="2193">
          <cell r="A2193">
            <v>20109</v>
          </cell>
          <cell r="B2193" t="str">
            <v>EXTREMIDADE/TUBETE PARA HIDROMETRO PVC, COM ROSCA, LONGA, SEM BUCHA LATAO, 3/4"</v>
          </cell>
          <cell r="C2193" t="str">
            <v xml:space="preserve">UN    </v>
          </cell>
          <cell r="D2193">
            <v>6.68</v>
          </cell>
        </row>
        <row r="2194">
          <cell r="A2194">
            <v>34795</v>
          </cell>
          <cell r="B2194" t="str">
            <v>FAIXA / FILETE / LISTELO EM CERAMICA, DECORADA, *8 X 30* CM (L X C)</v>
          </cell>
          <cell r="C2194" t="str">
            <v xml:space="preserve">M2    </v>
          </cell>
          <cell r="D2194">
            <v>217.28</v>
          </cell>
        </row>
        <row r="2195">
          <cell r="A2195">
            <v>34796</v>
          </cell>
          <cell r="B2195" t="str">
            <v>FAIXA / FILETE / LISTELO EM CERAMICA, LISO OU CORDAO, BRANCO, *2 X 30* CM (L X C)</v>
          </cell>
          <cell r="C2195" t="str">
            <v xml:space="preserve">M     </v>
          </cell>
          <cell r="D2195">
            <v>9.5299999999999994</v>
          </cell>
        </row>
        <row r="2196">
          <cell r="A2196">
            <v>11474</v>
          </cell>
          <cell r="B2196" t="str">
            <v>FECHADURA AUXILIAR DE EMBUTIR PARA PORTA DE ARMARIO DE MADEIRA, CROMADA, CHAVE TIPO GORGES, CAIXA COM LINGUETA, CHAPA TESTA E CONTRA CHAPA</v>
          </cell>
          <cell r="C2196" t="str">
            <v xml:space="preserve">UN    </v>
          </cell>
          <cell r="D2196">
            <v>33.03</v>
          </cell>
        </row>
        <row r="2197">
          <cell r="A2197">
            <v>11470</v>
          </cell>
          <cell r="B2197" t="str">
            <v>FECHADURA AUXILIAR DE EMBUTIR PARA PORTA DE ARMARIO, CROMADA, CAIXA COM CILINDRO REDONDO, CHAPA TESTA E LINGUETA</v>
          </cell>
          <cell r="C2197" t="str">
            <v xml:space="preserve">UN    </v>
          </cell>
          <cell r="D2197">
            <v>21.64</v>
          </cell>
        </row>
        <row r="2198">
          <cell r="A2198">
            <v>11480</v>
          </cell>
          <cell r="B2198" t="str">
            <v>FECHADURA AUXILIAR SEGURANCA, DE EMBUTIR, REFORCADA, MAQUINA DE 40 A 55 MM, COM CILINDRO, CROMADA, PARA PORTA EXTERNA - COMPLETA</v>
          </cell>
          <cell r="C2198" t="str">
            <v xml:space="preserve">CJ    </v>
          </cell>
          <cell r="D2198">
            <v>54.02</v>
          </cell>
        </row>
        <row r="2199">
          <cell r="A2199">
            <v>38154</v>
          </cell>
          <cell r="B2199" t="str">
            <v>FECHADURA AUXILIAR TRAVA DE SEGURANCA SIMPLES, CROMADA, MAQUINA *40* MM, INCLUI CHAVE TETRA E ROSETA REDONDA - COMPLETA</v>
          </cell>
          <cell r="C2199" t="str">
            <v xml:space="preserve">CJ    </v>
          </cell>
          <cell r="D2199">
            <v>33.82</v>
          </cell>
        </row>
        <row r="2200">
          <cell r="A2200">
            <v>11482</v>
          </cell>
          <cell r="B2200" t="str">
            <v>FECHADURA BICO DE PAPAGAIO, MAQUINA *45* MM, CROMADA, COM CHAVE TIPO GORGES BIPARTIDA, PARA PORTA DE CORRER INTERNA - COMPLETA</v>
          </cell>
          <cell r="C2200" t="str">
            <v xml:space="preserve">CJ    </v>
          </cell>
          <cell r="D2200">
            <v>49.06</v>
          </cell>
        </row>
        <row r="2201">
          <cell r="A2201">
            <v>3084</v>
          </cell>
          <cell r="B2201" t="str">
            <v>FECHADURA BICO DE PAPAGAIO, MAQUINA *45* MM, CROMADA, COM CILINDRO, PARA PORTA DE CORRER EXTERNA - COMPLETA</v>
          </cell>
          <cell r="C2201" t="str">
            <v xml:space="preserve">CJ    </v>
          </cell>
          <cell r="D2201">
            <v>63.08</v>
          </cell>
        </row>
        <row r="2202">
          <cell r="A2202">
            <v>3103</v>
          </cell>
          <cell r="B2202" t="str">
            <v>FECHADURA C/ CILINDRO LATAO CROMADO P/ PORTA VIDRO TP AROUCA 2171-L OU EQUIV</v>
          </cell>
          <cell r="C2202" t="str">
            <v xml:space="preserve">UN    </v>
          </cell>
          <cell r="D2202">
            <v>56.39</v>
          </cell>
        </row>
        <row r="2203">
          <cell r="A2203">
            <v>11481</v>
          </cell>
          <cell r="B2203" t="str">
            <v>FECHADURA DE EMBUTIR PARA PORTA DE BANHEIRO, CHAVE TIPO TRANQUETA, MAQUINA 40 MM, SEM MACANETA, SEM ESPELHO (SOMENTE MAQUINA) - NIVEL SEGURANCA MEDIO</v>
          </cell>
          <cell r="C2203" t="str">
            <v xml:space="preserve">UN    </v>
          </cell>
          <cell r="D2203">
            <v>17.010000000000002</v>
          </cell>
        </row>
        <row r="2204">
          <cell r="A2204">
            <v>3097</v>
          </cell>
          <cell r="B2204" t="str">
            <v>FECHADURA DE EMBUTIR PARA PORTA DE BANHEIRO, TIPO TRANQUETA, MAQUINA 40 MM, MACANETAS ALAVANCA E ROSETAS REDONDAS EM METAL CROMADO - NIVEL SEGURANCA MEDIO - COMPLETA</v>
          </cell>
          <cell r="C2204" t="str">
            <v xml:space="preserve">CJ    </v>
          </cell>
          <cell r="D2204">
            <v>34.94</v>
          </cell>
        </row>
        <row r="2205">
          <cell r="A2205">
            <v>38153</v>
          </cell>
          <cell r="B2205" t="str">
            <v>FECHADURA DE EMBUTIR PARA PORTA DE BANHEIRO, TIPO TRANQUETA, MAQUINA 40 MM, MACANETAS ALAVANCA, ESPELHO EM METAL CROMADO - NIVEL SEGURANCA MEDIO - COMPLETA</v>
          </cell>
          <cell r="C2205" t="str">
            <v xml:space="preserve">CJ    </v>
          </cell>
          <cell r="D2205">
            <v>32.049999999999997</v>
          </cell>
        </row>
        <row r="2206">
          <cell r="A2206">
            <v>3099</v>
          </cell>
          <cell r="B2206" t="str">
            <v>FECHADURA DE EMBUTIR PARA PORTA DE BANHEIRO, TIPO TRANQUETA, MAQUINA 55 MM, MACANETAS ALAVANCA E ROSETAS REDONDAS EM METAL CROMADO - NIVEL SEGURANCA MEDIO - COMPLETA</v>
          </cell>
          <cell r="C2206" t="str">
            <v xml:space="preserve">CJ    </v>
          </cell>
          <cell r="D2206">
            <v>55.89</v>
          </cell>
        </row>
        <row r="2207">
          <cell r="A2207">
            <v>3080</v>
          </cell>
          <cell r="B2207" t="str">
            <v>FECHADURA DE EMBUTIR PARA PORTA EXTERNA / ENTRADA, MAQUINA 40 MM, COM CILINDRO, MACANETA ALAVANCA E ESPELHO EM METAL CROMADO - NIVEL SEGURANCA MEDIO - COMPLETA</v>
          </cell>
          <cell r="C2207" t="str">
            <v xml:space="preserve">CJ    </v>
          </cell>
          <cell r="D2207">
            <v>46.7</v>
          </cell>
        </row>
        <row r="2208">
          <cell r="A2208">
            <v>3081</v>
          </cell>
          <cell r="B2208" t="str">
            <v>FECHADURA DE EMBUTIR PARA PORTA EXTERNA / ENTRADA, MAQUINA 55 MM, COM CILINDRO, MACANETA ALAVANCA E ESPELHO EM METAL CROMADO - NIVEL SEGURANCA MEDIO - COMPLETA</v>
          </cell>
          <cell r="C2208" t="str">
            <v xml:space="preserve">CJ    </v>
          </cell>
          <cell r="D2208">
            <v>70.680000000000007</v>
          </cell>
        </row>
        <row r="2209">
          <cell r="A2209">
            <v>38151</v>
          </cell>
          <cell r="B2209" t="str">
            <v>FECHADURA DE EMBUTIR PARA PORTA EXTERNA, MAQUINA 40 MM, COM CILINDRO, MACANETA ALAVANCA E ROSETA REDONDA EM METAL CROMADO - NIVEL DE SEGURANCA MEDIO - COMPLETA</v>
          </cell>
          <cell r="C2209" t="str">
            <v xml:space="preserve">CJ    </v>
          </cell>
          <cell r="D2209">
            <v>44.25</v>
          </cell>
        </row>
        <row r="2210">
          <cell r="A2210">
            <v>11479</v>
          </cell>
          <cell r="B2210" t="str">
            <v>FECHADURA DE EMBUTIR PARA PORTA EXTERNA, MAQUINA 40 MM, SEM MACANETA, SEM ESPELHO (SOMENTE MAQUINA) - NIVEL DE SEGURANCA MEDIO</v>
          </cell>
          <cell r="C2210" t="str">
            <v xml:space="preserve">UN    </v>
          </cell>
          <cell r="D2210">
            <v>25.73</v>
          </cell>
        </row>
        <row r="2211">
          <cell r="A2211">
            <v>38152</v>
          </cell>
          <cell r="B2211" t="str">
            <v>FECHADURA DE EMBUTIR PARA PORTA EXTERNA, MAQUINA 55 MM, COM CILINDRO, MACANETA ALAVANCA E ROSETA REDONDA EM METAL CROMADO - NIVEL DE SEGURANCA MEDIO - COMPLETA</v>
          </cell>
          <cell r="C2211" t="str">
            <v xml:space="preserve">CJ    </v>
          </cell>
          <cell r="D2211">
            <v>64.040000000000006</v>
          </cell>
        </row>
        <row r="2212">
          <cell r="A2212">
            <v>11478</v>
          </cell>
          <cell r="B2212" t="str">
            <v>FECHADURA DE EMBUTIR PARA PORTA EXTERNA, MAQUINA 55 MM, SEM ESPELHO, SEM MACANETA (SOMENTE MAQUINA) - NIVEL DE SEGURANCA MEDIO</v>
          </cell>
          <cell r="C2212" t="str">
            <v xml:space="preserve">UN    </v>
          </cell>
          <cell r="D2212">
            <v>45.13</v>
          </cell>
        </row>
        <row r="2213">
          <cell r="A2213">
            <v>3090</v>
          </cell>
          <cell r="B2213" t="str">
            <v>FECHADURA DE EMBUTIR PARA PORTA INTERNA, TIPO GORGES (CHAVE GRANDE), MAQUINA 40 MM, MACANETA ALAVANCA E ESPELHO EM METAL CROMADO - NIVEL SEGURANCA MEDIO - COMPLETA</v>
          </cell>
          <cell r="C2213" t="str">
            <v xml:space="preserve">CJ    </v>
          </cell>
          <cell r="D2213">
            <v>37.76</v>
          </cell>
        </row>
        <row r="2214">
          <cell r="A2214">
            <v>3093</v>
          </cell>
          <cell r="B2214" t="str">
            <v>FECHADURA DE EMBUTIR PARA PORTA INTERNA, TIPO GORGES (CHAVE GRANDE), MAQUINA 55 MM, MACANETAS ALAVANCA E ROSETAS REDONDAS EM METAL CROMADO - NIVEL SEGURANCA MEDIO - COMPLETA</v>
          </cell>
          <cell r="C2214" t="str">
            <v xml:space="preserve">CJ    </v>
          </cell>
          <cell r="D2214">
            <v>62.75</v>
          </cell>
        </row>
        <row r="2215">
          <cell r="A2215">
            <v>11476</v>
          </cell>
          <cell r="B2215" t="str">
            <v>FECHADURA DE EMBUTIR PARA PORTA INTERNA, TIPO GORGES, MAQUINA 55 MM (SOMENTE MAQUINA, SEM ESPELHO E SEM MACANETA) - NIVEL DE SEGURANCA MEDIO</v>
          </cell>
          <cell r="C2215" t="str">
            <v xml:space="preserve">UN    </v>
          </cell>
          <cell r="D2215">
            <v>27.04</v>
          </cell>
        </row>
        <row r="2216">
          <cell r="A2216">
            <v>3082</v>
          </cell>
          <cell r="B2216" t="str">
            <v>FECHADURA DE SOBREPOR EM FERRO PINTADO, COM MACANETA ALAVANCA, CHAVE GRANDE - COMPLETA</v>
          </cell>
          <cell r="C2216" t="str">
            <v xml:space="preserve">CJ    </v>
          </cell>
          <cell r="D2216">
            <v>43.68</v>
          </cell>
        </row>
        <row r="2217">
          <cell r="A2217">
            <v>11484</v>
          </cell>
          <cell r="B2217" t="str">
            <v>FECHADURA DE SOBREPOR PARA PORTAO, CAIXA *100* MM, COM CILINDRO, CHAVE SIMPLES, TRINCO LATERAL, EM  LATAO OU ACO CROMADO OU POLIDO, COM OU SEM PINTURA - COMPLETA</v>
          </cell>
          <cell r="C2217" t="str">
            <v xml:space="preserve">UN    </v>
          </cell>
          <cell r="D2217">
            <v>31.16</v>
          </cell>
        </row>
        <row r="2218">
          <cell r="A2218">
            <v>38155</v>
          </cell>
          <cell r="B2218" t="str">
            <v>FECHADURA DE SOBREPOR PARA PORTAO, COM CHAVE TETRA, CAIXA *100* MM, TRINCO LATERAL, EM LATAO OU ACO CROMADO, PINTADO - COMPLETA</v>
          </cell>
          <cell r="C2218" t="str">
            <v xml:space="preserve">UN    </v>
          </cell>
          <cell r="D2218">
            <v>42.48</v>
          </cell>
        </row>
        <row r="2219">
          <cell r="A2219">
            <v>11468</v>
          </cell>
          <cell r="B2219" t="str">
            <v>FECHADURA DE SOBREPOR, CROMADA, COM CILINDRO REDONDO, PARA ARMARIO E GAVETA DE MADEIRA, COM PORTA DE APROXIMADAMENTE 20 MM</v>
          </cell>
          <cell r="C2219" t="str">
            <v xml:space="preserve">UN    </v>
          </cell>
          <cell r="D2219">
            <v>9.5299999999999994</v>
          </cell>
        </row>
        <row r="2220">
          <cell r="A2220">
            <v>11469</v>
          </cell>
          <cell r="B2220" t="str">
            <v>FECHADURA TRADICIONAL DE EMBUTIR, CROMADA, COM CILINDRO, PARA GAVETAS E MOVEIS DE MADEIRA - COM ABINHAS LATERAIS CURVAS, CHAVES COM PROTECAO PLASTICA</v>
          </cell>
          <cell r="C2220" t="str">
            <v xml:space="preserve">UN    </v>
          </cell>
          <cell r="D2220">
            <v>11.39</v>
          </cell>
        </row>
        <row r="2221">
          <cell r="A2221">
            <v>11477</v>
          </cell>
          <cell r="B2221" t="str">
            <v>FECHADURA TUBULAR CROMADA, MACANETA DIAMETRO *30* MM, CILINDRO CENTRAL COM CHAVE EXTERNA E BOTAO INTERNO, MAQUINA *70* MM - COMPLETA</v>
          </cell>
          <cell r="C2221" t="str">
            <v xml:space="preserve">CJ    </v>
          </cell>
          <cell r="D2221">
            <v>51.75</v>
          </cell>
        </row>
        <row r="2222">
          <cell r="A2222">
            <v>40311</v>
          </cell>
          <cell r="B2222" t="str">
            <v>FECHADURA TUBULAR, ACABAMENTO CROMADO, DISTANCIA DE BROCA 90 MM, CILINDRO CENTRAL COM CHAVE EXTERNA E BOTAO INTERNO, MACANETA FORMATO TULIPA/TACA/BOLA - COMPLETA</v>
          </cell>
          <cell r="C2222" t="str">
            <v xml:space="preserve">CJ    </v>
          </cell>
          <cell r="D2222">
            <v>49.97</v>
          </cell>
        </row>
        <row r="2223">
          <cell r="A2223">
            <v>38165</v>
          </cell>
          <cell r="B2223" t="str">
            <v>FECHO / FECHADURA COM PUXADOR CONCHA, COM TRANCA TIPO TRAVA, PARA JANELA / PORTA DE CORRER (INCLUI TESTA, FECHADURA, PUXADOR) - COMPLETA</v>
          </cell>
          <cell r="C2223" t="str">
            <v xml:space="preserve">CJ    </v>
          </cell>
          <cell r="D2223">
            <v>56.04</v>
          </cell>
        </row>
        <row r="2224">
          <cell r="A2224">
            <v>3096</v>
          </cell>
          <cell r="B2224" t="str">
            <v>FECHO / FECHADURA CONCHA COM ALAVANCA / TRAVA, DE EMBUTIR, PARA PORTA OU JANELA DE CORRER EM LATAO OU ACO INOX - COMPLETO</v>
          </cell>
          <cell r="C2224" t="str">
            <v xml:space="preserve">CJ    </v>
          </cell>
          <cell r="D2224">
            <v>28.73</v>
          </cell>
        </row>
        <row r="2225">
          <cell r="A2225">
            <v>11456</v>
          </cell>
          <cell r="B2225" t="str">
            <v>FECHO / TRINCO / FERROLHO FIO REDONDO, DE SOBREPOR, 12", EM ACO GALVANIZADO / ZINCADO</v>
          </cell>
          <cell r="C2225" t="str">
            <v xml:space="preserve">UN    </v>
          </cell>
          <cell r="D2225">
            <v>12.41</v>
          </cell>
        </row>
        <row r="2226">
          <cell r="A2226">
            <v>3119</v>
          </cell>
          <cell r="B2226" t="str">
            <v>FECHO / TRINCO / FERROLHO FIO REDONDO, DE SOBREPOR, 2", EM ACO GALVANIZADO / ZINCADO</v>
          </cell>
          <cell r="C2226" t="str">
            <v xml:space="preserve">UN    </v>
          </cell>
          <cell r="D2226">
            <v>1.84</v>
          </cell>
        </row>
        <row r="2227">
          <cell r="A2227">
            <v>3122</v>
          </cell>
          <cell r="B2227" t="str">
            <v>FECHO / TRINCO / FERROLHO FIO REDONDO, DE SOBREPOR, 4", EM ACO GALVANIZADO / ZINCADO</v>
          </cell>
          <cell r="C2227" t="str">
            <v xml:space="preserve">UN    </v>
          </cell>
          <cell r="D2227">
            <v>2.59</v>
          </cell>
        </row>
        <row r="2228">
          <cell r="A2228">
            <v>3121</v>
          </cell>
          <cell r="B2228" t="str">
            <v>FECHO / TRINCO / FERROLHO FIO REDONDO, DE SOBREPOR, 5", EM ACO GALVANIZADO / ZINCADO</v>
          </cell>
          <cell r="C2228" t="str">
            <v xml:space="preserve">UN    </v>
          </cell>
          <cell r="D2228">
            <v>4.0199999999999996</v>
          </cell>
        </row>
        <row r="2229">
          <cell r="A2229">
            <v>3120</v>
          </cell>
          <cell r="B2229" t="str">
            <v>FECHO / TRINCO / FERROLHO FIO REDONDO, DE SOBREPOR, 6", EM ACO GALVANIZADO / ZINCADO</v>
          </cell>
          <cell r="C2229" t="str">
            <v xml:space="preserve">UN    </v>
          </cell>
          <cell r="D2229">
            <v>6.34</v>
          </cell>
        </row>
        <row r="2230">
          <cell r="A2230">
            <v>11455</v>
          </cell>
          <cell r="B2230" t="str">
            <v>FECHO / TRINCO / FERROLHO FIO REDONDO, DE SOBREPOR, 8", EM ACO GALVANIZADO / ZINCADO</v>
          </cell>
          <cell r="C2230" t="str">
            <v xml:space="preserve">UN    </v>
          </cell>
          <cell r="D2230">
            <v>8.89</v>
          </cell>
        </row>
        <row r="2231">
          <cell r="A2231">
            <v>3111</v>
          </cell>
          <cell r="B2231" t="str">
            <v>FECHO DE EMBUTIR, TIPO UNHA, COMANDO COM ALAVANCA, EM ACO CROMADO, 22 CM, PARA PORTAS E JANELAS - INCLUI PARAFUSOS</v>
          </cell>
          <cell r="C2231" t="str">
            <v xml:space="preserve">UN    </v>
          </cell>
          <cell r="D2231">
            <v>21.3</v>
          </cell>
        </row>
        <row r="2232">
          <cell r="A2232">
            <v>3108</v>
          </cell>
          <cell r="B2232" t="str">
            <v>FECHO DE EMBUTIR, TIPO UNHA, COMANDO COM ALAVANCA, EM LATAO CROMADO, 22 CM, PARA PORTAS E JANELAS - INCLUI PARAFUSOS</v>
          </cell>
          <cell r="C2232" t="str">
            <v xml:space="preserve">UN    </v>
          </cell>
          <cell r="D2232">
            <v>22.34</v>
          </cell>
        </row>
        <row r="2233">
          <cell r="A2233">
            <v>3105</v>
          </cell>
          <cell r="B2233" t="str">
            <v>FECHO DE EMBUTIR, TIPO UNHA, COMANDO COM ALAVANCA, EM LATAO CROMADO, 40 CM, PARA PORTAS E JANELAS - INCLUI PARAFUSOS</v>
          </cell>
          <cell r="C2233" t="str">
            <v xml:space="preserve">UN    </v>
          </cell>
          <cell r="D2233">
            <v>34.72</v>
          </cell>
        </row>
        <row r="2234">
          <cell r="A2234">
            <v>38178</v>
          </cell>
          <cell r="B2234" t="str">
            <v>FECHO DE EMBUTIR, TIPO UNHA, COMANDO DESLIZANTE, COM TRAVA, 120 MM, EM LATAO CROMADO</v>
          </cell>
          <cell r="C2234" t="str">
            <v xml:space="preserve">UN    </v>
          </cell>
          <cell r="D2234">
            <v>22.69</v>
          </cell>
        </row>
        <row r="2235">
          <cell r="A2235">
            <v>11458</v>
          </cell>
          <cell r="B2235" t="str">
            <v>FECHO DE SEGURANCA, TIPO BATOM, EM LATAO / ZAMAC, CROMADO, PARA PORTAS E JANELAS - INCLUI PARAFUSOS</v>
          </cell>
          <cell r="C2235" t="str">
            <v xml:space="preserve">UN    </v>
          </cell>
          <cell r="D2235">
            <v>19.88</v>
          </cell>
        </row>
        <row r="2236">
          <cell r="A2236">
            <v>42481</v>
          </cell>
          <cell r="B2236" t="str">
            <v>FELTRO EM LA DE ROCHA, 1 FACE REVESTIDA COM PAPEL ALUMINIZADO, EM ROLO, DENSIDADE = 32 KG/M3, E=*50* MM (COLETADO CAIXA)</v>
          </cell>
          <cell r="C2236" t="str">
            <v xml:space="preserve">M2    </v>
          </cell>
          <cell r="D2236">
            <v>25.18</v>
          </cell>
        </row>
        <row r="2237">
          <cell r="A2237">
            <v>43458</v>
          </cell>
          <cell r="B2237" t="str">
            <v>FERRAMENTAS - FAMILIA ALMOXARIFE - HORISTA (ENCARGOS COMPLEMENTARES - COLETADO CAIXA)</v>
          </cell>
          <cell r="C2237" t="str">
            <v xml:space="preserve">H     </v>
          </cell>
          <cell r="D2237">
            <v>0.04</v>
          </cell>
        </row>
        <row r="2238">
          <cell r="A2238">
            <v>43470</v>
          </cell>
          <cell r="B2238" t="str">
            <v>FERRAMENTAS - FAMILIA ALMOXARIFE - MENSALISTA (ENCARGOS COMPLEMENTARES - COLETADO CAIXA)</v>
          </cell>
          <cell r="C2238" t="str">
            <v xml:space="preserve">MES   </v>
          </cell>
          <cell r="D2238">
            <v>7.37</v>
          </cell>
        </row>
        <row r="2239">
          <cell r="A2239">
            <v>43459</v>
          </cell>
          <cell r="B2239" t="str">
            <v>FERRAMENTAS - FAMILIA CARPINTEIRO DE FORMAS - HORISTA (ENCARGOS COMPLEMENTARES - COLETADO CAIXA)</v>
          </cell>
          <cell r="C2239" t="str">
            <v xml:space="preserve">H     </v>
          </cell>
          <cell r="D2239">
            <v>0.34</v>
          </cell>
        </row>
        <row r="2240">
          <cell r="A2240">
            <v>43471</v>
          </cell>
          <cell r="B2240" t="str">
            <v>FERRAMENTAS - FAMILIA CARPINTEIRO DE FORMAS - MENSALISTA (ENCARGOS COMPLEMENTARES - COLETADO CAIXA)</v>
          </cell>
          <cell r="C2240" t="str">
            <v xml:space="preserve">MES   </v>
          </cell>
          <cell r="D2240">
            <v>64.61</v>
          </cell>
        </row>
        <row r="2241">
          <cell r="A2241">
            <v>43460</v>
          </cell>
          <cell r="B2241" t="str">
            <v>FERRAMENTAS - FAMILIA ELETRICISTA - HORISTA (ENCARGOS COMPLEMENTARES - COLETADO CAIXA)</v>
          </cell>
          <cell r="C2241" t="str">
            <v xml:space="preserve">H     </v>
          </cell>
          <cell r="D2241">
            <v>0.55000000000000004</v>
          </cell>
        </row>
        <row r="2242">
          <cell r="A2242">
            <v>43472</v>
          </cell>
          <cell r="B2242" t="str">
            <v>FERRAMENTAS - FAMILIA ELETRICISTA - MENSALISTA (ENCARGOS COMPLEMENTARES - COLETADO CAIXA)</v>
          </cell>
          <cell r="C2242" t="str">
            <v xml:space="preserve">MES   </v>
          </cell>
          <cell r="D2242">
            <v>103.26</v>
          </cell>
        </row>
        <row r="2243">
          <cell r="A2243">
            <v>43461</v>
          </cell>
          <cell r="B2243" t="str">
            <v>FERRAMENTAS - FAMILIA ENCANADOR - HORISTA (ENCARGOS COMPLEMENTARES - COLETADO CAIXA)</v>
          </cell>
          <cell r="C2243" t="str">
            <v xml:space="preserve">H     </v>
          </cell>
          <cell r="D2243">
            <v>0.24</v>
          </cell>
        </row>
        <row r="2244">
          <cell r="A2244">
            <v>43473</v>
          </cell>
          <cell r="B2244" t="str">
            <v>FERRAMENTAS - FAMILIA ENCANADOR - MENSALISTA (ENCARGOS COMPLEMENTARES - COLETADO CAIXA)</v>
          </cell>
          <cell r="C2244" t="str">
            <v xml:space="preserve">MES   </v>
          </cell>
          <cell r="D2244">
            <v>45.84</v>
          </cell>
        </row>
        <row r="2245">
          <cell r="A2245">
            <v>43475</v>
          </cell>
          <cell r="B2245" t="str">
            <v>FERRAMENTAS - FAMILIA ENCARREGADO GERAL - HORISTA (ENCARGOS COMPLEMENTARES - COLETADO CAIXA)</v>
          </cell>
          <cell r="C2245" t="str">
            <v xml:space="preserve">MES   </v>
          </cell>
          <cell r="D2245">
            <v>14.2</v>
          </cell>
        </row>
        <row r="2246">
          <cell r="A2246">
            <v>43463</v>
          </cell>
          <cell r="B2246" t="str">
            <v>FERRAMENTAS - FAMILIA ENCARREGADO GERAL - HORISTA (ENCARGOS COMPLEMENTARES - COLETADO CAIXA)</v>
          </cell>
          <cell r="C2246" t="str">
            <v xml:space="preserve">H     </v>
          </cell>
          <cell r="D2246">
            <v>0.08</v>
          </cell>
        </row>
        <row r="2247">
          <cell r="A2247">
            <v>43462</v>
          </cell>
          <cell r="B2247" t="str">
            <v>FERRAMENTAS - FAMILIA ENGENHEIRO CIVIL - HORISTA (ENCARGOS COMPLEMENTARES - COLETADO CAIXA)</v>
          </cell>
          <cell r="C2247" t="str">
            <v xml:space="preserve">H     </v>
          </cell>
          <cell r="D2247">
            <v>0.01</v>
          </cell>
        </row>
        <row r="2248">
          <cell r="A2248">
            <v>43474</v>
          </cell>
          <cell r="B2248" t="str">
            <v>FERRAMENTAS - FAMILIA ENGENHEIRO CIVIL - MENSALISTA (ENCARGOS COMPLEMENTARES - COLETADO CAIXA)</v>
          </cell>
          <cell r="C2248" t="str">
            <v xml:space="preserve">MES   </v>
          </cell>
          <cell r="D2248">
            <v>1.46</v>
          </cell>
        </row>
        <row r="2249">
          <cell r="A2249">
            <v>43464</v>
          </cell>
          <cell r="B2249" t="str">
            <v>FERRAMENTAS - FAMILIA OPERADOR ESCAVADEIRA - HORISTA (ENCARGOS COMPLEMENTARES - COLETADO CAIXA)</v>
          </cell>
          <cell r="C2249" t="str">
            <v xml:space="preserve">H     </v>
          </cell>
          <cell r="D2249">
            <v>0.01</v>
          </cell>
        </row>
        <row r="2250">
          <cell r="A2250">
            <v>43476</v>
          </cell>
          <cell r="B2250" t="str">
            <v>FERRAMENTAS - FAMILIA OPERADOR ESCAVADEIRA - MENSALISTA (ENCARGOS COMPLEMENTARES - COLETADO CAIXA)</v>
          </cell>
          <cell r="C2250" t="str">
            <v xml:space="preserve">MES   </v>
          </cell>
          <cell r="D2250">
            <v>0.01</v>
          </cell>
        </row>
        <row r="2251">
          <cell r="A2251">
            <v>43465</v>
          </cell>
          <cell r="B2251" t="str">
            <v>FERRAMENTAS - FAMILIA PEDREIRO - HORISTA (ENCARGOS COMPLEMENTARES - COLETADO CAIXA)</v>
          </cell>
          <cell r="C2251" t="str">
            <v xml:space="preserve">H     </v>
          </cell>
          <cell r="D2251">
            <v>0.48</v>
          </cell>
        </row>
        <row r="2252">
          <cell r="A2252">
            <v>43477</v>
          </cell>
          <cell r="B2252" t="str">
            <v>FERRAMENTAS - FAMILIA PEDREIRO - MENSALISTA (ENCARGOS COMPLEMENTARES - COLETADO CAIXA)</v>
          </cell>
          <cell r="C2252" t="str">
            <v xml:space="preserve">MES   </v>
          </cell>
          <cell r="D2252">
            <v>91.21</v>
          </cell>
        </row>
        <row r="2253">
          <cell r="A2253">
            <v>43466</v>
          </cell>
          <cell r="B2253" t="str">
            <v>FERRAMENTAS - FAMILIA PINTOR - HORISTA (ENCARGOS COMPLEMENTARES - COLETADO CAIXA)</v>
          </cell>
          <cell r="C2253" t="str">
            <v xml:space="preserve">H     </v>
          </cell>
          <cell r="D2253">
            <v>1.1599999999999999</v>
          </cell>
        </row>
        <row r="2254">
          <cell r="A2254">
            <v>43478</v>
          </cell>
          <cell r="B2254" t="str">
            <v>FERRAMENTAS - FAMILIA PINTOR - MENSALISTA (ENCARGOS COMPLEMENTARES - COLETADO CAIXA)</v>
          </cell>
          <cell r="C2254" t="str">
            <v xml:space="preserve">MES   </v>
          </cell>
          <cell r="D2254">
            <v>219.5</v>
          </cell>
        </row>
        <row r="2255">
          <cell r="A2255">
            <v>43467</v>
          </cell>
          <cell r="B2255" t="str">
            <v>FERRAMENTAS - FAMILIA SERVENTE - HORISTA (ENCARGOS COMPLEMENTARES - COLETADO CAIXA)</v>
          </cell>
          <cell r="C2255" t="str">
            <v xml:space="preserve">H     </v>
          </cell>
          <cell r="D2255">
            <v>0.34</v>
          </cell>
        </row>
        <row r="2256">
          <cell r="A2256">
            <v>43479</v>
          </cell>
          <cell r="B2256" t="str">
            <v>FERRAMENTAS - FAMILIA SERVENTE - MENSALISTA (ENCARGOS COMPLEMENTARES - COLETADO CAIXA)</v>
          </cell>
          <cell r="C2256" t="str">
            <v xml:space="preserve">MES   </v>
          </cell>
          <cell r="D2256">
            <v>64.08</v>
          </cell>
        </row>
        <row r="2257">
          <cell r="A2257">
            <v>43468</v>
          </cell>
          <cell r="B2257" t="str">
            <v>FERRAMENTAS - FAMILIA SOLDADOR - HORISTA (ENCARGOS COMPLEMENTARES - COLETADO CAIXA)</v>
          </cell>
          <cell r="C2257" t="str">
            <v xml:space="preserve">H     </v>
          </cell>
          <cell r="D2257">
            <v>0.82</v>
          </cell>
        </row>
        <row r="2258">
          <cell r="A2258">
            <v>43480</v>
          </cell>
          <cell r="B2258" t="str">
            <v>FERRAMENTAS - FAMILIA SOLDADOR - MENSALISTA (ENCARGOS COMPLEMENTARES - COLETADO CAIXA)</v>
          </cell>
          <cell r="C2258" t="str">
            <v xml:space="preserve">MES   </v>
          </cell>
          <cell r="D2258">
            <v>155.5</v>
          </cell>
        </row>
        <row r="2259">
          <cell r="A2259">
            <v>43469</v>
          </cell>
          <cell r="B2259" t="str">
            <v>FERRAMENTAS - FAMILIA TOPOGRAFO - HORISTA (ENCARGOS COMPLEMENTARES - COLETADO CAIXA)</v>
          </cell>
          <cell r="C2259" t="str">
            <v xml:space="preserve">H     </v>
          </cell>
          <cell r="D2259">
            <v>0.05</v>
          </cell>
        </row>
        <row r="2260">
          <cell r="A2260">
            <v>43481</v>
          </cell>
          <cell r="B2260" t="str">
            <v>FERRAMENTAS - FAMILIA TOPOGRAFO - MENSALISTA (ENCARGOS COMPLEMENTARES - COLETADO CAIXA)</v>
          </cell>
          <cell r="C2260" t="str">
            <v xml:space="preserve">MES   </v>
          </cell>
          <cell r="D2260">
            <v>10.25</v>
          </cell>
        </row>
        <row r="2261">
          <cell r="A2261">
            <v>11461</v>
          </cell>
          <cell r="B2261" t="str">
            <v>FERROLHO / FECHO CHATO, DE SOBREPOR, EM FERRO ZINCADO, REFORCADO, 5", COM PORTA CADEADO, PARA PORTAO, PORTA E JANELA - INCLUI PARAFUSOS</v>
          </cell>
          <cell r="C2261" t="str">
            <v xml:space="preserve">UN    </v>
          </cell>
          <cell r="D2261">
            <v>5.04</v>
          </cell>
        </row>
        <row r="2262">
          <cell r="A2262">
            <v>3106</v>
          </cell>
          <cell r="B2262" t="str">
            <v>FERROLHO / FECHO CHATO, DE SOBREPOR, EM FERRO ZINCADO, REFORCADO, 6", COM PORTA CADEADO, PARA PORTAO, PORTA E JANELA - INCLUI PARAFUSOS</v>
          </cell>
          <cell r="C2262" t="str">
            <v xml:space="preserve">UN    </v>
          </cell>
          <cell r="D2262">
            <v>3.83</v>
          </cell>
        </row>
        <row r="2263">
          <cell r="A2263">
            <v>3107</v>
          </cell>
          <cell r="B2263" t="str">
            <v>FERROLHO / FECHO CHATO, EM FERRO ZINCADO, LEVE, 3", COM PORTA CADEADO, PARA PORTAO, PORTA E JANELA - INCLUI PARAFUSOS</v>
          </cell>
          <cell r="C2263" t="str">
            <v xml:space="preserve">UN    </v>
          </cell>
          <cell r="D2263">
            <v>3.22</v>
          </cell>
        </row>
        <row r="2264">
          <cell r="A2264">
            <v>25951</v>
          </cell>
          <cell r="B2264" t="str">
            <v>FERTILIZANTE NPK - 10:10:10</v>
          </cell>
          <cell r="C2264" t="str">
            <v xml:space="preserve">KG    </v>
          </cell>
          <cell r="D2264">
            <v>1.77</v>
          </cell>
        </row>
        <row r="2265">
          <cell r="A2265">
            <v>3123</v>
          </cell>
          <cell r="B2265" t="str">
            <v>FERTILIZANTE NPK - 4: 14: 8</v>
          </cell>
          <cell r="C2265" t="str">
            <v xml:space="preserve">KG    </v>
          </cell>
          <cell r="D2265">
            <v>1.65</v>
          </cell>
        </row>
        <row r="2266">
          <cell r="A2266">
            <v>38125</v>
          </cell>
          <cell r="B2266" t="str">
            <v>FERTILIZANTE ORGANICO COMPOSTO, CLASSE A</v>
          </cell>
          <cell r="C2266" t="str">
            <v xml:space="preserve">KG    </v>
          </cell>
          <cell r="D2266">
            <v>0.87</v>
          </cell>
        </row>
        <row r="2267">
          <cell r="A2267">
            <v>39014</v>
          </cell>
          <cell r="B2267" t="str">
            <v>FIBRA DE ACO PARA REFORCO DO CONCRETO, SOLTA, TIPO A-I, FATOR DE FORMA *50* L / D, COMPRIMENTO DE *30* MM E RESISTENCIA A TRACAO DO ACO MAIOR 1000 MPA</v>
          </cell>
          <cell r="C2267" t="str">
            <v xml:space="preserve">KG    </v>
          </cell>
          <cell r="D2267">
            <v>13.9</v>
          </cell>
        </row>
        <row r="2268">
          <cell r="A2268">
            <v>11894</v>
          </cell>
          <cell r="B2268" t="str">
            <v>FILTRO ANAEROBIO CILINDRICO CONCRETO PRE MOLDADO 1,20 X 1,50 (DIAMETROXALTURA) PARA 4 A 5 CONTRIBUINTES (NBR 13969)</v>
          </cell>
          <cell r="C2268" t="str">
            <v xml:space="preserve">UN    </v>
          </cell>
          <cell r="D2268">
            <v>677.15</v>
          </cell>
        </row>
        <row r="2269">
          <cell r="A2269">
            <v>39365</v>
          </cell>
          <cell r="B2269" t="str">
            <v>FILTRO ANAEROBIO, EM POLIETILENO DE ALTA DENSIDADE (PEAD), CAPACIDADE *1100* LITROS (NBR 13969)</v>
          </cell>
          <cell r="C2269" t="str">
            <v xml:space="preserve">UN    </v>
          </cell>
          <cell r="D2269">
            <v>737.82</v>
          </cell>
        </row>
        <row r="2270">
          <cell r="A2270">
            <v>39366</v>
          </cell>
          <cell r="B2270" t="str">
            <v>FILTRO ANAEROBIO, EM POLIETILENO DE ALTA DENSIDADE (PEAD), CAPACIDADE *2800* LITROS (NBR 13969)</v>
          </cell>
          <cell r="C2270" t="str">
            <v xml:space="preserve">UN    </v>
          </cell>
          <cell r="D2270">
            <v>1889.14</v>
          </cell>
        </row>
        <row r="2271">
          <cell r="A2271">
            <v>39367</v>
          </cell>
          <cell r="B2271" t="str">
            <v>FILTRO ANAEROBIO, EM POLIETILENO DE ALTA DENSIDADE (PEAD), CAPACIDADE *5000* LITROS (NBR 13969)</v>
          </cell>
          <cell r="C2271" t="str">
            <v xml:space="preserve">UN    </v>
          </cell>
          <cell r="D2271">
            <v>2582.11</v>
          </cell>
        </row>
        <row r="2272">
          <cell r="A2272">
            <v>37394</v>
          </cell>
          <cell r="B2272" t="str">
            <v>FINCAPINO CURTO CALIBRE 22 VERMELHO, CARGA MEDIA (ACAO DIRETA)</v>
          </cell>
          <cell r="C2272" t="str">
            <v xml:space="preserve">CENTO </v>
          </cell>
          <cell r="D2272">
            <v>27.98</v>
          </cell>
        </row>
        <row r="2273">
          <cell r="A2273">
            <v>14146</v>
          </cell>
          <cell r="B2273" t="str">
            <v>FINCAPINO LONGO CALIBRE 22, CARGA FORTE (ACAO DIRETA)</v>
          </cell>
          <cell r="C2273" t="str">
            <v xml:space="preserve">CENTO </v>
          </cell>
          <cell r="D2273">
            <v>45</v>
          </cell>
        </row>
        <row r="2274">
          <cell r="A2274">
            <v>38134</v>
          </cell>
          <cell r="B2274" t="str">
            <v>FIO COBRE NU DE 150 A 500 MM2, PARA TENSOES DE ATE 600 V</v>
          </cell>
          <cell r="C2274" t="str">
            <v xml:space="preserve">KG    </v>
          </cell>
          <cell r="D2274">
            <v>54.65</v>
          </cell>
        </row>
        <row r="2275">
          <cell r="A2275">
            <v>38132</v>
          </cell>
          <cell r="B2275" t="str">
            <v>FIO COBRE NU DE 16 A 35 MM2, PARA TENSOES DE ATE 600 V</v>
          </cell>
          <cell r="C2275" t="str">
            <v xml:space="preserve">KG    </v>
          </cell>
          <cell r="D2275">
            <v>55.74</v>
          </cell>
        </row>
        <row r="2276">
          <cell r="A2276">
            <v>38133</v>
          </cell>
          <cell r="B2276" t="str">
            <v>FIO COBRE NU DE 50 A 120 MM2, PARA TENSOES DE ATE 600 V</v>
          </cell>
          <cell r="C2276" t="str">
            <v xml:space="preserve">KG    </v>
          </cell>
          <cell r="D2276">
            <v>53.92</v>
          </cell>
        </row>
        <row r="2277">
          <cell r="A2277">
            <v>938</v>
          </cell>
          <cell r="B2277" t="str">
            <v>FIO DE COBRE, SOLIDO, CLASSE 1, ISOLACAO EM PVC/A, ANTICHAMA BWF-B, 450/750V, SECAO NOMINAL 1,5 MM2</v>
          </cell>
          <cell r="C2277" t="str">
            <v xml:space="preserve">M     </v>
          </cell>
          <cell r="D2277">
            <v>0.8</v>
          </cell>
        </row>
        <row r="2278">
          <cell r="A2278">
            <v>937</v>
          </cell>
          <cell r="B2278" t="str">
            <v>FIO DE COBRE, SOLIDO, CLASSE 1, ISOLACAO EM PVC/A, ANTICHAMA BWF-B, 450/750V, SECAO NOMINAL 10 MM2</v>
          </cell>
          <cell r="C2278" t="str">
            <v xml:space="preserve">M     </v>
          </cell>
          <cell r="D2278">
            <v>5</v>
          </cell>
        </row>
        <row r="2279">
          <cell r="A2279">
            <v>939</v>
          </cell>
          <cell r="B2279" t="str">
            <v>FIO DE COBRE, SOLIDO, CLASSE 1, ISOLACAO EM PVC/A, ANTICHAMA BWF-B, 450/750V, SECAO NOMINAL 2,5 MM2</v>
          </cell>
          <cell r="C2279" t="str">
            <v xml:space="preserve">M     </v>
          </cell>
          <cell r="D2279">
            <v>1.29</v>
          </cell>
        </row>
        <row r="2280">
          <cell r="A2280">
            <v>944</v>
          </cell>
          <cell r="B2280" t="str">
            <v>FIO DE COBRE, SOLIDO, CLASSE 1, ISOLACAO EM PVC/A, ANTICHAMA BWF-B, 450/750V, SECAO NOMINAL 4 MM2</v>
          </cell>
          <cell r="C2280" t="str">
            <v xml:space="preserve">M     </v>
          </cell>
          <cell r="D2280">
            <v>2.21</v>
          </cell>
        </row>
        <row r="2281">
          <cell r="A2281">
            <v>940</v>
          </cell>
          <cell r="B2281" t="str">
            <v>FIO DE COBRE, SOLIDO, CLASSE 1, ISOLACAO EM PVC/A, ANTICHAMA BWF-B, 450/750V, SECAO NOMINAL 6 MM2</v>
          </cell>
          <cell r="C2281" t="str">
            <v xml:space="preserve">M     </v>
          </cell>
          <cell r="D2281">
            <v>3.05</v>
          </cell>
        </row>
        <row r="2282">
          <cell r="A2282">
            <v>936</v>
          </cell>
          <cell r="B2282" t="str">
            <v>FIO TELEFONICO EXTERNO (FE) EM ACO COBREADO, ISOLACAO EM PEAD OU PVC ANTI-CHAMA, 2 CONDUTORES</v>
          </cell>
          <cell r="C2282" t="str">
            <v xml:space="preserve">M     </v>
          </cell>
          <cell r="D2282">
            <v>1.3</v>
          </cell>
        </row>
        <row r="2283">
          <cell r="A2283">
            <v>935</v>
          </cell>
          <cell r="B2283" t="str">
            <v>FIO TELEFONICO INTERNO (FI) EM COBRE ESTANHADO, ISOLACAO EM PVC ANTICHAMA, 2 CONDUTORES DE 0,6 MM (NBR 9115:2005)</v>
          </cell>
          <cell r="C2283" t="str">
            <v xml:space="preserve">M     </v>
          </cell>
          <cell r="D2283">
            <v>0.99</v>
          </cell>
        </row>
        <row r="2284">
          <cell r="A2284">
            <v>406</v>
          </cell>
          <cell r="B2284" t="str">
            <v>FITA ACO INOX PARA CINTAR POSTE, L = 19 MM, E = 0,5 MM (ROLO DE 30M)</v>
          </cell>
          <cell r="C2284" t="str">
            <v xml:space="preserve">UN    </v>
          </cell>
          <cell r="D2284">
            <v>60.22</v>
          </cell>
        </row>
        <row r="2285">
          <cell r="A2285">
            <v>42529</v>
          </cell>
          <cell r="B2285" t="str">
            <v>FITA ADESIVA ALUMINIZADA, PARA INSTALACAO DE MANTAS DE SUBCOBERTURA,  L = *5* CM</v>
          </cell>
          <cell r="C2285" t="str">
            <v xml:space="preserve">M     </v>
          </cell>
          <cell r="D2285">
            <v>0.86</v>
          </cell>
        </row>
        <row r="2286">
          <cell r="A2286">
            <v>39634</v>
          </cell>
          <cell r="B2286" t="str">
            <v>FITA ADESIVA ANTICORROSIVA DE PVC FLEXIVEL, COR PRETA, PARA PROTECAO TUBULACAO, 50 MM X 30 M (L X C), E= *0,25* MM</v>
          </cell>
          <cell r="C2286" t="str">
            <v xml:space="preserve">M     </v>
          </cell>
          <cell r="D2286">
            <v>8.08</v>
          </cell>
        </row>
        <row r="2287">
          <cell r="A2287">
            <v>39701</v>
          </cell>
          <cell r="B2287" t="str">
            <v>FITA ADESIVA ASFALTICA ALUMINIZADA MULTIUSO, L = 10 CM, ROLO DE 10 M</v>
          </cell>
          <cell r="C2287" t="str">
            <v xml:space="preserve">UN    </v>
          </cell>
          <cell r="D2287">
            <v>65.28</v>
          </cell>
        </row>
        <row r="2288">
          <cell r="A2288">
            <v>12815</v>
          </cell>
          <cell r="B2288" t="str">
            <v>FITA CREPE ROLO DE 25 MM X 50 M</v>
          </cell>
          <cell r="C2288" t="str">
            <v xml:space="preserve">UN    </v>
          </cell>
          <cell r="D2288">
            <v>7.16</v>
          </cell>
        </row>
        <row r="2289">
          <cell r="A2289">
            <v>407</v>
          </cell>
          <cell r="B2289" t="str">
            <v>FITA DE ALUMINIO PARA PROTECAO DO CONDUTOR LARGURA 10 MM</v>
          </cell>
          <cell r="C2289" t="str">
            <v xml:space="preserve">KG    </v>
          </cell>
          <cell r="D2289">
            <v>38.4</v>
          </cell>
        </row>
        <row r="2290">
          <cell r="A2290">
            <v>39431</v>
          </cell>
          <cell r="B2290" t="str">
            <v>FITA DE PAPEL MICROPERFURADO, 50 X 150 MM, PARA TRATAMENTO DE JUNTAS DE CHAPA DE GESSO PARA DRYWALL</v>
          </cell>
          <cell r="C2290" t="str">
            <v xml:space="preserve">M     </v>
          </cell>
          <cell r="D2290">
            <v>0.23</v>
          </cell>
        </row>
        <row r="2291">
          <cell r="A2291">
            <v>39432</v>
          </cell>
          <cell r="B2291" t="str">
            <v>FITA DE PAPEL REFORCADA COM LAMINA DE METAL PARA REFORCO DE CANTOS DE CHAPA DE GESSO PARA DRYWALL</v>
          </cell>
          <cell r="C2291" t="str">
            <v xml:space="preserve">M     </v>
          </cell>
          <cell r="D2291">
            <v>3.05</v>
          </cell>
        </row>
        <row r="2292">
          <cell r="A2292">
            <v>20111</v>
          </cell>
          <cell r="B2292" t="str">
            <v>FITA ISOLANTE ADESIVA ANTICHAMA, USO ATE 750 V, EM ROLO DE 19 MM X 20 M</v>
          </cell>
          <cell r="C2292" t="str">
            <v xml:space="preserve">UN    </v>
          </cell>
          <cell r="D2292">
            <v>9.9</v>
          </cell>
        </row>
        <row r="2293">
          <cell r="A2293">
            <v>21127</v>
          </cell>
          <cell r="B2293" t="str">
            <v>FITA ISOLANTE ADESIVA ANTICHAMA, USO ATE 750 V, EM ROLO DE 19 MM X 5 M</v>
          </cell>
          <cell r="C2293" t="str">
            <v xml:space="preserve">UN    </v>
          </cell>
          <cell r="D2293">
            <v>3.74</v>
          </cell>
        </row>
        <row r="2294">
          <cell r="A2294">
            <v>404</v>
          </cell>
          <cell r="B2294" t="str">
            <v>FITA ISOLANTE DE BORRACHA AUTOFUSAO, USO ATE 69 KV (ALTA TENSAO)</v>
          </cell>
          <cell r="C2294" t="str">
            <v xml:space="preserve">M     </v>
          </cell>
          <cell r="D2294">
            <v>1.35</v>
          </cell>
        </row>
        <row r="2295">
          <cell r="A2295">
            <v>14151</v>
          </cell>
          <cell r="B2295" t="str">
            <v>FITA METALICA GRAVADA, L = 17 MM, ROLO DE 25 M, CARGA RECOMENDADA = *120* KGF</v>
          </cell>
          <cell r="C2295" t="str">
            <v xml:space="preserve">UN    </v>
          </cell>
          <cell r="D2295">
            <v>32.340000000000003</v>
          </cell>
        </row>
        <row r="2296">
          <cell r="A2296">
            <v>14153</v>
          </cell>
          <cell r="B2296" t="str">
            <v>FITA METALICA PERFURADA, L = *18* MM, ROLO DE 30 M, CARGA RECOMENDADA = *30* KGF</v>
          </cell>
          <cell r="C2296" t="str">
            <v xml:space="preserve">UN    </v>
          </cell>
          <cell r="D2296">
            <v>36.56</v>
          </cell>
        </row>
        <row r="2297">
          <cell r="A2297">
            <v>14152</v>
          </cell>
          <cell r="B2297" t="str">
            <v>FITA METALICA PERFURADA, L = 17 MM, ROLO DE 30 M, CARGA RECOMENDADA = *19* KGF</v>
          </cell>
          <cell r="C2297" t="str">
            <v xml:space="preserve">UN    </v>
          </cell>
          <cell r="D2297">
            <v>28.06</v>
          </cell>
        </row>
        <row r="2298">
          <cell r="A2298">
            <v>14154</v>
          </cell>
          <cell r="B2298" t="str">
            <v>FITA METALICA PERFURADA, L = 25 MM, ROLO DE 30 M, CARGA RECOMENDADA = *222,5* KGF</v>
          </cell>
          <cell r="C2298" t="str">
            <v xml:space="preserve">UN    </v>
          </cell>
          <cell r="D2298">
            <v>98.24</v>
          </cell>
        </row>
        <row r="2299">
          <cell r="A2299">
            <v>42015</v>
          </cell>
          <cell r="B2299" t="str">
            <v>FITA PLASTICA ZEBRADA PARA DEMARCACAO DE AREAS, LARGURA = 7 CM, SEM ADESIVO (COLETADO CAIXA)</v>
          </cell>
          <cell r="C2299" t="str">
            <v xml:space="preserve">M     </v>
          </cell>
          <cell r="D2299">
            <v>0.08</v>
          </cell>
        </row>
        <row r="2300">
          <cell r="A2300">
            <v>3146</v>
          </cell>
          <cell r="B2300" t="str">
            <v>FITA VEDA ROSCA EM ROLOS DE 18 MM X 10 M (L X C)</v>
          </cell>
          <cell r="C2300" t="str">
            <v xml:space="preserve">UN    </v>
          </cell>
          <cell r="D2300">
            <v>4.1500000000000004</v>
          </cell>
        </row>
        <row r="2301">
          <cell r="A2301">
            <v>3143</v>
          </cell>
          <cell r="B2301" t="str">
            <v>FITA VEDA ROSCA EM ROLOS DE 18 MM X 25 M (L X C)</v>
          </cell>
          <cell r="C2301" t="str">
            <v xml:space="preserve">UN    </v>
          </cell>
          <cell r="D2301">
            <v>9.44</v>
          </cell>
        </row>
        <row r="2302">
          <cell r="A2302">
            <v>3148</v>
          </cell>
          <cell r="B2302" t="str">
            <v>FITA VEDA ROSCA EM ROLOS DE 18 MM X 50 M (L X C)</v>
          </cell>
          <cell r="C2302" t="str">
            <v xml:space="preserve">UN    </v>
          </cell>
          <cell r="D2302">
            <v>15.3</v>
          </cell>
        </row>
        <row r="2303">
          <cell r="A2303">
            <v>4310</v>
          </cell>
          <cell r="B2303" t="str">
            <v>FIXADOR DE ABA AUTOTRAVANTE PARA TELHA DE FIBROCIMENTO, TIPO CANALETE 90 OU KALHETAO</v>
          </cell>
          <cell r="C2303" t="str">
            <v xml:space="preserve">UN    </v>
          </cell>
          <cell r="D2303">
            <v>1.84</v>
          </cell>
        </row>
        <row r="2304">
          <cell r="A2304">
            <v>4311</v>
          </cell>
          <cell r="B2304" t="str">
            <v>FIXADOR DE ABA SIMPLES PARA TELHA DE FIBROCIMENTO, TIPO CANALETA 49 OU KALHETA</v>
          </cell>
          <cell r="C2304" t="str">
            <v xml:space="preserve">UN    </v>
          </cell>
          <cell r="D2304">
            <v>1.3</v>
          </cell>
        </row>
        <row r="2305">
          <cell r="A2305">
            <v>4312</v>
          </cell>
          <cell r="B2305" t="str">
            <v>FIXADOR DE ABA SIMPLES PARA TELHA DE FIBROCIMENTO, TIPO CANALETA 90 OU KALHETAO</v>
          </cell>
          <cell r="C2305" t="str">
            <v xml:space="preserve">UN    </v>
          </cell>
          <cell r="D2305">
            <v>1.82</v>
          </cell>
        </row>
        <row r="2306">
          <cell r="A2306">
            <v>11162</v>
          </cell>
          <cell r="B2306" t="str">
            <v>FIXADOR DE CAL (SACHE 150 ML)</v>
          </cell>
          <cell r="C2306" t="str">
            <v xml:space="preserve">UN    </v>
          </cell>
          <cell r="D2306">
            <v>1.19</v>
          </cell>
        </row>
        <row r="2307">
          <cell r="A2307">
            <v>13261</v>
          </cell>
          <cell r="B2307" t="str">
            <v>FLANELA *30 X 40* CM</v>
          </cell>
          <cell r="C2307" t="str">
            <v xml:space="preserve">UN    </v>
          </cell>
          <cell r="D2307">
            <v>2.09</v>
          </cell>
        </row>
        <row r="2308">
          <cell r="A2308">
            <v>3255</v>
          </cell>
          <cell r="B2308" t="str">
            <v>FLANGE PVC, ROSCAVEL SEXTAVADO SEM FUROS 3/4"</v>
          </cell>
          <cell r="C2308" t="str">
            <v xml:space="preserve">UN    </v>
          </cell>
          <cell r="D2308">
            <v>5.0999999999999996</v>
          </cell>
        </row>
        <row r="2309">
          <cell r="A2309">
            <v>3254</v>
          </cell>
          <cell r="B2309" t="str">
            <v>FLANGE PVC, ROSCAVEL, SEXTAVADO, SEM FUROS 3"</v>
          </cell>
          <cell r="C2309" t="str">
            <v xml:space="preserve">UN    </v>
          </cell>
          <cell r="D2309">
            <v>82.79</v>
          </cell>
        </row>
        <row r="2310">
          <cell r="A2310">
            <v>3259</v>
          </cell>
          <cell r="B2310" t="str">
            <v>FLANGE PVC, ROSCAVEL, SEXTAVADO, SEM FUROS, 1 1/2"</v>
          </cell>
          <cell r="C2310" t="str">
            <v xml:space="preserve">UN    </v>
          </cell>
          <cell r="D2310">
            <v>9.9499999999999993</v>
          </cell>
        </row>
        <row r="2311">
          <cell r="A2311">
            <v>3258</v>
          </cell>
          <cell r="B2311" t="str">
            <v>FLANGE PVC, ROSCAVEL, SEXTAVADO, SEM FUROS, 1 1/4"</v>
          </cell>
          <cell r="C2311" t="str">
            <v xml:space="preserve">UN    </v>
          </cell>
          <cell r="D2311">
            <v>6.01</v>
          </cell>
        </row>
        <row r="2312">
          <cell r="A2312">
            <v>3251</v>
          </cell>
          <cell r="B2312" t="str">
            <v>FLANGE PVC, ROSCAVEL, SEXTAVADO, SEM FUROS, 1/2"</v>
          </cell>
          <cell r="C2312" t="str">
            <v xml:space="preserve">UN    </v>
          </cell>
          <cell r="D2312">
            <v>3.54</v>
          </cell>
        </row>
        <row r="2313">
          <cell r="A2313">
            <v>3256</v>
          </cell>
          <cell r="B2313" t="str">
            <v>FLANGE PVC, ROSCAVEL, SEXTAVADO, SEM FUROS, 1"</v>
          </cell>
          <cell r="C2313" t="str">
            <v xml:space="preserve">UN    </v>
          </cell>
          <cell r="D2313">
            <v>6.71</v>
          </cell>
        </row>
        <row r="2314">
          <cell r="A2314">
            <v>3261</v>
          </cell>
          <cell r="B2314" t="str">
            <v>FLANGE PVC, ROSCAVEL, SEXTAVADO, SEM FUROS, 2 1/2"</v>
          </cell>
          <cell r="C2314" t="str">
            <v xml:space="preserve">UN    </v>
          </cell>
          <cell r="D2314">
            <v>73.22</v>
          </cell>
        </row>
        <row r="2315">
          <cell r="A2315">
            <v>3260</v>
          </cell>
          <cell r="B2315" t="str">
            <v>FLANGE PVC, ROSCAVEL, SEXTAVADO, SEM FUROS, 2"</v>
          </cell>
          <cell r="C2315" t="str">
            <v xml:space="preserve">UN    </v>
          </cell>
          <cell r="D2315">
            <v>12.58</v>
          </cell>
        </row>
        <row r="2316">
          <cell r="A2316">
            <v>3272</v>
          </cell>
          <cell r="B2316" t="str">
            <v>FLANGE SEXTAVADO DE FERRO GALVANIZADO, COM ROSCA BSP, DE 1 1/2"</v>
          </cell>
          <cell r="C2316" t="str">
            <v xml:space="preserve">UN    </v>
          </cell>
          <cell r="D2316">
            <v>24.31</v>
          </cell>
        </row>
        <row r="2317">
          <cell r="A2317">
            <v>3265</v>
          </cell>
          <cell r="B2317" t="str">
            <v>FLANGE SEXTAVADO DE FERRO GALVANIZADO, COM ROSCA BSP, DE 1 1/4"</v>
          </cell>
          <cell r="C2317" t="str">
            <v xml:space="preserve">UN    </v>
          </cell>
          <cell r="D2317">
            <v>19.309999999999999</v>
          </cell>
        </row>
        <row r="2318">
          <cell r="A2318">
            <v>3262</v>
          </cell>
          <cell r="B2318" t="str">
            <v>FLANGE SEXTAVADO DE FERRO GALVANIZADO, COM ROSCA BSP, DE 1/2"</v>
          </cell>
          <cell r="C2318" t="str">
            <v xml:space="preserve">UN    </v>
          </cell>
          <cell r="D2318">
            <v>8.4499999999999993</v>
          </cell>
        </row>
        <row r="2319">
          <cell r="A2319">
            <v>3264</v>
          </cell>
          <cell r="B2319" t="str">
            <v>FLANGE SEXTAVADO DE FERRO GALVANIZADO, COM ROSCA BSP, DE 1"</v>
          </cell>
          <cell r="C2319" t="str">
            <v xml:space="preserve">UN    </v>
          </cell>
          <cell r="D2319">
            <v>13.88</v>
          </cell>
        </row>
        <row r="2320">
          <cell r="A2320">
            <v>3267</v>
          </cell>
          <cell r="B2320" t="str">
            <v>FLANGE SEXTAVADO DE FERRO GALVANIZADO, COM ROSCA BSP, DE 2 1/2"</v>
          </cell>
          <cell r="C2320" t="str">
            <v xml:space="preserve">UN    </v>
          </cell>
          <cell r="D2320">
            <v>45.35</v>
          </cell>
        </row>
        <row r="2321">
          <cell r="A2321">
            <v>3266</v>
          </cell>
          <cell r="B2321" t="str">
            <v>FLANGE SEXTAVADO DE FERRO GALVANIZADO, COM ROSCA BSP, DE 2"</v>
          </cell>
          <cell r="C2321" t="str">
            <v xml:space="preserve">UN    </v>
          </cell>
          <cell r="D2321">
            <v>28.85</v>
          </cell>
        </row>
        <row r="2322">
          <cell r="A2322">
            <v>3263</v>
          </cell>
          <cell r="B2322" t="str">
            <v>FLANGE SEXTAVADO DE FERRO GALVANIZADO, COM ROSCA BSP, DE 3/4"</v>
          </cell>
          <cell r="C2322" t="str">
            <v xml:space="preserve">UN    </v>
          </cell>
          <cell r="D2322">
            <v>11.55</v>
          </cell>
        </row>
        <row r="2323">
          <cell r="A2323">
            <v>3268</v>
          </cell>
          <cell r="B2323" t="str">
            <v>FLANGE SEXTAVADO DE FERRO GALVANIZADO, COM ROSCA BSP, DE 3"</v>
          </cell>
          <cell r="C2323" t="str">
            <v xml:space="preserve">UN    </v>
          </cell>
          <cell r="D2323">
            <v>61.32</v>
          </cell>
        </row>
        <row r="2324">
          <cell r="A2324">
            <v>3271</v>
          </cell>
          <cell r="B2324" t="str">
            <v>FLANGE SEXTAVADO DE FERRO GALVANIZADO, COM ROSCA BSP, DE 4"</v>
          </cell>
          <cell r="C2324" t="str">
            <v xml:space="preserve">UN    </v>
          </cell>
          <cell r="D2324">
            <v>90.65</v>
          </cell>
        </row>
        <row r="2325">
          <cell r="A2325">
            <v>3270</v>
          </cell>
          <cell r="B2325" t="str">
            <v>FLANGE SEXTAVADO DE FERRO GALVANIZADO, COM ROSCA BSP, DE 6"</v>
          </cell>
          <cell r="C2325" t="str">
            <v xml:space="preserve">UN    </v>
          </cell>
          <cell r="D2325">
            <v>152.31</v>
          </cell>
        </row>
        <row r="2326">
          <cell r="A2326">
            <v>3275</v>
          </cell>
          <cell r="B2326" t="str">
            <v>FORRO COMPOSTO POR PAINEIS DE LA DE VIDRO, REVESTIDOS EM PVC MICROPERFURADO, DE *1250 X 625* MM, ESPESSURA 15 MM (COM COLOCACAO)</v>
          </cell>
          <cell r="C2326" t="str">
            <v xml:space="preserve">M2    </v>
          </cell>
          <cell r="D2326">
            <v>67.67</v>
          </cell>
        </row>
        <row r="2327">
          <cell r="A2327">
            <v>39512</v>
          </cell>
          <cell r="B2327" t="str">
            <v>FORRO DE FIBRA MINERAL EM PLACAS DE 1250 X 625 MM, E = 15 MM, BORDA RETA, COM PINTURA ANTIMOFO, APOIADO EM PERFIL DE ACO GALVANIZADO COM 24 MM DE BASE - INSTALADO</v>
          </cell>
          <cell r="C2327" t="str">
            <v xml:space="preserve">M2    </v>
          </cell>
          <cell r="D2327">
            <v>69.349999999999994</v>
          </cell>
        </row>
        <row r="2328">
          <cell r="A2328">
            <v>39511</v>
          </cell>
          <cell r="B2328" t="str">
            <v>FORRO DE FIBRA MINERAL EM PLACAS DE 625 X 625 MM, E = 15 MM, BORDA RETA, COM PINTURA ANTIMOFO, APOIADO EM PERFIL DE ACO GALVANIZADO COM 24 MM DE BASE - INSTALADO</v>
          </cell>
          <cell r="C2328" t="str">
            <v xml:space="preserve">M2    </v>
          </cell>
          <cell r="D2328">
            <v>75.64</v>
          </cell>
        </row>
        <row r="2329">
          <cell r="A2329">
            <v>39513</v>
          </cell>
          <cell r="B2329" t="str">
            <v>FORRO DE FIBRA MINERAL EM PLACAS DE 625 X 625 MM, E = 15/16 MM, BORDA REBAIXADA, COM PINTURA ANTIMOFO, APOIADO EM PERFIL DE ACO GALVANIZADO COM 24 MM DE BASE - INSTALADO</v>
          </cell>
          <cell r="C2329" t="str">
            <v xml:space="preserve">M2    </v>
          </cell>
          <cell r="D2329">
            <v>81.13</v>
          </cell>
        </row>
        <row r="2330">
          <cell r="A2330">
            <v>3286</v>
          </cell>
          <cell r="B2330" t="str">
            <v>FORRO DE MADEIRA CEDRINHO OU EQUIVALENTE DA REGIAO, ENCAIXE MACHO/FEMEA COM FRISO, *10 X 1* CM (SEM COLOCACAO)</v>
          </cell>
          <cell r="C2330" t="str">
            <v xml:space="preserve">M2    </v>
          </cell>
          <cell r="D2330">
            <v>49.63</v>
          </cell>
        </row>
        <row r="2331">
          <cell r="A2331">
            <v>3287</v>
          </cell>
          <cell r="B2331" t="str">
            <v>FORRO DE MADEIRA CUMARU/IPE CHAMPANHE OU EQUIVALENTE DA REGIAO, ENCAIXE MACHO/FEMEA COM FRISO, *10 X 1* CM (SEM COLOCACAO)</v>
          </cell>
          <cell r="C2331" t="str">
            <v xml:space="preserve">M2    </v>
          </cell>
          <cell r="D2331">
            <v>75</v>
          </cell>
        </row>
        <row r="2332">
          <cell r="A2332">
            <v>3283</v>
          </cell>
          <cell r="B2332" t="str">
            <v>FORRO DE MADEIRA PINUS OU EQUIVALENTE DA REGIAO, ENCAIXE MACHO/FEMEA COM FRISO, *10 X 1* CM (SEM COLOCACAO)</v>
          </cell>
          <cell r="C2332" t="str">
            <v xml:space="preserve">M2    </v>
          </cell>
          <cell r="D2332">
            <v>15.75</v>
          </cell>
        </row>
        <row r="2333">
          <cell r="A2333">
            <v>11587</v>
          </cell>
          <cell r="B2333" t="str">
            <v>FORRO DE PVC LISO, BRANCO, REGUA DE 10 CM, ESPESSURA DE 8 MM A 10 MM (COM COLOCACAO / SEM ESTRUTURA METALICA)</v>
          </cell>
          <cell r="C2333" t="str">
            <v xml:space="preserve">M2    </v>
          </cell>
          <cell r="D2333">
            <v>46.4</v>
          </cell>
        </row>
        <row r="2334">
          <cell r="A2334">
            <v>36225</v>
          </cell>
          <cell r="B2334" t="str">
            <v>FORRO DE PVC LISO, BRANCO, REGUA DE 20 CM, ESPESSURA DE 8 MM A 10 MM, COMPRIMENTO 6 M (SEM COLOCACAO)</v>
          </cell>
          <cell r="C2334" t="str">
            <v xml:space="preserve">M2    </v>
          </cell>
          <cell r="D2334">
            <v>18.850000000000001</v>
          </cell>
        </row>
        <row r="2335">
          <cell r="A2335">
            <v>36230</v>
          </cell>
          <cell r="B2335" t="str">
            <v>FORRO DE PVC, FRISADO, BRANCO, REGUA DE 10 CM, ESPESSURA DE 8 MM A 10 MM E COMPRIMENTO 6 M (SEM COLOCACAO)</v>
          </cell>
          <cell r="C2335" t="str">
            <v xml:space="preserve">M2    </v>
          </cell>
          <cell r="D2335">
            <v>13.85</v>
          </cell>
        </row>
        <row r="2336">
          <cell r="A2336">
            <v>36238</v>
          </cell>
          <cell r="B2336" t="str">
            <v>FORRO DE PVC, FRISADO, BRANCO, REGUA DE 20 CM, ESPESSURA DE 8 MM A 10 MM E COMPRIMENTO 6 M (SEM COLOCACAO)</v>
          </cell>
          <cell r="C2336" t="str">
            <v xml:space="preserve">M2    </v>
          </cell>
          <cell r="D2336">
            <v>13.53</v>
          </cell>
        </row>
        <row r="2337">
          <cell r="A2337">
            <v>11887</v>
          </cell>
          <cell r="B2337" t="str">
            <v>FOSSA SEPTICA CILINDRICA TIPO "IMHOFF", COM TAMPA, PARA 50 CONTRIBUINTES</v>
          </cell>
          <cell r="C2337" t="str">
            <v xml:space="preserve">UN    </v>
          </cell>
          <cell r="D2337">
            <v>3189.9</v>
          </cell>
        </row>
        <row r="2338">
          <cell r="A2338">
            <v>11883</v>
          </cell>
          <cell r="B2338" t="str">
            <v>FOSSA SEPTICA CILINDRICA, TIPO "IMHOFF", COM TAMPA, PARA 100 CONTRIBUINTES</v>
          </cell>
          <cell r="C2338" t="str">
            <v xml:space="preserve">UN    </v>
          </cell>
          <cell r="D2338">
            <v>4689.72</v>
          </cell>
        </row>
        <row r="2339">
          <cell r="A2339">
            <v>11884</v>
          </cell>
          <cell r="B2339" t="str">
            <v>FOSSA SEPTICA CILINDRICA, TIPO "IMHOFF", COM TAMPA, PARA 150 CONTRIBUINTES</v>
          </cell>
          <cell r="C2339" t="str">
            <v xml:space="preserve">UN    </v>
          </cell>
          <cell r="D2339">
            <v>5031.66</v>
          </cell>
        </row>
        <row r="2340">
          <cell r="A2340">
            <v>11885</v>
          </cell>
          <cell r="B2340" t="str">
            <v>FOSSA SEPTICA CILINDRICA, TIPO "IMHOFF", COM TAMPA, PARA 200 CONTRIBUINTES</v>
          </cell>
          <cell r="C2340" t="str">
            <v xml:space="preserve">UN    </v>
          </cell>
          <cell r="D2340">
            <v>5612</v>
          </cell>
        </row>
        <row r="2341">
          <cell r="A2341">
            <v>11886</v>
          </cell>
          <cell r="B2341" t="str">
            <v>FOSSA SEPTICA CILINDRICA, TIPO "IMHOFF", COM TAMPA, PARA 30 CONTRIBUINTES</v>
          </cell>
          <cell r="C2341" t="str">
            <v xml:space="preserve">UN    </v>
          </cell>
          <cell r="D2341">
            <v>1808.73</v>
          </cell>
        </row>
        <row r="2342">
          <cell r="A2342">
            <v>11888</v>
          </cell>
          <cell r="B2342" t="str">
            <v>FOSSA SEPTICA CILINDRICA, TIPO "IMHOFF", COM TAMPA, PARA 75 CONTRIBUINTES</v>
          </cell>
          <cell r="C2342" t="str">
            <v xml:space="preserve">UN    </v>
          </cell>
          <cell r="D2342">
            <v>4247.6099999999997</v>
          </cell>
        </row>
        <row r="2343">
          <cell r="A2343">
            <v>3277</v>
          </cell>
          <cell r="B2343" t="str">
            <v>FOSSA SEPTICA CONCRETO PRE MOLDADO PARA 10 CONTRIBUINTES - *90 X 90* CM</v>
          </cell>
          <cell r="C2343" t="str">
            <v xml:space="preserve">UN    </v>
          </cell>
          <cell r="D2343">
            <v>716.33</v>
          </cell>
        </row>
        <row r="2344">
          <cell r="A2344">
            <v>3281</v>
          </cell>
          <cell r="B2344" t="str">
            <v>FOSSA SEPTICA CONCRETO PRE MOLDADO PARA 5 CONTRIBUINTES *90 X 70* CM</v>
          </cell>
          <cell r="C2344" t="str">
            <v xml:space="preserve">UN    </v>
          </cell>
          <cell r="D2344">
            <v>593.21</v>
          </cell>
        </row>
        <row r="2345">
          <cell r="A2345">
            <v>39363</v>
          </cell>
          <cell r="B2345" t="str">
            <v>FOSSA SEPTICA, SEM FILTRO, PARA 15 A 30 CONTRIBUINTES, CILINDRICA, COM TAMPA, EM POLIETILENO DE ALTA DENSIDADE (PEAD), CAPACIDADE APROXIMADA DE 5500 LITROS (NBR 7229)</v>
          </cell>
          <cell r="C2345" t="str">
            <v xml:space="preserve">UN    </v>
          </cell>
          <cell r="D2345">
            <v>3005.45</v>
          </cell>
        </row>
        <row r="2346">
          <cell r="A2346">
            <v>39361</v>
          </cell>
          <cell r="B2346" t="str">
            <v>FOSSA SEPTICA, SEM FILTRO, PARA 4 A 7 CONTRIBUINTES, CILINDRICA,  COM TAMPA, EM POLIETILENO DE ALTA DENSIDADE (PEAD), CAPACIDADE APROXIMADA DE 1100 LITROS (NBR 7229)</v>
          </cell>
          <cell r="C2346" t="str">
            <v xml:space="preserve">UN    </v>
          </cell>
          <cell r="D2346">
            <v>772.83</v>
          </cell>
        </row>
        <row r="2347">
          <cell r="A2347">
            <v>39362</v>
          </cell>
          <cell r="B2347" t="str">
            <v>FOSSA SEPTICA, SEM FILTRO, PARA 8 A 14 CONTRIBUINTES, CILINDRICA, COM TAMPA, EM POLIETILENO DE ALTA DENSIDADE (PEAD), CAPACIDADE APROXIMADA DE 3000 LITROS (NBR 7229)</v>
          </cell>
          <cell r="C2347" t="str">
            <v xml:space="preserve">UN    </v>
          </cell>
          <cell r="D2347">
            <v>2378.1999999999998</v>
          </cell>
        </row>
        <row r="2348">
          <cell r="A2348">
            <v>39364</v>
          </cell>
          <cell r="B2348" t="str">
            <v>FOSSA SEPTICA,SEM FILTRO, PARA 40 A 52 CONTRIBUINTES, CILINDRICA, COM TAMPA, EM POLIETILENO DE ALTA DENSIDADE (PEAD), CAPACIDADE APROXIMADA DE 10000 LITROS (NBR 7229)</v>
          </cell>
          <cell r="C2348" t="str">
            <v xml:space="preserve">UN    </v>
          </cell>
          <cell r="D2348">
            <v>6869.62</v>
          </cell>
        </row>
        <row r="2349">
          <cell r="A2349">
            <v>14576</v>
          </cell>
          <cell r="B2349" t="str">
            <v>FRESADORA DE ASFALTO A FRIO SOBRE ESTEIRAS, LARG. FRESAGEM 2,00 M, POT. 410 KW/550 HP</v>
          </cell>
          <cell r="C2349" t="str">
            <v xml:space="preserve">UN    </v>
          </cell>
          <cell r="D2349">
            <v>4342593.45</v>
          </cell>
        </row>
        <row r="2350">
          <cell r="A2350">
            <v>13877</v>
          </cell>
          <cell r="B2350" t="str">
            <v>FRESADORA DE ASFALTO A FRIO SOBRE RODAS, LARG. FRESAGEM 1,00 M, POT. 155 KW/208 HP</v>
          </cell>
          <cell r="C2350" t="str">
            <v xml:space="preserve">UN    </v>
          </cell>
          <cell r="D2350">
            <v>1858999.48</v>
          </cell>
        </row>
        <row r="2351">
          <cell r="A2351">
            <v>7307</v>
          </cell>
          <cell r="B2351" t="str">
            <v>FUNDO ANTICORROSIVO PARA METAIS FERROSOS (ZARCAO)</v>
          </cell>
          <cell r="C2351" t="str">
            <v xml:space="preserve">L     </v>
          </cell>
          <cell r="D2351">
            <v>21.32</v>
          </cell>
        </row>
        <row r="2352">
          <cell r="A2352">
            <v>38122</v>
          </cell>
          <cell r="B2352" t="str">
            <v>FUNDO PREPARADOR ACRILICO BASE AGUA</v>
          </cell>
          <cell r="C2352" t="str">
            <v xml:space="preserve">L     </v>
          </cell>
          <cell r="D2352">
            <v>6.53</v>
          </cell>
        </row>
        <row r="2353">
          <cell r="A2353">
            <v>6086</v>
          </cell>
          <cell r="B2353" t="str">
            <v>FUNDO SINTETICO NIVELADOR BRANCO FOSCO PARA MADEIRA</v>
          </cell>
          <cell r="C2353" t="str">
            <v xml:space="preserve">GL    </v>
          </cell>
          <cell r="D2353">
            <v>58.51</v>
          </cell>
        </row>
        <row r="2354">
          <cell r="A2354">
            <v>38633</v>
          </cell>
          <cell r="B2354" t="str">
            <v>FURO PARA TORNEIRA OU OUTROS ACESSORIOS  EM BANCADA DE MARMORE/ GRANITO OU OUTRO TIPO DE PEDRA NATURAL</v>
          </cell>
          <cell r="C2354" t="str">
            <v xml:space="preserve">UN    </v>
          </cell>
          <cell r="D2354">
            <v>14.12</v>
          </cell>
        </row>
        <row r="2355">
          <cell r="A2355">
            <v>12344</v>
          </cell>
          <cell r="B2355" t="str">
            <v>FUSIVEL DIAZED 20 A TAMANHO DII, CAPACIDADE DE INTERRUPCAO DE 50 KA EM VCA E 8 KA EM VCC, TENSAO NOMIMNAL DE 500 V</v>
          </cell>
          <cell r="C2355" t="str">
            <v xml:space="preserve">UN    </v>
          </cell>
          <cell r="D2355">
            <v>1.65</v>
          </cell>
        </row>
        <row r="2356">
          <cell r="A2356">
            <v>12343</v>
          </cell>
          <cell r="B2356" t="str">
            <v>FUSIVEL DIAZED 35 A TAMANHO DIII, CAPACIDADE DE INTERRUPCAO DE 50 KA EM VCA E 8 KA EM VCC, TENSAO NOMIMNAL DE 500 V</v>
          </cell>
          <cell r="C2356" t="str">
            <v xml:space="preserve">UN    </v>
          </cell>
          <cell r="D2356">
            <v>2.56</v>
          </cell>
        </row>
        <row r="2357">
          <cell r="A2357">
            <v>3295</v>
          </cell>
          <cell r="B2357" t="str">
            <v>FUSIVEL NH *36* A 80 AMPERES, TAMANHO 00, CAPACIDADE DE INTERRUPCAO DE 120 KA, TENSAO NOMIMNAL DE 500 V</v>
          </cell>
          <cell r="C2357" t="str">
            <v xml:space="preserve">UN    </v>
          </cell>
          <cell r="D2357">
            <v>8.94</v>
          </cell>
        </row>
        <row r="2358">
          <cell r="A2358">
            <v>3302</v>
          </cell>
          <cell r="B2358" t="str">
            <v>FUSIVEL NH 100 A TAMANHO 00, CAPACIDADE DE INTERRUPCAO DE 120 KA, TENSAO NOMIMNAL DE 500 V</v>
          </cell>
          <cell r="C2358" t="str">
            <v xml:space="preserve">UN    </v>
          </cell>
          <cell r="D2358">
            <v>9.35</v>
          </cell>
        </row>
        <row r="2359">
          <cell r="A2359">
            <v>3297</v>
          </cell>
          <cell r="B2359" t="str">
            <v>FUSIVEL NH 125 A TAMANHO 00, CAPACIDADE DE INTERRUPCAO DE 120 KA, TENSAO NOMIMNAL DE 500 V</v>
          </cell>
          <cell r="C2359" t="str">
            <v xml:space="preserve">UN    </v>
          </cell>
          <cell r="D2359">
            <v>9.98</v>
          </cell>
        </row>
        <row r="2360">
          <cell r="A2360">
            <v>3294</v>
          </cell>
          <cell r="B2360" t="str">
            <v>FUSIVEL NH 160 A TAMANHO 00, CAPACIDADE DE INTERRUPCAO DE 120 KA, TENSAO NOMIMNAL DE 500 V</v>
          </cell>
          <cell r="C2360" t="str">
            <v xml:space="preserve">UN    </v>
          </cell>
          <cell r="D2360">
            <v>10.130000000000001</v>
          </cell>
        </row>
        <row r="2361">
          <cell r="A2361">
            <v>3292</v>
          </cell>
          <cell r="B2361" t="str">
            <v>FUSIVEL NH 20 A TAMANHO 000, CAPACIDADE DE INTERRUPCAO DE 120 KA, TENSAO NOMIMNAL DE 500 V</v>
          </cell>
          <cell r="C2361" t="str">
            <v xml:space="preserve">UN    </v>
          </cell>
          <cell r="D2361">
            <v>9.52</v>
          </cell>
        </row>
        <row r="2362">
          <cell r="A2362">
            <v>3298</v>
          </cell>
          <cell r="B2362" t="str">
            <v>FUSIVEL NH 200 A 250 AMPERES, TAMANHO 1, CAPACIDADE DE INTERRUPCAO DE 120 KA, TENSAO NOMIMNAL DE 500 V</v>
          </cell>
          <cell r="C2362" t="str">
            <v xml:space="preserve">UN    </v>
          </cell>
          <cell r="D2362">
            <v>22.31</v>
          </cell>
        </row>
        <row r="2363">
          <cell r="A2363">
            <v>11596</v>
          </cell>
          <cell r="B2363" t="str">
            <v>GABIAO  TIPO CAIXA, MALHA HEXAGONAL 8 X 10 CM (ZN/AL), FIO 2,7 MM, DIMENSOES 2,0 X 1,0 X 0,5 M (C X L X A)</v>
          </cell>
          <cell r="C2363" t="str">
            <v xml:space="preserve">UN    </v>
          </cell>
          <cell r="D2363">
            <v>427.37</v>
          </cell>
        </row>
        <row r="2364">
          <cell r="A2364">
            <v>34802</v>
          </cell>
          <cell r="B2364" t="str">
            <v>GABIAO MANTA (COLCHAO) MALHA HEXAGONAL 6 X 8 CM (ZN/AL REVESTIDO COM POLIMERO), DIMENSOES 4,0 X 2,0 X 0,17 M (C X L X A) FIO 2 MM</v>
          </cell>
          <cell r="C2364" t="str">
            <v xml:space="preserve">UN    </v>
          </cell>
          <cell r="D2364">
            <v>1173.69</v>
          </cell>
        </row>
        <row r="2365">
          <cell r="A2365">
            <v>11588</v>
          </cell>
          <cell r="B2365" t="str">
            <v>GABIAO MANTA (COLCHAO) MALHA HEXAGONAL 6 X 8 CM (ZN/AL REVESTIDO COM POLIMERO), FIO 2 MM, DIMENSOES 4,0 X 2,0 X 0,23 M (C X L X A)</v>
          </cell>
          <cell r="C2365" t="str">
            <v xml:space="preserve">UN    </v>
          </cell>
          <cell r="D2365">
            <v>1266.23</v>
          </cell>
        </row>
        <row r="2366">
          <cell r="A2366">
            <v>34383</v>
          </cell>
          <cell r="B2366" t="str">
            <v>GABIAO MANTA (COLCHAO) MALHA HEXAGONAL 6 X 8 CM (ZN/AL REVESTIDO COM POLIMERO), FIO 2 MM, DIMENSOES 4,0 X 2,0 X 0,3 M (C X L X A)</v>
          </cell>
          <cell r="C2366" t="str">
            <v xml:space="preserve">UN    </v>
          </cell>
          <cell r="D2366">
            <v>1392.94</v>
          </cell>
        </row>
        <row r="2367">
          <cell r="A2367">
            <v>40451</v>
          </cell>
          <cell r="B2367" t="str">
            <v>GABIAO MANTA (COLCHAO) MALHA HEXAGONAL 6 X 8 CM (ZN/AL REVESTIDO COM POLIMERO), FIO 2,0 MM, DIMENSOES 5,0 X 2,0 X 0,17 M (C X L X A)</v>
          </cell>
          <cell r="C2367" t="str">
            <v xml:space="preserve">M2    </v>
          </cell>
          <cell r="D2367">
            <v>112.6</v>
          </cell>
        </row>
        <row r="2368">
          <cell r="A2368">
            <v>40453</v>
          </cell>
          <cell r="B2368" t="str">
            <v>GABIAO MANTA (COLCHAO) MALHA HEXAGONAL 6 X 8 CM (ZN/AL REVESTIDO COM POLIMERO), FIO 2,0 MM, DIMENSOES 5,0 X 2,0 X 0,23 M (C X L X A)</v>
          </cell>
          <cell r="C2368" t="str">
            <v xml:space="preserve">M2    </v>
          </cell>
          <cell r="D2368">
            <v>121.83</v>
          </cell>
        </row>
        <row r="2369">
          <cell r="A2369">
            <v>40452</v>
          </cell>
          <cell r="B2369" t="str">
            <v>GABIAO MANTA (COLCHAO) MALHA HEXAGONAL 6 X 8 CM (ZN/AL REVESTIDO COM POLIMERO), FIO 2,0 MM, DIMENSOES 5,0 X 2,0 X 0,30 M (C X L X A)</v>
          </cell>
          <cell r="C2369" t="str">
            <v xml:space="preserve">M2    </v>
          </cell>
          <cell r="D2369">
            <v>133.63</v>
          </cell>
        </row>
        <row r="2370">
          <cell r="A2370">
            <v>11594</v>
          </cell>
          <cell r="B2370" t="str">
            <v>GABIAO SACO MALHA HEXAGONAL 8 X 10 CM (ZN/AL REVESTIDO COM POLIMERO),  FIO 2,4 MM, DIMENSOES 3,0 X 0,65 M</v>
          </cell>
          <cell r="C2370" t="str">
            <v xml:space="preserve">UN    </v>
          </cell>
          <cell r="D2370">
            <v>403.58</v>
          </cell>
        </row>
        <row r="2371">
          <cell r="A2371">
            <v>3311</v>
          </cell>
          <cell r="B2371" t="str">
            <v>GABIAO SACO MALHA HEXAGONAL 8 X 10 CM (ZN/AL REVESTIDO COM POLIMERO), FIO 2,4 MM, H = 0,65 M</v>
          </cell>
          <cell r="C2371" t="str">
            <v xml:space="preserve">M3    </v>
          </cell>
          <cell r="D2371">
            <v>403.58</v>
          </cell>
        </row>
        <row r="2372">
          <cell r="A2372">
            <v>11599</v>
          </cell>
          <cell r="B2372" t="str">
            <v>GABIAO SACO MALHA HEXAGONAL 8 X 10 CM (ZN/AL), FIO 2,7 MM, DIMENSOES 4,0 X 0,65 M</v>
          </cell>
          <cell r="C2372" t="str">
            <v xml:space="preserve">UN    </v>
          </cell>
          <cell r="D2372">
            <v>536.72</v>
          </cell>
        </row>
        <row r="2373">
          <cell r="A2373">
            <v>11593</v>
          </cell>
          <cell r="B2373" t="str">
            <v>GABIAO TIPO CAIXA MALHA HEXAGONAL 8 X 10 CM (ZN/AL REVESTIDO COM POLIMERO),  FIO 2,4 MM, DIMENSOES 2,0 X 1,0 X 1,0 M (C X L X A)</v>
          </cell>
          <cell r="C2373" t="str">
            <v xml:space="preserve">UN    </v>
          </cell>
          <cell r="D2373">
            <v>752.44</v>
          </cell>
        </row>
        <row r="2374">
          <cell r="A2374">
            <v>3314</v>
          </cell>
          <cell r="B2374" t="str">
            <v>GABIAO TIPO CAIXA MALHA HEXAGONAL 8 X 10 CM (ZN/AL REVESTIDO COM POLIMERO),  FIO 2,4 MM, H = 0,50 M</v>
          </cell>
          <cell r="C2374" t="str">
            <v xml:space="preserve">M3    </v>
          </cell>
          <cell r="D2374">
            <v>538.15</v>
          </cell>
        </row>
        <row r="2375">
          <cell r="A2375">
            <v>11597</v>
          </cell>
          <cell r="B2375" t="str">
            <v>GABIAO TIPO CAIXA MALHA HEXAGONAL 8 X 10 CM (ZN/AL), FIO 2,7 MM, DIMENSOES 2,0 X 1,0 X 1,0 M (C X L X A)</v>
          </cell>
          <cell r="C2375" t="str">
            <v xml:space="preserve">UN    </v>
          </cell>
          <cell r="D2375">
            <v>625.79999999999995</v>
          </cell>
        </row>
        <row r="2376">
          <cell r="A2376">
            <v>3309</v>
          </cell>
          <cell r="B2376" t="str">
            <v>GABIAO TIPO CAIXA MALHA HEXAGONAL 8 X 10 CM (ZN/AL), FIO 2,7 MM, H = 0,50 M</v>
          </cell>
          <cell r="C2376" t="str">
            <v xml:space="preserve">M3    </v>
          </cell>
          <cell r="D2376">
            <v>427.37</v>
          </cell>
        </row>
        <row r="2377">
          <cell r="A2377">
            <v>34612</v>
          </cell>
          <cell r="B2377" t="str">
            <v>GABIAO TIPO CAIXA PARA SOLO REFORCADO, MALHA HEXAGONAL DE DUPLA TORCAO 8 X 10 CM (ZN/AL REVESTIDO COM POLIMERO), FIO 2,7 MM, DIMENSOES 2,0 X 1,0 X 0,5 M, COM CAUDA DE 3,0 M</v>
          </cell>
          <cell r="C2377" t="str">
            <v xml:space="preserve">UN    </v>
          </cell>
          <cell r="D2377">
            <v>774.01</v>
          </cell>
        </row>
        <row r="2378">
          <cell r="A2378">
            <v>34635</v>
          </cell>
          <cell r="B2378" t="str">
            <v>GABIAO TIPO CAIXA PARA SOLO REFORCADO, MALHA HEXAGONAL DE DUPLA TORCAO 8 X 10 CM (ZN/AL REVESTIDO COM POLIMERO), FIO 2,7 MM, DIMENSOES 2,0 X 1,0 X 1,0 M, COM CAUDA DE 3,0 M</v>
          </cell>
          <cell r="C2378" t="str">
            <v xml:space="preserve">UN    </v>
          </cell>
          <cell r="D2378">
            <v>995.34</v>
          </cell>
        </row>
        <row r="2379">
          <cell r="A2379">
            <v>34633</v>
          </cell>
          <cell r="B2379" t="str">
            <v>GABIAO TIPO CAIXA PARA SOLO REFORCADO, MALHA HEXAGONAL DE DUPLA TORCAO 8 X 10 CM (ZN/AL REVESTIDO COM POLIMERO), FIO 2,7 MM, DIMENSOES 2,0 X 1,0 X 1,0 M, COM CAUDA DE 4,0 M</v>
          </cell>
          <cell r="C2379" t="str">
            <v xml:space="preserve">UN    </v>
          </cell>
          <cell r="D2379">
            <v>1097.1300000000001</v>
          </cell>
        </row>
        <row r="2380">
          <cell r="A2380">
            <v>40440</v>
          </cell>
          <cell r="B2380" t="str">
            <v>GABIAO TIPO CAIXA PARA SOLO REFORCADO, MALHA HEXAGONAL 8 X 10 CM (ZN/AL REVESTIDO COM POLIMERO), FIO 2,7 MM, DIMENSOES 2,0 X 1,0 X 0,5 M, COM CAUDA DE 4,0 M</v>
          </cell>
          <cell r="C2380" t="str">
            <v xml:space="preserve">M3    </v>
          </cell>
          <cell r="D2380">
            <v>560.54</v>
          </cell>
        </row>
        <row r="2381">
          <cell r="A2381">
            <v>40441</v>
          </cell>
          <cell r="B2381" t="str">
            <v>GABIAO TIPO CAIXA PARA SOLO REFORCADO, MALHA HEXAGONAL 8 X 10 CM (ZN/AL REVESTIDO COM POLIMERO), FIO 2,7 MM, DIMENSOES 2,0 X 1,0 X 1,0 M, COM CAUDA DE 4,0 M</v>
          </cell>
          <cell r="C2381" t="str">
            <v xml:space="preserve">M3    </v>
          </cell>
          <cell r="D2381">
            <v>357.87</v>
          </cell>
        </row>
        <row r="2382">
          <cell r="A2382">
            <v>40449</v>
          </cell>
          <cell r="B2382" t="str">
            <v>GABIAO TIPO CAIXA TRAPEZOIDAL, MALHA HEXAGONAL 10 X 12 CM (ZN/AL REVESTIDO COM POLIMERO) FIO 2,7 MM, FACE COM 65 GRAUS, COM GEOSSINTETICO, DIMENSOES 2,0 X 1,5 X 1,0 M (C X L X A)</v>
          </cell>
          <cell r="C2382" t="str">
            <v xml:space="preserve">M3    </v>
          </cell>
          <cell r="D2382">
            <v>300.85000000000002</v>
          </cell>
        </row>
        <row r="2383">
          <cell r="A2383">
            <v>34800</v>
          </cell>
          <cell r="B2383" t="str">
            <v>GABIAO TIPO CAIXA, MALHA HEXAGONAL 8 X 10 CM (ZN/AL REVESTIDO COM POLIMERO), FIO DE 2,4 MM, DIMENSOES 2,0 x 1,0 x 1,0 M (C X L X A)</v>
          </cell>
          <cell r="C2383" t="str">
            <v xml:space="preserve">M3    </v>
          </cell>
          <cell r="D2383">
            <v>376.22</v>
          </cell>
        </row>
        <row r="2384">
          <cell r="A2384">
            <v>11592</v>
          </cell>
          <cell r="B2384" t="str">
            <v>GABIAO TIPO CAIXA, MALHA HEXAGONAL 8 X 10 CM (ZN/AL REVESTIDO COM POLIMERO), FIO 2,4 MM, DIMENSOES 2,0 X 1,0 X 0,5 M (C X L X A)</v>
          </cell>
          <cell r="C2384" t="str">
            <v xml:space="preserve">UN    </v>
          </cell>
          <cell r="D2384">
            <v>538.15</v>
          </cell>
        </row>
        <row r="2385">
          <cell r="A2385">
            <v>40438</v>
          </cell>
          <cell r="B2385" t="str">
            <v>GABIAO TIPO CAIXA, MALHA HEXAGONAL 8 X 10 CM (ZN/AL), FIO DE 2,7 MM, DIMENSOES 2,0 X 1,0 X 1,0 M (C X L X A)</v>
          </cell>
          <cell r="C2385" t="str">
            <v xml:space="preserve">M3    </v>
          </cell>
          <cell r="D2385">
            <v>250.64</v>
          </cell>
        </row>
        <row r="2386">
          <cell r="A2386">
            <v>40436</v>
          </cell>
          <cell r="B2386" t="str">
            <v>GABIAO TIPO CAIXA, MALHA HEXAGONAL 8 X 10 CM (ZN/AL), FIO DE 2,7 MM, DIMENSOES 5,0 X 1,0 X 1,0 M (C X L X A)</v>
          </cell>
          <cell r="C2386" t="str">
            <v xml:space="preserve">M3    </v>
          </cell>
          <cell r="D2386">
            <v>312.52999999999997</v>
          </cell>
        </row>
        <row r="2387">
          <cell r="A2387">
            <v>4315</v>
          </cell>
          <cell r="B2387" t="str">
            <v>GANCHO CHATO EM FERRO GALVANIZADO,  L = 110 MM, RECOBRIMENTO = 100MM, SECAO 1/8 X 1/2" (3 MM X 12 MM), PARA FIXAR TELHA DE FIBROCIMENTO ONDULADA</v>
          </cell>
          <cell r="C2387" t="str">
            <v xml:space="preserve">UN    </v>
          </cell>
          <cell r="D2387">
            <v>1.34</v>
          </cell>
        </row>
        <row r="2388">
          <cell r="A2388">
            <v>42482</v>
          </cell>
          <cell r="B2388" t="str">
            <v>GANCHO L COM ROSCA, PARA FIXAR TELHA EM MADEIRA, 1/4" X 350 MM (COLETADO CAIXA)</v>
          </cell>
          <cell r="C2388" t="str">
            <v xml:space="preserve">UN    </v>
          </cell>
          <cell r="D2388">
            <v>1.78</v>
          </cell>
        </row>
        <row r="2389">
          <cell r="A2389">
            <v>402</v>
          </cell>
          <cell r="B2389" t="str">
            <v>GANCHO OLHAL EM ACO GALVANIZADO, ESPESSURA 16MM, ABERTURA 21MM</v>
          </cell>
          <cell r="C2389" t="str">
            <v xml:space="preserve">UN    </v>
          </cell>
          <cell r="D2389">
            <v>8.8000000000000007</v>
          </cell>
        </row>
        <row r="2390">
          <cell r="A2390">
            <v>4226</v>
          </cell>
          <cell r="B2390" t="str">
            <v>GAS DE COZINHA - GLP</v>
          </cell>
          <cell r="C2390" t="str">
            <v xml:space="preserve">KG    </v>
          </cell>
          <cell r="D2390">
            <v>7.38</v>
          </cell>
        </row>
        <row r="2391">
          <cell r="A2391">
            <v>4222</v>
          </cell>
          <cell r="B2391" t="str">
            <v>GASOLINA COMUM</v>
          </cell>
          <cell r="C2391" t="str">
            <v xml:space="preserve">L     </v>
          </cell>
          <cell r="D2391">
            <v>4.4800000000000004</v>
          </cell>
        </row>
        <row r="2392">
          <cell r="A2392">
            <v>34804</v>
          </cell>
          <cell r="B2392" t="str">
            <v>GEOGRELHA TECIDA COM FILAMENTOS DE POLIESTER + PVC, RESISTENCIA LONGITUDINAL: 90 KN/M, RESISTENCIA TRANSVERSAL: 30 KN/M, ALONGAMENTO = 12 POR CENTO</v>
          </cell>
          <cell r="C2392" t="str">
            <v xml:space="preserve">M2    </v>
          </cell>
          <cell r="D2392">
            <v>45.43</v>
          </cell>
        </row>
        <row r="2393">
          <cell r="A2393">
            <v>4013</v>
          </cell>
          <cell r="B2393" t="str">
            <v>GEOTEXTIL NAO TECIDO AGULHADO DE FILAMENTOS CONTINUOS 100% POLIESTER, RESITENCIA A TRACAO = 09 KN/M</v>
          </cell>
          <cell r="C2393" t="str">
            <v xml:space="preserve">M2    </v>
          </cell>
          <cell r="D2393">
            <v>4.5999999999999996</v>
          </cell>
        </row>
        <row r="2394">
          <cell r="A2394">
            <v>4011</v>
          </cell>
          <cell r="B2394" t="str">
            <v>GEOTEXTIL NAO TECIDO AGULHADO DE FILAMENTOS CONTINUOS 100% POLIESTER, RESITENCIA A TRACAO = 10 KN/M</v>
          </cell>
          <cell r="C2394" t="str">
            <v xml:space="preserve">M2    </v>
          </cell>
          <cell r="D2394">
            <v>5.14</v>
          </cell>
        </row>
        <row r="2395">
          <cell r="A2395">
            <v>4021</v>
          </cell>
          <cell r="B2395" t="str">
            <v>GEOTEXTIL NAO TECIDO AGULHADO DE FILAMENTOS CONTINUOS 100% POLIESTER, RESITENCIA A TRACAO = 14 KN/M</v>
          </cell>
          <cell r="C2395" t="str">
            <v xml:space="preserve">M2    </v>
          </cell>
          <cell r="D2395">
            <v>6.41</v>
          </cell>
        </row>
        <row r="2396">
          <cell r="A2396">
            <v>4019</v>
          </cell>
          <cell r="B2396" t="str">
            <v>GEOTEXTIL NAO TECIDO AGULHADO DE FILAMENTOS CONTINUOS 100% POLIESTER, RESITENCIA A TRACAO = 16 KN/M</v>
          </cell>
          <cell r="C2396" t="str">
            <v xml:space="preserve">M2    </v>
          </cell>
          <cell r="D2396">
            <v>7.7</v>
          </cell>
        </row>
        <row r="2397">
          <cell r="A2397">
            <v>4012</v>
          </cell>
          <cell r="B2397" t="str">
            <v>GEOTEXTIL NAO TECIDO AGULHADO DE FILAMENTOS CONTINUOS 100% POLIESTER, RESITENCIA A TRACAO = 21 KN/M</v>
          </cell>
          <cell r="C2397" t="str">
            <v xml:space="preserve">M2    </v>
          </cell>
          <cell r="D2397">
            <v>10.32</v>
          </cell>
        </row>
        <row r="2398">
          <cell r="A2398">
            <v>4020</v>
          </cell>
          <cell r="B2398" t="str">
            <v>GEOTEXTIL NAO TECIDO AGULHADO DE FILAMENTOS CONTINUOS 100% POLIESTER, RESITENCIA A TRACAO = 26 KN/M</v>
          </cell>
          <cell r="C2398" t="str">
            <v xml:space="preserve">M2    </v>
          </cell>
          <cell r="D2398">
            <v>12.92</v>
          </cell>
        </row>
        <row r="2399">
          <cell r="A2399">
            <v>4018</v>
          </cell>
          <cell r="B2399" t="str">
            <v>GEOTEXTIL NAO TECIDO AGULHADO DE FILAMENTOS CONTINUOS 100% POLIESTER, RESITENCIA A TRACAO = 31 KN/M</v>
          </cell>
          <cell r="C2399" t="str">
            <v xml:space="preserve">M2    </v>
          </cell>
          <cell r="D2399">
            <v>15.48</v>
          </cell>
        </row>
        <row r="2400">
          <cell r="A2400">
            <v>36498</v>
          </cell>
          <cell r="B2400" t="str">
            <v>GERADOR PORTATIL MONOFASICO, POTENCIA 5500 VA, MOTOR A GASOLINA, POTENCIA DO MOTOR 13 CV</v>
          </cell>
          <cell r="C2400" t="str">
            <v xml:space="preserve">UN    </v>
          </cell>
          <cell r="D2400">
            <v>5027.6000000000004</v>
          </cell>
        </row>
        <row r="2401">
          <cell r="A2401">
            <v>12872</v>
          </cell>
          <cell r="B2401" t="str">
            <v>GESSEIRO</v>
          </cell>
          <cell r="C2401" t="str">
            <v xml:space="preserve">H     </v>
          </cell>
          <cell r="D2401">
            <v>14.99</v>
          </cell>
        </row>
        <row r="2402">
          <cell r="A2402">
            <v>41075</v>
          </cell>
          <cell r="B2402" t="str">
            <v>GESSEIRO (MENSALISTA)</v>
          </cell>
          <cell r="C2402" t="str">
            <v xml:space="preserve">MES   </v>
          </cell>
          <cell r="D2402">
            <v>2652.5</v>
          </cell>
        </row>
        <row r="2403">
          <cell r="A2403">
            <v>3315</v>
          </cell>
          <cell r="B2403" t="str">
            <v>GESSO EM PO PARA REVESTIMENTOS/MOLDURAS/SANCAS</v>
          </cell>
          <cell r="C2403" t="str">
            <v xml:space="preserve">KG    </v>
          </cell>
          <cell r="D2403">
            <v>0.59</v>
          </cell>
        </row>
        <row r="2404">
          <cell r="A2404">
            <v>36870</v>
          </cell>
          <cell r="B2404" t="str">
            <v>GESSO PROJETADO</v>
          </cell>
          <cell r="C2404" t="str">
            <v xml:space="preserve">KG    </v>
          </cell>
          <cell r="D2404">
            <v>0.59</v>
          </cell>
        </row>
        <row r="2405">
          <cell r="A2405">
            <v>5092</v>
          </cell>
          <cell r="B2405" t="str">
            <v>GONZO DE EMBUTIR, EM LATAO / ZAMAC, *20 X 48* MM, PARA JANELA BASCULANTE / PIVOTANTE -  INCLUI PARAFUSOS</v>
          </cell>
          <cell r="C2405" t="str">
            <v xml:space="preserve">PAR   </v>
          </cell>
          <cell r="D2405">
            <v>14.26</v>
          </cell>
        </row>
        <row r="2406">
          <cell r="A2406">
            <v>11462</v>
          </cell>
          <cell r="B2406" t="str">
            <v>GONZO DE SOBREPOR, EM LATAO / ZAMAC, PARA JANELA PIVOTANTE - INCLUI PARAFUSOS</v>
          </cell>
          <cell r="C2406" t="str">
            <v xml:space="preserve">PAR   </v>
          </cell>
          <cell r="D2406">
            <v>14.58</v>
          </cell>
        </row>
        <row r="2407">
          <cell r="A2407">
            <v>36529</v>
          </cell>
          <cell r="B2407" t="str">
            <v>GRADE DE DISCOS COM CONTROLE REMOTO, REBOCAVEL, COM 24 DISCOS 24" X 6 MM, COM PNEUS PARA TRANSPORTE</v>
          </cell>
          <cell r="C2407" t="str">
            <v xml:space="preserve">UN    </v>
          </cell>
          <cell r="D2407">
            <v>33482.14</v>
          </cell>
        </row>
        <row r="2408">
          <cell r="A2408">
            <v>3318</v>
          </cell>
          <cell r="B2408" t="str">
            <v>GRADE DE DISCOS MECANICA 20X24" COM 20 DISCOS 24" X 6MM  COM PNEUS PARA TRANSPORTE</v>
          </cell>
          <cell r="C2408" t="str">
            <v xml:space="preserve">UN    </v>
          </cell>
          <cell r="D2408">
            <v>26250</v>
          </cell>
        </row>
        <row r="2409">
          <cell r="A2409">
            <v>38968</v>
          </cell>
          <cell r="B2409" t="str">
            <v>GRADIL *1320 X 2170* MM (A X L) EM BARRA DE ACO CHATA *25 MM X 2* MM, ENTRELACADA COM BARRA ACO REDONDA *5* MM, MALHA *65 X 132* MM, GALVANIZADO E PINTURA ELETROSTATICA, COR PRETO</v>
          </cell>
          <cell r="C2409" t="str">
            <v xml:space="preserve">M2    </v>
          </cell>
          <cell r="D2409">
            <v>365.23</v>
          </cell>
        </row>
        <row r="2410">
          <cell r="A2410">
            <v>3324</v>
          </cell>
          <cell r="B2410" t="str">
            <v>GRAMA BATATAIS EM PLACAS, SEM PLANTIO</v>
          </cell>
          <cell r="C2410" t="str">
            <v xml:space="preserve">M2    </v>
          </cell>
          <cell r="D2410">
            <v>5.71</v>
          </cell>
        </row>
        <row r="2411">
          <cell r="A2411">
            <v>3322</v>
          </cell>
          <cell r="B2411" t="str">
            <v>GRAMA ESMERALDA OU SAO CARLOS OU CURITIBANA, EM PLACAS, SEM PLANTIO</v>
          </cell>
          <cell r="C2411" t="str">
            <v xml:space="preserve">M2    </v>
          </cell>
          <cell r="D2411">
            <v>8</v>
          </cell>
        </row>
        <row r="2412">
          <cell r="A2412">
            <v>43390</v>
          </cell>
          <cell r="B241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12" t="str">
            <v xml:space="preserve">M2    </v>
          </cell>
          <cell r="D2412">
            <v>75</v>
          </cell>
        </row>
        <row r="2413">
          <cell r="A2413">
            <v>5076</v>
          </cell>
          <cell r="B2413" t="str">
            <v>GRAMPO DE ACO POLIDO 1 " X 9</v>
          </cell>
          <cell r="C2413" t="str">
            <v xml:space="preserve">KG    </v>
          </cell>
          <cell r="D2413">
            <v>11.2</v>
          </cell>
        </row>
        <row r="2414">
          <cell r="A2414">
            <v>5077</v>
          </cell>
          <cell r="B2414" t="str">
            <v>GRAMPO DE ACO POLIDO 7/8 " X 9</v>
          </cell>
          <cell r="C2414" t="str">
            <v xml:space="preserve">KG    </v>
          </cell>
          <cell r="D2414">
            <v>12.38</v>
          </cell>
        </row>
        <row r="2415">
          <cell r="A2415">
            <v>11837</v>
          </cell>
          <cell r="B2415" t="str">
            <v>GRAMPO LINHA VIVA DE LATAO ESTANHADO, DIAMETRO DO CONDUTOR PRINCIPAL DE 10 A 120 MM2, DIAMETRO DA DERIVACAO DE 10 A 70 MM2</v>
          </cell>
          <cell r="C2415" t="str">
            <v xml:space="preserve">UN    </v>
          </cell>
          <cell r="D2415">
            <v>33.08</v>
          </cell>
        </row>
        <row r="2416">
          <cell r="A2416">
            <v>38055</v>
          </cell>
          <cell r="B2416" t="str">
            <v>GRAMPO METALICO TIPO OLHAL PARA HASTE DE ATERRAMENTO DE 1/2'', CONDUTOR DE *10* A 50 MM2</v>
          </cell>
          <cell r="C2416" t="str">
            <v xml:space="preserve">UN    </v>
          </cell>
          <cell r="D2416">
            <v>3</v>
          </cell>
        </row>
        <row r="2417">
          <cell r="A2417">
            <v>415</v>
          </cell>
          <cell r="B2417" t="str">
            <v>GRAMPO METALICO TIPO OLHAL PARA HASTE DE ATERRAMENTO DE 1'', CONDUTOR DE *10* A 50 MM2</v>
          </cell>
          <cell r="C2417" t="str">
            <v xml:space="preserve">UN    </v>
          </cell>
          <cell r="D2417">
            <v>13.56</v>
          </cell>
        </row>
        <row r="2418">
          <cell r="A2418">
            <v>416</v>
          </cell>
          <cell r="B2418" t="str">
            <v>GRAMPO METALICO TIPO OLHAL PARA HASTE DE ATERRAMENTO DE 3/4'', CONDUTOR DE *10* A 50 MM2</v>
          </cell>
          <cell r="C2418" t="str">
            <v xml:space="preserve">UN    </v>
          </cell>
          <cell r="D2418">
            <v>4.96</v>
          </cell>
        </row>
        <row r="2419">
          <cell r="A2419">
            <v>425</v>
          </cell>
          <cell r="B2419" t="str">
            <v>GRAMPO METALICO TIPO OLHAL PARA HASTE DE ATERRAMENTO DE 5/8'', CONDUTOR DE *10* A 50 MM2</v>
          </cell>
          <cell r="C2419" t="str">
            <v xml:space="preserve">UN    </v>
          </cell>
          <cell r="D2419">
            <v>3.07</v>
          </cell>
        </row>
        <row r="2420">
          <cell r="A2420">
            <v>426</v>
          </cell>
          <cell r="B2420" t="str">
            <v>GRAMPO METALICO TIPO U PARA HASTE DE ATERRAMENTO DE ATE 3/4'', CONDUTOR DE 10 A 25 MM2</v>
          </cell>
          <cell r="C2420" t="str">
            <v xml:space="preserve">UN    </v>
          </cell>
          <cell r="D2420">
            <v>16.95</v>
          </cell>
        </row>
        <row r="2421">
          <cell r="A2421">
            <v>38056</v>
          </cell>
          <cell r="B2421" t="str">
            <v>GRAMPO METALICO TIPO U PARA HASTE DE ATERRAMENTO DE ATE 5/8'', CONDUTOR DE 10 A 25 MM2</v>
          </cell>
          <cell r="C2421" t="str">
            <v xml:space="preserve">UN    </v>
          </cell>
          <cell r="D2421">
            <v>16.55</v>
          </cell>
        </row>
        <row r="2422">
          <cell r="A2422">
            <v>1564</v>
          </cell>
          <cell r="B2422" t="str">
            <v>GRAMPO PARALELO METALICO PARA CABO DE 6 A 50 MM2, COM 2 PARAFUSOS</v>
          </cell>
          <cell r="C2422" t="str">
            <v xml:space="preserve">UN    </v>
          </cell>
          <cell r="D2422">
            <v>6.31</v>
          </cell>
        </row>
        <row r="2423">
          <cell r="A2423">
            <v>11032</v>
          </cell>
          <cell r="B2423" t="str">
            <v>GRAMPO U DE 5/8 " N8 EM FERRO GALVANIZADO</v>
          </cell>
          <cell r="C2423" t="str">
            <v xml:space="preserve">UN    </v>
          </cell>
          <cell r="D2423">
            <v>7.54</v>
          </cell>
        </row>
        <row r="2424">
          <cell r="A2424">
            <v>36786</v>
          </cell>
          <cell r="B2424" t="str">
            <v>GRANALHA DE ACO, ANGULAR (GRIT), PARA JATEAMENTO, PENEIRA 0,117 A 1,00 MM, (SAE G-40 A G-80)</v>
          </cell>
          <cell r="C2424" t="str">
            <v>SC25KG</v>
          </cell>
          <cell r="D2424">
            <v>128.38999999999999</v>
          </cell>
        </row>
        <row r="2425">
          <cell r="A2425">
            <v>36785</v>
          </cell>
          <cell r="B2425" t="str">
            <v>GRANALHA DE ACO, ANGULAR (GRIT), PARA JATEAMENTO, PENEIRA 1,41 A 1,19 MM (SAE G16)</v>
          </cell>
          <cell r="C2425" t="str">
            <v>SC25KG</v>
          </cell>
          <cell r="D2425">
            <v>111.57</v>
          </cell>
        </row>
        <row r="2426">
          <cell r="A2426">
            <v>36782</v>
          </cell>
          <cell r="B2426" t="str">
            <v>GRANALHA DE ACO, ESFERICA (SHOT), PARA JATEAMENTO, PENEIRA 0,40 A 1,00 MM (SAE S-170 A S-280)</v>
          </cell>
          <cell r="C2426" t="str">
            <v>SC25KG</v>
          </cell>
          <cell r="D2426">
            <v>133.16999999999999</v>
          </cell>
        </row>
        <row r="2427">
          <cell r="A2427">
            <v>25930</v>
          </cell>
          <cell r="B2427" t="str">
            <v>GRANALHA DE ACO, ESFERICA (SHOT), PARA JATEAMENTO, PENEIRA 1,19 A 1,00 MM (SAE S390)</v>
          </cell>
          <cell r="C2427" t="str">
            <v>SC25KG</v>
          </cell>
          <cell r="D2427">
            <v>150</v>
          </cell>
        </row>
        <row r="2428">
          <cell r="A2428">
            <v>4824</v>
          </cell>
          <cell r="B2428" t="str">
            <v>GRANILHA/ GRANA/ PEDRISCO OU AGREGADO EM MARMORE/ GRANITO/ QUARTZO E CALCARIO, PRETO, CINZA, PALHA OU BRANCO</v>
          </cell>
          <cell r="C2428" t="str">
            <v xml:space="preserve">KG    </v>
          </cell>
          <cell r="D2428">
            <v>0.37</v>
          </cell>
        </row>
        <row r="2429">
          <cell r="A2429">
            <v>11795</v>
          </cell>
          <cell r="B2429" t="str">
            <v>GRANITO PARA BANCADA, POLIDO, TIPO ANDORINHA/ QUARTZ/ CASTELO/ CORUMBA OU OUTROS EQUIVALENTES DA REGIAO, E=  *2,5* CM</v>
          </cell>
          <cell r="C2429" t="str">
            <v xml:space="preserve">M2    </v>
          </cell>
          <cell r="D2429">
            <v>436.22</v>
          </cell>
        </row>
        <row r="2430">
          <cell r="A2430">
            <v>134</v>
          </cell>
          <cell r="B2430" t="str">
            <v>GRAUTE CIMENTICIO PARA USO GERAL</v>
          </cell>
          <cell r="C2430" t="str">
            <v xml:space="preserve">KG    </v>
          </cell>
          <cell r="D2430">
            <v>1.43</v>
          </cell>
        </row>
        <row r="2431">
          <cell r="A2431">
            <v>4229</v>
          </cell>
          <cell r="B2431" t="str">
            <v>GRAXA LUBRIFICANTE</v>
          </cell>
          <cell r="C2431" t="str">
            <v xml:space="preserve">KG    </v>
          </cell>
          <cell r="D2431">
            <v>20.65</v>
          </cell>
        </row>
        <row r="2432">
          <cell r="A2432">
            <v>37402</v>
          </cell>
          <cell r="B2432" t="str">
            <v>GRELHA DE CONCRETO DE PRE-MOLDADA *15 X 75 X 52* CM (A X C X L)</v>
          </cell>
          <cell r="C2432" t="str">
            <v xml:space="preserve">UN    </v>
          </cell>
          <cell r="D2432">
            <v>44</v>
          </cell>
        </row>
        <row r="2433">
          <cell r="A2433">
            <v>11244</v>
          </cell>
          <cell r="B2433" t="str">
            <v>GRELHA FOFO ARTICULADA, CARGA MAXIMA 1,5 T, *300 X 1000* MM, E= *15* MM</v>
          </cell>
          <cell r="C2433" t="str">
            <v xml:space="preserve">UN    </v>
          </cell>
          <cell r="D2433">
            <v>141.4</v>
          </cell>
        </row>
        <row r="2434">
          <cell r="A2434">
            <v>11245</v>
          </cell>
          <cell r="B2434" t="str">
            <v>GRELHA FOFO SIMPLES COM REQUADRO, CARGA MAXIMA  12,5 T, *300 X 1000* MM, E= *15* MM, AREA ESTACIONAMENTO CARRO PASSEIO</v>
          </cell>
          <cell r="C2434" t="str">
            <v xml:space="preserve">UN    </v>
          </cell>
          <cell r="D2434">
            <v>195.58</v>
          </cell>
        </row>
        <row r="2435">
          <cell r="A2435">
            <v>11235</v>
          </cell>
          <cell r="B2435" t="str">
            <v>GRELHA FOFO SIMPLES COM REQUADRO, CARGA MAXIMA 1,5 T, 150 X 1000 MM, E= *15* MM</v>
          </cell>
          <cell r="C2435" t="str">
            <v xml:space="preserve">UN    </v>
          </cell>
          <cell r="D2435">
            <v>107.9</v>
          </cell>
        </row>
        <row r="2436">
          <cell r="A2436">
            <v>11236</v>
          </cell>
          <cell r="B2436" t="str">
            <v>GRELHA FOFO SIMPLES COM REQUADRO, CARGA MAXIMA 1,5 T, 200 X 1000 MM, E= *15* MM</v>
          </cell>
          <cell r="C2436" t="str">
            <v xml:space="preserve">UN    </v>
          </cell>
          <cell r="D2436">
            <v>137.13</v>
          </cell>
        </row>
        <row r="2437">
          <cell r="A2437">
            <v>11731</v>
          </cell>
          <cell r="B2437" t="str">
            <v>GRELHA PVC BRANCA QUADRADA, 150 X 150 MM</v>
          </cell>
          <cell r="C2437" t="str">
            <v xml:space="preserve">UN    </v>
          </cell>
          <cell r="D2437">
            <v>4.3499999999999996</v>
          </cell>
        </row>
        <row r="2438">
          <cell r="A2438">
            <v>11732</v>
          </cell>
          <cell r="B2438" t="str">
            <v>GRELHA PVC CROMADA REDONDA, 150 MM</v>
          </cell>
          <cell r="C2438" t="str">
            <v xml:space="preserve">UN    </v>
          </cell>
          <cell r="D2438">
            <v>22.1</v>
          </cell>
        </row>
        <row r="2439">
          <cell r="A2439">
            <v>36494</v>
          </cell>
          <cell r="B2439" t="str">
            <v>GRUA ASCENCIONAL, LANCA DE 30 M, CAPACIDADE DE 1,0 T A 30 M, ALTURA ATE 39 M</v>
          </cell>
          <cell r="C2439" t="str">
            <v xml:space="preserve">UN    </v>
          </cell>
          <cell r="D2439">
            <v>369133.8</v>
          </cell>
        </row>
        <row r="2440">
          <cell r="A2440">
            <v>36493</v>
          </cell>
          <cell r="B2440" t="str">
            <v>GRUA ASCENCIONAL, LANCA DE 42 M, CAPACIDADE DE 1,5 T A 30 M, ALTURA ATE 39 M</v>
          </cell>
          <cell r="C2440" t="str">
            <v xml:space="preserve">UN    </v>
          </cell>
          <cell r="D2440">
            <v>418213.6</v>
          </cell>
        </row>
        <row r="2441">
          <cell r="A2441">
            <v>36492</v>
          </cell>
          <cell r="B2441" t="str">
            <v>GRUA ASCENCIONAL, LANCA DE 50 M, CAPACIDADE DE 2,33 T A 30 M, ALTURA ATE 48 M</v>
          </cell>
          <cell r="C2441" t="str">
            <v xml:space="preserve">UN    </v>
          </cell>
          <cell r="D2441">
            <v>776882.27</v>
          </cell>
        </row>
        <row r="2442">
          <cell r="A2442">
            <v>13333</v>
          </cell>
          <cell r="B2442" t="str">
            <v>GRUPO DE SOLDAGEM C/ GERADOR A DIESEL 60 CV PARA SOLDA ELETRICA, SOBRE 04 RODAS, COM MOTOR 4 CILINDROS</v>
          </cell>
          <cell r="C2442" t="str">
            <v xml:space="preserve">UN    </v>
          </cell>
          <cell r="D2442">
            <v>139225.88</v>
          </cell>
        </row>
        <row r="2443">
          <cell r="A2443">
            <v>13533</v>
          </cell>
          <cell r="B2443" t="str">
            <v>GRUPO DE SOLDAGEM COM GERADOR A DIESEL 30 CV, PARA SOLDA ELETRICA, SOBRE DUAS RODAS</v>
          </cell>
          <cell r="C2443" t="str">
            <v xml:space="preserve">UN    </v>
          </cell>
          <cell r="D2443">
            <v>124452.47</v>
          </cell>
        </row>
        <row r="2444">
          <cell r="A2444">
            <v>36499</v>
          </cell>
          <cell r="B2444" t="str">
            <v>GRUPO GERADOR A GASOLINA, POTENCIA NOMINAL 2,2 KW, TENSAO DE SAIDA 110/220 V, MOTOR POTENCIA 6,5 HP</v>
          </cell>
          <cell r="C2444" t="str">
            <v xml:space="preserve">UN    </v>
          </cell>
          <cell r="D2444">
            <v>2714.9</v>
          </cell>
        </row>
        <row r="2445">
          <cell r="A2445">
            <v>39585</v>
          </cell>
          <cell r="B2445" t="str">
            <v>GRUPO GERADOR DIESEL, COM CARENAGEM, POTENCIA STANDART ENTRE 100 E 110 KVA, VELOCIDADE DE 1800 RPM, FREQUENCIA DE 60 HZ</v>
          </cell>
          <cell r="C2445" t="str">
            <v xml:space="preserve">UN    </v>
          </cell>
          <cell r="D2445">
            <v>89898.14</v>
          </cell>
        </row>
        <row r="2446">
          <cell r="A2446">
            <v>39586</v>
          </cell>
          <cell r="B2446" t="str">
            <v>GRUPO GERADOR DIESEL, COM CARENAGEM, POTENCIA STANDART ENTRE 140 E 150 KVA, VELOCIDADE DE 1800 RPM, FREQUENCIA DE 60 HZ</v>
          </cell>
          <cell r="C2446" t="str">
            <v xml:space="preserve">UN    </v>
          </cell>
          <cell r="D2446">
            <v>105444.44</v>
          </cell>
        </row>
        <row r="2447">
          <cell r="A2447">
            <v>39587</v>
          </cell>
          <cell r="B2447" t="str">
            <v>GRUPO GERADOR DIESEL, COM CARENAGEM, POTENCIA STANDART ENTRE 210 E 220 KVA, VELOCIDADE DE 1800 RPM, FREQUENCIA DE 60 HZ</v>
          </cell>
          <cell r="C2447" t="str">
            <v xml:space="preserve">UN    </v>
          </cell>
          <cell r="D2447">
            <v>128425.92</v>
          </cell>
        </row>
        <row r="2448">
          <cell r="A2448">
            <v>39588</v>
          </cell>
          <cell r="B2448" t="str">
            <v>GRUPO GERADOR DIESEL, COM CARENAGEM, POTENCIA STANDART ENTRE 250 E 260 KVA, VELOCIDADE DE 1800 RPM, FREQUENCIA DE 60 HZ</v>
          </cell>
          <cell r="C2448" t="str">
            <v xml:space="preserve">UN    </v>
          </cell>
          <cell r="D2448">
            <v>148703.70000000001</v>
          </cell>
        </row>
        <row r="2449">
          <cell r="A2449">
            <v>39584</v>
          </cell>
          <cell r="B2449" t="str">
            <v>GRUPO GERADOR DIESEL, COM CARENAGEM, POTENCIA STANDART ENTRE 50 E 55 KVA, VELOCIDADE DE 1800 RPM, FREQUENCIA DE 60 HZ</v>
          </cell>
          <cell r="C2449" t="str">
            <v xml:space="preserve">UN    </v>
          </cell>
          <cell r="D2449">
            <v>80056.66</v>
          </cell>
        </row>
        <row r="2450">
          <cell r="A2450">
            <v>39590</v>
          </cell>
          <cell r="B2450" t="str">
            <v>GRUPO GERADOR DIESEL, SEM CARENAGEM, POTENCIA STANDART ENTRE 100 E 110 KVA, VELOCIDADE DE 1800 RPM, FREQUENCIA DE 60 HZ</v>
          </cell>
          <cell r="C2450" t="str">
            <v xml:space="preserve">UN    </v>
          </cell>
          <cell r="D2450">
            <v>78137.03</v>
          </cell>
        </row>
        <row r="2451">
          <cell r="A2451">
            <v>39592</v>
          </cell>
          <cell r="B2451" t="str">
            <v>GRUPO GERADOR DIESEL, SEM CARENAGEM, POTENCIA STANDART ENTRE 210 E 220 KVA, VELOCIDADE DE 1800 RPM, FREQUENCIA DE 60 HZ</v>
          </cell>
          <cell r="C2451" t="str">
            <v xml:space="preserve">UN    </v>
          </cell>
          <cell r="D2451">
            <v>112284.81</v>
          </cell>
        </row>
        <row r="2452">
          <cell r="A2452">
            <v>39593</v>
          </cell>
          <cell r="B2452" t="str">
            <v>GRUPO GERADOR DIESEL, SEM CARENAGEM, POTENCIA STANDART ENTRE 250 E 260 KVA, VELOCIDADE DE 1800 RPM, FREQUENCIA DE 60 HZ</v>
          </cell>
          <cell r="C2452" t="str">
            <v xml:space="preserve">UN    </v>
          </cell>
          <cell r="D2452">
            <v>128425.92</v>
          </cell>
        </row>
        <row r="2453">
          <cell r="A2453">
            <v>14254</v>
          </cell>
          <cell r="B2453" t="str">
            <v>GRUPO GERADOR DIESEL, SEM CARENAGEM, POTENCIA STANDART ENTRE 80 E 90 KVA, VELOCIDADE DE 1800 RPM, FREQUENCIA DE 60 HZ</v>
          </cell>
          <cell r="C2453" t="str">
            <v xml:space="preserve">UN    </v>
          </cell>
          <cell r="D2453">
            <v>73000</v>
          </cell>
        </row>
        <row r="2454">
          <cell r="A2454">
            <v>25987</v>
          </cell>
          <cell r="B2454" t="str">
            <v>GRUPO GERADOR ESTACIONARIO SILENCIADO, POTENCIA 50 KVA, MOTOR DIESEL</v>
          </cell>
          <cell r="C2454" t="str">
            <v xml:space="preserve">UN    </v>
          </cell>
          <cell r="D2454">
            <v>60960.82</v>
          </cell>
        </row>
        <row r="2455">
          <cell r="A2455">
            <v>25019</v>
          </cell>
          <cell r="B2455" t="str">
            <v>GRUPO GERADOR ESTACIONARIO, MOTOR DIESEL POTENCIA 170 KVA</v>
          </cell>
          <cell r="C2455" t="str">
            <v xml:space="preserve">UN    </v>
          </cell>
          <cell r="D2455">
            <v>104493.66</v>
          </cell>
        </row>
        <row r="2456">
          <cell r="A2456">
            <v>36501</v>
          </cell>
          <cell r="B2456" t="str">
            <v>GRUPO GERADOR ESTACIONARIO, POTENCIA 150 KVA, MOTOR DIESEL</v>
          </cell>
          <cell r="C2456" t="str">
            <v xml:space="preserve">UN    </v>
          </cell>
          <cell r="D2456">
            <v>93035.37</v>
          </cell>
        </row>
        <row r="2457">
          <cell r="A2457">
            <v>25986</v>
          </cell>
          <cell r="B2457" t="str">
            <v>GRUPO GERADOR ESTACIONARIO, SILENCIADO, POTENCIA 180 KVA, MOTOR DIESEL</v>
          </cell>
          <cell r="C2457" t="str">
            <v xml:space="preserve">UN    </v>
          </cell>
          <cell r="D2457">
            <v>111846.34</v>
          </cell>
        </row>
        <row r="2458">
          <cell r="A2458">
            <v>36500</v>
          </cell>
          <cell r="B2458" t="str">
            <v>GRUPO GERADOR REBOCAVEL, POTENCIA *66* KVA, MOTOR A DIESEL</v>
          </cell>
          <cell r="C2458" t="str">
            <v xml:space="preserve">UN    </v>
          </cell>
          <cell r="D2458">
            <v>65745.55</v>
          </cell>
        </row>
        <row r="2459">
          <cell r="A2459">
            <v>20017</v>
          </cell>
          <cell r="B2459" t="str">
            <v>GUARNICAO/ ALIZAR/ VISTA MACICA, E= *1* CM, L= *4,5* CM, EM CEDRINHO/ ANGELIM COMERCIAL/  EUCALIPTO/ CURUPIXA/ PEROBA/ CUMARU OU EQUIVALENTE DA REGIAO</v>
          </cell>
          <cell r="C2459" t="str">
            <v xml:space="preserve">M     </v>
          </cell>
          <cell r="D2459">
            <v>2.86</v>
          </cell>
        </row>
        <row r="2460">
          <cell r="A2460">
            <v>20007</v>
          </cell>
          <cell r="B2460" t="str">
            <v>GUARNICAO/ ALIZAR/ VISTA MACICA, E= *1* CM, L= *4,5* CM, EM PINUS/ TAUARI/ VIROLA OU EQUIVALENTE DA REGIAO</v>
          </cell>
          <cell r="C2460" t="str">
            <v xml:space="preserve">M     </v>
          </cell>
          <cell r="D2460">
            <v>2.2000000000000002</v>
          </cell>
        </row>
        <row r="2461">
          <cell r="A2461">
            <v>39836</v>
          </cell>
          <cell r="B2461" t="str">
            <v>GUARNICAO/ALIZAR/VISTA, E = *1,3* CM, L = *5,0* CM HASTE REGULAVEL = *35* MM, EM MDF/PVC WOOD/ POLIESTIRENO OU MADEIRA LAMINADA, PRIMER BRANCO</v>
          </cell>
          <cell r="C2461" t="str">
            <v xml:space="preserve">JG    </v>
          </cell>
          <cell r="D2461">
            <v>141.37</v>
          </cell>
        </row>
        <row r="2462">
          <cell r="A2462">
            <v>39830</v>
          </cell>
          <cell r="B2462" t="str">
            <v>GUARNICAO/ALIZAR/VISTA, E = *1,3* CM, L = *7,0* CM, EM POLIESTIRENO, BRANCO</v>
          </cell>
          <cell r="C2462" t="str">
            <v xml:space="preserve">JG    </v>
          </cell>
          <cell r="D2462">
            <v>161.24</v>
          </cell>
        </row>
        <row r="2463">
          <cell r="A2463">
            <v>39831</v>
          </cell>
          <cell r="B2463" t="str">
            <v>GUARNICAO/ALIZAR/VISTA, E = *1,5* CM, L = *5,0* CM, EM POLIESTIRENO, BRANCO</v>
          </cell>
          <cell r="C2463" t="str">
            <v xml:space="preserve">JG    </v>
          </cell>
          <cell r="D2463">
            <v>160.88999999999999</v>
          </cell>
        </row>
        <row r="2464">
          <cell r="A2464">
            <v>36888</v>
          </cell>
          <cell r="B2464" t="str">
            <v>GUARNICAO/MOLDURA DE ACABAMENTO PARA ESQUADRIA DE ALUMINIO ANODIZADO NATURAL, PARA 1 FACE</v>
          </cell>
          <cell r="C2464" t="str">
            <v xml:space="preserve">M     </v>
          </cell>
          <cell r="D2464">
            <v>14.38</v>
          </cell>
        </row>
        <row r="2465">
          <cell r="A2465">
            <v>40527</v>
          </cell>
          <cell r="B2465" t="str">
            <v>GUINCHO DE ALAVANCA MANUAL, CAPACIDADE DE 1,6 T, COM 20 M DE CABO DE ACO (AQUISICAO)</v>
          </cell>
          <cell r="C2465" t="str">
            <v xml:space="preserve">UN    </v>
          </cell>
          <cell r="D2465">
            <v>2200.79</v>
          </cell>
        </row>
        <row r="2466">
          <cell r="A2466">
            <v>36497</v>
          </cell>
          <cell r="B2466" t="str">
            <v>GUINCHO DE ALAVANCA MANUAL, CAPACIDADE 3,2 T COM 20 M DE CABO DE ACO DIAMETRO 16,3 MM</v>
          </cell>
          <cell r="C2466" t="str">
            <v xml:space="preserve">UN    </v>
          </cell>
          <cell r="D2466">
            <v>2512.44</v>
          </cell>
        </row>
        <row r="2467">
          <cell r="A2467">
            <v>36487</v>
          </cell>
          <cell r="B2467" t="str">
            <v>GUINCHO ELETRICO DE COLUNA, CAPACIDADE 400 KG, COM MOTO FREIO, MOTOR TRIFASICO DE 1,25 CV</v>
          </cell>
          <cell r="C2467" t="str">
            <v xml:space="preserve">UN    </v>
          </cell>
          <cell r="D2467">
            <v>4374.55</v>
          </cell>
        </row>
        <row r="2468">
          <cell r="A2468">
            <v>25952</v>
          </cell>
          <cell r="B2468" t="str">
            <v>GUINDASTE HIDRAULICO AUTOPROPELIDO, COM LANCA TELESCOPICA 28,80 M, CAPACIDADE MAXIMA 30 T, POTENCIA 97 KW, TRACAO 4 X 4</v>
          </cell>
          <cell r="C2468" t="str">
            <v xml:space="preserve">UN    </v>
          </cell>
          <cell r="D2468">
            <v>645487.19999999995</v>
          </cell>
        </row>
        <row r="2469">
          <cell r="A2469">
            <v>25954</v>
          </cell>
          <cell r="B2469" t="str">
            <v>GUINDASTE HIDRAULICO AUTOPROPELIDO, COM LANCA TELESCOPICA 40 M, CAPACIDADE MAXIMA 60 T, POTENCIA 260 KW, TRACAO 6 X 6</v>
          </cell>
          <cell r="C2469" t="str">
            <v xml:space="preserve">UN    </v>
          </cell>
          <cell r="D2469">
            <v>1241321.54</v>
          </cell>
        </row>
        <row r="2470">
          <cell r="A2470">
            <v>25953</v>
          </cell>
          <cell r="B2470" t="str">
            <v>GUINDASTE HIDRAULICO AUTOPROPELIDO, COM LANCA TELESCOPICA 50 M, CAPACIDADE MAXIMA 100 T, POTENCIA 350 KW, TRACAO 10 X 6</v>
          </cell>
          <cell r="C2470" t="str">
            <v xml:space="preserve">UN    </v>
          </cell>
          <cell r="D2470">
            <v>2110246.61</v>
          </cell>
        </row>
        <row r="2471">
          <cell r="A2471">
            <v>37776</v>
          </cell>
          <cell r="B2471" t="str">
            <v>GUINDAUTO HIDRAULICO, CAPACIDADE MAXIMA DE CARGA 10000 KG, MOMENTO MAXIMO DE CARGA 23 TM , ALCANCE MAXIMO HORIZONTAL 11,80 M, PARA MONTAGEM SOBRE CHASSI DE CAMINHAO PBT MINIMO 15000 KG (INCLUI MONTAGEM, NAO INCLUI CAMINHAO)</v>
          </cell>
          <cell r="C2471" t="str">
            <v xml:space="preserve">UN    </v>
          </cell>
          <cell r="D2471">
            <v>129331.14</v>
          </cell>
        </row>
        <row r="2472">
          <cell r="A2472">
            <v>37775</v>
          </cell>
          <cell r="B2472" t="str">
            <v>GUINDAUTO HIDRAULICO, CAPACIDADE MAXIMA DE CARGA 14340 KG, MOMENTO MAXIMO DE CARGA 42,3 TM, ALCANCE MAXIMO HORIZONTAL 16,80 M, PARA MONTAGEM SOBRE CHASSI DE CAMINHAO PBT MINIMO 23000 KG (INCLUI MONTAGEM, NAO INCLUI CAMINHAO)</v>
          </cell>
          <cell r="C2472" t="str">
            <v xml:space="preserve">UN    </v>
          </cell>
          <cell r="D2472">
            <v>203706.34</v>
          </cell>
        </row>
        <row r="2473">
          <cell r="A2473">
            <v>36491</v>
          </cell>
          <cell r="B2473" t="str">
            <v>GUINDAUTO HIDRAULICO, CAPACIDADE MAXIMA DE CARGA 30000 KG, MOMENTO MAXIMO DE CARGA 92,2 TM , ALCANCE MAXIMO HORIZONTAL  22,00 M, PARA MONTAGEM SOBRE CHASSI DE CAMINHAO PBT MINIMO 30000 KG (INCLUI MONTAGEM, NAO INCLUI CAMINHAO)</v>
          </cell>
          <cell r="C2473" t="str">
            <v xml:space="preserve">UN    </v>
          </cell>
          <cell r="D2473">
            <v>754385.03</v>
          </cell>
        </row>
        <row r="2474">
          <cell r="A2474">
            <v>10712</v>
          </cell>
          <cell r="B2474" t="str">
            <v>GUINDAUTO HIDRAULICO, CAPACIDADE MAXIMA DE CARGA 3300 KG, MOMENTO MAXIMO DE CARGA 5,8 TM , ALCANCE MAXIMO HORIZONTAL  7,60 M, PARA MONTAGEM SOBRE CHASSI DE CAMINHAO PBT MINIMO 8000 KG (INCLUI MONTAGEM, NAO INCLUI CAMINHAO)</v>
          </cell>
          <cell r="C2474" t="str">
            <v xml:space="preserve">UN    </v>
          </cell>
          <cell r="D2474">
            <v>50926.58</v>
          </cell>
        </row>
        <row r="2475">
          <cell r="A2475">
            <v>3363</v>
          </cell>
          <cell r="B2475" t="str">
            <v>GUINDAUTO HIDRAULICO, CAPACIDADE MAXIMA DE CARGA 6200 KG, MOMENTO MAXIMO DE CARGA 11,7 TM , ALCANCE MAXIMO HORIZONTAL  9,70 M, PARA MONTAGEM SOBRE CHASSI DE CAMINHAO PBT MINIMO 13000 KG (INCLUI MONTAGEM, NAO INCLUI CAMINHAO)</v>
          </cell>
          <cell r="C2475" t="str">
            <v xml:space="preserve">UN    </v>
          </cell>
          <cell r="D2475">
            <v>71633</v>
          </cell>
        </row>
        <row r="2476">
          <cell r="A2476">
            <v>3365</v>
          </cell>
          <cell r="B2476" t="str">
            <v>GUINDAUTO HIDRAULICO, CAPACIDADE MAXIMA DE CARGA 8500 KG, MOMENTO MAXIMO DE CARGA 30,4 TM , ALCANCE MAXIMO HORIZONTAL  14,30 M, PARA MONTAGEM SOBRE CHASSI DE CAMINHAO PBT MINIMO 23000 KG (INCLUI MONTAGEM, NAO INCLUI CAMINHAO)</v>
          </cell>
          <cell r="C2476" t="str">
            <v xml:space="preserve">UN    </v>
          </cell>
          <cell r="D2476">
            <v>167442.13</v>
          </cell>
        </row>
        <row r="2477">
          <cell r="A2477">
            <v>7569</v>
          </cell>
          <cell r="B2477" t="str">
            <v>HASTE ANCORA EM ACO GALVANIZADO, DIMENSOES 16 MM X 2000 MM</v>
          </cell>
          <cell r="C2477" t="str">
            <v xml:space="preserve">UN    </v>
          </cell>
          <cell r="D2477">
            <v>41.11</v>
          </cell>
        </row>
        <row r="2478">
          <cell r="A2478">
            <v>34349</v>
          </cell>
          <cell r="B2478" t="str">
            <v>HASTE DE ACO GALVANIZADO PARA FIXACAO DE CONCERTINA 2 "/3 M</v>
          </cell>
          <cell r="C2478" t="str">
            <v xml:space="preserve">UN    </v>
          </cell>
          <cell r="D2478">
            <v>10.81</v>
          </cell>
        </row>
        <row r="2479">
          <cell r="A2479">
            <v>11991</v>
          </cell>
          <cell r="B2479" t="str">
            <v>HASTE DE ATERRAMENTO EM ACO GALVANIZADO TIPO CANTONEIRA COM 2,00 M DE COMPRIMENTO, 25 X 25 MM E CHAPA DE 3/16"</v>
          </cell>
          <cell r="C2479" t="str">
            <v xml:space="preserve">UN    </v>
          </cell>
          <cell r="D2479">
            <v>37.67</v>
          </cell>
        </row>
        <row r="2480">
          <cell r="A2480">
            <v>20062</v>
          </cell>
          <cell r="B2480" t="str">
            <v>HASTE METALICA PARA FIXACAO DE CALHA PLUVIAL,  ZINCADA, DOBRADA 90 GRAUS</v>
          </cell>
          <cell r="C2480" t="str">
            <v xml:space="preserve">UN    </v>
          </cell>
          <cell r="D2480">
            <v>12.74</v>
          </cell>
        </row>
        <row r="2481">
          <cell r="A2481">
            <v>11029</v>
          </cell>
          <cell r="B2481" t="str">
            <v>HASTE RETA PARA GANCHO DE FERRO GALVANIZADO, COM ROSCA 1/4 " X 30 CM PARA FIXACAO DE TELHA METALICA, INCLUI PORCA E ARRUELAS DE VEDACAO</v>
          </cell>
          <cell r="C2481" t="str">
            <v xml:space="preserve">CJ    </v>
          </cell>
          <cell r="D2481">
            <v>1.1499999999999999</v>
          </cell>
        </row>
        <row r="2482">
          <cell r="A2482">
            <v>4316</v>
          </cell>
          <cell r="B2482" t="str">
            <v>HASTE RETA PARA GANCHO DE FERRO GALVANIZADO, COM ROSCA 1/4 " X 40 CM PARA FIXACAO DE TELHA DE FIBROCIMENTO, INCLUI PORCA SEXTAVADA DE  ZINCO</v>
          </cell>
          <cell r="C2482" t="str">
            <v xml:space="preserve">UN    </v>
          </cell>
          <cell r="D2482">
            <v>1.17</v>
          </cell>
        </row>
        <row r="2483">
          <cell r="A2483">
            <v>4313</v>
          </cell>
          <cell r="B2483" t="str">
            <v>HASTE RETA PARA GANCHO DE FERRO GALVANIZADO, COM ROSCA 5/16" X 35 CM PARA FIXACAO DE TELHA DE FIBROCIMENTO, INCLUI PORCA E ARRUELAS DE VEDACAO</v>
          </cell>
          <cell r="C2483" t="str">
            <v xml:space="preserve">CJ    </v>
          </cell>
          <cell r="D2483">
            <v>1.67</v>
          </cell>
        </row>
        <row r="2484">
          <cell r="A2484">
            <v>4317</v>
          </cell>
          <cell r="B2484" t="str">
            <v>HASTE RETA PARA GANCHO DE FERRO GALVANIZADO, COM ROSCA 5/16" X 40 CM PARA FIXACAO DE TELHA DE FIBROCIMENTO, INCLUI PORCA SEXTAVADA DE  ZINCO</v>
          </cell>
          <cell r="C2484" t="str">
            <v xml:space="preserve">UN    </v>
          </cell>
          <cell r="D2484">
            <v>1.91</v>
          </cell>
        </row>
        <row r="2485">
          <cell r="A2485">
            <v>4314</v>
          </cell>
          <cell r="B2485" t="str">
            <v>HASTE RETA PARA GANCHO DE FERRO GALVANIZADO, COM ROSCA 5/16" X 45 CM PARA FIXACAO DE TELHA DE FIBROCIMENTO, INCLUI PORCA E ARRUELAS DE VEDACAO</v>
          </cell>
          <cell r="C2485" t="str">
            <v xml:space="preserve">CJ    </v>
          </cell>
          <cell r="D2485">
            <v>2.23</v>
          </cell>
        </row>
        <row r="2486">
          <cell r="A2486">
            <v>10561</v>
          </cell>
          <cell r="B2486" t="str">
            <v>HEXAMETAFOSFATO DE SODIO</v>
          </cell>
          <cell r="C2486" t="str">
            <v xml:space="preserve">KG    </v>
          </cell>
          <cell r="D2486">
            <v>0.45</v>
          </cell>
        </row>
        <row r="2487">
          <cell r="A2487">
            <v>10921</v>
          </cell>
          <cell r="B2487" t="str">
            <v>HIDRANTE DE COLUNA COMPLETO, EM FERRO FUNDIDO, DN = 100 MM, COM REGISTRO, CUNHA DE BORRACHA, CURVA DESSIMETRICA, EXTREMIDADE E TAMPAS (INCLUI KIT FIXACAO)</v>
          </cell>
          <cell r="C2487" t="str">
            <v xml:space="preserve">UN    </v>
          </cell>
          <cell r="D2487">
            <v>3323.1</v>
          </cell>
        </row>
        <row r="2488">
          <cell r="A2488">
            <v>10922</v>
          </cell>
          <cell r="B2488" t="str">
            <v>HIDRANTE DE COLUNA COMPLETO, EM FERRO FUNDIDO, DN = 75 MM, COM REGISTRO, CUNHA DE BORRACHA, CURVA DESSIMETRICA, EXTREMIDADE E TAMPAS (INCLUI KIT FIXACAO)</v>
          </cell>
          <cell r="C2488" t="str">
            <v xml:space="preserve">UN    </v>
          </cell>
          <cell r="D2488">
            <v>3009.98</v>
          </cell>
        </row>
        <row r="2489">
          <cell r="A2489">
            <v>10923</v>
          </cell>
          <cell r="B2489" t="str">
            <v>HIDRANTE SUBTERRANEO, EM FERRO FUNDIDO, COM CURVA CURTA E CAIXA, DN 75 MM</v>
          </cell>
          <cell r="C2489" t="str">
            <v xml:space="preserve">UN    </v>
          </cell>
          <cell r="D2489">
            <v>1779.02</v>
          </cell>
        </row>
        <row r="2490">
          <cell r="A2490">
            <v>10924</v>
          </cell>
          <cell r="B2490" t="str">
            <v>HIDRANTE SUBTERRANEO, EM FERRO FUNDIDO, COM CURVA LONGA E CAIXA, DN 75 MM</v>
          </cell>
          <cell r="C2490" t="str">
            <v xml:space="preserve">UN    </v>
          </cell>
          <cell r="D2490">
            <v>1873.66</v>
          </cell>
        </row>
        <row r="2491">
          <cell r="A2491">
            <v>37772</v>
          </cell>
          <cell r="B2491" t="str">
            <v>HIDROJATEADORA PARA DESOBSTRUCAO DE REDES E GALERIAS, TANQUE 7000 L, BOMBA TRIPLEX 120 KGF/CM2 128 L/MIN (INCLUI MONTAGEM, NAO INCLUI CAMINHAO)</v>
          </cell>
          <cell r="C2491" t="str">
            <v xml:space="preserve">UN    </v>
          </cell>
          <cell r="D2491">
            <v>114526.71</v>
          </cell>
        </row>
        <row r="2492">
          <cell r="A2492">
            <v>37771</v>
          </cell>
          <cell r="B2492" t="str">
            <v>HIDROJATEADORA PARA DESOBSTRUCAO DE REDES E GALERIAS, TANQUE 7000 L, BOMBA TRIPLEX 140 KGF/CM2 260 L/MIN ALIMENTADA POR MOTOR INDEPENDENTE A DIESEL POTENCIA 125 CV (INCLUI MONTAGEM, NAO INCLUI CAMINHAO)</v>
          </cell>
          <cell r="C2492" t="str">
            <v xml:space="preserve">UN    </v>
          </cell>
          <cell r="D2492">
            <v>121838.18</v>
          </cell>
        </row>
        <row r="2493">
          <cell r="A2493">
            <v>12770</v>
          </cell>
          <cell r="B2493" t="str">
            <v>HIDROMETRO MULTIJATO, VAZAO MAXIMA DE 10,0 M3/H, DE 1"</v>
          </cell>
          <cell r="C2493" t="str">
            <v xml:space="preserve">UN    </v>
          </cell>
          <cell r="D2493">
            <v>450.69</v>
          </cell>
        </row>
        <row r="2494">
          <cell r="A2494">
            <v>12772</v>
          </cell>
          <cell r="B2494" t="str">
            <v>HIDROMETRO MULTIJATO, VAZAO MAXIMA DE 20,0 M3/H, DE 1 1/2"</v>
          </cell>
          <cell r="C2494" t="str">
            <v xml:space="preserve">UN    </v>
          </cell>
          <cell r="D2494">
            <v>749.03</v>
          </cell>
        </row>
        <row r="2495">
          <cell r="A2495">
            <v>12768</v>
          </cell>
          <cell r="B2495" t="str">
            <v>HIDROMETRO MULTIJATO, VAZAO MAXIMA DE 30,0 M3/H, DE 2"</v>
          </cell>
          <cell r="C2495" t="str">
            <v xml:space="preserve">UN    </v>
          </cell>
          <cell r="D2495">
            <v>1053.73</v>
          </cell>
        </row>
        <row r="2496">
          <cell r="A2496">
            <v>12775</v>
          </cell>
          <cell r="B2496" t="str">
            <v>HIDROMETRO MULTIJATO, VAZAO MAXIMA DE 7,0 M3/H, DE 1"</v>
          </cell>
          <cell r="C2496" t="str">
            <v xml:space="preserve">UN    </v>
          </cell>
          <cell r="D2496">
            <v>330.08</v>
          </cell>
        </row>
        <row r="2497">
          <cell r="A2497">
            <v>12769</v>
          </cell>
          <cell r="B2497" t="str">
            <v>HIDROMETRO UNIJATO, VAZAO MAXIMA DE 1,5 M3/H, DE 1/2"</v>
          </cell>
          <cell r="C2497" t="str">
            <v xml:space="preserve">UN    </v>
          </cell>
          <cell r="D2497">
            <v>86.33</v>
          </cell>
        </row>
        <row r="2498">
          <cell r="A2498">
            <v>12773</v>
          </cell>
          <cell r="B2498" t="str">
            <v>HIDROMETRO UNIJATO, VAZAO MAXIMA DE 3,0 M3/H, DE 1/2"</v>
          </cell>
          <cell r="C2498" t="str">
            <v xml:space="preserve">UN    </v>
          </cell>
          <cell r="D2498">
            <v>92.67</v>
          </cell>
        </row>
        <row r="2499">
          <cell r="A2499">
            <v>12774</v>
          </cell>
          <cell r="B2499" t="str">
            <v>HIDROMETRO UNIJATO, VAZAO MAXIMA DE 5,0 M3/H, DE 3/4"</v>
          </cell>
          <cell r="C2499" t="str">
            <v xml:space="preserve">UN    </v>
          </cell>
          <cell r="D2499">
            <v>114.26</v>
          </cell>
        </row>
        <row r="2500">
          <cell r="A2500">
            <v>12776</v>
          </cell>
          <cell r="B2500" t="str">
            <v>HIDROMETRO WOLTMANN, VAZAO MAXIMA DE 50,0 M3/H, DE 2"</v>
          </cell>
          <cell r="C2500" t="str">
            <v xml:space="preserve">UN    </v>
          </cell>
          <cell r="D2500">
            <v>1701.2</v>
          </cell>
        </row>
        <row r="2501">
          <cell r="A2501">
            <v>12777</v>
          </cell>
          <cell r="B2501" t="str">
            <v>HIDROMETRO WOLTMANN, VAZAO MAXIMA DE 80,0 M3/H, DE 3"</v>
          </cell>
          <cell r="C2501" t="str">
            <v xml:space="preserve">UN    </v>
          </cell>
          <cell r="D2501">
            <v>2221.7199999999998</v>
          </cell>
        </row>
        <row r="2502">
          <cell r="A2502">
            <v>3391</v>
          </cell>
          <cell r="B2502" t="str">
            <v>IGNITOR PARA LAMPADA DE VAPOR DE SODIO / VAPOR METALICO ATE 2000 W, TENSAO DE PULSO ENTRE 600 A 750 V</v>
          </cell>
          <cell r="C2502" t="str">
            <v xml:space="preserve">UN    </v>
          </cell>
          <cell r="D2502">
            <v>44.87</v>
          </cell>
        </row>
        <row r="2503">
          <cell r="A2503">
            <v>3389</v>
          </cell>
          <cell r="B2503" t="str">
            <v>IGNITOR PARA LAMPADA DE VAPOR DE SODIO / VAPOR METALICO ATE 400 W, TENSAO DE PULSO ENTRE 3000 A 4500 V</v>
          </cell>
          <cell r="C2503" t="str">
            <v xml:space="preserve">UN    </v>
          </cell>
          <cell r="D2503">
            <v>23.28</v>
          </cell>
        </row>
        <row r="2504">
          <cell r="A2504">
            <v>3390</v>
          </cell>
          <cell r="B2504" t="str">
            <v>IGNITOR PARA LAMPADA DE VAPOR DE SODIO / VAPOR METALICO ATE 400 W, TENSAO DE PULSO ENTRE 580 A 750 V</v>
          </cell>
          <cell r="C2504" t="str">
            <v xml:space="preserve">UN    </v>
          </cell>
          <cell r="D2504">
            <v>26.2</v>
          </cell>
        </row>
        <row r="2505">
          <cell r="A2505">
            <v>12873</v>
          </cell>
          <cell r="B2505" t="str">
            <v>IMPERMEABILIZADOR</v>
          </cell>
          <cell r="C2505" t="str">
            <v xml:space="preserve">H     </v>
          </cell>
          <cell r="D2505">
            <v>15.87</v>
          </cell>
        </row>
        <row r="2506">
          <cell r="A2506">
            <v>41076</v>
          </cell>
          <cell r="B2506" t="str">
            <v>IMPERMEABILIZADOR (MENSALISTA)</v>
          </cell>
          <cell r="C2506" t="str">
            <v xml:space="preserve">MES   </v>
          </cell>
          <cell r="D2506">
            <v>2811.05</v>
          </cell>
        </row>
        <row r="2507">
          <cell r="A2507">
            <v>140</v>
          </cell>
          <cell r="B2507" t="str">
            <v>IMPERMEABILIZANTE FLEXIVEL BRANCO DE BASE ACRILICA PARA COBERTURAS</v>
          </cell>
          <cell r="C2507" t="str">
            <v xml:space="preserve">KG    </v>
          </cell>
          <cell r="D2507">
            <v>14.19</v>
          </cell>
        </row>
        <row r="2508">
          <cell r="A2508">
            <v>151</v>
          </cell>
          <cell r="B2508" t="str">
            <v>IMPERMEABILIZANTE INCOLOR PARA TRATAMENTO DE FACHADAS E TELHAS, BASE SILICONE</v>
          </cell>
          <cell r="C2508" t="str">
            <v xml:space="preserve">L     </v>
          </cell>
          <cell r="D2508">
            <v>17.850000000000001</v>
          </cell>
        </row>
        <row r="2509">
          <cell r="A2509">
            <v>7340</v>
          </cell>
          <cell r="B2509" t="str">
            <v>IMUNIZANTE PARA MADEIRA, INCOLOR</v>
          </cell>
          <cell r="C2509" t="str">
            <v xml:space="preserve">L     </v>
          </cell>
          <cell r="D2509">
            <v>16.420000000000002</v>
          </cell>
        </row>
        <row r="2510">
          <cell r="A2510">
            <v>2701</v>
          </cell>
          <cell r="B2510" t="str">
            <v>INSTALADOR DE TUBULACOES (TUBOS/EQUIPAMENTOS)</v>
          </cell>
          <cell r="C2510" t="str">
            <v xml:space="preserve">H     </v>
          </cell>
          <cell r="D2510">
            <v>11.13</v>
          </cell>
        </row>
        <row r="2511">
          <cell r="A2511">
            <v>40929</v>
          </cell>
          <cell r="B2511" t="str">
            <v>INSTALADOR DE TUBULACOES (TUBOS/EQUIPAMENTOS) (MENSALISTA)</v>
          </cell>
          <cell r="C2511" t="str">
            <v xml:space="preserve">MES   </v>
          </cell>
          <cell r="D2511">
            <v>1970.48</v>
          </cell>
        </row>
        <row r="2512">
          <cell r="A2512">
            <v>38114</v>
          </cell>
          <cell r="B2512" t="str">
            <v>INTERRUPTOR BIPOLAR SIMPLES 10 A, 250 V (APENAS MODULO)</v>
          </cell>
          <cell r="C2512" t="str">
            <v xml:space="preserve">UN    </v>
          </cell>
          <cell r="D2512">
            <v>13.54</v>
          </cell>
        </row>
        <row r="2513">
          <cell r="A2513">
            <v>38064</v>
          </cell>
          <cell r="B2513" t="str">
            <v>INTERRUPTOR BIPOLAR 10A, 250V, CONJUNTO MONTADO PARA EMBUTIR 4" X 2" (PLACA + SUPORTE + MODULO)</v>
          </cell>
          <cell r="C2513" t="str">
            <v xml:space="preserve">UN    </v>
          </cell>
          <cell r="D2513">
            <v>15.14</v>
          </cell>
        </row>
        <row r="2514">
          <cell r="A2514">
            <v>38115</v>
          </cell>
          <cell r="B2514" t="str">
            <v>INTERRUPTOR INTERMEDIARIO 10 A, 250 V (APENAS MODULO)</v>
          </cell>
          <cell r="C2514" t="str">
            <v xml:space="preserve">UN    </v>
          </cell>
          <cell r="D2514">
            <v>14.46</v>
          </cell>
        </row>
        <row r="2515">
          <cell r="A2515">
            <v>38065</v>
          </cell>
          <cell r="B2515" t="str">
            <v>INTERRUPTOR INTERMEDIARIO 10A, 250V, CONJUNTO MONTADO PARA EMBUTIR 4" X 2" (PLACA + SUPORTE + MODULO)</v>
          </cell>
          <cell r="C2515" t="str">
            <v xml:space="preserve">UN    </v>
          </cell>
          <cell r="D2515">
            <v>21.48</v>
          </cell>
        </row>
        <row r="2516">
          <cell r="A2516">
            <v>38078</v>
          </cell>
          <cell r="B2516" t="str">
            <v>INTERRUPTOR PARALELO + TOMADA 2P+T 10A, 250V, CONJUNTO MONTADO PARA EMBUTIR 4" X 2" (PLACA + SUPORTE + MODULOS)</v>
          </cell>
          <cell r="C2516" t="str">
            <v xml:space="preserve">UN    </v>
          </cell>
          <cell r="D2516">
            <v>12.53</v>
          </cell>
        </row>
        <row r="2517">
          <cell r="A2517">
            <v>38113</v>
          </cell>
          <cell r="B2517" t="str">
            <v>INTERRUPTOR PARALELO 10A, 250V (APENAS MODULO)</v>
          </cell>
          <cell r="C2517" t="str">
            <v xml:space="preserve">UN    </v>
          </cell>
          <cell r="D2517">
            <v>6.81</v>
          </cell>
        </row>
        <row r="2518">
          <cell r="A2518">
            <v>38063</v>
          </cell>
          <cell r="B2518" t="str">
            <v>INTERRUPTOR PARALELO 10A, 250V, CONJUNTO MONTADO PARA EMBUTIR 4" X 2" (PLACA + SUPORTE + MODULO)</v>
          </cell>
          <cell r="C2518" t="str">
            <v xml:space="preserve">UN    </v>
          </cell>
          <cell r="D2518">
            <v>7.3</v>
          </cell>
        </row>
        <row r="2519">
          <cell r="A2519">
            <v>38080</v>
          </cell>
          <cell r="B2519" t="str">
            <v>INTERRUPTOR SIMPLES + INTERRUPTOR PARALELO + TOMADA 2P+T 10A, 250V, CONJUNTO MONTADO PARA EMBUTIR 4" X 2" (PLACA + SUPORTE + MODULOS)</v>
          </cell>
          <cell r="C2519" t="str">
            <v xml:space="preserve">UN    </v>
          </cell>
          <cell r="D2519">
            <v>21.77</v>
          </cell>
        </row>
        <row r="2520">
          <cell r="A2520">
            <v>38069</v>
          </cell>
          <cell r="B2520" t="str">
            <v>INTERRUPTOR SIMPLES + INTERRUPTOR PARALELO 10A, 250V, CONJUNTO MONTADO PARA EMBUTIR 4" X 2" (PLACA + SUPORTE + MODULOS)</v>
          </cell>
          <cell r="C2520" t="str">
            <v xml:space="preserve">UN    </v>
          </cell>
          <cell r="D2520">
            <v>11.9</v>
          </cell>
        </row>
        <row r="2521">
          <cell r="A2521">
            <v>38077</v>
          </cell>
          <cell r="B2521" t="str">
            <v>INTERRUPTOR SIMPLES + TOMADA 2P+T 10A, 250V, CONJUNTO MONTADO PARA EMBUTIR 4" X 2" (PLACA + SUPORTE + MODULOS)</v>
          </cell>
          <cell r="C2521" t="str">
            <v xml:space="preserve">UN    </v>
          </cell>
          <cell r="D2521">
            <v>11.63</v>
          </cell>
        </row>
        <row r="2522">
          <cell r="A2522">
            <v>38073</v>
          </cell>
          <cell r="B2522" t="str">
            <v>INTERRUPTOR SIMPLES + 2 INTERRUPTORES PARALELOS 10A, 250V, CONJUNTO MONTADO PARA EMBUTIR 4" X 2" (PLACA + SUPORTE + MODULOS)</v>
          </cell>
          <cell r="C2522" t="str">
            <v xml:space="preserve">UN    </v>
          </cell>
          <cell r="D2522">
            <v>17.72</v>
          </cell>
        </row>
        <row r="2523">
          <cell r="A2523">
            <v>38112</v>
          </cell>
          <cell r="B2523" t="str">
            <v>INTERRUPTOR SIMPLES 10A, 250V (APENAS MODULO)</v>
          </cell>
          <cell r="C2523" t="str">
            <v xml:space="preserve">UN    </v>
          </cell>
          <cell r="D2523">
            <v>5.22</v>
          </cell>
        </row>
        <row r="2524">
          <cell r="A2524">
            <v>38062</v>
          </cell>
          <cell r="B2524" t="str">
            <v>INTERRUPTOR SIMPLES 10A, 250V, CONJUNTO MONTADO PARA EMBUTIR 4" X 2" (PLACA + SUPORTE + MODULO)</v>
          </cell>
          <cell r="C2524" t="str">
            <v xml:space="preserve">UN    </v>
          </cell>
          <cell r="D2524">
            <v>5.36</v>
          </cell>
        </row>
        <row r="2525">
          <cell r="A2525">
            <v>12128</v>
          </cell>
          <cell r="B2525" t="str">
            <v>INTERRUPTOR SIMPLES 10A, 250V, CONJUNTO MONTADO PARA SOBREPOR 4" X 2" (CAIXA + MODULO)</v>
          </cell>
          <cell r="C2525" t="str">
            <v xml:space="preserve">UN    </v>
          </cell>
          <cell r="D2525">
            <v>7.17</v>
          </cell>
        </row>
        <row r="2526">
          <cell r="A2526">
            <v>12129</v>
          </cell>
          <cell r="B2526" t="str">
            <v>INTERRUPTOR SIMPLES 10A, 250V, CONJUNTO MONTADO PARA SOBREPOR 4" X 2" (CAIXA + 2 MODULOS)</v>
          </cell>
          <cell r="C2526" t="str">
            <v xml:space="preserve">UN    </v>
          </cell>
          <cell r="D2526">
            <v>9.48</v>
          </cell>
        </row>
        <row r="2527">
          <cell r="A2527">
            <v>38081</v>
          </cell>
          <cell r="B2527" t="str">
            <v>INTERRUPTORES PARALELOS (2 MODULOS) + TOMADA 2P+T 10A, 250V, CONJUNTO MONTADO PARA EMBUTIR 4" X 2" (PLACA + SUPORTE + MODULOS)</v>
          </cell>
          <cell r="C2527" t="str">
            <v xml:space="preserve">UN    </v>
          </cell>
          <cell r="D2527">
            <v>18.46</v>
          </cell>
        </row>
        <row r="2528">
          <cell r="A2528">
            <v>38070</v>
          </cell>
          <cell r="B2528" t="str">
            <v>INTERRUPTORES PARALELOS (2 MODULOS) 10A, 250V, CONJUNTO MONTADO PARA EMBUTIR 4" X 2" (PLACA + SUPORTE + MODULOS)</v>
          </cell>
          <cell r="C2528" t="str">
            <v xml:space="preserve">UN    </v>
          </cell>
          <cell r="D2528">
            <v>12.72</v>
          </cell>
        </row>
        <row r="2529">
          <cell r="A2529">
            <v>38074</v>
          </cell>
          <cell r="B2529" t="str">
            <v>INTERRUPTORES PARALELOS (3 MODULOS) 10A, 250V, CONJUNTO MONTADO PARA EMBUTIR 4" X 2" (PLACA + SUPORTE + MODULO)</v>
          </cell>
          <cell r="C2529" t="str">
            <v xml:space="preserve">UN    </v>
          </cell>
          <cell r="D2529">
            <v>19.34</v>
          </cell>
        </row>
        <row r="2530">
          <cell r="A2530">
            <v>38079</v>
          </cell>
          <cell r="B2530" t="str">
            <v>INTERRUPTORES SIMPLES (2 MODULOS) + TOMADA 2P+T 10A, 250V, CONJUNTO MONTADO PARA EMBUTIR 4" X 2" (PLACA + SUPORTE + MODULOS)</v>
          </cell>
          <cell r="C2530" t="str">
            <v xml:space="preserve">UN    </v>
          </cell>
          <cell r="D2530">
            <v>16.600000000000001</v>
          </cell>
        </row>
        <row r="2531">
          <cell r="A2531">
            <v>38072</v>
          </cell>
          <cell r="B2531" t="str">
            <v>INTERRUPTORES SIMPLES (2 MODULOS) + 1 INTERRUPTOR PARALELO 10A, 250V, CONJUNTO MONTADO PARA EMBUTIR 4" X 2" (PLACA + SUPORTE + MODULOS)</v>
          </cell>
          <cell r="C2531" t="str">
            <v xml:space="preserve">UN    </v>
          </cell>
          <cell r="D2531">
            <v>15.95</v>
          </cell>
        </row>
        <row r="2532">
          <cell r="A2532">
            <v>38068</v>
          </cell>
          <cell r="B2532" t="str">
            <v>INTERRUPTORES SIMPLES (2 MODULOS) 10A, 250V, CONJUNTO MONTADO PARA EMBUTIR 4" X 2" (PLACA + SUPORTE + MODULOS)</v>
          </cell>
          <cell r="C2532" t="str">
            <v xml:space="preserve">UN    </v>
          </cell>
          <cell r="D2532">
            <v>11.01</v>
          </cell>
        </row>
        <row r="2533">
          <cell r="A2533">
            <v>38071</v>
          </cell>
          <cell r="B2533" t="str">
            <v>INTERRUPTORES SIMPLES (3 MODULOS) 10A, 250V, CONJUNTO MONTADO PARA EMBUTIR 4" X 2" (PLACA + SUPORTE + MODULOS)</v>
          </cell>
          <cell r="C2533" t="str">
            <v xml:space="preserve">UN    </v>
          </cell>
          <cell r="D2533">
            <v>13.17</v>
          </cell>
        </row>
        <row r="2534">
          <cell r="A2534">
            <v>38412</v>
          </cell>
          <cell r="B2534" t="str">
            <v>INVERSOR DE SOLDA MONOFASICO DE 160 A, POTENCIA DE 5400 W, TENSAO DE 220 V, TURBO VENTILADO, PROTECAO POR FUSIVEL TERMICO, PARA ELETRODOS DE 2,0 A 4,0 MM</v>
          </cell>
          <cell r="C2534" t="str">
            <v xml:space="preserve">UN    </v>
          </cell>
          <cell r="D2534">
            <v>1489.57</v>
          </cell>
        </row>
        <row r="2535">
          <cell r="A2535">
            <v>3405</v>
          </cell>
          <cell r="B2535" t="str">
            <v>ISOLADOR DE PORCELANA SUSPENSO, DISCO TIPO GARFO OLHAL, DIAMETRO DE 152 MM, PARA TENSAO DE *15* KV</v>
          </cell>
          <cell r="C2535" t="str">
            <v xml:space="preserve">UN    </v>
          </cell>
          <cell r="D2535">
            <v>63.25</v>
          </cell>
        </row>
        <row r="2536">
          <cell r="A2536">
            <v>3394</v>
          </cell>
          <cell r="B2536" t="str">
            <v>ISOLADOR DE PORCELANA, TIPO BUCHA, PARA TENSAO DE *15* KV</v>
          </cell>
          <cell r="C2536" t="str">
            <v xml:space="preserve">UN    </v>
          </cell>
          <cell r="D2536">
            <v>333.87</v>
          </cell>
        </row>
        <row r="2537">
          <cell r="A2537">
            <v>3393</v>
          </cell>
          <cell r="B2537" t="str">
            <v>ISOLADOR DE PORCELANA, TIPO BUCHA, PARA TENSAO DE *35* KV</v>
          </cell>
          <cell r="C2537" t="str">
            <v xml:space="preserve">UN    </v>
          </cell>
          <cell r="D2537">
            <v>568.45000000000005</v>
          </cell>
        </row>
        <row r="2538">
          <cell r="A2538">
            <v>3406</v>
          </cell>
          <cell r="B2538" t="str">
            <v>ISOLADOR DE PORCELANA, TIPO PINO MONOCORPO, PARA TENSAO DE *15* KV</v>
          </cell>
          <cell r="C2538" t="str">
            <v xml:space="preserve">UN    </v>
          </cell>
          <cell r="D2538">
            <v>19.36</v>
          </cell>
        </row>
        <row r="2539">
          <cell r="A2539">
            <v>3395</v>
          </cell>
          <cell r="B2539" t="str">
            <v>ISOLADOR DE PORCELANA, TIPO PINO MONOCORPO, PARA TENSAO DE *35* KV</v>
          </cell>
          <cell r="C2539" t="str">
            <v xml:space="preserve">UN    </v>
          </cell>
          <cell r="D2539">
            <v>81.67</v>
          </cell>
        </row>
        <row r="2540">
          <cell r="A2540">
            <v>3398</v>
          </cell>
          <cell r="B2540" t="str">
            <v>ISOLADOR DE PORCELANA, TIPO ROLDANA, DIMENSOES DE *72* X *72* MM, PARA USO EM BAIXA TENSAO</v>
          </cell>
          <cell r="C2540" t="str">
            <v xml:space="preserve">UN    </v>
          </cell>
          <cell r="D2540">
            <v>3.88</v>
          </cell>
        </row>
        <row r="2541">
          <cell r="A2541">
            <v>34379</v>
          </cell>
          <cell r="B2541" t="str">
            <v>JANELA BASCULANTE EM ALUMINIO, 100 X 100 CM (A X L), ACABAMENTO ACET OU BRILHANTE, BATENTE/REQUADRO DE 3 A 14 CM, COM VIDRO, SEM GUARNICAO/ALIZAR</v>
          </cell>
          <cell r="C2541" t="str">
            <v xml:space="preserve">UN    </v>
          </cell>
          <cell r="D2541">
            <v>438.61</v>
          </cell>
        </row>
        <row r="2542">
          <cell r="A2542">
            <v>34378</v>
          </cell>
          <cell r="B2542" t="str">
            <v>JANELA BASCULANTE EM ALUMINIO, 100 X 80 CM (A X L), ACABAMENTO ACET OU BRILHANTE, BATENTE/REQUADRO DE 3 A 14 CM, COM VIDRO, SEM GUARNICAO/ALIZAR</v>
          </cell>
          <cell r="C2542" t="str">
            <v xml:space="preserve">UN    </v>
          </cell>
          <cell r="D2542">
            <v>353.27</v>
          </cell>
        </row>
        <row r="2543">
          <cell r="A2543">
            <v>34377</v>
          </cell>
          <cell r="B2543" t="str">
            <v>JANELA BASCULANTE EM ALUMINIO, 80 X 60 CM (A X L), ACABAMENTO ACET OU BRILHANTE, BATENTE/REQUADRO DE 3 A 14 CM, COM VIDRO, SEM GUARNICAO/ALIZAR</v>
          </cell>
          <cell r="C2543" t="str">
            <v xml:space="preserve">UN    </v>
          </cell>
          <cell r="D2543">
            <v>325.8</v>
          </cell>
        </row>
        <row r="2544">
          <cell r="A2544">
            <v>581</v>
          </cell>
          <cell r="B2544" t="str">
            <v>JANELA BASCULANTE EM ALUMINIO, 80 X 60 CM (A X L), BATENTE/REQUADRO DE 3 A 14 CM, COM VIDRO, SEM GUARNICAO/ALIZAR</v>
          </cell>
          <cell r="C2544" t="str">
            <v xml:space="preserve">M2    </v>
          </cell>
          <cell r="D2544">
            <v>618.79</v>
          </cell>
        </row>
        <row r="2545">
          <cell r="A2545">
            <v>40662</v>
          </cell>
          <cell r="B2545" t="str">
            <v>JANELA BASCULANTE EM MADEIRA PINUS/ EUCALIPTO/ TAUARI/ VIROLA OU EQUIVALENTE DA REGIAO, *60 X 60*, CAIXA DO BATENTE/ MARCO E = *10* CM, 2 BASCULAS PARA VIDRO, COM FERRAGENS (SEM VIDRO, SEM GUARNICAO/ALIZAR E SEM ACABAMENTO)</v>
          </cell>
          <cell r="C2545" t="str">
            <v xml:space="preserve">UN    </v>
          </cell>
          <cell r="D2545">
            <v>179.58</v>
          </cell>
        </row>
        <row r="2546">
          <cell r="A2546">
            <v>3437</v>
          </cell>
          <cell r="B2546" t="str">
            <v>JANELA BASCULANTE EM MADEIRA PINUS/ EUCALIPTO/ TAUARI/ VIROLA OU EQUIVALENTE DA REGIAO, CAIXA DO BATENTE/ MARCO *10* CM, *2* FOLHAS BASCULANTES PARA VIDRO, COM FERRAGENS (SEM VIDRO, SEM GUARNICAO/ALIZAR E SEM ACABAMENTO)</v>
          </cell>
          <cell r="C2546" t="str">
            <v xml:space="preserve">M2    </v>
          </cell>
          <cell r="D2546">
            <v>498.84</v>
          </cell>
        </row>
        <row r="2547">
          <cell r="A2547">
            <v>11183</v>
          </cell>
          <cell r="B2547" t="str">
            <v>JANELA BASCULANTE, ACO, COM BATENTE/REQUADRO, 100 X 100 CM (SEM VIDROS)</v>
          </cell>
          <cell r="C2547" t="str">
            <v xml:space="preserve">UN    </v>
          </cell>
          <cell r="D2547">
            <v>379.94</v>
          </cell>
        </row>
        <row r="2548">
          <cell r="A2548">
            <v>11190</v>
          </cell>
          <cell r="B2548" t="str">
            <v>JANELA BASCULANTE, ACO, COM BATENTE/REQUADRO, 60 X 60 CM (SEM VIDROS)</v>
          </cell>
          <cell r="C2548" t="str">
            <v xml:space="preserve">UN    </v>
          </cell>
          <cell r="D2548">
            <v>176.25</v>
          </cell>
        </row>
        <row r="2549">
          <cell r="A2549">
            <v>616</v>
          </cell>
          <cell r="B2549" t="str">
            <v>JANELA BASCULANTE, ACO, COM BATENTE/REQUADRO, 60 X 80 CM (SEM VIDROS)</v>
          </cell>
          <cell r="C2549" t="str">
            <v xml:space="preserve">UN    </v>
          </cell>
          <cell r="D2549">
            <v>207.28</v>
          </cell>
        </row>
        <row r="2550">
          <cell r="A2550">
            <v>615</v>
          </cell>
          <cell r="B2550" t="str">
            <v>JANELA BASCULANTE, ACO, COM BATENTE/REQUADRO, 60 X 80 CM (SEM VIDROS)</v>
          </cell>
          <cell r="C2550" t="str">
            <v xml:space="preserve">M2    </v>
          </cell>
          <cell r="D2550">
            <v>431.84</v>
          </cell>
        </row>
        <row r="2551">
          <cell r="A2551">
            <v>11192</v>
          </cell>
          <cell r="B2551" t="str">
            <v>JANELA BASCULANTE, ACO, COM BATENTE/REQUADRO, 80 X 80 CM (SEM VIDROS)</v>
          </cell>
          <cell r="C2551" t="str">
            <v xml:space="preserve">UN    </v>
          </cell>
          <cell r="D2551">
            <v>324.29000000000002</v>
          </cell>
        </row>
        <row r="2552">
          <cell r="A2552">
            <v>11231</v>
          </cell>
          <cell r="B2552" t="str">
            <v>JANELA BASCULANTE, ACO, COM BATENTE/REQUADRO, 80 X 80 CM (SEM VIDROS)</v>
          </cell>
          <cell r="C2552" t="str">
            <v xml:space="preserve">M2    </v>
          </cell>
          <cell r="D2552">
            <v>506.7</v>
          </cell>
        </row>
        <row r="2553">
          <cell r="A2553">
            <v>3428</v>
          </cell>
          <cell r="B2553" t="str">
            <v>JANELA DE ABRIR EM MADEIRA IMBUIA/CEDRO ARANA/CEDRO ROSA OU EQUIVALENTE DA REGIAO, CAIXA DO BATENTE/MARCO *10* CM, 2 FOLHAS DE ABRIR TIPO VENEZIANA E 2 FOLHAS DE ABRIR PARA VIDRO, COM GUARNICAO/ALIZAR, COM FERRAGENS, (SEM VIDRO E SEM ACABAMENTO)</v>
          </cell>
          <cell r="C2553" t="str">
            <v xml:space="preserve">M2    </v>
          </cell>
          <cell r="D2553">
            <v>739.95</v>
          </cell>
        </row>
        <row r="2554">
          <cell r="A2554">
            <v>3429</v>
          </cell>
          <cell r="B2554" t="str">
            <v>JANELA DE ABRIR EM MADEIRA PINUS/EUCALIPTO/ TAUARI/ VIROLA OU EQUIVALENTE DA REGIAO, CAIXA DO BATENTE/MARCO *10* CM, 2 FOLHAS DE ABRIR TIPO VENEZIANA E 2 FOLHAS GUILHOTINA PARA VIDRO, COM FERRAGENS (SEM VIDRO,SEM GUARNICAO/ALIZAR E SEM ACABAMENTO)</v>
          </cell>
          <cell r="C2554" t="str">
            <v xml:space="preserve">M2    </v>
          </cell>
          <cell r="D2554">
            <v>422.76</v>
          </cell>
        </row>
        <row r="2555">
          <cell r="A2555">
            <v>34371</v>
          </cell>
          <cell r="B2555" t="str">
            <v>JANELA DE CORRER EM ALUMINIO, VENEZIANA, 120  X 150 CM (A X L), 3 FLS (2 VENEZIANAS E 1 VIDRO), SEM BANDEIRA, ACABAMENTO ACET OU BRILHANTE, BATENTE/REQUADRO DE 6 A 14 CM, COM VIDRO, SEM GUARNICAO/ALIZAR</v>
          </cell>
          <cell r="C2555" t="str">
            <v xml:space="preserve">UN    </v>
          </cell>
          <cell r="D2555">
            <v>1192.5</v>
          </cell>
        </row>
        <row r="2556">
          <cell r="A2556">
            <v>34370</v>
          </cell>
          <cell r="B2556" t="str">
            <v>JANELA DE CORRER EM ALUMINIO, VENEZIANA, 120 X 120 CM (A X L), 3 FLS (2 VENEZIANAS E 1 VIDRO), SEM BANDEIRA, ACABAMENTO ACET OU BRILHANTE, BATENTE/REQUADRO DE 6 A 14 CM, COM VIDRO, SEM GUARNICAO/ALIZAR</v>
          </cell>
          <cell r="C2556" t="str">
            <v xml:space="preserve">UN    </v>
          </cell>
          <cell r="D2556">
            <v>988.94</v>
          </cell>
        </row>
        <row r="2557">
          <cell r="A2557">
            <v>34372</v>
          </cell>
          <cell r="B2557" t="str">
            <v>JANELA DE CORRER EM ALUMINIO, VENEZIANA, 120 X 150 CM (A X L), 6 FLS (4 VENEZIANAS E 2 VIDROS), SEM BANDEIRA, ACABAMENTO ACET OU BRILHANTE, BATENTE/REQUADRO DE 6 A 14 CM, COM VIDRO, SEM GUARNICAO/ALIZAR</v>
          </cell>
          <cell r="C2557" t="str">
            <v xml:space="preserve">UN    </v>
          </cell>
          <cell r="D2557">
            <v>1375.77</v>
          </cell>
        </row>
        <row r="2558">
          <cell r="A2558">
            <v>34373</v>
          </cell>
          <cell r="B2558" t="str">
            <v>JANELA DE CORRER EM ALUMINIO, VENEZIANA, 120 X 200 CM (A X L), 6 FLS (4 VENEZIANAS E 2 VIDROS), SEM BANDEIRA, ACABAMENTO ACET OU BRILHANTE,  BATENTE/REQUADRO DE 6 A 14 CM, COM VIDRO, SEM GUARNICAO/ALIZAR</v>
          </cell>
          <cell r="C2558" t="str">
            <v xml:space="preserve">UN    </v>
          </cell>
          <cell r="D2558">
            <v>1702.99</v>
          </cell>
        </row>
        <row r="2559">
          <cell r="A2559">
            <v>36896</v>
          </cell>
          <cell r="B2559" t="str">
            <v>JANELA DE CORRER EM ALUMINIO, 100 X 120 CM (A X L), 2 FLS,  SEM BANDEIRA,  ACABAMENTO ACET OU BRILHANTE, BATENTE/REQUADRO DE 6 A 14 CM, COM VIDRO, SEM GUARNICAO</v>
          </cell>
          <cell r="C2559" t="str">
            <v xml:space="preserve">UN    </v>
          </cell>
          <cell r="D2559">
            <v>567.44000000000005</v>
          </cell>
        </row>
        <row r="2560">
          <cell r="A2560">
            <v>34367</v>
          </cell>
          <cell r="B2560" t="str">
            <v>JANELA DE CORRER EM ALUMINIO, 100 X 150 CM (A X L), 2 FLS,  SEM BANDEIRA,  ACABAMENTO ACET OU BRILHANTE, BATENTE/REQUADRO DE 6 A 14 CM, COM VIDRO, SEM GUARNICAO/ALIZAR</v>
          </cell>
          <cell r="C2560" t="str">
            <v xml:space="preserve">UN    </v>
          </cell>
          <cell r="D2560">
            <v>666.53</v>
          </cell>
        </row>
        <row r="2561">
          <cell r="A2561">
            <v>36897</v>
          </cell>
          <cell r="B2561" t="str">
            <v>JANELA DE CORRER EM ALUMINIO, 100 X 150 CM (A X L), 4 FLS, SEM BANDEIRA, ACABAMENTO ACET OU BRILHANTE, BATENTE/REQUADRO DE 6 A 14 CM, COM VIDRO, SEM GUARNICAO/ALIZAR</v>
          </cell>
          <cell r="C2561" t="str">
            <v xml:space="preserve">UN    </v>
          </cell>
          <cell r="D2561">
            <v>785.99</v>
          </cell>
        </row>
        <row r="2562">
          <cell r="A2562">
            <v>36884</v>
          </cell>
          <cell r="B2562" t="str">
            <v>JANELA DE CORRER EM ALUMINIO, 100 X 150 CM (A X L), 4 FLS, SEM BANDEIRA, ACABAMENTO ACET OU BRILHANTE, BATENTE/REQUADRO DE 6 A 14 CM, COM VIDRO, SEM GUARNICAO/ALIZAR</v>
          </cell>
          <cell r="C2562" t="str">
            <v xml:space="preserve">M2    </v>
          </cell>
          <cell r="D2562">
            <v>552.04999999999995</v>
          </cell>
        </row>
        <row r="2563">
          <cell r="A2563">
            <v>597</v>
          </cell>
          <cell r="B2563" t="str">
            <v>JANELA DE CORRER EM ALUMINIO, 100 X 150 CM (A X L), 4 FLS, SEM BANDEIRA, ACABAMENTO ACET OU BRILHANTE, COM VIDRO, COM GUARNICAO PARA 1 FACE</v>
          </cell>
          <cell r="C2563" t="str">
            <v xml:space="preserve">M2    </v>
          </cell>
          <cell r="D2563">
            <v>580.55999999999995</v>
          </cell>
        </row>
        <row r="2564">
          <cell r="A2564">
            <v>34369</v>
          </cell>
          <cell r="B2564" t="str">
            <v>JANELA DE CORRER EM ALUMINIO, 100 X 200 CM, 4 FLS,  BANDEIRA COM BASCULA,  ACABAMENTO ACET OU BRILHANTE, BATENTE/REQUADRO DE 6 A 14 CM, COM VIDRO, SEM GUARNICAO/ALIZAR</v>
          </cell>
          <cell r="C2564" t="str">
            <v xml:space="preserve">UN    </v>
          </cell>
          <cell r="D2564">
            <v>931.25</v>
          </cell>
        </row>
        <row r="2565">
          <cell r="A2565">
            <v>34362</v>
          </cell>
          <cell r="B2565" t="str">
            <v>JANELA DE CORRER EM ALUMINIO, 120 X 120 CM (A X L), 2 FLS, SEM BANDEIRA, ACABAMENTO ACET OU BRILHANTE,  BATENTE/REQUADRO DE 6 A 14 CM, COM VIDRO, SEM GUARNICAO/ALIZAR</v>
          </cell>
          <cell r="C2565" t="str">
            <v xml:space="preserve">UN    </v>
          </cell>
          <cell r="D2565">
            <v>646.16999999999996</v>
          </cell>
        </row>
        <row r="2566">
          <cell r="A2566">
            <v>34363</v>
          </cell>
          <cell r="B2566" t="str">
            <v>JANELA DE CORRER EM ALUMINIO, 120 X 150 CM (A X L), 2 FLS, SEM BANDEIRA, ACABAMENTO ACET OU BRILHANTE, BATENTE/REQUADRO DE 6 A 14 CM, COM VIDRO, SEM GUARNICAO/ALIZAR</v>
          </cell>
          <cell r="C2566" t="str">
            <v xml:space="preserve">UN    </v>
          </cell>
          <cell r="D2566">
            <v>730.34</v>
          </cell>
        </row>
        <row r="2567">
          <cell r="A2567">
            <v>34364</v>
          </cell>
          <cell r="B2567" t="str">
            <v>JANELA DE CORRER EM ALUMINIO, 120 X 150 CM (A X L), 4 FLS, BANDEIRA COM BASCULA,  ACABAMENTO ACET OU BRILHANTE, BATENTE/REQUADRO DE 6 A 14 CM, COM VIDRO, SEM GUARNICAO/ALIZAR</v>
          </cell>
          <cell r="C2567" t="str">
            <v xml:space="preserve">UN    </v>
          </cell>
          <cell r="D2567">
            <v>910.89</v>
          </cell>
        </row>
        <row r="2568">
          <cell r="A2568">
            <v>34365</v>
          </cell>
          <cell r="B2568" t="str">
            <v>JANELA DE CORRER EM ALUMINIO, 120 X 200 CM (A X L), 4 FLS, BANDEIRA COM BASCULA,  ACABAMENTO ACET OU BRILHANTE, BATENTE/REQUADRO DE 6 A 14 CM, COM VIDRO, SEM GUARNICAO/ALIZAR</v>
          </cell>
          <cell r="C2568" t="str">
            <v xml:space="preserve">UN    </v>
          </cell>
          <cell r="D2568">
            <v>1026.27</v>
          </cell>
        </row>
        <row r="2569">
          <cell r="A2569">
            <v>11199</v>
          </cell>
          <cell r="B2569" t="str">
            <v>JANELA DE CORRER, ACO, BATENTE/REQUADRO DE 6 A 14 CM,  COM DIVISAO HORIZ , PINT ANTICORROSIVA, SEM VIDRO, BANDEIRA COM BASCULA, 4 FLS, 120  X 150 CM (A X L)</v>
          </cell>
          <cell r="C2569" t="str">
            <v xml:space="preserve">UN    </v>
          </cell>
          <cell r="D2569">
            <v>973.39</v>
          </cell>
        </row>
        <row r="2570">
          <cell r="A2570">
            <v>34801</v>
          </cell>
          <cell r="B2570" t="str">
            <v>JANELA DE CORRER, ACO, BATENTE/REQUADRO DE 6 A 14 CM, QUADRICULADA, PINT ANTICORROSIVA, SEM VIDRO, BANDEIRA COM BASCULA, 4 FLS, 120  X 150 CM (A X L)</v>
          </cell>
          <cell r="C2570" t="str">
            <v xml:space="preserve">UN    </v>
          </cell>
          <cell r="D2570">
            <v>1221.06</v>
          </cell>
        </row>
        <row r="2571">
          <cell r="A2571">
            <v>34799</v>
          </cell>
          <cell r="B2571" t="str">
            <v>JANELA DE CORRER, ACO, BATENTE/REQUADRO DE 6 A 14 CM, QUADRICULADA, PINT ANTICORROSIVA, SEM VIDRO, BANDEIRA COM BASCULA, 4 FLS, 120  X 200 CM (A X L)</v>
          </cell>
          <cell r="C2571" t="str">
            <v xml:space="preserve">UN    </v>
          </cell>
          <cell r="D2571">
            <v>1505.82</v>
          </cell>
        </row>
        <row r="2572">
          <cell r="A2572">
            <v>622</v>
          </cell>
          <cell r="B2572" t="str">
            <v>JANELA DE CORRER, ACO, BATENTE/REQUADRO DE 6 A 14 CM, QUADRICULADA, PINT ANTICORROSIVA, SEM VIDRO, SEM BANDEIRA, 4 FLS, 100  X 120 CM (A X L)</v>
          </cell>
          <cell r="C2572" t="str">
            <v xml:space="preserve">UN    </v>
          </cell>
          <cell r="D2572">
            <v>677.92</v>
          </cell>
        </row>
        <row r="2573">
          <cell r="A2573">
            <v>34805</v>
          </cell>
          <cell r="B2573" t="str">
            <v>JANELA DE CORRER, ACO, BATENTE/REQUADRO DE 6 A 14 CM, QUADRICULADA, PINT ANTICORROSIVA, SEM VIDRO, SEM BANDEIRA, 4 FLS, 120  X 150 CM (A X L)</v>
          </cell>
          <cell r="C2573" t="str">
            <v xml:space="preserve">M2    </v>
          </cell>
          <cell r="D2573">
            <v>507.38</v>
          </cell>
        </row>
        <row r="2574">
          <cell r="A2574">
            <v>34803</v>
          </cell>
          <cell r="B2574" t="str">
            <v>JANELA DE CORRER, ACO, BATENTE/REQUADRO DE 6 A 14 CM, QUADRICULADA, PINT ANTICORROSIVA, SEM VIDRO, SEM BANDEIRA, 4 FLS, 120  X 200 CM (A X L)</v>
          </cell>
          <cell r="C2574" t="str">
            <v xml:space="preserve">UN    </v>
          </cell>
          <cell r="D2574">
            <v>613.53</v>
          </cell>
        </row>
        <row r="2575">
          <cell r="A2575">
            <v>606</v>
          </cell>
          <cell r="B2575" t="str">
            <v>JANELA DE CORRER, ACO, BATENTE/REQUADRO DE 6 A 14 CM, QUADRICULADA, PINTURA ANTICORROSIVA, SEM VIDRO, BANDEIRA COM BASCULA, 4 FLS, 120  X 150 CM (A X L)</v>
          </cell>
          <cell r="C2575" t="str">
            <v xml:space="preserve">M2    </v>
          </cell>
          <cell r="D2575">
            <v>678.36</v>
          </cell>
        </row>
        <row r="2576">
          <cell r="A2576">
            <v>11227</v>
          </cell>
          <cell r="B2576" t="str">
            <v>JANELA DE CORRER, ACO, BATENTE/REQUADRO DE 6 A 14 CM, SEM  DIVISAO, PINT ANTICORROSIVA, SEM VIDRO, BANDEIRA COM BASCULA, 4 FLS, 120  X 200 CM (A X L)</v>
          </cell>
          <cell r="C2576" t="str">
            <v xml:space="preserve">UN    </v>
          </cell>
          <cell r="D2576">
            <v>718.49</v>
          </cell>
        </row>
        <row r="2577">
          <cell r="A2577">
            <v>11193</v>
          </cell>
          <cell r="B2577" t="str">
            <v>JANELA DE CORRER, ACO, BATENTE/REQUADRO DE 6 A 14 CM, VENEZIANA, PINT ANTICORROSIVA, PINT ACABAMENTO, COM VIDRO, 6 FLS, 120  X 150 CM (A X L)</v>
          </cell>
          <cell r="C2577" t="str">
            <v xml:space="preserve">M2    </v>
          </cell>
          <cell r="D2577">
            <v>687.8</v>
          </cell>
        </row>
        <row r="2578">
          <cell r="A2578">
            <v>11194</v>
          </cell>
          <cell r="B2578" t="str">
            <v>JANELA DE CORRER, ACO, BATENTE/REQUADRO DE 6 A 14 CM, VENEZIANA, PINT ANTICORROSIVA, SEM VIDRO, 6 FLS, 120  X 150 CM (A X L)</v>
          </cell>
          <cell r="C2578" t="str">
            <v xml:space="preserve">M2    </v>
          </cell>
          <cell r="D2578">
            <v>619.28</v>
          </cell>
        </row>
        <row r="2579">
          <cell r="A2579">
            <v>605</v>
          </cell>
          <cell r="B2579" t="str">
            <v>JANELA DE CORRER, ACO, COM BATENTE/REQUADRO DE 6 A 14 CM, SEM DIVISAO, PINT ANTICORROSIVA, PINT ACABAMENTO, COM VIDRO, SEM BANDEIRA, COM GRADE, 4 FLS, 100  X 120 CM (A X L)</v>
          </cell>
          <cell r="C2579" t="str">
            <v xml:space="preserve">M2    </v>
          </cell>
          <cell r="D2579">
            <v>777.75</v>
          </cell>
        </row>
        <row r="2580">
          <cell r="A2580">
            <v>11197</v>
          </cell>
          <cell r="B2580" t="str">
            <v>JANELA DE CORRER, ACO, COM BATENTE/REQUADRO DE 6 A 14 CM, SEM DIVISAO, PINT ANTICORROSIVA, PINT ACABAMENTO, COM VIDRO, SEM BANDEIRA, 2 FLS, 120  X 150 CM (A X L)</v>
          </cell>
          <cell r="C2580" t="str">
            <v xml:space="preserve">UN    </v>
          </cell>
          <cell r="D2580">
            <v>941.94</v>
          </cell>
        </row>
        <row r="2581">
          <cell r="A2581">
            <v>40659</v>
          </cell>
          <cell r="B258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81" t="str">
            <v xml:space="preserve">M2    </v>
          </cell>
          <cell r="D2581">
            <v>705.79</v>
          </cell>
        </row>
        <row r="2582">
          <cell r="A2582">
            <v>40660</v>
          </cell>
          <cell r="B258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82" t="str">
            <v xml:space="preserve">M2    </v>
          </cell>
          <cell r="D2582">
            <v>894.51</v>
          </cell>
        </row>
        <row r="2583">
          <cell r="A2583">
            <v>40661</v>
          </cell>
          <cell r="B258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83" t="str">
            <v xml:space="preserve">M2    </v>
          </cell>
          <cell r="D2583">
            <v>549.97</v>
          </cell>
        </row>
        <row r="2584">
          <cell r="A2584">
            <v>3421</v>
          </cell>
          <cell r="B2584" t="str">
            <v>JANELA EM MADEIRA CEDRINHO/ ANGELIM COMERCIAL/ CURUPIXA/ CUMARU OU EQUIVALENTE DA REGIAO, CAIXA DO BATENTE/MARCO *10* CM, 2 FOLHAS DE ABRIR TIPO VENEZIANA E 2 FOLHAS GUILHOTINA PARA VIDRO, COM GUARNICAO/ALIZAR, COM FERRAGENS (SEM VIDRO E SEM ACABAMENTO)</v>
          </cell>
          <cell r="C2584" t="str">
            <v xml:space="preserve">M2    </v>
          </cell>
          <cell r="D2584">
            <v>554.16999999999996</v>
          </cell>
        </row>
        <row r="2585">
          <cell r="A2585">
            <v>599</v>
          </cell>
          <cell r="B2585" t="str">
            <v>JANELA FIXA EM ALUMINIO, 60  X 80 CM (A X L), BATENTE/REQUADRO DE 3 A 14 CM, COM VIDRO, SEM GUARNICAO/ALIZAR</v>
          </cell>
          <cell r="C2585" t="str">
            <v xml:space="preserve">M2    </v>
          </cell>
          <cell r="D2585">
            <v>492.09</v>
          </cell>
        </row>
        <row r="2586">
          <cell r="A2586">
            <v>34380</v>
          </cell>
          <cell r="B2586" t="str">
            <v>JANELA FIXA EM ALUMINIO, 60 X 80 CM (A X L), BATENTE/REQUADRO DE 3 A 14 CM, COM VIDRO, SEM GUARNICAO/ALIZAR</v>
          </cell>
          <cell r="C2586" t="str">
            <v xml:space="preserve">UN    </v>
          </cell>
          <cell r="D2586">
            <v>255.21</v>
          </cell>
        </row>
        <row r="2587">
          <cell r="A2587">
            <v>34381</v>
          </cell>
          <cell r="B2587" t="str">
            <v>JANELA MAXIM AR EM ALUMINIO, 80 X 60 CM (A X L), BATENTE/REQUADRO DE 4 A 14 CM, COM VIDRO, SEM GUARNICAO/ALIZAR</v>
          </cell>
          <cell r="C2587" t="str">
            <v xml:space="preserve">UN    </v>
          </cell>
          <cell r="D2587">
            <v>332.59</v>
          </cell>
        </row>
        <row r="2588">
          <cell r="A2588">
            <v>601</v>
          </cell>
          <cell r="B2588" t="str">
            <v>JANELA MAXIM AR EM ALUMINIO, 80 X 60 CM (A X L), BATENTE/REQUADRO DE 4 A 14 CM, COM VIDRO, SEM GUARNICAO/ALIZAR</v>
          </cell>
          <cell r="C2588" t="str">
            <v xml:space="preserve">M2    </v>
          </cell>
          <cell r="D2588">
            <v>663.83</v>
          </cell>
        </row>
        <row r="2589">
          <cell r="A2589">
            <v>3423</v>
          </cell>
          <cell r="B2589" t="str">
            <v>JANELA MAXIM AR EM MADEIRA CEDRINHO/ ANGELIM COMERCIAL/ CURUPIXA/ CUMARU OU EQUIVALENTE DA REGIAO, CAIXA DO BATENTE/MARCO *10* CM, 1 FOLHA  PARA VIDRO, COM GUARNICAO/ALIZAR, COM FERRAGENS, (SEM VIDRO E SEM ACABAMENTO)</v>
          </cell>
          <cell r="C2589" t="str">
            <v xml:space="preserve">M2    </v>
          </cell>
          <cell r="D2589">
            <v>781.52</v>
          </cell>
        </row>
        <row r="2590">
          <cell r="A2590">
            <v>34797</v>
          </cell>
          <cell r="B2590" t="str">
            <v>JANELA MAXIMO AR, ACO, BATENTE / REQUADRO DE 6 A 14 CM, PINT ANTICORROSIVA, SEM VIDRO, COM GRADE, 1 FL, 60  X 80 CM (A X L)</v>
          </cell>
          <cell r="C2590" t="str">
            <v xml:space="preserve">UN    </v>
          </cell>
          <cell r="D2590">
            <v>383.9</v>
          </cell>
        </row>
        <row r="2591">
          <cell r="A2591">
            <v>624</v>
          </cell>
          <cell r="B2591" t="str">
            <v>JANELA MAXIMO AR, ACO, BATENTE/REQUADRO DE 6 A 14 CM, PINT ANTICORROSIVA, SEM VIDRO, COM GRADE, 1 FL, 60  X 80 CM (A X L)</v>
          </cell>
          <cell r="C2591" t="str">
            <v xml:space="preserve">M2    </v>
          </cell>
          <cell r="D2591">
            <v>799.79</v>
          </cell>
        </row>
        <row r="2592">
          <cell r="A2592">
            <v>623</v>
          </cell>
          <cell r="B2592" t="str">
            <v>JANELA MAXIMO AR, ACO, BATENTE/REQUADRO DE 6 A 14 CM, PINT ANTICORROSIVA, SEM VIDRO, SEM GRADE, 1 FL, 60  X 80 CM (A X L)</v>
          </cell>
          <cell r="C2592" t="str">
            <v xml:space="preserve">M2    </v>
          </cell>
          <cell r="D2592">
            <v>300.32</v>
          </cell>
        </row>
        <row r="2593">
          <cell r="A2593">
            <v>25964</v>
          </cell>
          <cell r="B2593" t="str">
            <v>JARDINEIRO</v>
          </cell>
          <cell r="C2593" t="str">
            <v xml:space="preserve">H     </v>
          </cell>
          <cell r="D2593">
            <v>14.49</v>
          </cell>
        </row>
        <row r="2594">
          <cell r="A2594">
            <v>41077</v>
          </cell>
          <cell r="B2594" t="str">
            <v>JARDINEIRO (MENSALISTA)</v>
          </cell>
          <cell r="C2594" t="str">
            <v xml:space="preserve">MES   </v>
          </cell>
          <cell r="D2594">
            <v>2567.36</v>
          </cell>
        </row>
        <row r="2595">
          <cell r="A2595">
            <v>20159</v>
          </cell>
          <cell r="B2595" t="str">
            <v>JOELHO COM VISITA, PVC SERIE R, 90 GRAUS, 100 X 75 MM, PARA ESGOTO PREDIAL</v>
          </cell>
          <cell r="C2595" t="str">
            <v xml:space="preserve">UN    </v>
          </cell>
          <cell r="D2595">
            <v>31.07</v>
          </cell>
        </row>
        <row r="2596">
          <cell r="A2596">
            <v>37963</v>
          </cell>
          <cell r="B2596" t="str">
            <v>JOELHO CPVC, SOLDAVEL, 45 GRAUS, 15 MM, PARA AGUA QUENTE</v>
          </cell>
          <cell r="C2596" t="str">
            <v xml:space="preserve">UN    </v>
          </cell>
          <cell r="D2596">
            <v>4.26</v>
          </cell>
        </row>
        <row r="2597">
          <cell r="A2597">
            <v>37964</v>
          </cell>
          <cell r="B2597" t="str">
            <v>JOELHO CPVC, SOLDAVEL, 45 GRAUS, 22 MM, PARA AGUA QUENTE</v>
          </cell>
          <cell r="C2597" t="str">
            <v xml:space="preserve">UN    </v>
          </cell>
          <cell r="D2597">
            <v>7.1</v>
          </cell>
        </row>
        <row r="2598">
          <cell r="A2598">
            <v>37965</v>
          </cell>
          <cell r="B2598" t="str">
            <v>JOELHO CPVC, SOLDAVEL, 45 GRAUS, 28 MM, PARA AGUA QUENTE</v>
          </cell>
          <cell r="C2598" t="str">
            <v xml:space="preserve">UN    </v>
          </cell>
          <cell r="D2598">
            <v>10.29</v>
          </cell>
        </row>
        <row r="2599">
          <cell r="A2599">
            <v>37966</v>
          </cell>
          <cell r="B2599" t="str">
            <v>JOELHO CPVC, SOLDAVEL, 45 GRAUS, 35 MM, PARA AGUA QUENTE</v>
          </cell>
          <cell r="C2599" t="str">
            <v xml:space="preserve">UN    </v>
          </cell>
          <cell r="D2599">
            <v>18.649999999999999</v>
          </cell>
        </row>
        <row r="2600">
          <cell r="A2600">
            <v>37967</v>
          </cell>
          <cell r="B2600" t="str">
            <v>JOELHO CPVC, SOLDAVEL, 45 GRAUS, 42 MM, PARA AGUA QUENTE</v>
          </cell>
          <cell r="C2600" t="str">
            <v xml:space="preserve">UN    </v>
          </cell>
          <cell r="D2600">
            <v>29.9</v>
          </cell>
        </row>
        <row r="2601">
          <cell r="A2601">
            <v>37968</v>
          </cell>
          <cell r="B2601" t="str">
            <v>JOELHO CPVC, SOLDAVEL, 45 GRAUS, 54 MM, PARA AGUA QUENTE</v>
          </cell>
          <cell r="C2601" t="str">
            <v xml:space="preserve">UN    </v>
          </cell>
          <cell r="D2601">
            <v>65.58</v>
          </cell>
        </row>
        <row r="2602">
          <cell r="A2602">
            <v>37969</v>
          </cell>
          <cell r="B2602" t="str">
            <v>JOELHO CPVC, SOLDAVEL, 45 GRAUS, 73 MM, PARA AGUA QUENTE</v>
          </cell>
          <cell r="C2602" t="str">
            <v xml:space="preserve">UN    </v>
          </cell>
          <cell r="D2602">
            <v>175.21</v>
          </cell>
        </row>
        <row r="2603">
          <cell r="A2603">
            <v>37970</v>
          </cell>
          <cell r="B2603" t="str">
            <v>JOELHO CPVC, SOLDAVEL, 45 GRAUS, 89 MM, PARA AGUA QUENTE</v>
          </cell>
          <cell r="C2603" t="str">
            <v xml:space="preserve">UN    </v>
          </cell>
          <cell r="D2603">
            <v>204.39</v>
          </cell>
        </row>
        <row r="2604">
          <cell r="A2604">
            <v>21118</v>
          </cell>
          <cell r="B2604" t="str">
            <v>JOELHO CPVC, SOLDAVEL, 90 GRAUS, 15 MM, PARA AGUA QUENTE</v>
          </cell>
          <cell r="C2604" t="str">
            <v xml:space="preserve">UN    </v>
          </cell>
          <cell r="D2604">
            <v>3.22</v>
          </cell>
        </row>
        <row r="2605">
          <cell r="A2605">
            <v>37956</v>
          </cell>
          <cell r="B2605" t="str">
            <v>JOELHO CPVC, SOLDAVEL, 90 GRAUS, 22 MM, PARA AGUA QUENTE</v>
          </cell>
          <cell r="C2605" t="str">
            <v xml:space="preserve">UN    </v>
          </cell>
          <cell r="D2605">
            <v>5.0999999999999996</v>
          </cell>
        </row>
        <row r="2606">
          <cell r="A2606">
            <v>37957</v>
          </cell>
          <cell r="B2606" t="str">
            <v>JOELHO CPVC, SOLDAVEL, 90 GRAUS, 28 MM, PARA AGUA QUENTE</v>
          </cell>
          <cell r="C2606" t="str">
            <v xml:space="preserve">UN    </v>
          </cell>
          <cell r="D2606">
            <v>10.76</v>
          </cell>
        </row>
        <row r="2607">
          <cell r="A2607">
            <v>37958</v>
          </cell>
          <cell r="B2607" t="str">
            <v>JOELHO CPVC, SOLDAVEL, 90 GRAUS, 35 MM, PARA AGUA QUENTE</v>
          </cell>
          <cell r="C2607" t="str">
            <v xml:space="preserve">UN    </v>
          </cell>
          <cell r="D2607">
            <v>18.649999999999999</v>
          </cell>
        </row>
        <row r="2608">
          <cell r="A2608">
            <v>37959</v>
          </cell>
          <cell r="B2608" t="str">
            <v>JOELHO CPVC, SOLDAVEL, 90 GRAUS, 42 MM, PARA AGUA QUENTE</v>
          </cell>
          <cell r="C2608" t="str">
            <v xml:space="preserve">UN    </v>
          </cell>
          <cell r="D2608">
            <v>29.9</v>
          </cell>
        </row>
        <row r="2609">
          <cell r="A2609">
            <v>37960</v>
          </cell>
          <cell r="B2609" t="str">
            <v>JOELHO CPVC, SOLDAVEL, 90 GRAUS, 54 MM, PARA AGUA QUENTE</v>
          </cell>
          <cell r="C2609" t="str">
            <v xml:space="preserve">UN    </v>
          </cell>
          <cell r="D2609">
            <v>64.400000000000006</v>
          </cell>
        </row>
        <row r="2610">
          <cell r="A2610">
            <v>37961</v>
          </cell>
          <cell r="B2610" t="str">
            <v>JOELHO CPVC, SOLDAVEL, 90 GRAUS, 73 MM, PARA AGUA QUENTE</v>
          </cell>
          <cell r="C2610" t="str">
            <v xml:space="preserve">UN    </v>
          </cell>
          <cell r="D2610">
            <v>170.86</v>
          </cell>
        </row>
        <row r="2611">
          <cell r="A2611">
            <v>37962</v>
          </cell>
          <cell r="B2611" t="str">
            <v>JOELHO CPVC, SOLDAVEL, 90 GRAUS, 89 MM, PARA AGUA QUENTE</v>
          </cell>
          <cell r="C2611" t="str">
            <v xml:space="preserve">UN    </v>
          </cell>
          <cell r="D2611">
            <v>198.53</v>
          </cell>
        </row>
        <row r="2612">
          <cell r="A2612">
            <v>3533</v>
          </cell>
          <cell r="B2612" t="str">
            <v>JOELHO DE REDUCAO, PVC SOLDAVEL, 90 GRAUS,  25 MM X 20 MM, PARA AGUA FRIA PREDIAL</v>
          </cell>
          <cell r="C2612" t="str">
            <v xml:space="preserve">UN    </v>
          </cell>
          <cell r="D2612">
            <v>1.52</v>
          </cell>
        </row>
        <row r="2613">
          <cell r="A2613">
            <v>3538</v>
          </cell>
          <cell r="B2613" t="str">
            <v>JOELHO DE REDUCAO, PVC SOLDAVEL, 90 GRAUS,  32 MM X 25 MM, PARA AGUA FRIA PREDIAL</v>
          </cell>
          <cell r="C2613" t="str">
            <v xml:space="preserve">UN    </v>
          </cell>
          <cell r="D2613">
            <v>2.63</v>
          </cell>
        </row>
        <row r="2614">
          <cell r="A2614">
            <v>3497</v>
          </cell>
          <cell r="B2614" t="str">
            <v>JOELHO DE REDUCAO, PVC, ROSCAVEL COM BUCHA DE LATAO, 90 GRAUS,  3/4" X 1/2", PARA AGUA FRIA PREDIAL</v>
          </cell>
          <cell r="C2614" t="str">
            <v xml:space="preserve">UN    </v>
          </cell>
          <cell r="D2614">
            <v>9.84</v>
          </cell>
        </row>
        <row r="2615">
          <cell r="A2615">
            <v>3498</v>
          </cell>
          <cell r="B2615" t="str">
            <v>JOELHO DE REDUCAO, PVC, ROSCAVEL, 90 GRAUS, 1" X 3/4", PARA AGUA FRIA PREDIAL</v>
          </cell>
          <cell r="C2615" t="str">
            <v xml:space="preserve">UN    </v>
          </cell>
          <cell r="D2615">
            <v>3.12</v>
          </cell>
        </row>
        <row r="2616">
          <cell r="A2616">
            <v>3496</v>
          </cell>
          <cell r="B2616" t="str">
            <v>JOELHO DE REDUCAO, PVC, ROSCAVEL, 90 GRAUS, 3/4" X 1/2", PARA AGUA FRIA PREDIAL</v>
          </cell>
          <cell r="C2616" t="str">
            <v xml:space="preserve">UN    </v>
          </cell>
          <cell r="D2616">
            <v>2.52</v>
          </cell>
        </row>
        <row r="2617">
          <cell r="A2617">
            <v>38429</v>
          </cell>
          <cell r="B2617" t="str">
            <v>JOELHO DE TRANSICAO, CPVC, SOLDAVEL, 90 GRAUS, 15 MM X 1/2", PARA AGUA QUENTE</v>
          </cell>
          <cell r="C2617" t="str">
            <v xml:space="preserve">UN    </v>
          </cell>
          <cell r="D2617">
            <v>10.87</v>
          </cell>
        </row>
        <row r="2618">
          <cell r="A2618">
            <v>38431</v>
          </cell>
          <cell r="B2618" t="str">
            <v>JOELHO DE TRANSICAO, CPVC, SOLDAVEL, 90 GRAUS, 22 MM X 1/2", PARA AGUA QUENTE</v>
          </cell>
          <cell r="C2618" t="str">
            <v xml:space="preserve">UN    </v>
          </cell>
          <cell r="D2618">
            <v>17.23</v>
          </cell>
        </row>
        <row r="2619">
          <cell r="A2619">
            <v>38430</v>
          </cell>
          <cell r="B2619" t="str">
            <v>JOELHO DE TRANSICAO, CPVC, SOLDAVEL, 90 GRAUS, 22 MM X 3/4", PARA AGUA QUENTE</v>
          </cell>
          <cell r="C2619" t="str">
            <v xml:space="preserve">UN    </v>
          </cell>
          <cell r="D2619">
            <v>22.01</v>
          </cell>
        </row>
        <row r="2620">
          <cell r="A2620">
            <v>36348</v>
          </cell>
          <cell r="B2620" t="str">
            <v>JOELHO PPR 45 GRAUS, SOLDAVEL,  DN 20 MM, PARA AGUA QUENTE PREDIAL</v>
          </cell>
          <cell r="C2620" t="str">
            <v xml:space="preserve">UN    </v>
          </cell>
          <cell r="D2620">
            <v>1.03</v>
          </cell>
        </row>
        <row r="2621">
          <cell r="A2621">
            <v>36349</v>
          </cell>
          <cell r="B2621" t="str">
            <v>JOELHO PPR 45 GRAUS, SOLDAVEL, DN 25 MM, PARA AGUA QUENTE PREDIAL</v>
          </cell>
          <cell r="C2621" t="str">
            <v xml:space="preserve">UN    </v>
          </cell>
          <cell r="D2621">
            <v>1.55</v>
          </cell>
        </row>
        <row r="2622">
          <cell r="A2622">
            <v>38433</v>
          </cell>
          <cell r="B2622" t="str">
            <v>JOELHO PPR, 45 GRAUS, SOLDAVEL, DN 32 MM, PARA AGUA QUENTE PREDIAL</v>
          </cell>
          <cell r="C2622" t="str">
            <v xml:space="preserve">UN    </v>
          </cell>
          <cell r="D2622">
            <v>2.87</v>
          </cell>
        </row>
        <row r="2623">
          <cell r="A2623">
            <v>38440</v>
          </cell>
          <cell r="B2623" t="str">
            <v>JOELHO PPR, 90 GRAUS, SOLDAVEL, DN 110 MM, PARA AGUA QUENTE PREDIAL</v>
          </cell>
          <cell r="C2623" t="str">
            <v xml:space="preserve">UN    </v>
          </cell>
          <cell r="D2623">
            <v>99.25</v>
          </cell>
        </row>
        <row r="2624">
          <cell r="A2624">
            <v>36359</v>
          </cell>
          <cell r="B2624" t="str">
            <v>JOELHO PPR, 90 GRAUS, SOLDAVEL, DN 20 MM, PARA AGUA QUENTE PREDIAL</v>
          </cell>
          <cell r="C2624" t="str">
            <v xml:space="preserve">UN    </v>
          </cell>
          <cell r="D2624">
            <v>1.23</v>
          </cell>
        </row>
        <row r="2625">
          <cell r="A2625">
            <v>36360</v>
          </cell>
          <cell r="B2625" t="str">
            <v>JOELHO PPR, 90 GRAUS, SOLDAVEL, DN 25 MM, PARA AGUA QUENTE PREDIAL</v>
          </cell>
          <cell r="C2625" t="str">
            <v xml:space="preserve">UN    </v>
          </cell>
          <cell r="D2625">
            <v>1.9</v>
          </cell>
        </row>
        <row r="2626">
          <cell r="A2626">
            <v>38434</v>
          </cell>
          <cell r="B2626" t="str">
            <v>JOELHO PPR, 90 GRAUS, SOLDAVEL, DN 32 MM, PARA AGUA QUENTE PREDIAL</v>
          </cell>
          <cell r="C2626" t="str">
            <v xml:space="preserve">UN    </v>
          </cell>
          <cell r="D2626">
            <v>2.91</v>
          </cell>
        </row>
        <row r="2627">
          <cell r="A2627">
            <v>38435</v>
          </cell>
          <cell r="B2627" t="str">
            <v>JOELHO PPR, 90 GRAUS, SOLDAVEL, DN 40 MM, PARA AGUA QUENTE PREDIAL</v>
          </cell>
          <cell r="C2627" t="str">
            <v xml:space="preserve">UN    </v>
          </cell>
          <cell r="D2627">
            <v>5.53</v>
          </cell>
        </row>
        <row r="2628">
          <cell r="A2628">
            <v>38436</v>
          </cell>
          <cell r="B2628" t="str">
            <v>JOELHO PPR, 90 GRAUS, SOLDAVEL, DN 50 MM, PARA AGUA QUENTE PREDIAL</v>
          </cell>
          <cell r="C2628" t="str">
            <v xml:space="preserve">UN    </v>
          </cell>
          <cell r="D2628">
            <v>11.44</v>
          </cell>
        </row>
        <row r="2629">
          <cell r="A2629">
            <v>38437</v>
          </cell>
          <cell r="B2629" t="str">
            <v>JOELHO PPR, 90 GRAUS, SOLDAVEL, DN 63 MM, PARA AGUA QUENTE PREDIAL</v>
          </cell>
          <cell r="C2629" t="str">
            <v xml:space="preserve">UN    </v>
          </cell>
          <cell r="D2629">
            <v>17.18</v>
          </cell>
        </row>
        <row r="2630">
          <cell r="A2630">
            <v>38438</v>
          </cell>
          <cell r="B2630" t="str">
            <v>JOELHO PPR, 90 GRAUS, SOLDAVEL, DN 75 MM, PARA AGUA QUENTE PREDIAL</v>
          </cell>
          <cell r="C2630" t="str">
            <v xml:space="preserve">UN    </v>
          </cell>
          <cell r="D2630">
            <v>43.41</v>
          </cell>
        </row>
        <row r="2631">
          <cell r="A2631">
            <v>38439</v>
          </cell>
          <cell r="B2631" t="str">
            <v>JOELHO PPR, 90 GRAUS, SOLDAVEL, DN 90 MM, PARA AGUA QUENTE PREDIAL</v>
          </cell>
          <cell r="C2631" t="str">
            <v xml:space="preserve">UN    </v>
          </cell>
          <cell r="D2631">
            <v>66.17</v>
          </cell>
        </row>
        <row r="2632">
          <cell r="A2632">
            <v>10836</v>
          </cell>
          <cell r="B2632" t="str">
            <v>JOELHO PVC COM VISITA, 90 GRAUS, DN 100 X 50 MM, SERIE NORMAL, PARA ESGOTO PREDIAL</v>
          </cell>
          <cell r="C2632" t="str">
            <v xml:space="preserve">UN    </v>
          </cell>
          <cell r="D2632">
            <v>10.89</v>
          </cell>
        </row>
        <row r="2633">
          <cell r="A2633">
            <v>20128</v>
          </cell>
          <cell r="B2633" t="str">
            <v>JOELHO PVC LEVE, 45 GRAUS, DN 150 MM, PARA ESGOTO PREDIAL</v>
          </cell>
          <cell r="C2633" t="str">
            <v xml:space="preserve">UN    </v>
          </cell>
          <cell r="D2633">
            <v>31.92</v>
          </cell>
        </row>
        <row r="2634">
          <cell r="A2634">
            <v>20131</v>
          </cell>
          <cell r="B2634" t="str">
            <v>JOELHO PVC LEVE, 90 GRAUS, DN 150 MM, PARA ESGOTO PREDIAL</v>
          </cell>
          <cell r="C2634" t="str">
            <v xml:space="preserve">UN    </v>
          </cell>
          <cell r="D2634">
            <v>29.14</v>
          </cell>
        </row>
        <row r="2635">
          <cell r="A2635">
            <v>3521</v>
          </cell>
          <cell r="B2635" t="str">
            <v>JOELHO PVC,  SOLDAVEL COM ROSCA, 90 GRAUS, 20 MM X 1/2", PARA AGUA FRIA PREDIAL</v>
          </cell>
          <cell r="C2635" t="str">
            <v xml:space="preserve">UN    </v>
          </cell>
          <cell r="D2635">
            <v>1.33</v>
          </cell>
        </row>
        <row r="2636">
          <cell r="A2636">
            <v>3531</v>
          </cell>
          <cell r="B2636" t="str">
            <v>JOELHO PVC,  SOLDAVEL COM ROSCA, 90 GRAUS, 25 MM X 1/2", PARA AGUA FRIA PREDIAL</v>
          </cell>
          <cell r="C2636" t="str">
            <v xml:space="preserve">UN    </v>
          </cell>
          <cell r="D2636">
            <v>1.5</v>
          </cell>
        </row>
        <row r="2637">
          <cell r="A2637">
            <v>3522</v>
          </cell>
          <cell r="B2637" t="str">
            <v>JOELHO PVC,  SOLDAVEL COM ROSCA, 90 GRAUS, 25 MM X 3/4", PARA AGUA FRIA PREDIAL</v>
          </cell>
          <cell r="C2637" t="str">
            <v xml:space="preserve">UN    </v>
          </cell>
          <cell r="D2637">
            <v>2.23</v>
          </cell>
        </row>
        <row r="2638">
          <cell r="A2638">
            <v>3527</v>
          </cell>
          <cell r="B2638" t="str">
            <v>JOELHO PVC,  SOLDAVEL COM ROSCA, 90 GRAUS, 32 MM X 3/4", PARA AGUA FRIA PREDIAL</v>
          </cell>
          <cell r="C2638" t="str">
            <v xml:space="preserve">UN    </v>
          </cell>
          <cell r="D2638">
            <v>7.68</v>
          </cell>
        </row>
        <row r="2639">
          <cell r="A2639">
            <v>10835</v>
          </cell>
          <cell r="B2639" t="str">
            <v>JOELHO PVC, COM BOLSA E ANEL, 90 GRAUS, DN 40 X *38* MM, SERIE NORMAL, PARA ESGOTO PREDIAL</v>
          </cell>
          <cell r="C2639" t="str">
            <v xml:space="preserve">UN    </v>
          </cell>
          <cell r="D2639">
            <v>2.2799999999999998</v>
          </cell>
        </row>
        <row r="2640">
          <cell r="A2640">
            <v>3475</v>
          </cell>
          <cell r="B2640" t="str">
            <v>JOELHO PVC, ROSCAVEL, 45 GRAUS, 1/2", PARA AGUA FRIA PREDIAL</v>
          </cell>
          <cell r="C2640" t="str">
            <v xml:space="preserve">UN    </v>
          </cell>
          <cell r="D2640">
            <v>2.58</v>
          </cell>
        </row>
        <row r="2641">
          <cell r="A2641">
            <v>3485</v>
          </cell>
          <cell r="B2641" t="str">
            <v>JOELHO PVC, ROSCAVEL, 45 GRAUS, 1", PARA AGUA FRIA PREDIAL</v>
          </cell>
          <cell r="C2641" t="str">
            <v xml:space="preserve">UN    </v>
          </cell>
          <cell r="D2641">
            <v>8.25</v>
          </cell>
        </row>
        <row r="2642">
          <cell r="A2642">
            <v>3534</v>
          </cell>
          <cell r="B2642" t="str">
            <v>JOELHO PVC, ROSCAVEL, 45 GRAUS, 3/4", PARA AGUA FRIA PREDIAL</v>
          </cell>
          <cell r="C2642" t="str">
            <v xml:space="preserve">UN    </v>
          </cell>
          <cell r="D2642">
            <v>3.26</v>
          </cell>
        </row>
        <row r="2643">
          <cell r="A2643">
            <v>3543</v>
          </cell>
          <cell r="B2643" t="str">
            <v>JOELHO PVC, ROSCAVEL, 90 GRAUS, 1/2", PARA AGUA FRIA PREDIAL</v>
          </cell>
          <cell r="C2643" t="str">
            <v xml:space="preserve">UN    </v>
          </cell>
          <cell r="D2643">
            <v>1.64</v>
          </cell>
        </row>
        <row r="2644">
          <cell r="A2644">
            <v>3482</v>
          </cell>
          <cell r="B2644" t="str">
            <v>JOELHO PVC, ROSCAVEL, 90 GRAUS, 1", PARA AGUA FRIA PREDIAL</v>
          </cell>
          <cell r="C2644" t="str">
            <v xml:space="preserve">UN    </v>
          </cell>
          <cell r="D2644">
            <v>4.1399999999999997</v>
          </cell>
        </row>
        <row r="2645">
          <cell r="A2645">
            <v>3505</v>
          </cell>
          <cell r="B2645" t="str">
            <v>JOELHO PVC, ROSCAVEL, 90 GRAUS, 3/4", PARA AGUA FRIA PREDIAL</v>
          </cell>
          <cell r="C2645" t="str">
            <v xml:space="preserve">UN    </v>
          </cell>
          <cell r="D2645">
            <v>2.35</v>
          </cell>
        </row>
        <row r="2646">
          <cell r="A2646">
            <v>3516</v>
          </cell>
          <cell r="B2646" t="str">
            <v>JOELHO PVC, SOLDAVEL, BB, 45 GRAUS, DN 40 MM, PARA ESGOTO PREDIAL</v>
          </cell>
          <cell r="C2646" t="str">
            <v xml:space="preserve">UN    </v>
          </cell>
          <cell r="D2646">
            <v>0.59</v>
          </cell>
        </row>
        <row r="2647">
          <cell r="A2647">
            <v>3517</v>
          </cell>
          <cell r="B2647" t="str">
            <v>JOELHO PVC, SOLDAVEL, BB, 90 GRAUS, DN 40 MM, PARA ESGOTO PREDIAL</v>
          </cell>
          <cell r="C2647" t="str">
            <v xml:space="preserve">UN    </v>
          </cell>
          <cell r="D2647">
            <v>2.08</v>
          </cell>
        </row>
        <row r="2648">
          <cell r="A2648">
            <v>3515</v>
          </cell>
          <cell r="B2648" t="str">
            <v>JOELHO PVC, SOLDAVEL, COM BUCHA DE LATAO, 90 GRAUS, 20 MM X 1/2", PARA AGUA FRIA PREDIAL</v>
          </cell>
          <cell r="C2648" t="str">
            <v xml:space="preserve">UN    </v>
          </cell>
          <cell r="D2648">
            <v>3.81</v>
          </cell>
        </row>
        <row r="2649">
          <cell r="A2649">
            <v>20147</v>
          </cell>
          <cell r="B2649" t="str">
            <v>JOELHO PVC, SOLDAVEL, COM BUCHA DE LATAO, 90 GRAUS, 25 MM X 1/2", PARA AGUA FRIA PREDIAL</v>
          </cell>
          <cell r="C2649" t="str">
            <v xml:space="preserve">UN    </v>
          </cell>
          <cell r="D2649">
            <v>4.0999999999999996</v>
          </cell>
        </row>
        <row r="2650">
          <cell r="A2650">
            <v>3524</v>
          </cell>
          <cell r="B2650" t="str">
            <v>JOELHO PVC, SOLDAVEL, COM BUCHA DE LATAO, 90 GRAUS, 25 MM X 3/4", PARA AGUA FRIA PREDIAL</v>
          </cell>
          <cell r="C2650" t="str">
            <v xml:space="preserve">UN    </v>
          </cell>
          <cell r="D2650">
            <v>4.8600000000000003</v>
          </cell>
        </row>
        <row r="2651">
          <cell r="A2651">
            <v>3532</v>
          </cell>
          <cell r="B2651" t="str">
            <v>JOELHO PVC, SOLDAVEL, COM BUCHA DE LATAO, 90 GRAUS, 32 MM X 3/4", PARA AGUA FRIA PREDIAL</v>
          </cell>
          <cell r="C2651" t="str">
            <v xml:space="preserve">UN    </v>
          </cell>
          <cell r="D2651">
            <v>8.89</v>
          </cell>
        </row>
        <row r="2652">
          <cell r="A2652">
            <v>3528</v>
          </cell>
          <cell r="B2652" t="str">
            <v>JOELHO PVC, SOLDAVEL, PB, 45 GRAUS, DN 100 MM, PARA ESGOTO PREDIAL</v>
          </cell>
          <cell r="C2652" t="str">
            <v xml:space="preserve">UN    </v>
          </cell>
          <cell r="D2652">
            <v>4.7</v>
          </cell>
        </row>
        <row r="2653">
          <cell r="A2653">
            <v>37952</v>
          </cell>
          <cell r="B2653" t="str">
            <v>JOELHO PVC, SOLDAVEL, PB, 45 GRAUS, DN 150 MM, PARA ESGOTO PREDIAL</v>
          </cell>
          <cell r="C2653" t="str">
            <v xml:space="preserve">UN    </v>
          </cell>
          <cell r="D2653">
            <v>33.47</v>
          </cell>
        </row>
        <row r="2654">
          <cell r="A2654">
            <v>37951</v>
          </cell>
          <cell r="B2654" t="str">
            <v>JOELHO PVC, SOLDAVEL, PB, 45 GRAUS, DN 40 MM, PARA ESGOTO PREDIAL</v>
          </cell>
          <cell r="C2654" t="str">
            <v xml:space="preserve">UN    </v>
          </cell>
          <cell r="D2654">
            <v>1.21</v>
          </cell>
        </row>
        <row r="2655">
          <cell r="A2655">
            <v>3518</v>
          </cell>
          <cell r="B2655" t="str">
            <v>JOELHO PVC, SOLDAVEL, PB, 45 GRAUS, DN 50 MM, PARA ESGOTO PREDIAL</v>
          </cell>
          <cell r="C2655" t="str">
            <v xml:space="preserve">UN    </v>
          </cell>
          <cell r="D2655">
            <v>1.78</v>
          </cell>
        </row>
        <row r="2656">
          <cell r="A2656">
            <v>3519</v>
          </cell>
          <cell r="B2656" t="str">
            <v>JOELHO PVC, SOLDAVEL, PB, 45 GRAUS, DN 75 MM, PARA ESGOTO PREDIAL</v>
          </cell>
          <cell r="C2656" t="str">
            <v xml:space="preserve">UN    </v>
          </cell>
          <cell r="D2656">
            <v>4.22</v>
          </cell>
        </row>
        <row r="2657">
          <cell r="A2657">
            <v>3520</v>
          </cell>
          <cell r="B2657" t="str">
            <v>JOELHO PVC, SOLDAVEL, PB, 90 GRAUS, DN 100 MM, PARA ESGOTO PREDIAL</v>
          </cell>
          <cell r="C2657" t="str">
            <v xml:space="preserve">UN    </v>
          </cell>
          <cell r="D2657">
            <v>4.7300000000000004</v>
          </cell>
        </row>
        <row r="2658">
          <cell r="A2658">
            <v>37950</v>
          </cell>
          <cell r="B2658" t="str">
            <v>JOELHO PVC, SOLDAVEL, PB, 90 GRAUS, DN 150 MM, PARA ESGOTO PREDIAL</v>
          </cell>
          <cell r="C2658" t="str">
            <v xml:space="preserve">UN    </v>
          </cell>
          <cell r="D2658">
            <v>29.14</v>
          </cell>
        </row>
        <row r="2659">
          <cell r="A2659">
            <v>37949</v>
          </cell>
          <cell r="B2659" t="str">
            <v>JOELHO PVC, SOLDAVEL, PB, 90 GRAUS, DN 40 MM, PARA ESGOTO PREDIAL</v>
          </cell>
          <cell r="C2659" t="str">
            <v xml:space="preserve">UN    </v>
          </cell>
          <cell r="D2659">
            <v>1.06</v>
          </cell>
        </row>
        <row r="2660">
          <cell r="A2660">
            <v>3526</v>
          </cell>
          <cell r="B2660" t="str">
            <v>JOELHO PVC, SOLDAVEL, PB, 90 GRAUS, DN 50 MM, PARA ESGOTO PREDIAL</v>
          </cell>
          <cell r="C2660" t="str">
            <v xml:space="preserve">UN    </v>
          </cell>
          <cell r="D2660">
            <v>1.43</v>
          </cell>
        </row>
        <row r="2661">
          <cell r="A2661">
            <v>3509</v>
          </cell>
          <cell r="B2661" t="str">
            <v>JOELHO PVC, SOLDAVEL, PB, 90 GRAUS, DN 75 MM, PARA ESGOTO PREDIAL</v>
          </cell>
          <cell r="C2661" t="str">
            <v xml:space="preserve">UN    </v>
          </cell>
          <cell r="D2661">
            <v>3.72</v>
          </cell>
        </row>
        <row r="2662">
          <cell r="A2662">
            <v>3530</v>
          </cell>
          <cell r="B2662" t="str">
            <v>JOELHO PVC, SOLDAVEL, 90 GRAUS, 110 MM, PARA AGUA FRIA PREDIAL</v>
          </cell>
          <cell r="C2662" t="str">
            <v xml:space="preserve">UN    </v>
          </cell>
          <cell r="D2662">
            <v>153.1</v>
          </cell>
        </row>
        <row r="2663">
          <cell r="A2663">
            <v>3542</v>
          </cell>
          <cell r="B2663" t="str">
            <v>JOELHO PVC, SOLDAVEL, 90 GRAUS, 20 MM, PARA AGUA FRIA PREDIAL</v>
          </cell>
          <cell r="C2663" t="str">
            <v xml:space="preserve">UN    </v>
          </cell>
          <cell r="D2663">
            <v>0.35</v>
          </cell>
        </row>
        <row r="2664">
          <cell r="A2664">
            <v>3529</v>
          </cell>
          <cell r="B2664" t="str">
            <v>JOELHO PVC, SOLDAVEL, 90 GRAUS, 25 MM, PARA AGUA FRIA PREDIAL</v>
          </cell>
          <cell r="C2664" t="str">
            <v xml:space="preserve">UN    </v>
          </cell>
          <cell r="D2664">
            <v>0.49</v>
          </cell>
        </row>
        <row r="2665">
          <cell r="A2665">
            <v>3536</v>
          </cell>
          <cell r="B2665" t="str">
            <v>JOELHO PVC, SOLDAVEL, 90 GRAUS, 32 MM, PARA AGUA FRIA PREDIAL</v>
          </cell>
          <cell r="C2665" t="str">
            <v xml:space="preserve">UN    </v>
          </cell>
          <cell r="D2665">
            <v>1.46</v>
          </cell>
        </row>
        <row r="2666">
          <cell r="A2666">
            <v>3535</v>
          </cell>
          <cell r="B2666" t="str">
            <v>JOELHO PVC, SOLDAVEL, 90 GRAUS, 40 MM, PARA AGUA FRIA PREDIAL</v>
          </cell>
          <cell r="C2666" t="str">
            <v xml:space="preserve">UN    </v>
          </cell>
          <cell r="D2666">
            <v>3.47</v>
          </cell>
        </row>
        <row r="2667">
          <cell r="A2667">
            <v>3540</v>
          </cell>
          <cell r="B2667" t="str">
            <v>JOELHO PVC, SOLDAVEL, 90 GRAUS, 50 MM, PARA AGUA FRIA PREDIAL</v>
          </cell>
          <cell r="C2667" t="str">
            <v xml:space="preserve">UN    </v>
          </cell>
          <cell r="D2667">
            <v>3.76</v>
          </cell>
        </row>
        <row r="2668">
          <cell r="A2668">
            <v>3539</v>
          </cell>
          <cell r="B2668" t="str">
            <v>JOELHO PVC, SOLDAVEL, 90 GRAUS, 60 MM, PARA AGUA FRIA PREDIAL</v>
          </cell>
          <cell r="C2668" t="str">
            <v xml:space="preserve">UN    </v>
          </cell>
          <cell r="D2668">
            <v>16.329999999999998</v>
          </cell>
        </row>
        <row r="2669">
          <cell r="A2669">
            <v>3513</v>
          </cell>
          <cell r="B2669" t="str">
            <v>JOELHO PVC, SOLDAVEL, 90 GRAUS, 85 MM, PARA AGUA FRIA PREDIAL</v>
          </cell>
          <cell r="C2669" t="str">
            <v xml:space="preserve">UN    </v>
          </cell>
          <cell r="D2669">
            <v>72.58</v>
          </cell>
        </row>
        <row r="2670">
          <cell r="A2670">
            <v>3492</v>
          </cell>
          <cell r="B2670" t="str">
            <v>JOELHO PVC, 45 GRAUS, ROSCAVEL,  1 1/2", AGUA FRIA PREDIAL</v>
          </cell>
          <cell r="C2670" t="str">
            <v xml:space="preserve">UN    </v>
          </cell>
          <cell r="D2670">
            <v>13.97</v>
          </cell>
        </row>
        <row r="2671">
          <cell r="A2671">
            <v>3491</v>
          </cell>
          <cell r="B2671" t="str">
            <v>JOELHO PVC, 45 GRAUS, ROSCAVEL, 1 1/4",  AGUA FRIA PREDIAL</v>
          </cell>
          <cell r="C2671" t="str">
            <v xml:space="preserve">UN    </v>
          </cell>
          <cell r="D2671">
            <v>7.96</v>
          </cell>
        </row>
        <row r="2672">
          <cell r="A2672">
            <v>3493</v>
          </cell>
          <cell r="B2672" t="str">
            <v>JOELHO PVC, 45 GRAUS, ROSCAVEL, 2", AGUA FRIA PREDIAL</v>
          </cell>
          <cell r="C2672" t="str">
            <v xml:space="preserve">UN    </v>
          </cell>
          <cell r="D2672">
            <v>19.100000000000001</v>
          </cell>
        </row>
        <row r="2673">
          <cell r="A2673">
            <v>12628</v>
          </cell>
          <cell r="B2673" t="str">
            <v>JOELHO PVC, 60 GRAUS, DIAMETRO ENTRE 80 E 100 MM, PARA DRENAGEM PLUVIAL PREDIAL</v>
          </cell>
          <cell r="C2673" t="str">
            <v xml:space="preserve">UN    </v>
          </cell>
          <cell r="D2673">
            <v>6.46</v>
          </cell>
        </row>
        <row r="2674">
          <cell r="A2674">
            <v>12629</v>
          </cell>
          <cell r="B2674" t="str">
            <v>JOELHO PVC, 90 GRAUS, DIAMETRO ENTRE 80 E 100 MM, PARA DRENAGEM PLUVIAL PREDIAL</v>
          </cell>
          <cell r="C2674" t="str">
            <v xml:space="preserve">UN    </v>
          </cell>
          <cell r="D2674">
            <v>7.01</v>
          </cell>
        </row>
        <row r="2675">
          <cell r="A2675">
            <v>3481</v>
          </cell>
          <cell r="B2675" t="str">
            <v>JOELHO PVC, 90 GRAUS, ROSCAVEL, 1 1/2",  AGUA FRIA PREDIAL</v>
          </cell>
          <cell r="C2675" t="str">
            <v xml:space="preserve">UN    </v>
          </cell>
          <cell r="D2675">
            <v>9.67</v>
          </cell>
        </row>
        <row r="2676">
          <cell r="A2676">
            <v>3510</v>
          </cell>
          <cell r="B2676" t="str">
            <v>JOELHO PVC, 90 GRAUS, ROSCAVEL, 1 1/4", AGUA FRIA PREDIAL</v>
          </cell>
          <cell r="C2676" t="str">
            <v xml:space="preserve">UN    </v>
          </cell>
          <cell r="D2676">
            <v>9.0399999999999991</v>
          </cell>
        </row>
        <row r="2677">
          <cell r="A2677">
            <v>3508</v>
          </cell>
          <cell r="B2677" t="str">
            <v>JOELHO PVC, 90 GRAUS, ROSCAVEL, 2", AGUA FRIA PREDIAL</v>
          </cell>
          <cell r="C2677" t="str">
            <v xml:space="preserve">UN    </v>
          </cell>
          <cell r="D2677">
            <v>23.64</v>
          </cell>
        </row>
        <row r="2678">
          <cell r="A2678">
            <v>38939</v>
          </cell>
          <cell r="B2678" t="str">
            <v>JOELHO ROSCA FEMEA MOVEL, METALICO, PARA CONEXAO COM ANEL DESLIZANTE EM TUBO PEX, DN 16 MM X 1/2"</v>
          </cell>
          <cell r="C2678" t="str">
            <v xml:space="preserve">UN    </v>
          </cell>
          <cell r="D2678">
            <v>11.55</v>
          </cell>
        </row>
        <row r="2679">
          <cell r="A2679">
            <v>38940</v>
          </cell>
          <cell r="B2679" t="str">
            <v>JOELHO ROSCA FEMEA MOVEL, METALICO, PARA CONEXAO COM ANEL DESLIZANTE EM TUBO PEX, DN 20 MM X 1/2"</v>
          </cell>
          <cell r="C2679" t="str">
            <v xml:space="preserve">UN    </v>
          </cell>
          <cell r="D2679">
            <v>17.63</v>
          </cell>
        </row>
        <row r="2680">
          <cell r="A2680">
            <v>38941</v>
          </cell>
          <cell r="B2680" t="str">
            <v>JOELHO ROSCA FEMEA MOVEL, METALICO, PARA CONEXAO COM ANEL DESLIZANTE EM TUBO PEX, DN 20 MM X 3/4"</v>
          </cell>
          <cell r="C2680" t="str">
            <v xml:space="preserve">UN    </v>
          </cell>
          <cell r="D2680">
            <v>20.83</v>
          </cell>
        </row>
        <row r="2681">
          <cell r="A2681">
            <v>38942</v>
          </cell>
          <cell r="B2681" t="str">
            <v>JOELHO ROSCA FEMEA MOVEL, METALICO, PARA CONEXAO COM ANEL DESLIZANTE EM TUBO PEX, DN 25 MM X 3/4"</v>
          </cell>
          <cell r="C2681" t="str">
            <v xml:space="preserve">UN    </v>
          </cell>
          <cell r="D2681">
            <v>23.33</v>
          </cell>
        </row>
        <row r="2682">
          <cell r="A2682">
            <v>38987</v>
          </cell>
          <cell r="B2682" t="str">
            <v>JOELHO 45 GRAUS, PPR, SOLDAVEL, F/ F, DN 40 MM, PARA AQUA QUENTE E FRIA PREDIAL</v>
          </cell>
          <cell r="C2682" t="str">
            <v xml:space="preserve">UN    </v>
          </cell>
          <cell r="D2682">
            <v>5.15</v>
          </cell>
        </row>
        <row r="2683">
          <cell r="A2683">
            <v>38988</v>
          </cell>
          <cell r="B2683" t="str">
            <v>JOELHO 45 GRAUS, PPR, SOLDAVEL, F/ F, DN 50 MM, PARA AQUA QUENTE E FRIA PREDIAL</v>
          </cell>
          <cell r="C2683" t="str">
            <v xml:space="preserve">UN    </v>
          </cell>
          <cell r="D2683">
            <v>11.96</v>
          </cell>
        </row>
        <row r="2684">
          <cell r="A2684">
            <v>38989</v>
          </cell>
          <cell r="B2684" t="str">
            <v>JOELHO 45 GRAUS, PPR, SOLDAVEL, F/ F, DN 63 MM, PARA AQUA QUENTE E FRIA PREDIAL</v>
          </cell>
          <cell r="C2684" t="str">
            <v xml:space="preserve">UN    </v>
          </cell>
          <cell r="D2684">
            <v>15.9</v>
          </cell>
        </row>
        <row r="2685">
          <cell r="A2685">
            <v>38990</v>
          </cell>
          <cell r="B2685" t="str">
            <v>JOELHO 45 GRAUS, PPR, SOLDAVEL, F/ F, DN 75 MM, PARA AQUA QUENTE E FRIA PREDIAL</v>
          </cell>
          <cell r="C2685" t="str">
            <v xml:space="preserve">UN    </v>
          </cell>
          <cell r="D2685">
            <v>41.91</v>
          </cell>
        </row>
        <row r="2686">
          <cell r="A2686">
            <v>38991</v>
          </cell>
          <cell r="B2686" t="str">
            <v>JOELHO 45 GRAUS, PPR, SOLDAVEL, F/ F, DN 90 MM, PARA AQUA QUENTE E FRIA PREDIAL</v>
          </cell>
          <cell r="C2686" t="str">
            <v xml:space="preserve">UN    </v>
          </cell>
          <cell r="D2686">
            <v>84.67</v>
          </cell>
        </row>
        <row r="2687">
          <cell r="A2687">
            <v>38913</v>
          </cell>
          <cell r="B2687" t="str">
            <v>JOELHO 90 GRAUS, METALICO, PARA CONEXAO COM ANEL DESLIZANTE EM TUBO PEX, DN 16 MM</v>
          </cell>
          <cell r="C2687" t="str">
            <v xml:space="preserve">UN    </v>
          </cell>
          <cell r="D2687">
            <v>10.71</v>
          </cell>
        </row>
        <row r="2688">
          <cell r="A2688">
            <v>38914</v>
          </cell>
          <cell r="B2688" t="str">
            <v>JOELHO 90 GRAUS, METALICO, PARA CONEXAO COM ANEL DESLIZANTE EM TUBO PEX, DN 20 MM</v>
          </cell>
          <cell r="C2688" t="str">
            <v xml:space="preserve">UN    </v>
          </cell>
          <cell r="D2688">
            <v>12.43</v>
          </cell>
        </row>
        <row r="2689">
          <cell r="A2689">
            <v>38915</v>
          </cell>
          <cell r="B2689" t="str">
            <v>JOELHO 90 GRAUS, METALICO, PARA CONEXAO COM ANEL DESLIZANTE EM TUBO PEX, DN 25 MM</v>
          </cell>
          <cell r="C2689" t="str">
            <v xml:space="preserve">UN    </v>
          </cell>
          <cell r="D2689">
            <v>21.58</v>
          </cell>
        </row>
        <row r="2690">
          <cell r="A2690">
            <v>38916</v>
          </cell>
          <cell r="B2690" t="str">
            <v>JOELHO 90 GRAUS, METALICO, PARA CONEXAO COM ANEL DESLIZANTE EM TUBO PEX, DN 32 MM</v>
          </cell>
          <cell r="C2690" t="str">
            <v xml:space="preserve">UN    </v>
          </cell>
          <cell r="D2690">
            <v>28.47</v>
          </cell>
        </row>
        <row r="2691">
          <cell r="A2691">
            <v>39300</v>
          </cell>
          <cell r="B2691" t="str">
            <v>JOELHO 90 GRAUS, PLASTICO, PARA CONEXAO COM CRIMPAGEM EM TUBO PEX, DN 16 MM</v>
          </cell>
          <cell r="C2691" t="str">
            <v xml:space="preserve">UN    </v>
          </cell>
          <cell r="D2691">
            <v>9.68</v>
          </cell>
        </row>
        <row r="2692">
          <cell r="A2692">
            <v>39301</v>
          </cell>
          <cell r="B2692" t="str">
            <v>JOELHO 90 GRAUS, PLASTICO, PARA CONEXAO COM CRIMPAGEM EM TUBO PEX, DN 20 MM</v>
          </cell>
          <cell r="C2692" t="str">
            <v xml:space="preserve">UN    </v>
          </cell>
          <cell r="D2692">
            <v>13.43</v>
          </cell>
        </row>
        <row r="2693">
          <cell r="A2693">
            <v>39302</v>
          </cell>
          <cell r="B2693" t="str">
            <v>JOELHO 90 GRAUS, PLASTICO, PARA CONEXAO COM CRIMPAGEM EM TUBO PEX, DN 25 MM</v>
          </cell>
          <cell r="C2693" t="str">
            <v xml:space="preserve">UN    </v>
          </cell>
          <cell r="D2693">
            <v>16.88</v>
          </cell>
        </row>
        <row r="2694">
          <cell r="A2694">
            <v>39303</v>
          </cell>
          <cell r="B2694" t="str">
            <v>JOELHO 90 GRAUS, PLASTICO, PARA CONEXAO COM CRIMPAGEM EM TUBO PEX, DN 32 MM</v>
          </cell>
          <cell r="C2694" t="str">
            <v xml:space="preserve">UN    </v>
          </cell>
          <cell r="D2694">
            <v>29.67</v>
          </cell>
        </row>
        <row r="2695">
          <cell r="A2695">
            <v>38923</v>
          </cell>
          <cell r="B2695" t="str">
            <v>JOELHO 90 GRAUS, ROSCA FEMEA TERMINAL, METALICO, PARA CONEXAO COM ANEL DESLIZANTE EM TUBO PEX, DN 16 MM X 1/2"</v>
          </cell>
          <cell r="C2695" t="str">
            <v xml:space="preserve">UN    </v>
          </cell>
          <cell r="D2695">
            <v>9.4499999999999993</v>
          </cell>
        </row>
        <row r="2696">
          <cell r="A2696">
            <v>38925</v>
          </cell>
          <cell r="B2696" t="str">
            <v>JOELHO 90 GRAUS, ROSCA FEMEA TERMINAL, METALICO, PARA CONEXAO COM ANEL DESLIZANTE EM TUBO PEX, DN 20 MM X 1/2"</v>
          </cell>
          <cell r="C2696" t="str">
            <v xml:space="preserve">UN    </v>
          </cell>
          <cell r="D2696">
            <v>10.16</v>
          </cell>
        </row>
        <row r="2697">
          <cell r="A2697">
            <v>38926</v>
          </cell>
          <cell r="B2697" t="str">
            <v>JOELHO 90 GRAUS, ROSCA FEMEA TERMINAL, METALICO, PARA CONEXAO COM ANEL DESLIZANTE EM TUBO PEX, DN 20 MM X 3/4"</v>
          </cell>
          <cell r="C2697" t="str">
            <v xml:space="preserve">UN    </v>
          </cell>
          <cell r="D2697">
            <v>14.51</v>
          </cell>
        </row>
        <row r="2698">
          <cell r="A2698">
            <v>38927</v>
          </cell>
          <cell r="B2698" t="str">
            <v>JOELHO 90 GRAUS, ROSCA FEMEA TERMINAL, METALICO, PARA CONEXAO COM ANEL DESLIZANTE EM TUBO PEX, DN 25 MM X 3/4"</v>
          </cell>
          <cell r="C2698" t="str">
            <v xml:space="preserve">UN    </v>
          </cell>
          <cell r="D2698">
            <v>15.51</v>
          </cell>
        </row>
        <row r="2699">
          <cell r="A2699">
            <v>39304</v>
          </cell>
          <cell r="B2699" t="str">
            <v>JOELHO 90 GRAUS, ROSCA FEMEA TERMINAL, PLASTICO, PARA CONEXAO COM CRIMPAGEM EM TUBO PEX, DN 16 MM X 1/2"</v>
          </cell>
          <cell r="C2699" t="str">
            <v xml:space="preserve">UN    </v>
          </cell>
          <cell r="D2699">
            <v>11.95</v>
          </cell>
        </row>
        <row r="2700">
          <cell r="A2700">
            <v>38924</v>
          </cell>
          <cell r="B2700" t="str">
            <v>JOELHO 90 GRAUS, ROSCA FEMEA TERMINAL, PLASTICO, PARA CONEXAO COM CRIMPAGEM EM TUBO PEX, DN 16 MM X 3/4"</v>
          </cell>
          <cell r="C2700" t="str">
            <v xml:space="preserve">UN    </v>
          </cell>
          <cell r="D2700">
            <v>17.03</v>
          </cell>
        </row>
        <row r="2701">
          <cell r="A2701">
            <v>39305</v>
          </cell>
          <cell r="B2701" t="str">
            <v>JOELHO 90 GRAUS, ROSCA FEMEA TERMINAL, PLASTICO, PARA CONEXAO COM CRIMPAGEM EM TUBO PEX, DN 20 MM X 1/2"</v>
          </cell>
          <cell r="C2701" t="str">
            <v xml:space="preserve">UN    </v>
          </cell>
          <cell r="D2701">
            <v>15.65</v>
          </cell>
        </row>
        <row r="2702">
          <cell r="A2702">
            <v>39306</v>
          </cell>
          <cell r="B2702" t="str">
            <v>JOELHO 90 GRAUS, ROSCA FEMEA TERMINAL, PLASTICO, PARA CONEXAO COM CRIMPAGEM EM TUBO PEX, DN 20 MM X 3/4"</v>
          </cell>
          <cell r="C2702" t="str">
            <v xml:space="preserve">UN    </v>
          </cell>
          <cell r="D2702">
            <v>19.579999999999998</v>
          </cell>
        </row>
        <row r="2703">
          <cell r="A2703">
            <v>38928</v>
          </cell>
          <cell r="B2703" t="str">
            <v>JOELHO 90 GRAUS, ROSCA FEMEA TERMINAL, PLASTICO, PARA CONEXAO COM CRIMPAGEM EM TUBO PEX, DN 25 MM X 1/2"</v>
          </cell>
          <cell r="C2703" t="str">
            <v xml:space="preserve">UN    </v>
          </cell>
          <cell r="D2703">
            <v>17.2</v>
          </cell>
        </row>
        <row r="2704">
          <cell r="A2704">
            <v>38929</v>
          </cell>
          <cell r="B2704" t="str">
            <v>JOELHO 90 GRAUS, ROSCA FEMEA TERMINAL, PLASTICO, PARA CONEXAO COM CRIMPAGEM EM TUBO PEX, DN 25 MM X 1"</v>
          </cell>
          <cell r="C2704" t="str">
            <v xml:space="preserve">UN    </v>
          </cell>
          <cell r="D2704">
            <v>30.49</v>
          </cell>
        </row>
        <row r="2705">
          <cell r="A2705">
            <v>39307</v>
          </cell>
          <cell r="B2705" t="str">
            <v>JOELHO 90 GRAUS, ROSCA FEMEA TERMINAL, PLASTICO, PARA CONEXAO COM CRIMPAGEM EM TUBO PEX, DN 25 MM X 3/4"</v>
          </cell>
          <cell r="C2705" t="str">
            <v xml:space="preserve">UN    </v>
          </cell>
          <cell r="D2705">
            <v>22.53</v>
          </cell>
        </row>
        <row r="2706">
          <cell r="A2706">
            <v>38930</v>
          </cell>
          <cell r="B2706" t="str">
            <v>JOELHO 90 GRAUS, ROSCA FEMEA TERMINAL, PLASTICO, PARA CONEXAO COM CRIMPAGEM EM TUBO PEX, DN 32 MM X 1"</v>
          </cell>
          <cell r="C2706" t="str">
            <v xml:space="preserve">UN    </v>
          </cell>
          <cell r="D2706">
            <v>38.31</v>
          </cell>
        </row>
        <row r="2707">
          <cell r="A2707">
            <v>38931</v>
          </cell>
          <cell r="B2707" t="str">
            <v>JOELHO 90 GRAUS, ROSCA MACHO TERMINAL, METALICO, PARA CONEXAO COM ANEL DESLIZANTE EM TUBO PEX, DN 16 MM X 1/2"</v>
          </cell>
          <cell r="C2707" t="str">
            <v xml:space="preserve">UN    </v>
          </cell>
          <cell r="D2707">
            <v>9.64</v>
          </cell>
        </row>
        <row r="2708">
          <cell r="A2708">
            <v>38932</v>
          </cell>
          <cell r="B2708" t="str">
            <v>JOELHO 90 GRAUS, ROSCA MACHO TERMINAL, METALICO, PARA CONEXAO COM ANEL DESLIZANTE EM TUBO PEX, DN 20 MM X 1/2"</v>
          </cell>
          <cell r="C2708" t="str">
            <v xml:space="preserve">UN    </v>
          </cell>
          <cell r="D2708">
            <v>9.74</v>
          </cell>
        </row>
        <row r="2709">
          <cell r="A2709">
            <v>38934</v>
          </cell>
          <cell r="B2709" t="str">
            <v>JOELHO 90 GRAUS, ROSCA MACHO TERMINAL, METALICO, PARA CONEXAO COM ANEL DESLIZANTE EM TUBO PEX, DN 20 MM X 3/4"</v>
          </cell>
          <cell r="C2709" t="str">
            <v xml:space="preserve">UN    </v>
          </cell>
          <cell r="D2709">
            <v>14.4</v>
          </cell>
        </row>
        <row r="2710">
          <cell r="A2710">
            <v>38935</v>
          </cell>
          <cell r="B2710" t="str">
            <v>JOELHO 90 GRAUS, ROSCA MACHO TERMINAL, METALICO, PARA CONEXAO COM ANEL DESLIZANTE EM TUBO PEX, DN 25 MM X 3/4"</v>
          </cell>
          <cell r="C2710" t="str">
            <v xml:space="preserve">UN    </v>
          </cell>
          <cell r="D2710">
            <v>15.41</v>
          </cell>
        </row>
        <row r="2711">
          <cell r="A2711">
            <v>38936</v>
          </cell>
          <cell r="B2711" t="str">
            <v>JOELHO 90 GRAUS, ROSCA MACHO TERMINAL, PLASTICO, PARA CONEXAO COM CRIMPAGEM EM TUBO PEX, DN 25 MM X 1/2"</v>
          </cell>
          <cell r="C2711" t="str">
            <v xml:space="preserve">UN    </v>
          </cell>
          <cell r="D2711">
            <v>16.5</v>
          </cell>
        </row>
        <row r="2712">
          <cell r="A2712">
            <v>38937</v>
          </cell>
          <cell r="B2712" t="str">
            <v>JOELHO 90 GRAUS, ROSCA MACHO TERMINAL, PLASTICO, PARA CONEXAO COM CRIMPAGEM EM TUBO PEX, DN 25 MM X 1"</v>
          </cell>
          <cell r="C2712" t="str">
            <v xml:space="preserve">UN    </v>
          </cell>
          <cell r="D2712">
            <v>20.11</v>
          </cell>
        </row>
        <row r="2713">
          <cell r="A2713">
            <v>38938</v>
          </cell>
          <cell r="B2713" t="str">
            <v>JOELHO 90 GRAUS, ROSCA MACHO TERMINAL, PLASTICO, PARA CONEXAO COM CRIMPAGEM EM TUBO PEX, DN 32 MM X 1"</v>
          </cell>
          <cell r="C2713" t="str">
            <v xml:space="preserve">UN    </v>
          </cell>
          <cell r="D2713">
            <v>29.9</v>
          </cell>
        </row>
        <row r="2714">
          <cell r="A2714">
            <v>3489</v>
          </cell>
          <cell r="B2714" t="str">
            <v>JOELHO, PVC COM ROSCA E BUCHA LATAO, 90 GRAUS,  3/4", PARA AGUA FRIA PREDIAL</v>
          </cell>
          <cell r="C2714" t="str">
            <v xml:space="preserve">UN    </v>
          </cell>
          <cell r="D2714">
            <v>8.93</v>
          </cell>
        </row>
        <row r="2715">
          <cell r="A2715">
            <v>20151</v>
          </cell>
          <cell r="B2715" t="str">
            <v>JOELHO, PVC SERIE R, 45 GRAUS, DN 100 MM, PARA ESGOTO PREDIAL</v>
          </cell>
          <cell r="C2715" t="str">
            <v xml:space="preserve">UN    </v>
          </cell>
          <cell r="D2715">
            <v>13.12</v>
          </cell>
        </row>
        <row r="2716">
          <cell r="A2716">
            <v>20152</v>
          </cell>
          <cell r="B2716" t="str">
            <v>JOELHO, PVC SERIE R, 45 GRAUS, DN 150 MM, PARA ESGOTO PREDIAL</v>
          </cell>
          <cell r="C2716" t="str">
            <v xml:space="preserve">UN    </v>
          </cell>
          <cell r="D2716">
            <v>45.66</v>
          </cell>
        </row>
        <row r="2717">
          <cell r="A2717">
            <v>20148</v>
          </cell>
          <cell r="B2717" t="str">
            <v>JOELHO, PVC SERIE R, 45 GRAUS, DN 40 MM, PARA ESGOTO PREDIAL</v>
          </cell>
          <cell r="C2717" t="str">
            <v xml:space="preserve">UN    </v>
          </cell>
          <cell r="D2717">
            <v>2.61</v>
          </cell>
        </row>
        <row r="2718">
          <cell r="A2718">
            <v>20149</v>
          </cell>
          <cell r="B2718" t="str">
            <v>JOELHO, PVC SERIE R, 45 GRAUS, DN 50 MM, PARA ESGOTO PREDIAL</v>
          </cell>
          <cell r="C2718" t="str">
            <v xml:space="preserve">UN    </v>
          </cell>
          <cell r="D2718">
            <v>4.04</v>
          </cell>
        </row>
        <row r="2719">
          <cell r="A2719">
            <v>20150</v>
          </cell>
          <cell r="B2719" t="str">
            <v>JOELHO, PVC SERIE R, 45 GRAUS, DN 75 MM, PARA ESGOTO PREDIAL</v>
          </cell>
          <cell r="C2719" t="str">
            <v xml:space="preserve">UN    </v>
          </cell>
          <cell r="D2719">
            <v>9.42</v>
          </cell>
        </row>
        <row r="2720">
          <cell r="A2720">
            <v>20157</v>
          </cell>
          <cell r="B2720" t="str">
            <v>JOELHO, PVC SERIE R, 90 GRAUS, DN 100 MM, PARA ESGOTO PREDIAL</v>
          </cell>
          <cell r="C2720" t="str">
            <v xml:space="preserve">UN    </v>
          </cell>
          <cell r="D2720">
            <v>17.7</v>
          </cell>
        </row>
        <row r="2721">
          <cell r="A2721">
            <v>20158</v>
          </cell>
          <cell r="B2721" t="str">
            <v>JOELHO, PVC SERIE R, 90 GRAUS, DN 150 MM, PARA ESGOTO PREDIAL</v>
          </cell>
          <cell r="C2721" t="str">
            <v xml:space="preserve">UN    </v>
          </cell>
          <cell r="D2721">
            <v>58.82</v>
          </cell>
        </row>
        <row r="2722">
          <cell r="A2722">
            <v>20154</v>
          </cell>
          <cell r="B2722" t="str">
            <v>JOELHO, PVC SERIE R, 90 GRAUS, DN 40 MM, PARA ESGOTO PREDIAL</v>
          </cell>
          <cell r="C2722" t="str">
            <v xml:space="preserve">UN    </v>
          </cell>
          <cell r="D2722">
            <v>3.35</v>
          </cell>
        </row>
        <row r="2723">
          <cell r="A2723">
            <v>20155</v>
          </cell>
          <cell r="B2723" t="str">
            <v>JOELHO, PVC SERIE R, 90 GRAUS, DN 50 MM, PARA ESGOTO PREDIAL</v>
          </cell>
          <cell r="C2723" t="str">
            <v xml:space="preserve">UN    </v>
          </cell>
          <cell r="D2723">
            <v>5.0199999999999996</v>
          </cell>
        </row>
        <row r="2724">
          <cell r="A2724">
            <v>20156</v>
          </cell>
          <cell r="B2724" t="str">
            <v>JOELHO, PVC SERIE R, 90 GRAUS, DN 75 MM, PARA ESGOTO PREDIAL</v>
          </cell>
          <cell r="C2724" t="str">
            <v xml:space="preserve">UN    </v>
          </cell>
          <cell r="D2724">
            <v>11.3</v>
          </cell>
        </row>
        <row r="2725">
          <cell r="A2725">
            <v>3512</v>
          </cell>
          <cell r="B2725" t="str">
            <v>JOELHO, PVC SOLDAVEL, 45 GRAUS, 110 MM, PARA AGUA FRIA PREDIAL</v>
          </cell>
          <cell r="C2725" t="str">
            <v xml:space="preserve">UN    </v>
          </cell>
          <cell r="D2725">
            <v>140.01</v>
          </cell>
        </row>
        <row r="2726">
          <cell r="A2726">
            <v>3499</v>
          </cell>
          <cell r="B2726" t="str">
            <v>JOELHO, PVC SOLDAVEL, 45 GRAUS, 20 MM, PARA AGUA FRIA PREDIAL</v>
          </cell>
          <cell r="C2726" t="str">
            <v xml:space="preserve">UN    </v>
          </cell>
          <cell r="D2726">
            <v>0.59</v>
          </cell>
        </row>
        <row r="2727">
          <cell r="A2727">
            <v>3500</v>
          </cell>
          <cell r="B2727" t="str">
            <v>JOELHO, PVC SOLDAVEL, 45 GRAUS, 25 MM, PARA AGUA FRIA PREDIAL</v>
          </cell>
          <cell r="C2727" t="str">
            <v xml:space="preserve">UN    </v>
          </cell>
          <cell r="D2727">
            <v>1</v>
          </cell>
        </row>
        <row r="2728">
          <cell r="A2728">
            <v>3501</v>
          </cell>
          <cell r="B2728" t="str">
            <v>JOELHO, PVC SOLDAVEL, 45 GRAUS, 32 MM, PARA AGUA FRIA PREDIAL</v>
          </cell>
          <cell r="C2728" t="str">
            <v xml:space="preserve">UN    </v>
          </cell>
          <cell r="D2728">
            <v>2.9</v>
          </cell>
        </row>
        <row r="2729">
          <cell r="A2729">
            <v>3502</v>
          </cell>
          <cell r="B2729" t="str">
            <v>JOELHO, PVC SOLDAVEL, 45 GRAUS, 40 MM, PARA AGUA FRIA PREDIAL</v>
          </cell>
          <cell r="C2729" t="str">
            <v xml:space="preserve">UN    </v>
          </cell>
          <cell r="D2729">
            <v>4.13</v>
          </cell>
        </row>
        <row r="2730">
          <cell r="A2730">
            <v>3503</v>
          </cell>
          <cell r="B2730" t="str">
            <v>JOELHO, PVC SOLDAVEL, 45 GRAUS, 50 MM, PARA AGUA FRIA PREDIAL</v>
          </cell>
          <cell r="C2730" t="str">
            <v xml:space="preserve">UN    </v>
          </cell>
          <cell r="D2730">
            <v>4.95</v>
          </cell>
        </row>
        <row r="2731">
          <cell r="A2731">
            <v>3477</v>
          </cell>
          <cell r="B2731" t="str">
            <v>JOELHO, PVC SOLDAVEL, 45 GRAUS, 60 MM, PARA AGUA FRIA PREDIAL</v>
          </cell>
          <cell r="C2731" t="str">
            <v xml:space="preserve">UN    </v>
          </cell>
          <cell r="D2731">
            <v>19.16</v>
          </cell>
        </row>
        <row r="2732">
          <cell r="A2732">
            <v>3478</v>
          </cell>
          <cell r="B2732" t="str">
            <v>JOELHO, PVC SOLDAVEL, 45 GRAUS, 75 MM, PARA AGUA FRIA PREDIAL</v>
          </cell>
          <cell r="C2732" t="str">
            <v xml:space="preserve">UN    </v>
          </cell>
          <cell r="D2732">
            <v>44.04</v>
          </cell>
        </row>
        <row r="2733">
          <cell r="A2733">
            <v>3525</v>
          </cell>
          <cell r="B2733" t="str">
            <v>JOELHO, PVC SOLDAVEL, 45 GRAUS, 85 MM, PARA AGUA FRIA PREDIAL</v>
          </cell>
          <cell r="C2733" t="str">
            <v xml:space="preserve">UN    </v>
          </cell>
          <cell r="D2733">
            <v>52.24</v>
          </cell>
        </row>
        <row r="2734">
          <cell r="A2734">
            <v>3511</v>
          </cell>
          <cell r="B2734" t="str">
            <v>JOELHO, PVC SOLDAVEL, 90 GRAUS, 75 MM, PARA AGUA FRIA PREDIAL</v>
          </cell>
          <cell r="C2734" t="str">
            <v xml:space="preserve">UN    </v>
          </cell>
          <cell r="D2734">
            <v>61.3</v>
          </cell>
        </row>
        <row r="2735">
          <cell r="A2735">
            <v>38917</v>
          </cell>
          <cell r="B2735" t="str">
            <v>JOELHO, ROSCA FEMEA, COM BASE FIXA, METALICO, PARA CONEXAO COM ANEL DESLIZANTE EM TUBO PEX, DN 16 MM X 1/2"</v>
          </cell>
          <cell r="C2735" t="str">
            <v xml:space="preserve">UN    </v>
          </cell>
          <cell r="D2735">
            <v>9.23</v>
          </cell>
        </row>
        <row r="2736">
          <cell r="A2736">
            <v>38919</v>
          </cell>
          <cell r="B2736" t="str">
            <v>JOELHO, ROSCA FEMEA, COM BASE FIXA, METALICO, PARA CONEXAO COM ANEL DESLIZANTE EM TUBO PEX, DN 20 MM X 1/2"</v>
          </cell>
          <cell r="C2736" t="str">
            <v xml:space="preserve">UN    </v>
          </cell>
          <cell r="D2736">
            <v>13.73</v>
          </cell>
        </row>
        <row r="2737">
          <cell r="A2737">
            <v>38922</v>
          </cell>
          <cell r="B2737" t="str">
            <v>JOELHO, ROSCA FEMEA, COM BASE FIXA, METALICO, PARA CONEXAO COM ANEL DESLIZANTE EM TUBO PEX, DN 25 MM X 3/4"</v>
          </cell>
          <cell r="C2737" t="str">
            <v xml:space="preserve">UN    </v>
          </cell>
          <cell r="D2737">
            <v>17.739999999999998</v>
          </cell>
        </row>
        <row r="2738">
          <cell r="A2738">
            <v>38921</v>
          </cell>
          <cell r="B2738" t="str">
            <v>JOELHO, ROSCA FEMEA, COM BASE FIXA, PLASTICO, PARA CONEXAO COM CRIMPAGEM EM TUBO PEX, DN 25 MM X 1/2"</v>
          </cell>
          <cell r="C2738" t="str">
            <v xml:space="preserve">UN    </v>
          </cell>
          <cell r="D2738">
            <v>21.93</v>
          </cell>
        </row>
        <row r="2739">
          <cell r="A2739">
            <v>38918</v>
          </cell>
          <cell r="B2739" t="str">
            <v>JOELHO, ROSCA FEMEA, COM BASE FIXA, PLASTICO, PARA CONEXAO POR CRIMPAGEM EM TUBO PEX, DN 16 MM X 3/4"</v>
          </cell>
          <cell r="C2739" t="str">
            <v xml:space="preserve">UN    </v>
          </cell>
          <cell r="D2739">
            <v>20.84</v>
          </cell>
        </row>
        <row r="2740">
          <cell r="A2740">
            <v>38920</v>
          </cell>
          <cell r="B2740" t="str">
            <v>JOELHO, ROSCA FEMEA, COM BASE FIXA, PLASTICO, PARA CONEXAO POR CRIMPAGEM EM TUBO PEX, DN 20 MM X 3/4"</v>
          </cell>
          <cell r="C2740" t="str">
            <v xml:space="preserve">UN    </v>
          </cell>
          <cell r="D2740">
            <v>26.06</v>
          </cell>
        </row>
        <row r="2741">
          <cell r="A2741">
            <v>3104</v>
          </cell>
          <cell r="B2741" t="str">
            <v>JOGO DE FERRAGENS CROMADAS P/ PORTA DE VIDRO TEMPERADO, UMA FOLHA COMPOSTA: DOBRADICA SUPERIOR (101) E INFERIOR (103),TRINCO (502), FECHADURA (520),CONTRA FECHADURA (531),COM CAPUCHINHO</v>
          </cell>
          <cell r="C2741" t="str">
            <v xml:space="preserve">CJ    </v>
          </cell>
          <cell r="D2741">
            <v>394.74</v>
          </cell>
        </row>
        <row r="2742">
          <cell r="A2742">
            <v>12032</v>
          </cell>
          <cell r="B2742" t="str">
            <v>JOGO DE TRANQUETA E ROSETA QUADRADA DE SOBREPOR SEM FUROS, EM LATAO CROMADO, *50 X 50* MM, PARA FECHADURA DE PORTA DE BANHEIRO</v>
          </cell>
          <cell r="C2742" t="str">
            <v xml:space="preserve">JG    </v>
          </cell>
          <cell r="D2742">
            <v>44.37</v>
          </cell>
        </row>
        <row r="2743">
          <cell r="A2743">
            <v>12030</v>
          </cell>
          <cell r="B2743" t="str">
            <v>JOGO DE TRANQUETA E ROSETA REDONDA DE SOBREPOR SEM FUROS, EM LATAO CROMADO, DIAMETRO *50* MM, PARA FECHADURA DE PORTA DE BANHEIRO</v>
          </cell>
          <cell r="C2743" t="str">
            <v xml:space="preserve">JG    </v>
          </cell>
          <cell r="D2743">
            <v>41.69</v>
          </cell>
        </row>
        <row r="2744">
          <cell r="A2744">
            <v>10908</v>
          </cell>
          <cell r="B2744" t="str">
            <v>JUNCAO DE REDUCAO INVERTIDA, PVC SOLDAVEL, 100 X 50 MM, SERIE NORMAL PARA ESGOTO PREDIAL</v>
          </cell>
          <cell r="C2744" t="str">
            <v xml:space="preserve">UN    </v>
          </cell>
          <cell r="D2744">
            <v>9.91</v>
          </cell>
        </row>
        <row r="2745">
          <cell r="A2745">
            <v>10909</v>
          </cell>
          <cell r="B2745" t="str">
            <v>JUNCAO DE REDUCAO INVERTIDA, PVC SOLDAVEL, 100 X 75 MM, SERIE NORMAL PARA ESGOTO PREDIAL</v>
          </cell>
          <cell r="C2745" t="str">
            <v xml:space="preserve">UN    </v>
          </cell>
          <cell r="D2745">
            <v>15.81</v>
          </cell>
        </row>
        <row r="2746">
          <cell r="A2746">
            <v>3669</v>
          </cell>
          <cell r="B2746" t="str">
            <v>JUNCAO DE REDUCAO INVERTIDA, PVC SOLDAVEL, 75 X 50 MM, SERIE NORMAL PARA ESGOTO PREDIAL</v>
          </cell>
          <cell r="C2746" t="str">
            <v xml:space="preserve">UN    </v>
          </cell>
          <cell r="D2746">
            <v>6.77</v>
          </cell>
        </row>
        <row r="2747">
          <cell r="A2747">
            <v>20138</v>
          </cell>
          <cell r="B2747" t="str">
            <v>JUNCAO DE REDUCAO SIMPLES, COM BOLSA PARA ANEL, PVC LEVE,  150 X 100 MM, PARA ESGOTO PREDIAL</v>
          </cell>
          <cell r="C2747" t="str">
            <v xml:space="preserve">UN    </v>
          </cell>
          <cell r="D2747">
            <v>33.659999999999997</v>
          </cell>
        </row>
        <row r="2748">
          <cell r="A2748">
            <v>20139</v>
          </cell>
          <cell r="B2748" t="str">
            <v>JUNCAO DUPLA, PVC SERIE R, DN 100 X 100 X 100 MM, PARA ESGOTO PREDIAL</v>
          </cell>
          <cell r="C2748" t="str">
            <v xml:space="preserve">UN    </v>
          </cell>
          <cell r="D2748">
            <v>56.54</v>
          </cell>
        </row>
        <row r="2749">
          <cell r="A2749">
            <v>3668</v>
          </cell>
          <cell r="B2749" t="str">
            <v>JUNCAO DUPLA, PVC SOLDAVEL, DN 100 X 100 X 100 MM , SERIE NORMAL PARA ESGOTO PREDIAL</v>
          </cell>
          <cell r="C2749" t="str">
            <v xml:space="preserve">UN    </v>
          </cell>
          <cell r="D2749">
            <v>22.42</v>
          </cell>
        </row>
        <row r="2750">
          <cell r="A2750">
            <v>3656</v>
          </cell>
          <cell r="B2750" t="str">
            <v>JUNCAO DUPLA, PVC SOLDAVEL, DN 75 X 75 X 75 MM , SERIE NORMAL PARA ESGOTO PREDIAL</v>
          </cell>
          <cell r="C2750" t="str">
            <v xml:space="preserve">UN    </v>
          </cell>
          <cell r="D2750">
            <v>11.11</v>
          </cell>
        </row>
        <row r="2751">
          <cell r="A2751">
            <v>10911</v>
          </cell>
          <cell r="B2751" t="str">
            <v>JUNCAO INVERTIDA, PVC SOLDAVEL, 75 X 75 MM, SERIE NORMAL PARA ESGOTO PREDIAL</v>
          </cell>
          <cell r="C2751" t="str">
            <v xml:space="preserve">UN    </v>
          </cell>
          <cell r="D2751">
            <v>12.33</v>
          </cell>
        </row>
        <row r="2752">
          <cell r="A2752">
            <v>3654</v>
          </cell>
          <cell r="B2752" t="str">
            <v>JUNCAO PVC  ROSCAVEL, 45 GRAUS, 1/2", PARA AGUA FRIA PREDIAL</v>
          </cell>
          <cell r="C2752" t="str">
            <v xml:space="preserve">UN    </v>
          </cell>
          <cell r="D2752">
            <v>3.11</v>
          </cell>
        </row>
        <row r="2753">
          <cell r="A2753">
            <v>3664</v>
          </cell>
          <cell r="B2753" t="str">
            <v>JUNCAO PVC  ROSCAVEL, 45 GRAUS, 3/4", PARA AGUA FRIA PREDIAL</v>
          </cell>
          <cell r="C2753" t="str">
            <v xml:space="preserve">UN    </v>
          </cell>
          <cell r="D2753">
            <v>3.86</v>
          </cell>
        </row>
        <row r="2754">
          <cell r="A2754">
            <v>3657</v>
          </cell>
          <cell r="B2754" t="str">
            <v>JUNCAO PVC, 45 GRAUS, ROSCAVEL, 1 1/4", AGUA FRIA PREDIAL</v>
          </cell>
          <cell r="C2754" t="str">
            <v xml:space="preserve">UN    </v>
          </cell>
          <cell r="D2754">
            <v>4.16</v>
          </cell>
        </row>
        <row r="2755">
          <cell r="A2755">
            <v>12625</v>
          </cell>
          <cell r="B2755" t="str">
            <v>JUNCAO PVC, 60 GRAUS, CIRCULAR,  DIAMETRO ENTRE 80 E 100 MM, PARA DRENAGEM PLUVIAL PREDIAL</v>
          </cell>
          <cell r="C2755" t="str">
            <v xml:space="preserve">UN    </v>
          </cell>
          <cell r="D2755">
            <v>8.86</v>
          </cell>
        </row>
        <row r="2756">
          <cell r="A2756">
            <v>20136</v>
          </cell>
          <cell r="B2756" t="str">
            <v>JUNCAO SIMPLES, PVC LEVE, 150 MM, PARA ESGOTO PREDIAL</v>
          </cell>
          <cell r="C2756" t="str">
            <v xml:space="preserve">UN    </v>
          </cell>
          <cell r="D2756">
            <v>75.95</v>
          </cell>
        </row>
        <row r="2757">
          <cell r="A2757">
            <v>20144</v>
          </cell>
          <cell r="B2757" t="str">
            <v>JUNCAO SIMPLES, PVC SERIE R, DN 100 X 100 MM, PARA ESGOTO PREDIAL</v>
          </cell>
          <cell r="C2757" t="str">
            <v xml:space="preserve">UN    </v>
          </cell>
          <cell r="D2757">
            <v>33.36</v>
          </cell>
        </row>
        <row r="2758">
          <cell r="A2758">
            <v>20143</v>
          </cell>
          <cell r="B2758" t="str">
            <v>JUNCAO SIMPLES, PVC SERIE R, DN 100 X 75 MM, PARA ESGOTO PREDIAL</v>
          </cell>
          <cell r="C2758" t="str">
            <v xml:space="preserve">UN    </v>
          </cell>
          <cell r="D2758">
            <v>31.16</v>
          </cell>
        </row>
        <row r="2759">
          <cell r="A2759">
            <v>20145</v>
          </cell>
          <cell r="B2759" t="str">
            <v>JUNCAO SIMPLES, PVC SERIE R, DN 150 X 100 MM, PARA ESGOTO PREDIAL</v>
          </cell>
          <cell r="C2759" t="str">
            <v xml:space="preserve">UN    </v>
          </cell>
          <cell r="D2759">
            <v>88.42</v>
          </cell>
        </row>
        <row r="2760">
          <cell r="A2760">
            <v>20146</v>
          </cell>
          <cell r="B2760" t="str">
            <v>JUNCAO SIMPLES, PVC SERIE R, DN 150 X 150 MM, PARA ESGOTO PREDIAL</v>
          </cell>
          <cell r="C2760" t="str">
            <v xml:space="preserve">UN    </v>
          </cell>
          <cell r="D2760">
            <v>99.71</v>
          </cell>
        </row>
        <row r="2761">
          <cell r="A2761">
            <v>20140</v>
          </cell>
          <cell r="B2761" t="str">
            <v>JUNCAO SIMPLES, PVC SERIE R, DN 40 X 40 MM, PARA ESGOTO PREDIAL</v>
          </cell>
          <cell r="C2761" t="str">
            <v xml:space="preserve">UN    </v>
          </cell>
          <cell r="D2761">
            <v>3.97</v>
          </cell>
        </row>
        <row r="2762">
          <cell r="A2762">
            <v>20141</v>
          </cell>
          <cell r="B2762" t="str">
            <v>JUNCAO SIMPLES, PVC SERIE R, DN 50 X 50 MM, PARA ESGOTO PREDIAL</v>
          </cell>
          <cell r="C2762" t="str">
            <v xml:space="preserve">UN    </v>
          </cell>
          <cell r="D2762">
            <v>6.97</v>
          </cell>
        </row>
        <row r="2763">
          <cell r="A2763">
            <v>20142</v>
          </cell>
          <cell r="B2763" t="str">
            <v>JUNCAO SIMPLES, PVC SERIE R, DN 75 X 75 MM, PARA ESGOTO PREDIAL</v>
          </cell>
          <cell r="C2763" t="str">
            <v xml:space="preserve">UN    </v>
          </cell>
          <cell r="D2763">
            <v>21.32</v>
          </cell>
        </row>
        <row r="2764">
          <cell r="A2764">
            <v>3659</v>
          </cell>
          <cell r="B2764" t="str">
            <v>JUNCAO SIMPLES, PVC, DN 100 X 50 MM, SERIE NORMAL PARA ESGOTO PREDIAL</v>
          </cell>
          <cell r="C2764" t="str">
            <v xml:space="preserve">UN    </v>
          </cell>
          <cell r="D2764">
            <v>9.25</v>
          </cell>
        </row>
        <row r="2765">
          <cell r="A2765">
            <v>3660</v>
          </cell>
          <cell r="B2765" t="str">
            <v>JUNCAO SIMPLES, PVC, DN 100 X 75 MM, SERIE NORMAL PARA ESGOTO PREDIAL</v>
          </cell>
          <cell r="C2765" t="str">
            <v xml:space="preserve">UN    </v>
          </cell>
          <cell r="D2765">
            <v>13.33</v>
          </cell>
        </row>
        <row r="2766">
          <cell r="A2766">
            <v>3662</v>
          </cell>
          <cell r="B2766" t="str">
            <v>JUNCAO SIMPLES, PVC, DN 50 X 50 MM, SERIE NORMAL PARA ESGOTO PREDIAL</v>
          </cell>
          <cell r="C2766" t="str">
            <v xml:space="preserve">UN    </v>
          </cell>
          <cell r="D2766">
            <v>5.03</v>
          </cell>
        </row>
        <row r="2767">
          <cell r="A2767">
            <v>3661</v>
          </cell>
          <cell r="B2767" t="str">
            <v>JUNCAO SIMPLES, PVC, DN 75 X 50 MM, SERIE NORMAL PARA ESGOTO PREDIAL</v>
          </cell>
          <cell r="C2767" t="str">
            <v xml:space="preserve">UN    </v>
          </cell>
          <cell r="D2767">
            <v>7.41</v>
          </cell>
        </row>
        <row r="2768">
          <cell r="A2768">
            <v>3658</v>
          </cell>
          <cell r="B2768" t="str">
            <v>JUNCAO SIMPLES, PVC, DN 75 X 75 MM, SERIE NORMAL PARA ESGOTO PREDIAL</v>
          </cell>
          <cell r="C2768" t="str">
            <v xml:space="preserve">UN    </v>
          </cell>
          <cell r="D2768">
            <v>9.43</v>
          </cell>
        </row>
        <row r="2769">
          <cell r="A2769">
            <v>3670</v>
          </cell>
          <cell r="B2769" t="str">
            <v>JUNCAO SIMPLES, PVC, 45 GRAUS, DN 100 X 100 MM, SERIE NORMAL PARA ESGOTO PREDIAL</v>
          </cell>
          <cell r="C2769" t="str">
            <v xml:space="preserve">UN    </v>
          </cell>
          <cell r="D2769">
            <v>12.3</v>
          </cell>
        </row>
        <row r="2770">
          <cell r="A2770">
            <v>3666</v>
          </cell>
          <cell r="B2770" t="str">
            <v>JUNCAO SIMPLES, PVC, 45 GRAUS, DN 40 X 40 MM, SERIE NORMAL PARA ESGOTO PREDIAL</v>
          </cell>
          <cell r="C2770" t="str">
            <v xml:space="preserve">UN    </v>
          </cell>
          <cell r="D2770">
            <v>2.08</v>
          </cell>
        </row>
        <row r="2771">
          <cell r="A2771">
            <v>14157</v>
          </cell>
          <cell r="B2771" t="str">
            <v>JUNCAO 2 GARRAS PARA FITA PERFURADA</v>
          </cell>
          <cell r="C2771" t="str">
            <v xml:space="preserve">UN    </v>
          </cell>
          <cell r="D2771">
            <v>0.83</v>
          </cell>
        </row>
        <row r="2772">
          <cell r="A2772">
            <v>3653</v>
          </cell>
          <cell r="B2772" t="str">
            <v>JUNCAO, PVC, 45 GRAUS, JE, BBB, DN 100 MM, PARA REDE COLETORA DE ESGOTO (NBR 10569)</v>
          </cell>
          <cell r="C2772" t="str">
            <v xml:space="preserve">UN    </v>
          </cell>
          <cell r="D2772">
            <v>65.09</v>
          </cell>
        </row>
        <row r="2773">
          <cell r="A2773">
            <v>3649</v>
          </cell>
          <cell r="B2773" t="str">
            <v>JUNCAO, PVC, 45 GRAUS, JE, BBB, DN 150 MM, PARA REDE COLETORA DE ESGOTO (NBR 10569)</v>
          </cell>
          <cell r="C2773" t="str">
            <v xml:space="preserve">UN    </v>
          </cell>
          <cell r="D2773">
            <v>134.81</v>
          </cell>
        </row>
        <row r="2774">
          <cell r="A2774">
            <v>42696</v>
          </cell>
          <cell r="B2774" t="str">
            <v>JUNCAO, PVC, 45 GRAUS, JE, BBB, DN 150 MM, PARA TUBO CORRUGADO E/OU LISO, REDE COLETORA DE ESGOTO (NBR 10569)</v>
          </cell>
          <cell r="C2774" t="str">
            <v xml:space="preserve">UN    </v>
          </cell>
          <cell r="D2774">
            <v>377.19</v>
          </cell>
        </row>
        <row r="2775">
          <cell r="A2775">
            <v>42697</v>
          </cell>
          <cell r="B2775" t="str">
            <v>JUNCAO, PVC, 45 GRAUS, JE, BBB, DN 200 MM, PARA TUBO CORRUGADO E/OU LISO, REDE COLETORA DE ESGOTO (NBR 10569)</v>
          </cell>
          <cell r="C2775" t="str">
            <v xml:space="preserve">UN    </v>
          </cell>
          <cell r="D2775">
            <v>568.05999999999995</v>
          </cell>
        </row>
        <row r="2776">
          <cell r="A2776">
            <v>42698</v>
          </cell>
          <cell r="B2776" t="str">
            <v>JUNCAO, PVC, 45 GRAUS, JE, BBB, DN 250 MM, PARA TUBO CORRUGADO E/OU LISO, REDE COLETORA DE ESGOTO (NBR 10569)</v>
          </cell>
          <cell r="C2776" t="str">
            <v xml:space="preserve">UN    </v>
          </cell>
          <cell r="D2776">
            <v>791.29</v>
          </cell>
        </row>
        <row r="2777">
          <cell r="A2777">
            <v>39875</v>
          </cell>
          <cell r="B2777" t="str">
            <v>JUNTA DE EXPANSAO BRONZE/LATAO (REF 900), PONTA X PONTA, 35 MM</v>
          </cell>
          <cell r="C2777" t="str">
            <v xml:space="preserve">UN    </v>
          </cell>
          <cell r="D2777">
            <v>369.58</v>
          </cell>
        </row>
        <row r="2778">
          <cell r="A2778">
            <v>39876</v>
          </cell>
          <cell r="B2778" t="str">
            <v>JUNTA DE EXPANSAO BRONZE/LATAO (REF 900), PONTA X PONTA, 42 MM</v>
          </cell>
          <cell r="C2778" t="str">
            <v xml:space="preserve">UN    </v>
          </cell>
          <cell r="D2778">
            <v>462.72</v>
          </cell>
        </row>
        <row r="2779">
          <cell r="A2779">
            <v>39877</v>
          </cell>
          <cell r="B2779" t="str">
            <v>JUNTA DE EXPANSAO BRONZE/LATAO (REF 900), PONTA X PONTA, 54 MM</v>
          </cell>
          <cell r="C2779" t="str">
            <v xml:space="preserve">UN    </v>
          </cell>
          <cell r="D2779">
            <v>641.77</v>
          </cell>
        </row>
        <row r="2780">
          <cell r="A2780">
            <v>39878</v>
          </cell>
          <cell r="B2780" t="str">
            <v>JUNTA DE EXPANSAO BRONZE/LATAO (REF 900), PONTA X PONTA, 66 MM</v>
          </cell>
          <cell r="C2780" t="str">
            <v xml:space="preserve">UN    </v>
          </cell>
          <cell r="D2780">
            <v>847.68</v>
          </cell>
        </row>
        <row r="2781">
          <cell r="A2781">
            <v>39872</v>
          </cell>
          <cell r="B2781" t="str">
            <v>JUNTA DE EXPANSAO DE COBRE (REF 900), PONTA X PONTA, 15 MM</v>
          </cell>
          <cell r="C2781" t="str">
            <v xml:space="preserve">UN    </v>
          </cell>
          <cell r="D2781">
            <v>253.45</v>
          </cell>
        </row>
        <row r="2782">
          <cell r="A2782">
            <v>39873</v>
          </cell>
          <cell r="B2782" t="str">
            <v>JUNTA DE EXPANSAO DE COBRE (REF 900), PONTA X PONTA, 22 MM</v>
          </cell>
          <cell r="C2782" t="str">
            <v xml:space="preserve">UN    </v>
          </cell>
          <cell r="D2782">
            <v>293.99</v>
          </cell>
        </row>
        <row r="2783">
          <cell r="A2783">
            <v>39874</v>
          </cell>
          <cell r="B2783" t="str">
            <v>JUNTA DE EXPANSAO DE COBRE (REF 900), PONTA X PONTA, 28 MM</v>
          </cell>
          <cell r="C2783" t="str">
            <v xml:space="preserve">UN    </v>
          </cell>
          <cell r="D2783">
            <v>322.91000000000003</v>
          </cell>
        </row>
        <row r="2784">
          <cell r="A2784">
            <v>3674</v>
          </cell>
          <cell r="B2784" t="str">
            <v>JUNTA DILATACAO ELASTICA PARA CONCRETO (FUGENBAND) O-12, ATE 5 MCA</v>
          </cell>
          <cell r="C2784" t="str">
            <v xml:space="preserve">M     </v>
          </cell>
          <cell r="D2784">
            <v>59.04</v>
          </cell>
        </row>
        <row r="2785">
          <cell r="A2785">
            <v>3681</v>
          </cell>
          <cell r="B2785" t="str">
            <v>JUNTA DILATACAO ELASTICA PARA CONCRETO (FUGENBAND) O-22, ATE 30 MCA</v>
          </cell>
          <cell r="C2785" t="str">
            <v xml:space="preserve">M     </v>
          </cell>
          <cell r="D2785">
            <v>87.85</v>
          </cell>
        </row>
        <row r="2786">
          <cell r="A2786">
            <v>3676</v>
          </cell>
          <cell r="B2786" t="str">
            <v>JUNTA DILATACAO ELASTICA PARA CONCRETO (FUGENBAND) O-35/10, ATE 100 MCA</v>
          </cell>
          <cell r="C2786" t="str">
            <v xml:space="preserve">M     </v>
          </cell>
          <cell r="D2786">
            <v>330.62</v>
          </cell>
        </row>
        <row r="2787">
          <cell r="A2787">
            <v>3679</v>
          </cell>
          <cell r="B2787" t="str">
            <v>JUNTA DILATACAO ELASTICA PARA CONCRETO (FUGENBAND) O-35/6, ATE 100 MCA</v>
          </cell>
          <cell r="C2787" t="str">
            <v xml:space="preserve">M     </v>
          </cell>
          <cell r="D2787">
            <v>273.52999999999997</v>
          </cell>
        </row>
        <row r="2788">
          <cell r="A2788">
            <v>3672</v>
          </cell>
          <cell r="B2788" t="str">
            <v>JUNTA PLASTICA DE DILATACAO PARA PISOS, COR CINZA, 10 X 4,5 MM (ALTURA X ESPESSURA)</v>
          </cell>
          <cell r="C2788" t="str">
            <v xml:space="preserve">M     </v>
          </cell>
          <cell r="D2788">
            <v>0.93</v>
          </cell>
        </row>
        <row r="2789">
          <cell r="A2789">
            <v>3671</v>
          </cell>
          <cell r="B2789" t="str">
            <v>JUNTA PLASTICA DE DILATACAO PARA PISOS, COR CINZA, 17 X 3 MM (ALTURA X ESPESSURA)</v>
          </cell>
          <cell r="C2789" t="str">
            <v xml:space="preserve">M     </v>
          </cell>
          <cell r="D2789">
            <v>0.88</v>
          </cell>
        </row>
        <row r="2790">
          <cell r="A2790">
            <v>3673</v>
          </cell>
          <cell r="B2790" t="str">
            <v>JUNTA PLASTICA DE DILATACAO PARA PISOS, COR CINZA, 27 X 3 MM (ALTURA X ESPESSURA)</v>
          </cell>
          <cell r="C2790" t="str">
            <v xml:space="preserve">M     </v>
          </cell>
          <cell r="D2790">
            <v>1.38</v>
          </cell>
        </row>
        <row r="2791">
          <cell r="A2791">
            <v>38394</v>
          </cell>
          <cell r="B2791" t="str">
            <v>KIT ACESSORIOS PARA COMPRESSOR DE AR, 5 PECAS (PISTOLAS PINTURA, LIMPEZA E PULVERIZACAO, CALIBRADOR E MANGUEIRA)</v>
          </cell>
          <cell r="C2791" t="str">
            <v xml:space="preserve">UN    </v>
          </cell>
          <cell r="D2791">
            <v>256.64999999999998</v>
          </cell>
        </row>
        <row r="2792">
          <cell r="A2792">
            <v>3729</v>
          </cell>
          <cell r="B2792" t="str">
            <v>KIT CAVALETE, PVC, COM REGISTRO, PARA HIDROMETRO, BITOLAS 1/2" OU 3/4" - COMPLETO</v>
          </cell>
          <cell r="C2792" t="str">
            <v xml:space="preserve">UN    </v>
          </cell>
          <cell r="D2792">
            <v>51.98</v>
          </cell>
        </row>
        <row r="2793">
          <cell r="A2793">
            <v>39357</v>
          </cell>
          <cell r="B279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93" t="str">
            <v xml:space="preserve">UN    </v>
          </cell>
          <cell r="D2793">
            <v>83.84</v>
          </cell>
        </row>
        <row r="2794">
          <cell r="A2794">
            <v>39358</v>
          </cell>
          <cell r="B279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94" t="str">
            <v xml:space="preserve">UN    </v>
          </cell>
          <cell r="D2794">
            <v>91.94</v>
          </cell>
        </row>
        <row r="2795">
          <cell r="A2795">
            <v>39356</v>
          </cell>
          <cell r="B279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95" t="str">
            <v xml:space="preserve">UN    </v>
          </cell>
          <cell r="D2795">
            <v>156.85</v>
          </cell>
        </row>
        <row r="2796">
          <cell r="A2796">
            <v>39355</v>
          </cell>
          <cell r="B279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96" t="str">
            <v xml:space="preserve">UN    </v>
          </cell>
          <cell r="D2796">
            <v>134.97</v>
          </cell>
        </row>
        <row r="2797">
          <cell r="A2797">
            <v>39353</v>
          </cell>
          <cell r="B279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97" t="str">
            <v xml:space="preserve">UN    </v>
          </cell>
          <cell r="D2797">
            <v>185.09</v>
          </cell>
        </row>
        <row r="2798">
          <cell r="A2798">
            <v>39354</v>
          </cell>
          <cell r="B279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98" t="str">
            <v xml:space="preserve">UN    </v>
          </cell>
          <cell r="D2798">
            <v>184.47</v>
          </cell>
        </row>
        <row r="2799">
          <cell r="A2799">
            <v>39398</v>
          </cell>
          <cell r="B2799" t="str">
            <v>KIT DE ACESSORIOS PARA BANHEIRO EM METAL CROMADO, 5 PECAS</v>
          </cell>
          <cell r="C2799" t="str">
            <v xml:space="preserve">UN    </v>
          </cell>
          <cell r="D2799">
            <v>96.09</v>
          </cell>
        </row>
        <row r="2800">
          <cell r="A2800">
            <v>13343</v>
          </cell>
          <cell r="B2800" t="str">
            <v>KIT DE MATERIAIS PARA BRACADEIRA PARA FIXACAO EM POSTE CIRCULAR, CONTEM TRES FIXADORES E UM ROLO DE FITA DE 3 M EM ACO CARBONO</v>
          </cell>
          <cell r="C2800" t="str">
            <v xml:space="preserve">UN    </v>
          </cell>
          <cell r="D2800">
            <v>35.03</v>
          </cell>
        </row>
        <row r="2801">
          <cell r="A2801">
            <v>12118</v>
          </cell>
          <cell r="B2801" t="str">
            <v>KIT DE PROTECAO ARSTOP PARA AR CONDICIONADO, TOMADA PADRAO 2P+T 20 A, COM DISJUNTOR UNIPOLAR DIN 20A</v>
          </cell>
          <cell r="C2801" t="str">
            <v xml:space="preserve">UN    </v>
          </cell>
          <cell r="D2801">
            <v>17.21</v>
          </cell>
        </row>
        <row r="2802">
          <cell r="A2802">
            <v>39482</v>
          </cell>
          <cell r="B2802" t="str">
            <v>KIT PORTA PRONTA DE MADEIRA, FOLHA LEVE (NBR 15930) DE 60 X 210 CM, E = *35* MM, COM MARCO EM ACO, NUCLEO COLMEIA, CAPA LISA EM HDF, ACABAMENTO MELAMINICO BRANCO (INCLUI MARCO, ALIZARES, DOBRADICAS E FECHADURA)</v>
          </cell>
          <cell r="C2802" t="str">
            <v xml:space="preserve">UN    </v>
          </cell>
          <cell r="D2802">
            <v>444.02</v>
          </cell>
        </row>
        <row r="2803">
          <cell r="A2803">
            <v>39486</v>
          </cell>
          <cell r="B2803" t="str">
            <v>KIT PORTA PRONTA DE MADEIRA, FOLHA LEVE (NBR 15930) DE 60 X 210 CM, E = 35 MM, NUCLEO COLMEIA, ESTRUTURA USINADA PARA FECHADURA, CAPA LISA EM HDF, ACABAMENTO EM PRIMER PARA PINTURA (INCLUI MARCO, ALIZARES E DOBRADICAS)</v>
          </cell>
          <cell r="C2803" t="str">
            <v xml:space="preserve">UN    </v>
          </cell>
          <cell r="D2803">
            <v>391.2</v>
          </cell>
        </row>
        <row r="2804">
          <cell r="A2804">
            <v>39483</v>
          </cell>
          <cell r="B2804" t="str">
            <v>KIT PORTA PRONTA DE MADEIRA, FOLHA LEVE (NBR 15930) DE 70 X 210 CM, E = *35* MM, COM MARCO EM ACO, NUCLEO COLMEIA, CAPA LISA EM HDF, ACABAMENTO MELAMINICO BRANCO (INCLUI MARCO, ALIZARES, DOBRADICAS E FECHADURA)</v>
          </cell>
          <cell r="C2804" t="str">
            <v xml:space="preserve">UN    </v>
          </cell>
          <cell r="D2804">
            <v>423.49</v>
          </cell>
        </row>
        <row r="2805">
          <cell r="A2805">
            <v>39487</v>
          </cell>
          <cell r="B2805" t="str">
            <v>KIT PORTA PRONTA DE MADEIRA, FOLHA LEVE (NBR 15930) DE 70 X 210 CM, E = 35 MM, NUCLEO COLMEIA, ESTRUTURA USINADA PARA FECHADURA, CAPA LISA EM HDF, ACABAMENTO EM PRIMER PARA PINTURA (INCLUI MARCO, ALIZARES E DOBRADICAS)</v>
          </cell>
          <cell r="C2805" t="str">
            <v xml:space="preserve">UN    </v>
          </cell>
          <cell r="D2805">
            <v>395.24</v>
          </cell>
        </row>
        <row r="2806">
          <cell r="A2806">
            <v>39484</v>
          </cell>
          <cell r="B2806" t="str">
            <v>KIT PORTA PRONTA DE MADEIRA, FOLHA LEVE (NBR 15930) DE 80 X 210 CM, E = *35* MM, COM MARCO EM ACO, NUCLEO COLMEIA, CAPA LISA EM HDF, ACABAMENTO MELAMINICO BRANCO (INCLUI MARCO, ALIZARES, DOBRADICAS E FECHADURA)</v>
          </cell>
          <cell r="C2806" t="str">
            <v xml:space="preserve">UN    </v>
          </cell>
          <cell r="D2806">
            <v>427.53</v>
          </cell>
        </row>
        <row r="2807">
          <cell r="A2807">
            <v>39488</v>
          </cell>
          <cell r="B2807" t="str">
            <v>KIT PORTA PRONTA DE MADEIRA, FOLHA LEVE (NBR 15930) DE 80 X 210 CM, E = 35 MM, NUCLEO COLMEIA, ESTRUTURA USINADA PARA FECHADURA, CAPA LISA EM HDF, ACABAMENTO EM PRIMER PARA PINTURA (INCLUI MARCO, ALIZARES E DOBRADICAS)</v>
          </cell>
          <cell r="C2807" t="str">
            <v xml:space="preserve">UN    </v>
          </cell>
          <cell r="D2807">
            <v>399.27</v>
          </cell>
        </row>
        <row r="2808">
          <cell r="A2808">
            <v>39485</v>
          </cell>
          <cell r="B2808" t="str">
            <v>KIT PORTA PRONTA DE MADEIRA, FOLHA LEVE (NBR 15930) DE 90 X 210 CM, E = *35* MM, COM MARCO EM ACO, NUCLEO COLMEIA, CAPA LISA EM HDF, ACABAMENTO MELAMINICO BRANCO (INCLUI MARCO, ALIZARES, DOBRADICAS E FECHADURA)</v>
          </cell>
          <cell r="C2808" t="str">
            <v xml:space="preserve">UN    </v>
          </cell>
          <cell r="D2808">
            <v>447.74</v>
          </cell>
        </row>
        <row r="2809">
          <cell r="A2809">
            <v>39489</v>
          </cell>
          <cell r="B2809" t="str">
            <v>KIT PORTA PRONTA DE MADEIRA, FOLHA LEVE (NBR 15930) DE 90 X 210 CM, E = 35 MM, NUCLEO COLMEIA, ESTRUTURA USINADA PARA FECHADURA, CAPA LISA EM HDF, ACABAMENTO EM PRIMER PARA PINTURA (INCLUI MARCO, ALIZARES E DOBRADICAS)</v>
          </cell>
          <cell r="C2809" t="str">
            <v xml:space="preserve">UN    </v>
          </cell>
          <cell r="D2809">
            <v>419.48</v>
          </cell>
        </row>
        <row r="2810">
          <cell r="A2810">
            <v>39494</v>
          </cell>
          <cell r="B2810" t="str">
            <v>KIT PORTA PRONTA DE MADEIRA, FOLHA MEDIA (NBR 15930) DE 60 X 210 CM, E = 35 MM, NUCLEO SARRAFEADO, ESTRUTURA USINADA PARA FECHADURA, CAPA LISA EM HDF, ACABAMENTO EM PRIMER PARA PINTURA (INCLUI MARCO, ALIZARES E DOBRADICAS)</v>
          </cell>
          <cell r="C2810" t="str">
            <v xml:space="preserve">UN    </v>
          </cell>
          <cell r="D2810">
            <v>427.88</v>
          </cell>
        </row>
        <row r="2811">
          <cell r="A2811">
            <v>39490</v>
          </cell>
          <cell r="B2811" t="str">
            <v>KIT PORTA PRONTA DE MADEIRA, FOLHA MEDIA (NBR 15930) DE 60 X 210 CM, E = 35 MM, NUCLEO SARRAFEADO, ESTRUTURA USINADA PARA FECHADURA, CAPA LISA EM HDF, ACABAMENTO MELAMINICO BRANCO (INCLUI MARCO, ALIZARES E DOBRADICAS)</v>
          </cell>
          <cell r="C2811" t="str">
            <v xml:space="preserve">UN    </v>
          </cell>
          <cell r="D2811">
            <v>485.03</v>
          </cell>
        </row>
        <row r="2812">
          <cell r="A2812">
            <v>39495</v>
          </cell>
          <cell r="B2812" t="str">
            <v>KIT PORTA PRONTA DE MADEIRA, FOLHA MEDIA (NBR 15930) DE 70 X 210 CM, E = 35 MM, NUCLEO SARRAFEADO, ESTRUTURA USINADA PARA FECHADURA, CAPA LISA EM HDF, ACABAMENTO EM PRIMER PARA PINTURA (INCLUI MARCO, ALIZARES E DOBRADICAS)</v>
          </cell>
          <cell r="C2812" t="str">
            <v xml:space="preserve">UN    </v>
          </cell>
          <cell r="D2812">
            <v>444.02</v>
          </cell>
        </row>
        <row r="2813">
          <cell r="A2813">
            <v>39491</v>
          </cell>
          <cell r="B2813" t="str">
            <v>KIT PORTA PRONTA DE MADEIRA, FOLHA MEDIA (NBR 15930) DE 70 X 210 CM, E = 35 MM, NUCLEO SARRAFEADO, ESTRUTURA USINADA PARA FECHADURA, CAPA LISA EM HDF, ACABAMENTO MELAMINICO BRANCO (INCLUI MARCO, ALIZARES E DOBRADICAS)</v>
          </cell>
          <cell r="C2813" t="str">
            <v xml:space="preserve">UN    </v>
          </cell>
          <cell r="D2813">
            <v>500.53</v>
          </cell>
        </row>
        <row r="2814">
          <cell r="A2814">
            <v>39496</v>
          </cell>
          <cell r="B2814" t="str">
            <v>KIT PORTA PRONTA DE MADEIRA, FOLHA MEDIA (NBR 15930) DE 80 X 210 CM, E = 35 MM, NUCLEO SARRAFEADO, ESTRUTURA USINADA PARA FECHADURA, CAPA LISA EM HDF, ACABAMENTO EM PRIMER PARA PINTURA (INCLUI MARCO, ALIZARES E DOBRADICAS)</v>
          </cell>
          <cell r="C2814" t="str">
            <v xml:space="preserve">UN    </v>
          </cell>
          <cell r="D2814">
            <v>460.01</v>
          </cell>
        </row>
        <row r="2815">
          <cell r="A2815">
            <v>39492</v>
          </cell>
          <cell r="B2815" t="str">
            <v>KIT PORTA PRONTA DE MADEIRA, FOLHA MEDIA (NBR 15930) DE 80 X 210 CM, E = 35 MM, NUCLEO SARRAFEADO, ESTRUTURA USINADA PARA FECHADURA, CAPA LISA EM HDF, ACABAMENTO MELAMINICO BRANCO (INCLUI MARCO, ALIZARES E DOBRADICAS)</v>
          </cell>
          <cell r="C2815" t="str">
            <v xml:space="preserve">UN    </v>
          </cell>
          <cell r="D2815">
            <v>503.6</v>
          </cell>
        </row>
        <row r="2816">
          <cell r="A2816">
            <v>39497</v>
          </cell>
          <cell r="B2816" t="str">
            <v>KIT PORTA PRONTA DE MADEIRA, FOLHA MEDIA (NBR 15930) DE 90 X 210 CM, E = 35 MM, NUCLEO SARRAFEADO, ESTRUTURA USINADA PARA FECHADURA, CAPA LISA EM HDF, ACABAMENTO EM PRIMER PARA PINTURA (INCLUI MARCO, ALIZARES E DOBRADICAS)</v>
          </cell>
          <cell r="C2816" t="str">
            <v xml:space="preserve">UN    </v>
          </cell>
          <cell r="D2816">
            <v>476.15</v>
          </cell>
        </row>
        <row r="2817">
          <cell r="A2817">
            <v>39493</v>
          </cell>
          <cell r="B2817" t="str">
            <v>KIT PORTA PRONTA DE MADEIRA, FOLHA MEDIA (NBR 15930) DE 90 X 210 CM, E = 35 MM, NUCLEO SARRAFEADO, ESTRUTURA USINADA PARA FECHADURA, CAPA LISA EM HDF, ACABAMENTO MELAMINICO BRANCO (INCLUI MARCO, ALIZARES E DOBRADICAS)</v>
          </cell>
          <cell r="C2817" t="str">
            <v xml:space="preserve">UN    </v>
          </cell>
          <cell r="D2817">
            <v>532.83000000000004</v>
          </cell>
        </row>
        <row r="2818">
          <cell r="A2818">
            <v>39500</v>
          </cell>
          <cell r="B2818" t="str">
            <v>KIT PORTA PRONTA DE MADEIRA, FOLHA PESADA (NBR 15930) DE 80 X 210 CM, E = 35 MM, NUCLEO SOLIDO, CAPA LISA EM HDF, ACABAMENTO MELAMINICO BRANCO (INCLUI MARCO, ALIZARES, DOBRADICAS E FECHADURA EXTERNA)</v>
          </cell>
          <cell r="C2818" t="str">
            <v xml:space="preserve">UN    </v>
          </cell>
          <cell r="D2818">
            <v>534.57000000000005</v>
          </cell>
        </row>
        <row r="2819">
          <cell r="A2819">
            <v>39498</v>
          </cell>
          <cell r="B2819" t="str">
            <v>KIT PORTA PRONTA DE MADEIRA, FOLHA PESADA (NBR 15930) DE 80 X 210 CM, E = 35 MM, NUCLEO SOLIDO, ESTRUTURA USINADA PARA FECHADURA, CAPA LISA EM HDF, ACABAMENTO EM LAMINADO NATURAL COM VERNIZ (INCLUI MARCO, ALIZARES E DOBRADICAS)</v>
          </cell>
          <cell r="C2819" t="str">
            <v xml:space="preserve">UN    </v>
          </cell>
          <cell r="D2819">
            <v>594.42999999999995</v>
          </cell>
        </row>
        <row r="2820">
          <cell r="A2820">
            <v>39501</v>
          </cell>
          <cell r="B2820" t="str">
            <v>KIT PORTA PRONTA DE MADEIRA, FOLHA PESADA (NBR 15930) DE 90 X 210 CM, E = 35 MM, NUCLEO SOLIDO, CAPA LISA EM HDF, ACABAMENTO MELAMINICO BRANCO (INCLUI MARCO, ALIZARES, DOBRADICAS E FECHADURA EXTERNA)</v>
          </cell>
          <cell r="C2820" t="str">
            <v xml:space="preserve">UN    </v>
          </cell>
          <cell r="D2820">
            <v>548.49</v>
          </cell>
        </row>
        <row r="2821">
          <cell r="A2821">
            <v>39499</v>
          </cell>
          <cell r="B2821" t="str">
            <v>KIT PORTA PRONTA DE MADEIRA, FOLHA PESADA (NBR 15930) DE 90 X 210 CM, E = 35 MM, NUCLEO SOLIDO, ESTRUTURA USINADA PARA FECHADURA, CAPA LISA EM HDF, ACABAMENTO EM LAMINADO NATURAL COM VERNIZ (INCLUI MARCO, ALIZARES E DOBRADICAS)</v>
          </cell>
          <cell r="C2821" t="str">
            <v xml:space="preserve">UN    </v>
          </cell>
          <cell r="D2821">
            <v>644.84</v>
          </cell>
        </row>
        <row r="2822">
          <cell r="A2822">
            <v>3733</v>
          </cell>
          <cell r="B2822" t="str">
            <v>LADRILHO HIDRAULICO, *20 x 20* CM, E= 2 CM, PADRAO COPACABANA, 2 CORES (PRETO E BRANCO)</v>
          </cell>
          <cell r="C2822" t="str">
            <v xml:space="preserve">M2    </v>
          </cell>
          <cell r="D2822">
            <v>49.82</v>
          </cell>
        </row>
        <row r="2823">
          <cell r="A2823">
            <v>3731</v>
          </cell>
          <cell r="B2823" t="str">
            <v>LADRILHO HIDRAULICO, *20 X 20* CM, E= 2 CM, DADOS, COR NATURAL</v>
          </cell>
          <cell r="C2823" t="str">
            <v xml:space="preserve">M2    </v>
          </cell>
          <cell r="D2823">
            <v>46.25</v>
          </cell>
        </row>
        <row r="2824">
          <cell r="A2824">
            <v>38137</v>
          </cell>
          <cell r="B2824" t="str">
            <v>LADRILHO HIDRAULICO, *20 X 20* CM, E= 2 CM, RAMPA, NATURAL</v>
          </cell>
          <cell r="C2824" t="str">
            <v xml:space="preserve">M2    </v>
          </cell>
          <cell r="D2824">
            <v>46.52</v>
          </cell>
        </row>
        <row r="2825">
          <cell r="A2825">
            <v>38135</v>
          </cell>
          <cell r="B2825" t="str">
            <v>LADRILHO HIDRAULICO, *20 X 20* CM, E= 2 CM, TATIL ALERTA OU DIRECIONAL, AMARELO</v>
          </cell>
          <cell r="C2825" t="str">
            <v xml:space="preserve">M2    </v>
          </cell>
          <cell r="D2825">
            <v>58.97</v>
          </cell>
        </row>
        <row r="2826">
          <cell r="A2826">
            <v>38138</v>
          </cell>
          <cell r="B2826" t="str">
            <v>LADRILHO HIDRAULICO, *30 X 30* CM, E= 2 CM, MILANO, NATURAL</v>
          </cell>
          <cell r="C2826" t="str">
            <v xml:space="preserve">M2    </v>
          </cell>
          <cell r="D2826">
            <v>45.68</v>
          </cell>
        </row>
        <row r="2827">
          <cell r="A2827">
            <v>3736</v>
          </cell>
          <cell r="B2827" t="str">
            <v>LAJE PRE-MOLDADA CONVENCIONAL (LAJOTAS + VIGOTAS) PARA FORRO, UNIDIRECIONAL, SOBRECARGA DE 100 KG/M2, VAO ATE 4,00 M (SEM COLOCACAO)</v>
          </cell>
          <cell r="C2827" t="str">
            <v xml:space="preserve">M2    </v>
          </cell>
          <cell r="D2827">
            <v>44.5</v>
          </cell>
        </row>
        <row r="2828">
          <cell r="A2828">
            <v>3741</v>
          </cell>
          <cell r="B2828" t="str">
            <v>LAJE PRE-MOLDADA CONVENCIONAL (LAJOTAS + VIGOTAS) PARA FORRO, UNIDIRECIONAL, SOBRECARGA DE 100 KG/M2, VAO ATE 4,50 M (SEM COLOCACAO)</v>
          </cell>
          <cell r="C2828" t="str">
            <v xml:space="preserve">M2    </v>
          </cell>
          <cell r="D2828">
            <v>46.38</v>
          </cell>
        </row>
        <row r="2829">
          <cell r="A2829">
            <v>3745</v>
          </cell>
          <cell r="B2829" t="str">
            <v>LAJE PRE-MOLDADA CONVENCIONAL (LAJOTAS + VIGOTAS) PARA FORRO, UNIDIRECIONAL, SOBRECARGA 100 KG/M2, VAO ATE 5,00 M (SEM COLOCACAO)</v>
          </cell>
          <cell r="C2829" t="str">
            <v xml:space="preserve">M2    </v>
          </cell>
          <cell r="D2829">
            <v>50.01</v>
          </cell>
        </row>
        <row r="2830">
          <cell r="A2830">
            <v>3743</v>
          </cell>
          <cell r="B2830" t="str">
            <v>LAJE PRE-MOLDADA CONVENCIONAL (LAJOTAS + VIGOTAS) PARA PISO, UNIDIRECIONAL, SOBRECARGA DE 200 KG/M2, VAO ATE 3,50 M (SEM COLOCACAO)</v>
          </cell>
          <cell r="C2830" t="str">
            <v xml:space="preserve">M2    </v>
          </cell>
          <cell r="D2830">
            <v>46.22</v>
          </cell>
        </row>
        <row r="2831">
          <cell r="A2831">
            <v>3744</v>
          </cell>
          <cell r="B2831" t="str">
            <v>LAJE PRE-MOLDADA CONVENCIONAL (LAJOTAS + VIGOTAS) PARA PISO, UNIDIRECIONAL, SOBRECARGA DE 200 KG/M2, VAO ATE 4,50 M (SEM COLOCACAO)</v>
          </cell>
          <cell r="C2831" t="str">
            <v xml:space="preserve">M2    </v>
          </cell>
          <cell r="D2831">
            <v>50.88</v>
          </cell>
        </row>
        <row r="2832">
          <cell r="A2832">
            <v>3739</v>
          </cell>
          <cell r="B2832" t="str">
            <v>LAJE PRE-MOLDADA CONVENCIONAL (LAJOTAS + VIGOTAS) PARA PISO, UNIDIRECIONAL, SOBRECARGA DE 200 KG/M2, VAO ATE 5,00 M (SEM COLOCACAO)</v>
          </cell>
          <cell r="C2832" t="str">
            <v xml:space="preserve">M2    </v>
          </cell>
          <cell r="D2832">
            <v>53.46</v>
          </cell>
        </row>
        <row r="2833">
          <cell r="A2833">
            <v>3737</v>
          </cell>
          <cell r="B2833" t="str">
            <v>LAJE PRE-MOLDADA CONVENCIONAL (LAJOTAS + VIGOTAS) PARA PISO, UNIDIRECIONAL, SOBRECARGA DE 350 KG/M2, VAO ATE 4,50 M (SEM COLOCACAO)</v>
          </cell>
          <cell r="C2833" t="str">
            <v xml:space="preserve">M2    </v>
          </cell>
          <cell r="D2833">
            <v>56.05</v>
          </cell>
        </row>
        <row r="2834">
          <cell r="A2834">
            <v>3738</v>
          </cell>
          <cell r="B2834" t="str">
            <v>LAJE PRE-MOLDADA CONVENCIONAL (LAJOTAS + VIGOTAS) PARA PISO, UNIDIRECIONAL, SOBRECARGA DE 350 KG/M2, VAO ATE 5,00 M (SEM COLOCACAO)</v>
          </cell>
          <cell r="C2834" t="str">
            <v xml:space="preserve">M2    </v>
          </cell>
          <cell r="D2834">
            <v>64.680000000000007</v>
          </cell>
        </row>
        <row r="2835">
          <cell r="A2835">
            <v>3747</v>
          </cell>
          <cell r="B2835" t="str">
            <v>LAJE PRE-MOLDADA CONVENCIONAL (LAJOTAS + VIGOTAS) PARA PISO, UNIDIRECIONAL, SOBRECARGA 350 KG/M2 VAO ATE 3,50 M (SEM COLOCACAO)</v>
          </cell>
          <cell r="C2835" t="str">
            <v xml:space="preserve">M2    </v>
          </cell>
          <cell r="D2835">
            <v>50.88</v>
          </cell>
        </row>
        <row r="2836">
          <cell r="A2836">
            <v>11649</v>
          </cell>
          <cell r="B2836" t="str">
            <v>LAJE PRE-MOLDADA DE TRANSICAO EXCENTRICA EM CONCRETO ARMADO, DN 1200 MM, FURO CIRCULAR DN 600 MM, ESPESSURA 12 CM</v>
          </cell>
          <cell r="C2836" t="str">
            <v xml:space="preserve">UN    </v>
          </cell>
          <cell r="D2836">
            <v>369.1</v>
          </cell>
        </row>
        <row r="2837">
          <cell r="A2837">
            <v>11650</v>
          </cell>
          <cell r="B2837" t="str">
            <v>LAJE PRE-MOLDADA DE TRANSICAO EXCENTRICA EM CONCRETO ARMADO, DN 1500 MM, FURO CIRCULAR DN 530 MM, ESPESSURA 15 CM</v>
          </cell>
          <cell r="C2837" t="str">
            <v xml:space="preserve">UN    </v>
          </cell>
          <cell r="D2837">
            <v>629.12</v>
          </cell>
        </row>
        <row r="2838">
          <cell r="A2838">
            <v>3742</v>
          </cell>
          <cell r="B2838" t="str">
            <v>LAJE PRE-MOLDADA TRELICADA (LAJOTAS + VIGOTAS) PARA FORRO, UNIDIRECIONAL, SOBRECARGA DE 100 KG/M2, VAO ATE 6,00 M (SEM COLOCACAO)</v>
          </cell>
          <cell r="C2838" t="str">
            <v xml:space="preserve">M2    </v>
          </cell>
          <cell r="D2838">
            <v>67.09</v>
          </cell>
        </row>
        <row r="2839">
          <cell r="A2839">
            <v>3746</v>
          </cell>
          <cell r="B2839" t="str">
            <v>LAJE PRE-MOLDADA TRELICADA (LAJOTAS + VIGOTAS) PARA PISO, UNIDIRECIONAL, SOBRECARGA DE 200 KG/M2, VAO ATE 6,00 M (SEM COLOCACAO)</v>
          </cell>
          <cell r="C2839" t="str">
            <v xml:space="preserve">M2    </v>
          </cell>
          <cell r="D2839">
            <v>78.34</v>
          </cell>
        </row>
        <row r="2840">
          <cell r="A2840">
            <v>21106</v>
          </cell>
          <cell r="B2840" t="str">
            <v>LAMBRIS DE ALUMINIO *0,6* KG/M</v>
          </cell>
          <cell r="C2840" t="str">
            <v xml:space="preserve">KG    </v>
          </cell>
          <cell r="D2840">
            <v>30.34</v>
          </cell>
        </row>
        <row r="2841">
          <cell r="A2841">
            <v>3755</v>
          </cell>
          <cell r="B2841" t="str">
            <v>LAMPADA DE LUZ MISTA 160 W, BASE E27 (220 V)</v>
          </cell>
          <cell r="C2841" t="str">
            <v xml:space="preserve">UN    </v>
          </cell>
          <cell r="D2841">
            <v>14.16</v>
          </cell>
        </row>
        <row r="2842">
          <cell r="A2842">
            <v>3750</v>
          </cell>
          <cell r="B2842" t="str">
            <v>LAMPADA DE LUZ MISTA 250 W, BASE E27 (220 V)</v>
          </cell>
          <cell r="C2842" t="str">
            <v xml:space="preserve">UN    </v>
          </cell>
          <cell r="D2842">
            <v>19.05</v>
          </cell>
        </row>
        <row r="2843">
          <cell r="A2843">
            <v>3756</v>
          </cell>
          <cell r="B2843" t="str">
            <v>LAMPADA DE LUZ MISTA 500 W, BASE E40 (220 V)</v>
          </cell>
          <cell r="C2843" t="str">
            <v xml:space="preserve">UN    </v>
          </cell>
          <cell r="D2843">
            <v>35.590000000000003</v>
          </cell>
        </row>
        <row r="2844">
          <cell r="A2844">
            <v>39377</v>
          </cell>
          <cell r="B2844" t="str">
            <v>LAMPADA FLUORESCENTE COMPACTA BRANCA 135 W, BASE E40 (127/220 V)</v>
          </cell>
          <cell r="C2844" t="str">
            <v xml:space="preserve">UN    </v>
          </cell>
          <cell r="D2844">
            <v>105.45</v>
          </cell>
        </row>
        <row r="2845">
          <cell r="A2845">
            <v>38191</v>
          </cell>
          <cell r="B2845" t="str">
            <v>LAMPADA FLUORESCENTE COMPACTA 2U BRANCA 15 W, BASE E27 (127/220 V)</v>
          </cell>
          <cell r="C2845" t="str">
            <v xml:space="preserve">UN    </v>
          </cell>
          <cell r="D2845">
            <v>7.85</v>
          </cell>
        </row>
        <row r="2846">
          <cell r="A2846">
            <v>39381</v>
          </cell>
          <cell r="B2846" t="str">
            <v>LAMPADA FLUORESCENTE COMPACTA 2U/3U BRANCA 9/10 W, BASE E27 (127/220 V)</v>
          </cell>
          <cell r="C2846" t="str">
            <v xml:space="preserve">UN    </v>
          </cell>
          <cell r="D2846">
            <v>7.32</v>
          </cell>
        </row>
        <row r="2847">
          <cell r="A2847">
            <v>38780</v>
          </cell>
          <cell r="B2847" t="str">
            <v>LAMPADA FLUORESCENTE COMPACTA 3U BRANCA 20 W, BASE E27 (127/220 V)</v>
          </cell>
          <cell r="C2847" t="str">
            <v xml:space="preserve">UN    </v>
          </cell>
          <cell r="D2847">
            <v>8.9600000000000009</v>
          </cell>
        </row>
        <row r="2848">
          <cell r="A2848">
            <v>38781</v>
          </cell>
          <cell r="B2848" t="str">
            <v>LAMPADA FLUORESCENTE ESPIRAL BRANCA 45 W, BASE E27 (127/220 V)</v>
          </cell>
          <cell r="C2848" t="str">
            <v xml:space="preserve">UN    </v>
          </cell>
          <cell r="D2848">
            <v>30.24</v>
          </cell>
        </row>
        <row r="2849">
          <cell r="A2849">
            <v>38192</v>
          </cell>
          <cell r="B2849" t="str">
            <v>LAMPADA FLUORESCENTE ESPIRAL BRANCA 65 W, BASE E27 (127/220 V)</v>
          </cell>
          <cell r="C2849" t="str">
            <v xml:space="preserve">UN    </v>
          </cell>
          <cell r="D2849">
            <v>54.72</v>
          </cell>
        </row>
        <row r="2850">
          <cell r="A2850">
            <v>3753</v>
          </cell>
          <cell r="B2850" t="str">
            <v>LAMPADA FLUORESCENTE TUBULAR T10, DE 20 OU 40 W, BIVOLT</v>
          </cell>
          <cell r="C2850" t="str">
            <v xml:space="preserve">UN    </v>
          </cell>
          <cell r="D2850">
            <v>4.79</v>
          </cell>
        </row>
        <row r="2851">
          <cell r="A2851">
            <v>38782</v>
          </cell>
          <cell r="B2851" t="str">
            <v>LAMPADA FLUORESCENTE TUBULAR T5 DE 14 W, BIVOLT</v>
          </cell>
          <cell r="C2851" t="str">
            <v xml:space="preserve">UN    </v>
          </cell>
          <cell r="D2851">
            <v>6.23</v>
          </cell>
        </row>
        <row r="2852">
          <cell r="A2852">
            <v>38778</v>
          </cell>
          <cell r="B2852" t="str">
            <v>LAMPADA FLUORESCENTE TUBULAR T8 DE 16/18 W, BIVOLT</v>
          </cell>
          <cell r="C2852" t="str">
            <v xml:space="preserve">UN    </v>
          </cell>
          <cell r="D2852">
            <v>4.68</v>
          </cell>
        </row>
        <row r="2853">
          <cell r="A2853">
            <v>38779</v>
          </cell>
          <cell r="B2853" t="str">
            <v>LAMPADA FLUORESCENTE TUBULAR T8 DE 32/36 W, BIVOLT</v>
          </cell>
          <cell r="C2853" t="str">
            <v xml:space="preserve">UN    </v>
          </cell>
          <cell r="D2853">
            <v>4.96</v>
          </cell>
        </row>
        <row r="2854">
          <cell r="A2854">
            <v>39388</v>
          </cell>
          <cell r="B2854" t="str">
            <v>LAMPADA LED TIPO DICROICA BIVOLT, LUZ BRANCA, 5 W (BASE GU10)</v>
          </cell>
          <cell r="C2854" t="str">
            <v xml:space="preserve">UN    </v>
          </cell>
          <cell r="D2854">
            <v>24.17</v>
          </cell>
        </row>
        <row r="2855">
          <cell r="A2855">
            <v>39387</v>
          </cell>
          <cell r="B2855" t="str">
            <v>LAMPADA LED TUBULAR BIVOLT 18/20 W, BASE G13</v>
          </cell>
          <cell r="C2855" t="str">
            <v xml:space="preserve">UN    </v>
          </cell>
          <cell r="D2855">
            <v>40.78</v>
          </cell>
        </row>
        <row r="2856">
          <cell r="A2856">
            <v>39386</v>
          </cell>
          <cell r="B2856" t="str">
            <v>LAMPADA LED TUBULAR BIVOLT 9/10 W, BASE G13</v>
          </cell>
          <cell r="C2856" t="str">
            <v xml:space="preserve">UN    </v>
          </cell>
          <cell r="D2856">
            <v>26.97</v>
          </cell>
        </row>
        <row r="2857">
          <cell r="A2857">
            <v>38194</v>
          </cell>
          <cell r="B2857" t="str">
            <v>LAMPADA LED 10 W BIVOLT BRANCA, FORMATO TRADICIONAL (BASE E27)</v>
          </cell>
          <cell r="C2857" t="str">
            <v xml:space="preserve">UN    </v>
          </cell>
          <cell r="D2857">
            <v>22.99</v>
          </cell>
        </row>
        <row r="2858">
          <cell r="A2858">
            <v>38193</v>
          </cell>
          <cell r="B2858" t="str">
            <v>LAMPADA LED 6 W BIVOLT BRANCA, FORMATO TRADICIONAL (BASE E27)</v>
          </cell>
          <cell r="C2858" t="str">
            <v xml:space="preserve">UN    </v>
          </cell>
          <cell r="D2858">
            <v>17</v>
          </cell>
        </row>
        <row r="2859">
          <cell r="A2859">
            <v>12216</v>
          </cell>
          <cell r="B2859" t="str">
            <v>LAMPADA VAPOR DE SODIO OVOIDE 150 W (BASE E40)</v>
          </cell>
          <cell r="C2859" t="str">
            <v xml:space="preserve">UN    </v>
          </cell>
          <cell r="D2859">
            <v>27.37</v>
          </cell>
        </row>
        <row r="2860">
          <cell r="A2860">
            <v>3757</v>
          </cell>
          <cell r="B2860" t="str">
            <v>LAMPADA VAPOR DE SODIO OVOIDE 250 W (BASE E40)</v>
          </cell>
          <cell r="C2860" t="str">
            <v xml:space="preserve">UN    </v>
          </cell>
          <cell r="D2860">
            <v>31.64</v>
          </cell>
        </row>
        <row r="2861">
          <cell r="A2861">
            <v>3758</v>
          </cell>
          <cell r="B2861" t="str">
            <v>LAMPADA VAPOR DE SODIO OVOIDE 400 W (BASE E40)</v>
          </cell>
          <cell r="C2861" t="str">
            <v xml:space="preserve">UN    </v>
          </cell>
          <cell r="D2861">
            <v>36.9</v>
          </cell>
        </row>
        <row r="2862">
          <cell r="A2862">
            <v>12214</v>
          </cell>
          <cell r="B2862" t="str">
            <v>LAMPADA VAPOR MERCURIO 125 W (BASE E27)</v>
          </cell>
          <cell r="C2862" t="str">
            <v xml:space="preserve">UN    </v>
          </cell>
          <cell r="D2862">
            <v>12.63</v>
          </cell>
        </row>
        <row r="2863">
          <cell r="A2863">
            <v>3749</v>
          </cell>
          <cell r="B2863" t="str">
            <v>LAMPADA VAPOR MERCURIO 250 W (BASE E40)</v>
          </cell>
          <cell r="C2863" t="str">
            <v xml:space="preserve">UN    </v>
          </cell>
          <cell r="D2863">
            <v>22.52</v>
          </cell>
        </row>
        <row r="2864">
          <cell r="A2864">
            <v>3751</v>
          </cell>
          <cell r="B2864" t="str">
            <v>LAMPADA VAPOR MERCURIO 400 W (BASE E40)</v>
          </cell>
          <cell r="C2864" t="str">
            <v xml:space="preserve">UN    </v>
          </cell>
          <cell r="D2864">
            <v>30.73</v>
          </cell>
        </row>
        <row r="2865">
          <cell r="A2865">
            <v>39376</v>
          </cell>
          <cell r="B2865" t="str">
            <v>LAMPADA VAPOR METALICO OVOIDE 150 W, BASE E27/E40</v>
          </cell>
          <cell r="C2865" t="str">
            <v xml:space="preserve">UN    </v>
          </cell>
          <cell r="D2865">
            <v>25.91</v>
          </cell>
        </row>
        <row r="2866">
          <cell r="A2866">
            <v>3752</v>
          </cell>
          <cell r="B2866" t="str">
            <v>LAMPADA VAPOR METALICO TUBULAR 400 W (BASE E40)</v>
          </cell>
          <cell r="C2866" t="str">
            <v xml:space="preserve">UN    </v>
          </cell>
          <cell r="D2866">
            <v>50.7</v>
          </cell>
        </row>
        <row r="2867">
          <cell r="A2867">
            <v>746</v>
          </cell>
          <cell r="B2867" t="str">
            <v>LAVADORA DE ALTA PRESSAO (LAVA-JATO) PARA AGUA FRIA, PRESSAO DE OPERACAO ENTRE 1400 E 1900 LIB/POL2, VAZAO MAXIMA ENTRE  400 E 700 L/H</v>
          </cell>
          <cell r="C2867" t="str">
            <v xml:space="preserve">UN    </v>
          </cell>
          <cell r="D2867">
            <v>4220.8100000000004</v>
          </cell>
        </row>
        <row r="2868">
          <cell r="A2868">
            <v>36521</v>
          </cell>
          <cell r="B2868" t="str">
            <v>LAVATORIO DE CANTO LOUCA BRANCA SUSPENSO *40 X 30* CM</v>
          </cell>
          <cell r="C2868" t="str">
            <v xml:space="preserve">UN    </v>
          </cell>
          <cell r="D2868">
            <v>109.86</v>
          </cell>
        </row>
        <row r="2869">
          <cell r="A2869">
            <v>36794</v>
          </cell>
          <cell r="B2869" t="str">
            <v>LAVATORIO LOUCA BRANCA COM COLUNA *44 X 35,5* CM</v>
          </cell>
          <cell r="C2869" t="str">
            <v xml:space="preserve">UN    </v>
          </cell>
          <cell r="D2869">
            <v>111.99</v>
          </cell>
        </row>
        <row r="2870">
          <cell r="A2870">
            <v>10426</v>
          </cell>
          <cell r="B2870" t="str">
            <v>LAVATORIO LOUCA BRANCA COM COLUNA *54 X 44* CM</v>
          </cell>
          <cell r="C2870" t="str">
            <v xml:space="preserve">UN    </v>
          </cell>
          <cell r="D2870">
            <v>161.30000000000001</v>
          </cell>
        </row>
        <row r="2871">
          <cell r="A2871">
            <v>10425</v>
          </cell>
          <cell r="B2871" t="str">
            <v>LAVATORIO LOUCA BRANCA SUSPENSO *40 X 30* CM</v>
          </cell>
          <cell r="C2871" t="str">
            <v xml:space="preserve">UN    </v>
          </cell>
          <cell r="D2871">
            <v>71.13</v>
          </cell>
        </row>
        <row r="2872">
          <cell r="A2872">
            <v>10431</v>
          </cell>
          <cell r="B2872" t="str">
            <v>LAVATORIO LOUCA COR COM COLUNA *54 X 44* CM</v>
          </cell>
          <cell r="C2872" t="str">
            <v xml:space="preserve">UN    </v>
          </cell>
          <cell r="D2872">
            <v>176.96</v>
          </cell>
        </row>
        <row r="2873">
          <cell r="A2873">
            <v>10429</v>
          </cell>
          <cell r="B2873" t="str">
            <v>LAVATORIO LOUCA COR SUSPENSO *40 X 30* CM</v>
          </cell>
          <cell r="C2873" t="str">
            <v xml:space="preserve">UN    </v>
          </cell>
          <cell r="D2873">
            <v>84.83</v>
          </cell>
        </row>
        <row r="2874">
          <cell r="A2874">
            <v>20269</v>
          </cell>
          <cell r="B2874" t="str">
            <v>LAVATORIO/CUBA DE EMBUTIR OVAL LOUCA BRANCA SEM LADRAO *50 X 35* CM</v>
          </cell>
          <cell r="C2874" t="str">
            <v xml:space="preserve">UN    </v>
          </cell>
          <cell r="D2874">
            <v>69.92</v>
          </cell>
        </row>
        <row r="2875">
          <cell r="A2875">
            <v>20270</v>
          </cell>
          <cell r="B2875" t="str">
            <v>LAVATORIO/CUBA DE EMBUTIR OVAL LOUCA COR SEM LADRAO *50 X 35* CM</v>
          </cell>
          <cell r="C2875" t="str">
            <v xml:space="preserve">UN    </v>
          </cell>
          <cell r="D2875">
            <v>76.14</v>
          </cell>
        </row>
        <row r="2876">
          <cell r="A2876">
            <v>11696</v>
          </cell>
          <cell r="B2876" t="str">
            <v>LAVATORIO/CUBA DE SOBREPOR OVAL PEQUENA LOUCA BRANCA SEM LADRAO *31 X 44*</v>
          </cell>
          <cell r="C2876" t="str">
            <v xml:space="preserve">UN    </v>
          </cell>
          <cell r="D2876">
            <v>111.23</v>
          </cell>
        </row>
        <row r="2877">
          <cell r="A2877">
            <v>10427</v>
          </cell>
          <cell r="B2877" t="str">
            <v>LAVATORIO/CUBA DE SOBREPOR RETANGULAR LOUCA BRANCA COM LADRAO *52 X 45* CM</v>
          </cell>
          <cell r="C2877" t="str">
            <v xml:space="preserve">UN    </v>
          </cell>
          <cell r="D2877">
            <v>199.44</v>
          </cell>
        </row>
        <row r="2878">
          <cell r="A2878">
            <v>10428</v>
          </cell>
          <cell r="B2878" t="str">
            <v>LAVATORIO/CUBA DE SOBREPOR RETANGULAR LOUCA COR COM LADRAO *52 X 45* CM</v>
          </cell>
          <cell r="C2878" t="str">
            <v xml:space="preserve">UN    </v>
          </cell>
          <cell r="D2878">
            <v>202.42</v>
          </cell>
        </row>
        <row r="2879">
          <cell r="A2879">
            <v>2354</v>
          </cell>
          <cell r="B2879" t="str">
            <v>LEITURISTA OU CADASTRISTA DE REDES DE AGUA E ESGOTO</v>
          </cell>
          <cell r="C2879" t="str">
            <v xml:space="preserve">H     </v>
          </cell>
          <cell r="D2879">
            <v>9.92</v>
          </cell>
        </row>
        <row r="2880">
          <cell r="A2880">
            <v>40932</v>
          </cell>
          <cell r="B2880" t="str">
            <v>LEITURISTA OU CADASTRISTA DE REDES DE AGUA E ESGOTO (MENSALISTA)</v>
          </cell>
          <cell r="C2880" t="str">
            <v xml:space="preserve">MES   </v>
          </cell>
          <cell r="D2880">
            <v>1757.38</v>
          </cell>
        </row>
        <row r="2881">
          <cell r="A2881">
            <v>10853</v>
          </cell>
          <cell r="B2881" t="str">
            <v>LETRA ACO INOX (AISI 304), CHAPA NUM. 22, RECORTADO, H= 20 CM (SEM RELEVO)</v>
          </cell>
          <cell r="C2881" t="str">
            <v xml:space="preserve">UN    </v>
          </cell>
          <cell r="D2881">
            <v>71.16</v>
          </cell>
        </row>
        <row r="2882">
          <cell r="A2882">
            <v>5093</v>
          </cell>
          <cell r="B2882" t="str">
            <v>LEVANTADOR DE JANELA GUILHOTINA, EM LATAO CROMADO</v>
          </cell>
          <cell r="C2882" t="str">
            <v xml:space="preserve">PAR   </v>
          </cell>
          <cell r="D2882">
            <v>14.1</v>
          </cell>
        </row>
        <row r="2883">
          <cell r="A2883">
            <v>37768</v>
          </cell>
          <cell r="B2883" t="str">
            <v>LIMPADORA A SUCCAO, TANQUE 12000 L, BASCULAMENTO HIDRAULICO, BOMBA 12 M3/MIN 95% VACUO (INCLUI MONTAGEM, NAO INCLUI CAMINHAO)</v>
          </cell>
          <cell r="C2883" t="str">
            <v xml:space="preserve">UN    </v>
          </cell>
          <cell r="D2883">
            <v>98500</v>
          </cell>
        </row>
        <row r="2884">
          <cell r="A2884">
            <v>37773</v>
          </cell>
          <cell r="B2884" t="str">
            <v>LIMPADORA DE SUCCAO TANQUE 7000 L, BOMBA 12 M3/MIN 95% VACUO (INCLUI MONTAGEM, NAO INCLUI CAMINHAO)</v>
          </cell>
          <cell r="C2884" t="str">
            <v xml:space="preserve">UN    </v>
          </cell>
          <cell r="D2884">
            <v>83643.100000000006</v>
          </cell>
        </row>
        <row r="2885">
          <cell r="A2885">
            <v>37769</v>
          </cell>
          <cell r="B2885" t="str">
            <v>LIMPADORA DE SUCCAO, TANQUE 11000 L, BOMBA 340 M3/MIN (INCLUI MONTAGEM, NAO INCLUI CAMINHAO)</v>
          </cell>
          <cell r="C2885" t="str">
            <v xml:space="preserve">UN    </v>
          </cell>
          <cell r="D2885">
            <v>140029.09</v>
          </cell>
        </row>
        <row r="2886">
          <cell r="A2886">
            <v>37770</v>
          </cell>
          <cell r="B2886" t="str">
            <v>LIMPADORA DE SUCCAO, TANQUE 5500 L, BOMBA 60M3/MIN, VACUO 500 MBAR (INCLUI MONTAGEM, NAO INCLUI CAMINHAO)</v>
          </cell>
          <cell r="C2886" t="str">
            <v xml:space="preserve">UN    </v>
          </cell>
          <cell r="D2886">
            <v>237651.71</v>
          </cell>
        </row>
        <row r="2887">
          <cell r="A2887">
            <v>38382</v>
          </cell>
          <cell r="B2887" t="str">
            <v>LINHA DE PEDREIRO LISA 100 M</v>
          </cell>
          <cell r="C2887" t="str">
            <v xml:space="preserve">UN    </v>
          </cell>
          <cell r="D2887">
            <v>9.34</v>
          </cell>
        </row>
        <row r="2888">
          <cell r="A2888">
            <v>6091</v>
          </cell>
          <cell r="B2888" t="str">
            <v>LIQUIDO PARA BRILHO PAREDES INTERNAS</v>
          </cell>
          <cell r="C2888" t="str">
            <v xml:space="preserve">L     </v>
          </cell>
          <cell r="D2888">
            <v>10.49</v>
          </cell>
        </row>
        <row r="2889">
          <cell r="A2889">
            <v>38383</v>
          </cell>
          <cell r="B2889" t="str">
            <v>LIXA D'AGUA EM FOLHA, GRAO 100</v>
          </cell>
          <cell r="C2889" t="str">
            <v xml:space="preserve">UN    </v>
          </cell>
          <cell r="D2889">
            <v>1.75</v>
          </cell>
        </row>
        <row r="2890">
          <cell r="A2890">
            <v>3768</v>
          </cell>
          <cell r="B2890" t="str">
            <v>LIXA EM FOLHA PARA FERRO, NUMERO 150</v>
          </cell>
          <cell r="C2890" t="str">
            <v xml:space="preserve">UN    </v>
          </cell>
          <cell r="D2890">
            <v>2.17</v>
          </cell>
        </row>
        <row r="2891">
          <cell r="A2891">
            <v>3767</v>
          </cell>
          <cell r="B2891" t="str">
            <v>LIXA EM FOLHA PARA PAREDE OU MADEIRA, NUMERO 120 (COR VERMELHA)</v>
          </cell>
          <cell r="C2891" t="str">
            <v xml:space="preserve">UN    </v>
          </cell>
          <cell r="D2891">
            <v>0.51</v>
          </cell>
        </row>
        <row r="2892">
          <cell r="A2892">
            <v>13192</v>
          </cell>
          <cell r="B2892" t="str">
            <v>LIXADEIRA ELETRICA ANGULAR PARA CONCRETO, POTENCIA 1.400 W, PRATO DIAMANTADO DE 5''</v>
          </cell>
          <cell r="C2892" t="str">
            <v xml:space="preserve">UN    </v>
          </cell>
          <cell r="D2892">
            <v>5881.28</v>
          </cell>
        </row>
        <row r="2893">
          <cell r="A2893">
            <v>38413</v>
          </cell>
          <cell r="B2893" t="str">
            <v>LIXADEIRA ELETRICA ANGULAR, PARA DISCO DE 7 " (180 MM), POTENCIA DE 2.200 W, *5.000* RPM, 220 V</v>
          </cell>
          <cell r="C2893" t="str">
            <v xml:space="preserve">UN    </v>
          </cell>
          <cell r="D2893">
            <v>972.68</v>
          </cell>
        </row>
        <row r="2894">
          <cell r="A2894">
            <v>42440</v>
          </cell>
          <cell r="B2894" t="str">
            <v>LIXEIRA DUPLA, COM CAPACIDADE VOLUMETRICA DE 60L*, FABRICADA EM TUBO DE ACO CARBONO, CESTOS EM CHAPA DE ACO E PINTURA NO PROCESSO ELETROSTATICO - PARA ACADEMIA AO AR LIVRE / ACADEMIA DA TERCEIRA IDADE - ATI</v>
          </cell>
          <cell r="C2894" t="str">
            <v xml:space="preserve">UN    </v>
          </cell>
          <cell r="D2894">
            <v>702.04</v>
          </cell>
        </row>
        <row r="2895">
          <cell r="A2895">
            <v>20193</v>
          </cell>
          <cell r="B2895" t="str">
            <v>LOCACAO DE ANDAIME METALICO TIPO FACHADEIRO, LARGURA DE 1,20 M, ALTURA POR PECA DE 2,0 M, INCLUINDO SAPATAS E ITENS NECESSARIOS A INSTALACAO</v>
          </cell>
          <cell r="C2895" t="str">
            <v>M2XMES</v>
          </cell>
          <cell r="D2895">
            <v>4.99</v>
          </cell>
        </row>
        <row r="2896">
          <cell r="A2896">
            <v>10527</v>
          </cell>
          <cell r="B2896" t="str">
            <v>LOCACAO DE ANDAIME METALICO TUBULAR DE ENCAIXE, TIPO DE TORRE, COM LARGURA DE 1 ATE 1,5 M E ALTURA DE *1,00* M</v>
          </cell>
          <cell r="C2896" t="str">
            <v xml:space="preserve">MXMES </v>
          </cell>
          <cell r="D2896">
            <v>15</v>
          </cell>
        </row>
        <row r="2897">
          <cell r="A2897">
            <v>41805</v>
          </cell>
          <cell r="B2897" t="str">
            <v>LOCACAO DE ANDAIME SUSPENSO OU BALANCIM MANUAL, CAPACIDADE DE CARGA TOTAL DE APROXIMADAMENTE 250 KG/M2, PLATAFORMA DE 1,50 M X 0,80 M (C X L), CABO DE 45 M</v>
          </cell>
          <cell r="C2897" t="str">
            <v xml:space="preserve">MES   </v>
          </cell>
          <cell r="D2897">
            <v>530</v>
          </cell>
        </row>
        <row r="2898">
          <cell r="A2898">
            <v>40271</v>
          </cell>
          <cell r="B2898" t="str">
            <v>LOCACAO DE APRUMADOR METALICO DE PILAR, COM ALTURA E ANGULO REGULAVEIS, EXTENSAO DE *1,50* A *2,80* M</v>
          </cell>
          <cell r="C2898" t="str">
            <v xml:space="preserve">MES   </v>
          </cell>
          <cell r="D2898">
            <v>9.75</v>
          </cell>
        </row>
        <row r="2899">
          <cell r="A2899">
            <v>40287</v>
          </cell>
          <cell r="B2899" t="str">
            <v>LOCACAO DE BARRA DE ANCORAGEM DE 0,80 A 1,20 M DE EXTENSAO, COM ROSCA DE 5/8", INCLUINDO PORCA E FLANGE</v>
          </cell>
          <cell r="C2899" t="str">
            <v xml:space="preserve">MES   </v>
          </cell>
          <cell r="D2899">
            <v>3.75</v>
          </cell>
        </row>
        <row r="2900">
          <cell r="A2900">
            <v>40295</v>
          </cell>
          <cell r="B2900" t="str">
            <v>LOCACAO DE BOMBA MANUAL PARA TESTE HIDROSTATICO ATE 30 BAR</v>
          </cell>
          <cell r="C2900" t="str">
            <v xml:space="preserve">H     </v>
          </cell>
          <cell r="D2900">
            <v>1.97</v>
          </cell>
        </row>
        <row r="2901">
          <cell r="A2901">
            <v>745</v>
          </cell>
          <cell r="B2901" t="str">
            <v>LOCACAO DE BOMBA MANUAL PARA TESTE HIDROSTATICO ATE 60 BAR</v>
          </cell>
          <cell r="C2901" t="str">
            <v xml:space="preserve">H     </v>
          </cell>
          <cell r="D2901">
            <v>2.09</v>
          </cell>
        </row>
        <row r="2902">
          <cell r="A2902">
            <v>4084</v>
          </cell>
          <cell r="B2902" t="str">
            <v>LOCACAO DE BOMBA SUBMERSIVEL PARA DRENAGEM E ESGOTAMENTO, MOTOR ELETRICO TRIFASICO, POTENCIA DE 1 CV, DIAMETRO DE RECALQUE DE 2". FAIXA DE OPERACAO: Q=25 M3/H (+ OU - 1 M3/H) E AMT=2 M; Q=12 M3/H (+ OU - 2 M3/H) E AMT = 12 M (+ OU - 2 M)</v>
          </cell>
          <cell r="C2902" t="str">
            <v xml:space="preserve">H     </v>
          </cell>
          <cell r="D2902">
            <v>1.62</v>
          </cell>
        </row>
        <row r="2903">
          <cell r="A2903">
            <v>743</v>
          </cell>
          <cell r="B2903" t="str">
            <v>LOCACAO DE BOMBA SUBMERSIVEL PARA DRENAGEM E ESGOTAMENTO, MOTOR ELETRICO TRIFASICO, POTENCIA DE 2 CV, DIAMETRO DE RECALQUE DE 2". FAIXA DE OPERACAO: Q=35 M3/H (+ OU - 3 M3/H) E AMT=2 M; Q=13 M3/H (+ OU - 3 M3/H) E AMT = 17 M (+ OU - 3 M)</v>
          </cell>
          <cell r="C2903" t="str">
            <v xml:space="preserve">H     </v>
          </cell>
          <cell r="D2903">
            <v>1.62</v>
          </cell>
        </row>
        <row r="2904">
          <cell r="A2904">
            <v>40293</v>
          </cell>
          <cell r="B2904" t="str">
            <v>LOCACAO DE BOMBA SUBMERSIVEL PARA DRENAGEM E ESGOTAMENTO, MOTOR ELETRICO TRIFASICO, POTENCIA DE 2 CV, DIAMETRO DE RECALQUE DE 3". FAIXA DE OPERACAO: Q=70 M3/H (+ OU - 2 M3/H) E AMT=2 M; Q=9,5 M3/H (+ OU - 3,5 M3/H) E AMT = 10 M (+ OU - 2 M)</v>
          </cell>
          <cell r="C2904" t="str">
            <v xml:space="preserve">H     </v>
          </cell>
          <cell r="D2904">
            <v>1.94</v>
          </cell>
        </row>
        <row r="2905">
          <cell r="A2905">
            <v>40294</v>
          </cell>
          <cell r="B2905" t="str">
            <v>LOCACAO DE BOMBA SUBMERSIVEL PARA DRENAGEM E ESGOTAMENTO, MOTOR ELETRICO TRIFASICO, POTENCIA DE 3 CV, DIAMETRO DE RECALQUE DE 2". FAIXA DE OPERACAO: Q=84 M3/H (+ OU - 2,5 M3/H) E AMT=2 M; Q=9,1 M3/H (+ OU - 2 M3/H) E AMT = 12 M (+ OU - 2 M)</v>
          </cell>
          <cell r="C2905" t="str">
            <v xml:space="preserve">H     </v>
          </cell>
          <cell r="D2905">
            <v>1.62</v>
          </cell>
        </row>
        <row r="2906">
          <cell r="A2906">
            <v>4085</v>
          </cell>
          <cell r="B2906" t="str">
            <v>LOCACAO DE BOMBA SUBMERSIVEL PARA DRENAGEM E ESGOTAMENTO, MOTOR ELETRICO TRIFASICO, POTENCIA DE 4 CV, DIAMETRO DE RECALQUE DE 3". FAIXA DE OPERACAO: Q=60 M3/H (+ OU - 1 M3/H) E AMT=2 M; Q=11 M3/H (+ OU - 1 M3/H) E AMT = 23 M (+ OU - 1 M)</v>
          </cell>
          <cell r="C2906" t="str">
            <v xml:space="preserve">H     </v>
          </cell>
          <cell r="D2906">
            <v>2.2599999999999998</v>
          </cell>
        </row>
        <row r="2907">
          <cell r="A2907">
            <v>10775</v>
          </cell>
          <cell r="B2907" t="str">
            <v>LOCACAO DE CONTAINER 2,30  X  6,00 M, ALT. 2,50 M, COM 1 SANITARIO, PARA ESCRITORIO, COMPLETO, SEM DIVISORIAS INTERNAS</v>
          </cell>
          <cell r="C2907" t="str">
            <v xml:space="preserve">MES   </v>
          </cell>
          <cell r="D2907">
            <v>515</v>
          </cell>
        </row>
        <row r="2908">
          <cell r="A2908">
            <v>10776</v>
          </cell>
          <cell r="B2908" t="str">
            <v>LOCACAO DE CONTAINER 2,30  X  6,00 M, ALT. 2,50 M, PARA ESCRITORIO, SEM DIVISORIAS INTERNAS E SEM SANITARIO</v>
          </cell>
          <cell r="C2908" t="str">
            <v xml:space="preserve">MES   </v>
          </cell>
          <cell r="D2908">
            <v>402.34</v>
          </cell>
        </row>
        <row r="2909">
          <cell r="A2909">
            <v>10779</v>
          </cell>
          <cell r="B2909" t="str">
            <v>LOCACAO DE CONTAINER 2,30 X 4,30 M, ALT. 2,50 M, P/ SANITARIO, C/ 5 BACIAS, 1 LAVATORIO E 4 MICTORIOS</v>
          </cell>
          <cell r="C2909" t="str">
            <v xml:space="preserve">MES   </v>
          </cell>
          <cell r="D2909">
            <v>643.75</v>
          </cell>
        </row>
        <row r="2910">
          <cell r="A2910">
            <v>10777</v>
          </cell>
          <cell r="B2910" t="str">
            <v>LOCACAO DE CONTAINER 2,30 X 4,30 M, ALT. 2,50 M, PARA SANITARIO, COM 3 BACIAS, 4 CHUVEIROS, 1 LAVATORIO E 1 MICTORIO</v>
          </cell>
          <cell r="C2910" t="str">
            <v xml:space="preserve">MES   </v>
          </cell>
          <cell r="D2910">
            <v>584.73</v>
          </cell>
        </row>
        <row r="2911">
          <cell r="A2911">
            <v>10778</v>
          </cell>
          <cell r="B2911" t="str">
            <v>LOCACAO DE CONTAINER 2,30 X 6,00 M, ALT. 2,50 M,  PARA SANITARIO,  COM 4 BACIAS, 8 CHUVEIROS,1 LAVATORIO E 1 MICTORIO</v>
          </cell>
          <cell r="C2911" t="str">
            <v xml:space="preserve">MES   </v>
          </cell>
          <cell r="D2911">
            <v>643.75</v>
          </cell>
        </row>
        <row r="2912">
          <cell r="A2912">
            <v>40339</v>
          </cell>
          <cell r="B2912" t="str">
            <v>LOCACAO DE CRUZETA PARA ESCORA METALICA</v>
          </cell>
          <cell r="C2912" t="str">
            <v xml:space="preserve">MES   </v>
          </cell>
          <cell r="D2912">
            <v>3.75</v>
          </cell>
        </row>
        <row r="2913">
          <cell r="A2913">
            <v>3355</v>
          </cell>
          <cell r="B2913" t="str">
            <v>LOCACAO DE ELEVADOR DE CARGA A CABO, CABINE SEMI FECHADA *2,0* X *1,5* X *2,0* M, CAPACIDADE DE CARGA 1000 KG, TORRE  *2,38* X *2,21* X 15 M, GUINCHO DE EMBREAGEM, FREIO DE SEGURANCA, LIMITADOR DE VELOCIDADE E CANCELA</v>
          </cell>
          <cell r="C2913" t="str">
            <v xml:space="preserve">H     </v>
          </cell>
          <cell r="D2913">
            <v>20.25</v>
          </cell>
        </row>
        <row r="2914">
          <cell r="A2914">
            <v>39814</v>
          </cell>
          <cell r="B2914" t="str">
            <v>LOCACAO DE ELEVADOR DE CREMALHEIRA CABINE SIMPLES FECHADA 1,5 X 2,5 X 2,35 M (UMA POR TORRE), CAPACIDADE DE CARGA *1200* KG (15 PESSOAS), TORRE DE 24 M (16 MODULOS), 16 PARADAS, FREIO DE SEGURANCA, LIMITADOR DE CARGA</v>
          </cell>
          <cell r="C2914" t="str">
            <v xml:space="preserve">H     </v>
          </cell>
          <cell r="D2914">
            <v>37.96</v>
          </cell>
        </row>
        <row r="2915">
          <cell r="A2915">
            <v>10749</v>
          </cell>
          <cell r="B2915" t="str">
            <v>LOCACAO DE ESCORA METALICA TELESCOPICA, COM ALTURA REGULAVEL DE *1,80* A *3,20* M, COM CAPACIDADE DE CARGA DE NO MINIMO 1000 KGF (10 KN), INCLUSO TRIPE E FORCADO</v>
          </cell>
          <cell r="C2915" t="str">
            <v xml:space="preserve">MES   </v>
          </cell>
          <cell r="D2915">
            <v>6.87</v>
          </cell>
        </row>
        <row r="2916">
          <cell r="A2916">
            <v>40290</v>
          </cell>
          <cell r="B2916" t="str">
            <v>LOCACAO DE FORMA PLASTICA PARA LAJE NERVURADA, DIMENSOES *60* X *60* X *16* CM</v>
          </cell>
          <cell r="C2916" t="str">
            <v xml:space="preserve">MES   </v>
          </cell>
          <cell r="D2916">
            <v>9.9</v>
          </cell>
        </row>
        <row r="2917">
          <cell r="A2917">
            <v>7252</v>
          </cell>
          <cell r="B2917" t="str">
            <v>LOCACAO DE NIVEL OPTICO, COM PRECISAO DE 0,7 MM, AUMENTO DE 32X</v>
          </cell>
          <cell r="C2917" t="str">
            <v xml:space="preserve">H     </v>
          </cell>
          <cell r="D2917">
            <v>2.0299999999999998</v>
          </cell>
        </row>
        <row r="2918">
          <cell r="A2918">
            <v>4778</v>
          </cell>
          <cell r="B2918" t="str">
            <v>LOCACAO DE PERFURATRIZ PNEUMATICA DE PESO MEDIO, * 18 * KG, PARA ROCHA</v>
          </cell>
          <cell r="C2918" t="str">
            <v xml:space="preserve">H     </v>
          </cell>
          <cell r="D2918">
            <v>2.7</v>
          </cell>
        </row>
        <row r="2919">
          <cell r="A2919">
            <v>4780</v>
          </cell>
          <cell r="B2919" t="str">
            <v>LOCACAO DE PERFURATRIZ PNEUMATICA DE PESO MEDIO, * 24 * KG, PARA ROCHA</v>
          </cell>
          <cell r="C2919" t="str">
            <v xml:space="preserve">H     </v>
          </cell>
          <cell r="D2919">
            <v>2.92</v>
          </cell>
        </row>
        <row r="2920">
          <cell r="A2920">
            <v>10809</v>
          </cell>
          <cell r="B2920" t="str">
            <v>LOCACAO DE TALHA ELETRICA 3 T, VELOCIDADE  2,1 M / MIN, POTENCIA 1,3 KW</v>
          </cell>
          <cell r="C2920" t="str">
            <v xml:space="preserve">H     </v>
          </cell>
          <cell r="D2920">
            <v>1.1100000000000001</v>
          </cell>
        </row>
        <row r="2921">
          <cell r="A2921">
            <v>10811</v>
          </cell>
          <cell r="B2921" t="str">
            <v>LOCACAO DE TALHA MANUAL DE CORRENTE, CAPACIDADE DE 2 T COM ELEVACAO DE 3 M</v>
          </cell>
          <cell r="C2921" t="str">
            <v xml:space="preserve">H     </v>
          </cell>
          <cell r="D2921">
            <v>0.95</v>
          </cell>
        </row>
        <row r="2922">
          <cell r="A2922">
            <v>7247</v>
          </cell>
          <cell r="B2922" t="str">
            <v>LOCACAO DE TEODOLITO ELETRONICO, PRECISAO ANGULAR DE 5 A 7 SEGUNDOS, INCLUINDO TRIPE</v>
          </cell>
          <cell r="C2922" t="str">
            <v xml:space="preserve">H     </v>
          </cell>
          <cell r="D2922">
            <v>2.0299999999999998</v>
          </cell>
        </row>
        <row r="2923">
          <cell r="A2923">
            <v>40291</v>
          </cell>
          <cell r="B2923" t="str">
            <v>LOCACAO DE TORRE METALICA COMPLETA PARA UMA CARGA DE 8 TF (80 KN)  E PE DIREITO DE 6 M, INCLUINDO MODULOS , DIAGONAIS, SAPATAS E FORCADOS</v>
          </cell>
          <cell r="C2923" t="str">
            <v xml:space="preserve">MES   </v>
          </cell>
          <cell r="D2923">
            <v>523.26</v>
          </cell>
        </row>
        <row r="2924">
          <cell r="A2924">
            <v>40275</v>
          </cell>
          <cell r="B2924" t="str">
            <v>LOCACAO DE VIGA SANDUICHE METALICA VAZADA PARA TRAVAMENTO DE PILARES, ALTURA DE *8* CM, LARGURA DE *6* CM E EXTENSAO DE 2 M</v>
          </cell>
          <cell r="C2924" t="str">
            <v xml:space="preserve">MES   </v>
          </cell>
          <cell r="D2924">
            <v>15</v>
          </cell>
        </row>
        <row r="2925">
          <cell r="A2925">
            <v>3777</v>
          </cell>
          <cell r="B2925" t="str">
            <v>LONA PLASTICA PRETA, E= 150 MICRA</v>
          </cell>
          <cell r="C2925" t="str">
            <v xml:space="preserve">M2    </v>
          </cell>
          <cell r="D2925">
            <v>0.92</v>
          </cell>
        </row>
        <row r="2926">
          <cell r="A2926">
            <v>43067</v>
          </cell>
          <cell r="B2926" t="str">
            <v>LONA PLASTICA PRETA, E= 200 MICRA (COLETADO CAIXA)</v>
          </cell>
          <cell r="C2926" t="str">
            <v xml:space="preserve">M2    </v>
          </cell>
          <cell r="D2926">
            <v>0.95</v>
          </cell>
        </row>
        <row r="2927">
          <cell r="A2927">
            <v>3779</v>
          </cell>
          <cell r="B2927" t="str">
            <v>LONA PLASTICA, PRETA, LARGURA  8 M, E= 150 MICRA</v>
          </cell>
          <cell r="C2927" t="str">
            <v xml:space="preserve">M     </v>
          </cell>
          <cell r="D2927">
            <v>7.66</v>
          </cell>
        </row>
        <row r="2928">
          <cell r="A2928">
            <v>3798</v>
          </cell>
          <cell r="B2928" t="str">
            <v>LUMINARIA ABERTA P/ ILUMINACAO PUBLICA, TIPO X-57 PETERCO OU EQUIV</v>
          </cell>
          <cell r="C2928" t="str">
            <v xml:space="preserve">UN    </v>
          </cell>
          <cell r="D2928">
            <v>40.659999999999997</v>
          </cell>
        </row>
        <row r="2929">
          <cell r="A2929">
            <v>38769</v>
          </cell>
          <cell r="B2929" t="str">
            <v>LUMINARIA ARANDELA TIPO MEIA-LUA COM VIDRO FOSCO *30 X 15* CM, PARA 1 LAMPADA, BASE E27, POTENCIA MAXIMA 40/60 W (NAO INCLUI LAMPADA)</v>
          </cell>
          <cell r="C2929" t="str">
            <v xml:space="preserve">UN    </v>
          </cell>
          <cell r="D2929">
            <v>31.75</v>
          </cell>
        </row>
        <row r="2930">
          <cell r="A2930">
            <v>39510</v>
          </cell>
          <cell r="B2930" t="str">
            <v>LUMINARIA DE EMBUTIR EM CHAPA DE ACO PARA 2 LAMPADAS FLUORESCENTES DE 14 W COM REFLETOR E ALETAS EM ALUMINIO, COMPLETA (INCLUI REATOR E LAMPADAS)</v>
          </cell>
          <cell r="C2930" t="str">
            <v xml:space="preserve">UN    </v>
          </cell>
          <cell r="D2930">
            <v>128.53</v>
          </cell>
        </row>
        <row r="2931">
          <cell r="A2931">
            <v>38776</v>
          </cell>
          <cell r="B2931" t="str">
            <v>LUMINARIA DE EMBUTIR EM CHAPA DE ACO PARA 4 LAMPADAS FLUORESCENTES DE 14 W *60 X 60 CM* ALETADA (NAO INCLUI REATOR E LAMPADAS)</v>
          </cell>
          <cell r="C2931" t="str">
            <v xml:space="preserve">UN    </v>
          </cell>
          <cell r="D2931">
            <v>136.4</v>
          </cell>
        </row>
        <row r="2932">
          <cell r="A2932">
            <v>38774</v>
          </cell>
          <cell r="B2932" t="str">
            <v>LUMINARIA DE EMERGENCIA 30 LEDS, POTENCIA 2 W, BATERIA DE LITIO, AUTONOMIA DE 6 HORAS</v>
          </cell>
          <cell r="C2932" t="str">
            <v xml:space="preserve">UN    </v>
          </cell>
          <cell r="D2932">
            <v>32.19</v>
          </cell>
        </row>
        <row r="2933">
          <cell r="A2933">
            <v>42977</v>
          </cell>
          <cell r="B2933" t="str">
            <v>LUMINARIA DE LED PARA ILUMINACAO PUBLICA, DE 98 W  ATE 137 W, INVOLUCRO EM ALUMINIO OU ACO INOX (COLETADO CAIXA)</v>
          </cell>
          <cell r="C2933" t="str">
            <v xml:space="preserve">UN    </v>
          </cell>
          <cell r="D2933">
            <v>744.34</v>
          </cell>
        </row>
        <row r="2934">
          <cell r="A2934">
            <v>38889</v>
          </cell>
          <cell r="B2934" t="str">
            <v>LUMINARIA DE SOBREPOR EM CHAPA DE ACO COM ALETAS PLASTICAS, PARA 1 LAMPADA, BASE E27, POTENCIA MAXIMA 40/60 W (NAO INCLUI LAMPADA)</v>
          </cell>
          <cell r="C2934" t="str">
            <v xml:space="preserve">UN    </v>
          </cell>
          <cell r="D2934">
            <v>24.34</v>
          </cell>
        </row>
        <row r="2935">
          <cell r="A2935">
            <v>38784</v>
          </cell>
          <cell r="B2935" t="str">
            <v>LUMINARIA DE SOBREPOR EM CHAPA DE ACO COM ALETAS PLASTICAS, PARA 2 LAMPADAS, BASE E27, POTENCIA MAXIMA 40/60 W (NAO INCLUI LAMPADAS)</v>
          </cell>
          <cell r="C2935" t="str">
            <v xml:space="preserve">UN    </v>
          </cell>
          <cell r="D2935">
            <v>32.56</v>
          </cell>
        </row>
        <row r="2936">
          <cell r="A2936">
            <v>3788</v>
          </cell>
          <cell r="B2936" t="str">
            <v>LUMINARIA DE SOBREPOR EM CHAPA DE ACO PARA 1 LAMPADA FLUORESCENTE DE *18* W, ALETADA, COMPLETA (LAMPADA E REATOR INCLUSOS)</v>
          </cell>
          <cell r="C2936" t="str">
            <v xml:space="preserve">UN    </v>
          </cell>
          <cell r="D2936">
            <v>33.93</v>
          </cell>
        </row>
        <row r="2937">
          <cell r="A2937">
            <v>12230</v>
          </cell>
          <cell r="B2937" t="str">
            <v>LUMINARIA DE SOBREPOR EM CHAPA DE ACO PARA 1 LAMPADA FLUORESCENTE DE *18* W, PERFIL COMERCIAL (NAO INCLUI REATOR E LAMPADA)</v>
          </cell>
          <cell r="C2937" t="str">
            <v xml:space="preserve">UN    </v>
          </cell>
          <cell r="D2937">
            <v>8.73</v>
          </cell>
        </row>
        <row r="2938">
          <cell r="A2938">
            <v>3780</v>
          </cell>
          <cell r="B2938" t="str">
            <v>LUMINARIA DE SOBREPOR EM CHAPA DE ACO PARA 1 LAMPADA FLUORESCENTE DE *36* W, ALETADA, COMPLETA (LAMPADA E REATOR INCLUSOS)</v>
          </cell>
          <cell r="C2938" t="str">
            <v xml:space="preserve">UN    </v>
          </cell>
          <cell r="D2938">
            <v>50.07</v>
          </cell>
        </row>
        <row r="2939">
          <cell r="A2939">
            <v>12231</v>
          </cell>
          <cell r="B2939" t="str">
            <v>LUMINARIA DE SOBREPOR EM CHAPA DE ACO PARA 1 LAMPADA FLUORESCENTE DE *36* W, PERFIL COMERCIAL (NAO INCLUI REATOR E LAMPADA)</v>
          </cell>
          <cell r="C2939" t="str">
            <v xml:space="preserve">UN    </v>
          </cell>
          <cell r="D2939">
            <v>14.51</v>
          </cell>
        </row>
        <row r="2940">
          <cell r="A2940">
            <v>3811</v>
          </cell>
          <cell r="B2940" t="str">
            <v>LUMINARIA DE SOBREPOR EM CHAPA DE ACO PARA 2 LAMPADAS FLUORESCENTES DE *18* W, ALETADA, COMPLETA (LAMPADAS E REATOR INCLUSOS)</v>
          </cell>
          <cell r="C2940" t="str">
            <v xml:space="preserve">UN    </v>
          </cell>
          <cell r="D2940">
            <v>47.03</v>
          </cell>
        </row>
        <row r="2941">
          <cell r="A2941">
            <v>12232</v>
          </cell>
          <cell r="B2941" t="str">
            <v>LUMINARIA DE SOBREPOR EM CHAPA DE ACO PARA 2 LAMPADAS FLUORESCENTES DE *18* W, PERFIL COMERCIAL (NAO INCLUI REATOR E LAMPADAS)</v>
          </cell>
          <cell r="C2941" t="str">
            <v xml:space="preserve">UN    </v>
          </cell>
          <cell r="D2941">
            <v>15.2</v>
          </cell>
        </row>
        <row r="2942">
          <cell r="A2942">
            <v>3799</v>
          </cell>
          <cell r="B2942" t="str">
            <v>LUMINARIA DE SOBREPOR EM CHAPA DE ACO PARA 2 LAMPADAS FLUORESCENTES DE *36* W, ALETADA, COMPLETA (LAMPADAS E REATOR INCLUSOS)</v>
          </cell>
          <cell r="C2942" t="str">
            <v xml:space="preserve">UN    </v>
          </cell>
          <cell r="D2942">
            <v>66.510000000000005</v>
          </cell>
        </row>
        <row r="2943">
          <cell r="A2943">
            <v>12239</v>
          </cell>
          <cell r="B2943" t="str">
            <v>LUMINARIA DE SOBREPOR EM CHAPA DE ACO PARA 2 LAMPADAS FLUORESCENTES DE *36* W, PERFIL COMERCIAL (NAO INCLUI REATOR E LAMPADAS)</v>
          </cell>
          <cell r="C2943" t="str">
            <v xml:space="preserve">UN    </v>
          </cell>
          <cell r="D2943">
            <v>19.91</v>
          </cell>
        </row>
        <row r="2944">
          <cell r="A2944">
            <v>38773</v>
          </cell>
          <cell r="B2944" t="str">
            <v>LUMINARIA DE TETO PLAFON/PLAFONIER EM PLASTICO COM BASE E27, POTENCIA MAXIMA 60 W (NAO INCLUI LAMPADA)</v>
          </cell>
          <cell r="C2944" t="str">
            <v xml:space="preserve">UN    </v>
          </cell>
          <cell r="D2944">
            <v>3.19</v>
          </cell>
        </row>
        <row r="2945">
          <cell r="A2945">
            <v>12271</v>
          </cell>
          <cell r="B2945" t="str">
            <v>LUMINARIA DUPLA P/SINALIZACAO, TIPO WETZEL AS-2/110 OU EQUIV</v>
          </cell>
          <cell r="C2945" t="str">
            <v xml:space="preserve">UN    </v>
          </cell>
          <cell r="D2945">
            <v>178.09</v>
          </cell>
        </row>
        <row r="2946">
          <cell r="A2946">
            <v>38785</v>
          </cell>
          <cell r="B2946" t="str">
            <v>LUMINARIA HERMETICA IP-65 PARA 2 DUAS LAMPADAS DE 14/16/18/20 W (NAO INCLUI REATOR E LAMPADAS)</v>
          </cell>
          <cell r="C2946" t="str">
            <v xml:space="preserve">UN    </v>
          </cell>
          <cell r="D2946">
            <v>84.31</v>
          </cell>
        </row>
        <row r="2947">
          <cell r="A2947">
            <v>38786</v>
          </cell>
          <cell r="B2947" t="str">
            <v>LUMINARIA HERMETICA IP-65 PARA 2 DUAS LAMPADAS DE 28/32/36/40 W (NAO INCLUI REATOR E LAMPADAS)</v>
          </cell>
          <cell r="C2947" t="str">
            <v xml:space="preserve">UN    </v>
          </cell>
          <cell r="D2947">
            <v>103.85</v>
          </cell>
        </row>
        <row r="2948">
          <cell r="A2948">
            <v>39385</v>
          </cell>
          <cell r="B2948" t="str">
            <v>LUMINARIA LED PLAFON REDONDO DE SOBREPOR BIVOLT 12/13 W,  D = *17* CM</v>
          </cell>
          <cell r="C2948" t="str">
            <v xml:space="preserve">UN    </v>
          </cell>
          <cell r="D2948">
            <v>78.56</v>
          </cell>
        </row>
        <row r="2949">
          <cell r="A2949">
            <v>39389</v>
          </cell>
          <cell r="B2949" t="str">
            <v>LUMINARIA LED REFLETOR RETANGULAR BIVOLT, LUZ BRANCA, 10 W</v>
          </cell>
          <cell r="C2949" t="str">
            <v xml:space="preserve">UN    </v>
          </cell>
          <cell r="D2949">
            <v>65.16</v>
          </cell>
        </row>
        <row r="2950">
          <cell r="A2950">
            <v>39390</v>
          </cell>
          <cell r="B2950" t="str">
            <v>LUMINARIA LED REFLETOR RETANGULAR BIVOLT, LUZ BRANCA, 30 W</v>
          </cell>
          <cell r="C2950" t="str">
            <v xml:space="preserve">UN    </v>
          </cell>
          <cell r="D2950">
            <v>126.21</v>
          </cell>
        </row>
        <row r="2951">
          <cell r="A2951">
            <v>39391</v>
          </cell>
          <cell r="B2951" t="str">
            <v>LUMINARIA LED REFLETOR RETANGULAR BIVOLT, LUZ BRANCA, 50 W</v>
          </cell>
          <cell r="C2951" t="str">
            <v xml:space="preserve">UN    </v>
          </cell>
          <cell r="D2951">
            <v>233.57</v>
          </cell>
        </row>
        <row r="2952">
          <cell r="A2952">
            <v>3803</v>
          </cell>
          <cell r="B2952" t="str">
            <v>LUMINARIA PLAFON REDONDO COM VIDRO FOSCO DIAMETRO *25* CM, PARA 1 LAMPADA, BASE E27, POTENCIA MAXIMA 40/60 W (NAO INCLUI LAMPADA)</v>
          </cell>
          <cell r="C2952" t="str">
            <v xml:space="preserve">UN    </v>
          </cell>
          <cell r="D2952">
            <v>30.11</v>
          </cell>
        </row>
        <row r="2953">
          <cell r="A2953">
            <v>38770</v>
          </cell>
          <cell r="B2953" t="str">
            <v>LUMINARIA PLAFON REDONDO COM VIDRO FOSCO DIAMETRO *30* CM, PARA 2 LAMPADAS, BASE E27, POTENCIA MAXIMA 40/60 W (NAO INCLUI LAMPADAS)</v>
          </cell>
          <cell r="C2953" t="str">
            <v xml:space="preserve">UN    </v>
          </cell>
          <cell r="D2953">
            <v>34.869999999999997</v>
          </cell>
        </row>
        <row r="2954">
          <cell r="A2954">
            <v>12267</v>
          </cell>
          <cell r="B2954" t="str">
            <v>LUMINARIA PROVA DE TEMPO PETERCO Y.31/1</v>
          </cell>
          <cell r="C2954" t="str">
            <v xml:space="preserve">UN    </v>
          </cell>
          <cell r="D2954">
            <v>102.18</v>
          </cell>
        </row>
        <row r="2955">
          <cell r="A2955">
            <v>43068</v>
          </cell>
          <cell r="B2955"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55" t="str">
            <v xml:space="preserve">UN    </v>
          </cell>
          <cell r="D2955">
            <v>51.62</v>
          </cell>
        </row>
        <row r="2956">
          <cell r="A2956">
            <v>12266</v>
          </cell>
          <cell r="B2956" t="str">
            <v>LUMINARIA SPOT DE SOBREPOR EM ALUMINIO COM ALETA PLASTICA PARA 1 LAMPADA, BASE E27, POTENCIA MAXIMA 40/60 W (NAO INCLUI LAMPADA)</v>
          </cell>
          <cell r="C2956" t="str">
            <v xml:space="preserve">UN    </v>
          </cell>
          <cell r="D2956">
            <v>52.3</v>
          </cell>
        </row>
        <row r="2957">
          <cell r="A2957">
            <v>39378</v>
          </cell>
          <cell r="B2957" t="str">
            <v>LUMINARIA SPOT DE SOBREPOR EM ALUMINIO COM ALETA PLASTICA PARA 2 LAMPADAS, BASE E27, POTENCIA MAXIMA 40/60 W (NAO INCLUI LAMPADA)</v>
          </cell>
          <cell r="C2957" t="str">
            <v xml:space="preserve">UN    </v>
          </cell>
          <cell r="D2957">
            <v>37.08</v>
          </cell>
        </row>
        <row r="2958">
          <cell r="A2958">
            <v>43543</v>
          </cell>
          <cell r="B2958" t="str">
            <v>LUMINARIA TIPO TARTARUGA A PROVA DE TEMPO, GASES, VAPOR E PO, EM ALUMINIO, COM GRADE, BASE E27, POTENCIA MAXIMA 100 W - REF Y 25/1 (NAO INCLUI LAMPADA)</v>
          </cell>
          <cell r="C2958" t="str">
            <v xml:space="preserve">UN    </v>
          </cell>
          <cell r="D2958">
            <v>77.25</v>
          </cell>
        </row>
        <row r="2959">
          <cell r="A2959">
            <v>38775</v>
          </cell>
          <cell r="B2959" t="str">
            <v>LUMINARIA TIPO TARTARUGA PARA AREA EXTERNA EM ALUMINIO, COM GRADE, PARA 1 LAMPADA, BASE E27, POTENCIA MAXIMA 40/60 W (NAO INCLUI LAMPADA)</v>
          </cell>
          <cell r="C2959" t="str">
            <v xml:space="preserve">UN    </v>
          </cell>
          <cell r="D2959">
            <v>39.31</v>
          </cell>
        </row>
        <row r="2960">
          <cell r="A2960">
            <v>21119</v>
          </cell>
          <cell r="B2960" t="str">
            <v>LUVA CPVC, SOLDAVEL, 15 MM, PARA AGUA QUENTE PREDIAL</v>
          </cell>
          <cell r="C2960" t="str">
            <v xml:space="preserve">UN    </v>
          </cell>
          <cell r="D2960">
            <v>1.91</v>
          </cell>
        </row>
        <row r="2961">
          <cell r="A2961">
            <v>37974</v>
          </cell>
          <cell r="B2961" t="str">
            <v>LUVA CPVC, SOLDAVEL, 22 MM, PARA AGUA QUENTE PREDIAL</v>
          </cell>
          <cell r="C2961" t="str">
            <v xml:space="preserve">UN    </v>
          </cell>
          <cell r="D2961">
            <v>2.84</v>
          </cell>
        </row>
        <row r="2962">
          <cell r="A2962">
            <v>37975</v>
          </cell>
          <cell r="B2962" t="str">
            <v>LUVA CPVC, SOLDAVEL, 28 MM, PARA AGUA QUENTE PREDIAL</v>
          </cell>
          <cell r="C2962" t="str">
            <v xml:space="preserve">UN    </v>
          </cell>
          <cell r="D2962">
            <v>5.77</v>
          </cell>
        </row>
        <row r="2963">
          <cell r="A2963">
            <v>37976</v>
          </cell>
          <cell r="B2963" t="str">
            <v>LUVA CPVC, SOLDAVEL, 35 MM, PARA AGUA QUENTE PREDIAL</v>
          </cell>
          <cell r="C2963" t="str">
            <v xml:space="preserve">UN    </v>
          </cell>
          <cell r="D2963">
            <v>11.83</v>
          </cell>
        </row>
        <row r="2964">
          <cell r="A2964">
            <v>37977</v>
          </cell>
          <cell r="B2964" t="str">
            <v>LUVA CPVC, SOLDAVEL, 42 MM, PARA AGUA QUENTE PREDIAL</v>
          </cell>
          <cell r="C2964" t="str">
            <v xml:space="preserve">UN    </v>
          </cell>
          <cell r="D2964">
            <v>16.27</v>
          </cell>
        </row>
        <row r="2965">
          <cell r="A2965">
            <v>37978</v>
          </cell>
          <cell r="B2965" t="str">
            <v>LUVA CPVC, SOLDAVEL, 54 MM, PARA AGUA QUENTE PREDIAL</v>
          </cell>
          <cell r="C2965" t="str">
            <v xml:space="preserve">UN    </v>
          </cell>
          <cell r="D2965">
            <v>32.979999999999997</v>
          </cell>
        </row>
        <row r="2966">
          <cell r="A2966">
            <v>37979</v>
          </cell>
          <cell r="B2966" t="str">
            <v>LUVA CPVC, SOLDAVEL, 73 MM, PARA AGUA QUENTE PREDIAL</v>
          </cell>
          <cell r="C2966" t="str">
            <v xml:space="preserve">UN    </v>
          </cell>
          <cell r="D2966">
            <v>141.68</v>
          </cell>
        </row>
        <row r="2967">
          <cell r="A2967">
            <v>37980</v>
          </cell>
          <cell r="B2967" t="str">
            <v>LUVA CPVC, SOLDAVEL, 89 MM, PARA AGUA QUENTE PREDIAL</v>
          </cell>
          <cell r="C2967" t="str">
            <v xml:space="preserve">UN    </v>
          </cell>
          <cell r="D2967">
            <v>159.22999999999999</v>
          </cell>
        </row>
        <row r="2968">
          <cell r="A2968">
            <v>36147</v>
          </cell>
          <cell r="B2968" t="str">
            <v>LUVA DE BORRACHA ISOLANTE PARA ALTA TENSAO, RESISTENTE A OZONIO, TENSAO DE ENSAIO 2,5 KV (PAR)</v>
          </cell>
          <cell r="C2968" t="str">
            <v xml:space="preserve">PAR   </v>
          </cell>
          <cell r="D2968">
            <v>291.11</v>
          </cell>
        </row>
        <row r="2969">
          <cell r="A2969">
            <v>12731</v>
          </cell>
          <cell r="B2969" t="str">
            <v>LUVA DE COBRE (REF 600) SEM ANEL DE SOLDA, BOLSA X BOLSA, 104 MM</v>
          </cell>
          <cell r="C2969" t="str">
            <v xml:space="preserve">UN    </v>
          </cell>
          <cell r="D2969">
            <v>210.92</v>
          </cell>
        </row>
        <row r="2970">
          <cell r="A2970">
            <v>12723</v>
          </cell>
          <cell r="B2970" t="str">
            <v>LUVA DE COBRE (REF 600) SEM ANEL DE SOLDA, BOLSA X BOLSA, 15 MM</v>
          </cell>
          <cell r="C2970" t="str">
            <v xml:space="preserve">UN    </v>
          </cell>
          <cell r="D2970">
            <v>1.63</v>
          </cell>
        </row>
        <row r="2971">
          <cell r="A2971">
            <v>12724</v>
          </cell>
          <cell r="B2971" t="str">
            <v>LUVA DE COBRE (REF 600) SEM ANEL DE SOLDA, BOLSA X BOLSA, 22 MM</v>
          </cell>
          <cell r="C2971" t="str">
            <v xml:space="preserve">UN    </v>
          </cell>
          <cell r="D2971">
            <v>3.14</v>
          </cell>
        </row>
        <row r="2972">
          <cell r="A2972">
            <v>12725</v>
          </cell>
          <cell r="B2972" t="str">
            <v>LUVA DE COBRE (REF 600) SEM ANEL DE SOLDA, BOLSA X BOLSA, 28 MM</v>
          </cell>
          <cell r="C2972" t="str">
            <v xml:space="preserve">UN    </v>
          </cell>
          <cell r="D2972">
            <v>6.3</v>
          </cell>
        </row>
        <row r="2973">
          <cell r="A2973">
            <v>12726</v>
          </cell>
          <cell r="B2973" t="str">
            <v>LUVA DE COBRE (REF 600) SEM ANEL DE SOLDA, BOLSA X BOLSA, 35 MM</v>
          </cell>
          <cell r="C2973" t="str">
            <v xml:space="preserve">UN    </v>
          </cell>
          <cell r="D2973">
            <v>13.91</v>
          </cell>
        </row>
        <row r="2974">
          <cell r="A2974">
            <v>12727</v>
          </cell>
          <cell r="B2974" t="str">
            <v>LUVA DE COBRE (REF 600) SEM ANEL DE SOLDA, BOLSA X BOLSA, 42 MM</v>
          </cell>
          <cell r="C2974" t="str">
            <v xml:space="preserve">UN    </v>
          </cell>
          <cell r="D2974">
            <v>17.64</v>
          </cell>
        </row>
        <row r="2975">
          <cell r="A2975">
            <v>12728</v>
          </cell>
          <cell r="B2975" t="str">
            <v>LUVA DE COBRE (REF 600) SEM ANEL DE SOLDA, BOLSA X BOLSA, 54 MM</v>
          </cell>
          <cell r="C2975" t="str">
            <v xml:space="preserve">UN    </v>
          </cell>
          <cell r="D2975">
            <v>28.82</v>
          </cell>
        </row>
        <row r="2976">
          <cell r="A2976">
            <v>12729</v>
          </cell>
          <cell r="B2976" t="str">
            <v>LUVA DE COBRE (REF 600) SEM ANEL DE SOLDA, BOLSA X BOLSA, 66 MM</v>
          </cell>
          <cell r="C2976" t="str">
            <v xml:space="preserve">UN    </v>
          </cell>
          <cell r="D2976">
            <v>94.47</v>
          </cell>
        </row>
        <row r="2977">
          <cell r="A2977">
            <v>12730</v>
          </cell>
          <cell r="B2977" t="str">
            <v>LUVA DE COBRE (REF 600) SEM ANEL DE SOLDA, BOLSA X BOLSA, 79 MM</v>
          </cell>
          <cell r="C2977" t="str">
            <v xml:space="preserve">UN    </v>
          </cell>
          <cell r="D2977">
            <v>144.63999999999999</v>
          </cell>
        </row>
        <row r="2978">
          <cell r="A2978">
            <v>3840</v>
          </cell>
          <cell r="B2978" t="str">
            <v>LUVA DE CORRER DEFOFO, PVC, JE, DN 100 MM</v>
          </cell>
          <cell r="C2978" t="str">
            <v xml:space="preserve">UN    </v>
          </cell>
          <cell r="D2978">
            <v>39.99</v>
          </cell>
        </row>
        <row r="2979">
          <cell r="A2979">
            <v>3838</v>
          </cell>
          <cell r="B2979" t="str">
            <v>LUVA DE CORRER DEFOFO, PVC, JE, DN 150 MM</v>
          </cell>
          <cell r="C2979" t="str">
            <v xml:space="preserve">UN    </v>
          </cell>
          <cell r="D2979">
            <v>88.25</v>
          </cell>
        </row>
        <row r="2980">
          <cell r="A2980">
            <v>3844</v>
          </cell>
          <cell r="B2980" t="str">
            <v>LUVA DE CORRER DEFOFO, PVC, JE, DN 200 MM</v>
          </cell>
          <cell r="C2980" t="str">
            <v xml:space="preserve">UN    </v>
          </cell>
          <cell r="D2980">
            <v>157.41999999999999</v>
          </cell>
        </row>
        <row r="2981">
          <cell r="A2981">
            <v>3839</v>
          </cell>
          <cell r="B2981" t="str">
            <v>LUVA DE CORRER DEFOFO, PVC, JE, DN 250 MM</v>
          </cell>
          <cell r="C2981" t="str">
            <v xml:space="preserve">UN    </v>
          </cell>
          <cell r="D2981">
            <v>286.73</v>
          </cell>
        </row>
        <row r="2982">
          <cell r="A2982">
            <v>3843</v>
          </cell>
          <cell r="B2982" t="str">
            <v>LUVA DE CORRER DEFOFO, PVC, JE, DN 300 MM</v>
          </cell>
          <cell r="C2982" t="str">
            <v xml:space="preserve">UN    </v>
          </cell>
          <cell r="D2982">
            <v>393.55</v>
          </cell>
        </row>
        <row r="2983">
          <cell r="A2983">
            <v>3900</v>
          </cell>
          <cell r="B2983" t="str">
            <v>LUVA DE CORRER PARA TUBO ROSCAVEL, PVC, 1 1/2", PARA AGUA FRIA PREDIAL</v>
          </cell>
          <cell r="C2983" t="str">
            <v xml:space="preserve">UN    </v>
          </cell>
          <cell r="D2983">
            <v>28.04</v>
          </cell>
        </row>
        <row r="2984">
          <cell r="A2984">
            <v>3846</v>
          </cell>
          <cell r="B2984" t="str">
            <v>LUVA DE CORRER PARA TUBO ROSCAVEL, PVC, 1/2", PARA AGUA FRIA PREDIAL</v>
          </cell>
          <cell r="C2984" t="str">
            <v xml:space="preserve">UN    </v>
          </cell>
          <cell r="D2984">
            <v>8.84</v>
          </cell>
        </row>
        <row r="2985">
          <cell r="A2985">
            <v>3886</v>
          </cell>
          <cell r="B2985" t="str">
            <v>LUVA DE CORRER PARA TUBO ROSCAVEL, PVC, 3/4", PARA AGUA FRIA PREDIAL</v>
          </cell>
          <cell r="C2985" t="str">
            <v xml:space="preserve">UN    </v>
          </cell>
          <cell r="D2985">
            <v>9.31</v>
          </cell>
        </row>
        <row r="2986">
          <cell r="A2986">
            <v>3854</v>
          </cell>
          <cell r="B2986" t="str">
            <v>LUVA DE CORRER PARA TUBO SOLDAVEL, PVC, 20 MM, PARA AGUA FRIA PREDIAL</v>
          </cell>
          <cell r="C2986" t="str">
            <v xml:space="preserve">UN    </v>
          </cell>
          <cell r="D2986">
            <v>5.17</v>
          </cell>
        </row>
        <row r="2987">
          <cell r="A2987">
            <v>3873</v>
          </cell>
          <cell r="B2987" t="str">
            <v>LUVA DE CORRER PARA TUBO SOLDAVEL, PVC, 25 MM, PARA AGUA FRIA PREDIAL</v>
          </cell>
          <cell r="C2987" t="str">
            <v xml:space="preserve">UN    </v>
          </cell>
          <cell r="D2987">
            <v>6.85</v>
          </cell>
        </row>
        <row r="2988">
          <cell r="A2988">
            <v>38021</v>
          </cell>
          <cell r="B2988" t="str">
            <v>LUVA DE CORRER PARA TUBO SOLDAVEL, PVC, 32 MM, PARA AGUA FRIA PREDIAL</v>
          </cell>
          <cell r="C2988" t="str">
            <v xml:space="preserve">UN    </v>
          </cell>
          <cell r="D2988">
            <v>16.37</v>
          </cell>
        </row>
        <row r="2989">
          <cell r="A2989">
            <v>3847</v>
          </cell>
          <cell r="B2989" t="str">
            <v>LUVA DE CORRER PARA TUBO SOLDAVEL, PVC, 50 MM, PARA AGUA FRIA PREDIAL</v>
          </cell>
          <cell r="C2989" t="str">
            <v xml:space="preserve">UN    </v>
          </cell>
          <cell r="D2989">
            <v>18.59</v>
          </cell>
        </row>
        <row r="2990">
          <cell r="A2990">
            <v>38022</v>
          </cell>
          <cell r="B2990" t="str">
            <v>LUVA DE CORRER PARA TUBO SOLDAVEL, PVC, 60 MM, PARA AGUA FRIA PREDIAL</v>
          </cell>
          <cell r="C2990" t="str">
            <v xml:space="preserve">UN    </v>
          </cell>
          <cell r="D2990">
            <v>29.03</v>
          </cell>
        </row>
        <row r="2991">
          <cell r="A2991">
            <v>3833</v>
          </cell>
          <cell r="B2991" t="str">
            <v>LUVA DE CORRER PVC, JE, DN 100 MM, PARA REDE COLETORA DE ESGOTO (NBR 10569)</v>
          </cell>
          <cell r="C2991" t="str">
            <v xml:space="preserve">UN    </v>
          </cell>
          <cell r="D2991">
            <v>13.66</v>
          </cell>
        </row>
        <row r="2992">
          <cell r="A2992">
            <v>3835</v>
          </cell>
          <cell r="B2992" t="str">
            <v>LUVA DE CORRER PVC, JE, DN 150 MM, PARA REDE COLETORA DE ESGOTO (NBR 10569)</v>
          </cell>
          <cell r="C2992" t="str">
            <v xml:space="preserve">UN    </v>
          </cell>
          <cell r="D2992">
            <v>44.47</v>
          </cell>
        </row>
        <row r="2993">
          <cell r="A2993">
            <v>3836</v>
          </cell>
          <cell r="B2993" t="str">
            <v>LUVA DE CORRER PVC, JE, DN 200 MM, PARA REDE COLETORA DE ESGOTO (NBR 10569)</v>
          </cell>
          <cell r="C2993" t="str">
            <v xml:space="preserve">UN    </v>
          </cell>
          <cell r="D2993">
            <v>95.71</v>
          </cell>
        </row>
        <row r="2994">
          <cell r="A2994">
            <v>3830</v>
          </cell>
          <cell r="B2994" t="str">
            <v>LUVA DE CORRER PVC, JE, DN 250 MM, PARA REDE COLETORA DE ESGOTO (NBR 10569)</v>
          </cell>
          <cell r="C2994" t="str">
            <v xml:space="preserve">UN    </v>
          </cell>
          <cell r="D2994">
            <v>156.49</v>
          </cell>
        </row>
        <row r="2995">
          <cell r="A2995">
            <v>3831</v>
          </cell>
          <cell r="B2995" t="str">
            <v>LUVA DE CORRER PVC, JE, DN 300 MM, PARA REDE COLETORA DE ESGOTO (NBR 10569)</v>
          </cell>
          <cell r="C2995" t="str">
            <v xml:space="preserve">UN    </v>
          </cell>
          <cell r="D2995">
            <v>261.60000000000002</v>
          </cell>
        </row>
        <row r="2996">
          <cell r="A2996">
            <v>37981</v>
          </cell>
          <cell r="B2996" t="str">
            <v>LUVA DE CORRER, CPVC, SOLDAVEL, 15 MM, PARA AGUA QUENTE PREDIAL</v>
          </cell>
          <cell r="C2996" t="str">
            <v xml:space="preserve">UN    </v>
          </cell>
          <cell r="D2996">
            <v>6.49</v>
          </cell>
        </row>
        <row r="2997">
          <cell r="A2997">
            <v>37982</v>
          </cell>
          <cell r="B2997" t="str">
            <v>LUVA DE CORRER, CPVC, SOLDAVEL, 22 MM, PARA AGUA QUENTE PREDIAL</v>
          </cell>
          <cell r="C2997" t="str">
            <v xml:space="preserve">UN    </v>
          </cell>
          <cell r="D2997">
            <v>9.86</v>
          </cell>
        </row>
        <row r="2998">
          <cell r="A2998">
            <v>37983</v>
          </cell>
          <cell r="B2998" t="str">
            <v>LUVA DE CORRER, CPVC, SOLDAVEL, 28 MM, PARA AGUA QUENTE PREDIAL</v>
          </cell>
          <cell r="C2998" t="str">
            <v xml:space="preserve">UN    </v>
          </cell>
          <cell r="D2998">
            <v>13.8</v>
          </cell>
        </row>
        <row r="2999">
          <cell r="A2999">
            <v>37984</v>
          </cell>
          <cell r="B2999" t="str">
            <v>LUVA DE CORRER, CPVC, SOLDAVEL, 35 MM, PARA AGUA QUENTE PREDIAL</v>
          </cell>
          <cell r="C2999" t="str">
            <v xml:space="preserve">UN    </v>
          </cell>
          <cell r="D2999">
            <v>23.84</v>
          </cell>
        </row>
        <row r="3000">
          <cell r="A3000">
            <v>37985</v>
          </cell>
          <cell r="B3000" t="str">
            <v>LUVA DE CORRER, CPVC, SOLDAVEL, 42 MM, PARA AGUA QUENTE PREDIAL</v>
          </cell>
          <cell r="C3000" t="str">
            <v xml:space="preserve">UN    </v>
          </cell>
          <cell r="D3000">
            <v>33.380000000000003</v>
          </cell>
        </row>
        <row r="3001">
          <cell r="A3001">
            <v>3826</v>
          </cell>
          <cell r="B3001" t="str">
            <v>LUVA DE CORRER, PVC PBA, JE, DN 100 / DE 110 MM, PARA REDE AGUA (NBR 10351)</v>
          </cell>
          <cell r="C3001" t="str">
            <v xml:space="preserve">UN    </v>
          </cell>
          <cell r="D3001">
            <v>39.68</v>
          </cell>
        </row>
        <row r="3002">
          <cell r="A3002">
            <v>3825</v>
          </cell>
          <cell r="B3002" t="str">
            <v>LUVA DE CORRER, PVC PBA, JE, DN 50 / DE 60 MM, PARA REDE AGUA (NBR 10351)</v>
          </cell>
          <cell r="C3002" t="str">
            <v xml:space="preserve">UN    </v>
          </cell>
          <cell r="D3002">
            <v>11.41</v>
          </cell>
        </row>
        <row r="3003">
          <cell r="A3003">
            <v>3827</v>
          </cell>
          <cell r="B3003" t="str">
            <v>LUVA DE CORRER, PVC PBA, JE, DN 75 / DE 85 MM, PARA REDE AGUA (NBR 10351)</v>
          </cell>
          <cell r="C3003" t="str">
            <v xml:space="preserve">UN    </v>
          </cell>
          <cell r="D3003">
            <v>24.93</v>
          </cell>
        </row>
        <row r="3004">
          <cell r="A3004">
            <v>20165</v>
          </cell>
          <cell r="B3004" t="str">
            <v>LUVA DE CORRER, PVC SERIE REFORCADA - R, 100 MM, PARA ESGOTO PREDIAL</v>
          </cell>
          <cell r="C3004" t="str">
            <v xml:space="preserve">UN    </v>
          </cell>
          <cell r="D3004">
            <v>14.67</v>
          </cell>
        </row>
        <row r="3005">
          <cell r="A3005">
            <v>20166</v>
          </cell>
          <cell r="B3005" t="str">
            <v>LUVA DE CORRER, PVC SERIE REFORCADA - R, 150 MM, PARA ESGOTO PREDIAL</v>
          </cell>
          <cell r="C3005" t="str">
            <v xml:space="preserve">UN    </v>
          </cell>
          <cell r="D3005">
            <v>47.41</v>
          </cell>
        </row>
        <row r="3006">
          <cell r="A3006">
            <v>20164</v>
          </cell>
          <cell r="B3006" t="str">
            <v>LUVA DE CORRER, PVC SERIE REFORCADA - R, 75 MM, PARA ESGOTO PREDIAL</v>
          </cell>
          <cell r="C3006" t="str">
            <v xml:space="preserve">UN    </v>
          </cell>
          <cell r="D3006">
            <v>7.75</v>
          </cell>
        </row>
        <row r="3007">
          <cell r="A3007">
            <v>3893</v>
          </cell>
          <cell r="B3007" t="str">
            <v>LUVA DE CORRER, PVC, DN 100 MM, PARA ESGOTO PREDIAL</v>
          </cell>
          <cell r="C3007" t="str">
            <v xml:space="preserve">UN    </v>
          </cell>
          <cell r="D3007">
            <v>9.61</v>
          </cell>
        </row>
        <row r="3008">
          <cell r="A3008">
            <v>3848</v>
          </cell>
          <cell r="B3008" t="str">
            <v>LUVA DE CORRER, PVC, DN 50 MM, PARA ESGOTO PREDIAL</v>
          </cell>
          <cell r="C3008" t="str">
            <v xml:space="preserve">UN    </v>
          </cell>
          <cell r="D3008">
            <v>5.84</v>
          </cell>
        </row>
        <row r="3009">
          <cell r="A3009">
            <v>3895</v>
          </cell>
          <cell r="B3009" t="str">
            <v>LUVA DE CORRER, PVC, DN 75 MM, PARA ESGOTO PREDIAL</v>
          </cell>
          <cell r="C3009" t="str">
            <v xml:space="preserve">UN    </v>
          </cell>
          <cell r="D3009">
            <v>6.35</v>
          </cell>
        </row>
        <row r="3010">
          <cell r="A3010">
            <v>12404</v>
          </cell>
          <cell r="B3010" t="str">
            <v>LUVA DE FERRO GALVANIZADO, COM ROSCA BSP MACHO/FEMEA, DE 3/4"</v>
          </cell>
          <cell r="C3010" t="str">
            <v xml:space="preserve">UN    </v>
          </cell>
          <cell r="D3010">
            <v>5.1100000000000003</v>
          </cell>
        </row>
        <row r="3011">
          <cell r="A3011">
            <v>3939</v>
          </cell>
          <cell r="B3011" t="str">
            <v>LUVA DE FERRO GALVANIZADO, COM ROSCA BSP, DE 1 1/2"</v>
          </cell>
          <cell r="C3011" t="str">
            <v xml:space="preserve">UN    </v>
          </cell>
          <cell r="D3011">
            <v>10.54</v>
          </cell>
        </row>
        <row r="3012">
          <cell r="A3012">
            <v>3911</v>
          </cell>
          <cell r="B3012" t="str">
            <v>LUVA DE FERRO GALVANIZADO, COM ROSCA BSP, DE 1 1/4"</v>
          </cell>
          <cell r="C3012" t="str">
            <v xml:space="preserve">UN    </v>
          </cell>
          <cell r="D3012">
            <v>8.61</v>
          </cell>
        </row>
        <row r="3013">
          <cell r="A3013">
            <v>3908</v>
          </cell>
          <cell r="B3013" t="str">
            <v>LUVA DE FERRO GALVANIZADO, COM ROSCA BSP, DE 1/2"</v>
          </cell>
          <cell r="C3013" t="str">
            <v xml:space="preserve">UN    </v>
          </cell>
          <cell r="D3013">
            <v>2.78</v>
          </cell>
        </row>
        <row r="3014">
          <cell r="A3014">
            <v>3910</v>
          </cell>
          <cell r="B3014" t="str">
            <v>LUVA DE FERRO GALVANIZADO, COM ROSCA BSP, DE 1"</v>
          </cell>
          <cell r="C3014" t="str">
            <v xml:space="preserve">UN    </v>
          </cell>
          <cell r="D3014">
            <v>6.16</v>
          </cell>
        </row>
        <row r="3015">
          <cell r="A3015">
            <v>3913</v>
          </cell>
          <cell r="B3015" t="str">
            <v>LUVA DE FERRO GALVANIZADO, COM ROSCA BSP, DE 2 1/2"</v>
          </cell>
          <cell r="C3015" t="str">
            <v xml:space="preserve">UN    </v>
          </cell>
          <cell r="D3015">
            <v>29.46</v>
          </cell>
        </row>
        <row r="3016">
          <cell r="A3016">
            <v>3912</v>
          </cell>
          <cell r="B3016" t="str">
            <v>LUVA DE FERRO GALVANIZADO, COM ROSCA BSP, DE 2"</v>
          </cell>
          <cell r="C3016" t="str">
            <v xml:space="preserve">UN    </v>
          </cell>
          <cell r="D3016">
            <v>16.149999999999999</v>
          </cell>
        </row>
        <row r="3017">
          <cell r="A3017">
            <v>3909</v>
          </cell>
          <cell r="B3017" t="str">
            <v>LUVA DE FERRO GALVANIZADO, COM ROSCA BSP, DE 3/4"</v>
          </cell>
          <cell r="C3017" t="str">
            <v xml:space="preserve">UN    </v>
          </cell>
          <cell r="D3017">
            <v>3.79</v>
          </cell>
        </row>
        <row r="3018">
          <cell r="A3018">
            <v>3914</v>
          </cell>
          <cell r="B3018" t="str">
            <v>LUVA DE FERRO GALVANIZADO, COM ROSCA BSP, DE 3"</v>
          </cell>
          <cell r="C3018" t="str">
            <v xml:space="preserve">UN    </v>
          </cell>
          <cell r="D3018">
            <v>44.44</v>
          </cell>
        </row>
        <row r="3019">
          <cell r="A3019">
            <v>3915</v>
          </cell>
          <cell r="B3019" t="str">
            <v>LUVA DE FERRO GALVANIZADO, COM ROSCA BSP, DE 4"</v>
          </cell>
          <cell r="C3019" t="str">
            <v xml:space="preserve">UN    </v>
          </cell>
          <cell r="D3019">
            <v>70.08</v>
          </cell>
        </row>
        <row r="3020">
          <cell r="A3020">
            <v>3916</v>
          </cell>
          <cell r="B3020" t="str">
            <v>LUVA DE FERRO GALVANIZADO, COM ROSCA BSP, DE 5"</v>
          </cell>
          <cell r="C3020" t="str">
            <v xml:space="preserve">UN    </v>
          </cell>
          <cell r="D3020">
            <v>127.67</v>
          </cell>
        </row>
        <row r="3021">
          <cell r="A3021">
            <v>3917</v>
          </cell>
          <cell r="B3021" t="str">
            <v>LUVA DE FERRO GALVANIZADO, COM ROSCA BSP, DE 6"</v>
          </cell>
          <cell r="C3021" t="str">
            <v xml:space="preserve">UN    </v>
          </cell>
          <cell r="D3021">
            <v>210.57</v>
          </cell>
        </row>
        <row r="3022">
          <cell r="A3022">
            <v>1904</v>
          </cell>
          <cell r="B3022" t="str">
            <v>LUVA DE PRESSAO, EM PVC, DE 20 MM, PARA ELETRODUTO FLEXIVEL</v>
          </cell>
          <cell r="C3022" t="str">
            <v xml:space="preserve">UN    </v>
          </cell>
          <cell r="D3022">
            <v>0.66</v>
          </cell>
        </row>
        <row r="3023">
          <cell r="A3023">
            <v>1899</v>
          </cell>
          <cell r="B3023" t="str">
            <v>LUVA DE PRESSAO, EM PVC, DE 25 MM, PARA ELETRODUTO FLEXIVEL</v>
          </cell>
          <cell r="C3023" t="str">
            <v xml:space="preserve">UN    </v>
          </cell>
          <cell r="D3023">
            <v>0.75</v>
          </cell>
        </row>
        <row r="3024">
          <cell r="A3024">
            <v>1900</v>
          </cell>
          <cell r="B3024" t="str">
            <v>LUVA DE PRESSAO, EM PVC, DE 32 MM, PARA ELETRODUTO FLEXIVEL</v>
          </cell>
          <cell r="C3024" t="str">
            <v xml:space="preserve">UN    </v>
          </cell>
          <cell r="D3024">
            <v>1.22</v>
          </cell>
        </row>
        <row r="3025">
          <cell r="A3025">
            <v>12407</v>
          </cell>
          <cell r="B3025" t="str">
            <v>LUVA DE REDUCAO DE FERRO GALVANIZADO, COM ROSCA BSP MACHO/FEMEA, DE 1 1/2" X 1"</v>
          </cell>
          <cell r="C3025" t="str">
            <v xml:space="preserve">UN    </v>
          </cell>
          <cell r="D3025">
            <v>15.94</v>
          </cell>
        </row>
        <row r="3026">
          <cell r="A3026">
            <v>12408</v>
          </cell>
          <cell r="B3026" t="str">
            <v>LUVA DE REDUCAO DE FERRO GALVANIZADO, COM ROSCA BSP MACHO/FEMEA, DE 1" X 1/2"</v>
          </cell>
          <cell r="C3026" t="str">
            <v xml:space="preserve">UN    </v>
          </cell>
          <cell r="D3026">
            <v>8.99</v>
          </cell>
        </row>
        <row r="3027">
          <cell r="A3027">
            <v>12409</v>
          </cell>
          <cell r="B3027" t="str">
            <v>LUVA DE REDUCAO DE FERRO GALVANIZADO, COM ROSCA BSP MACHO/FEMEA, DE 1" X 3/4"</v>
          </cell>
          <cell r="C3027" t="str">
            <v xml:space="preserve">UN    </v>
          </cell>
          <cell r="D3027">
            <v>8.99</v>
          </cell>
        </row>
        <row r="3028">
          <cell r="A3028">
            <v>12410</v>
          </cell>
          <cell r="B3028" t="str">
            <v>LUVA DE REDUCAO DE FERRO GALVANIZADO, COM ROSCA BSP MACHO/FEMEA, DE 3/4" X 1/2"</v>
          </cell>
          <cell r="C3028" t="str">
            <v xml:space="preserve">UN    </v>
          </cell>
          <cell r="D3028">
            <v>6.2</v>
          </cell>
        </row>
        <row r="3029">
          <cell r="A3029">
            <v>3936</v>
          </cell>
          <cell r="B3029" t="str">
            <v>LUVA DE REDUCAO DE FERRO GALVANIZADO, COM ROSCA BSP, DE 1 1/2" X 1 1/4"</v>
          </cell>
          <cell r="C3029" t="str">
            <v xml:space="preserve">UN    </v>
          </cell>
          <cell r="D3029">
            <v>11.2</v>
          </cell>
        </row>
        <row r="3030">
          <cell r="A3030">
            <v>3922</v>
          </cell>
          <cell r="B3030" t="str">
            <v>LUVA DE REDUCAO DE FERRO GALVANIZADO, COM ROSCA BSP, DE 1 1/2" X 1/2"</v>
          </cell>
          <cell r="C3030" t="str">
            <v xml:space="preserve">UN    </v>
          </cell>
          <cell r="D3030">
            <v>10.3</v>
          </cell>
        </row>
        <row r="3031">
          <cell r="A3031">
            <v>3924</v>
          </cell>
          <cell r="B3031" t="str">
            <v>LUVA DE REDUCAO DE FERRO GALVANIZADO, COM ROSCA BSP, DE 1 1/2" X 1"</v>
          </cell>
          <cell r="C3031" t="str">
            <v xml:space="preserve">UN    </v>
          </cell>
          <cell r="D3031">
            <v>11.2</v>
          </cell>
        </row>
        <row r="3032">
          <cell r="A3032">
            <v>3923</v>
          </cell>
          <cell r="B3032" t="str">
            <v>LUVA DE REDUCAO DE FERRO GALVANIZADO, COM ROSCA BSP, DE 1 1/2" X 3/4"</v>
          </cell>
          <cell r="C3032" t="str">
            <v xml:space="preserve">UN    </v>
          </cell>
          <cell r="D3032">
            <v>11.2</v>
          </cell>
        </row>
        <row r="3033">
          <cell r="A3033">
            <v>3937</v>
          </cell>
          <cell r="B3033" t="str">
            <v>LUVA DE REDUCAO DE FERRO GALVANIZADO, COM ROSCA BSP, DE 1 1/4" X 1/2"</v>
          </cell>
          <cell r="C3033" t="str">
            <v xml:space="preserve">UN    </v>
          </cell>
          <cell r="D3033">
            <v>9.24</v>
          </cell>
        </row>
        <row r="3034">
          <cell r="A3034">
            <v>3921</v>
          </cell>
          <cell r="B3034" t="str">
            <v>LUVA DE REDUCAO DE FERRO GALVANIZADO, COM ROSCA BSP, DE 1 1/4" X 1"</v>
          </cell>
          <cell r="C3034" t="str">
            <v xml:space="preserve">UN    </v>
          </cell>
          <cell r="D3034">
            <v>9.24</v>
          </cell>
        </row>
        <row r="3035">
          <cell r="A3035">
            <v>3920</v>
          </cell>
          <cell r="B3035" t="str">
            <v>LUVA DE REDUCAO DE FERRO GALVANIZADO, COM ROSCA BSP, DE 1 1/4" X 3/4"</v>
          </cell>
          <cell r="C3035" t="str">
            <v xml:space="preserve">UN    </v>
          </cell>
          <cell r="D3035">
            <v>9.24</v>
          </cell>
        </row>
        <row r="3036">
          <cell r="A3036">
            <v>3938</v>
          </cell>
          <cell r="B3036" t="str">
            <v>LUVA DE REDUCAO DE FERRO GALVANIZADO, COM ROSCA BSP, DE 1" X 1/2"</v>
          </cell>
          <cell r="C3036" t="str">
            <v xml:space="preserve">UN    </v>
          </cell>
          <cell r="D3036">
            <v>6.09</v>
          </cell>
        </row>
        <row r="3037">
          <cell r="A3037">
            <v>3919</v>
          </cell>
          <cell r="B3037" t="str">
            <v>LUVA DE REDUCAO DE FERRO GALVANIZADO, COM ROSCA BSP, DE 1" X 3/4"</v>
          </cell>
          <cell r="C3037" t="str">
            <v xml:space="preserve">UN    </v>
          </cell>
          <cell r="D3037">
            <v>6.21</v>
          </cell>
        </row>
        <row r="3038">
          <cell r="A3038">
            <v>3927</v>
          </cell>
          <cell r="B3038" t="str">
            <v>LUVA DE REDUCAO DE FERRO GALVANIZADO, COM ROSCA BSP, DE 2 1/2" X 1 1/2"</v>
          </cell>
          <cell r="C3038" t="str">
            <v xml:space="preserve">UN    </v>
          </cell>
          <cell r="D3038">
            <v>31.45</v>
          </cell>
        </row>
        <row r="3039">
          <cell r="A3039">
            <v>3928</v>
          </cell>
          <cell r="B3039" t="str">
            <v>LUVA DE REDUCAO DE FERRO GALVANIZADO, COM ROSCA BSP, DE 2 1/2" X 2"</v>
          </cell>
          <cell r="C3039" t="str">
            <v xml:space="preserve">UN    </v>
          </cell>
          <cell r="D3039">
            <v>31.45</v>
          </cell>
        </row>
        <row r="3040">
          <cell r="A3040">
            <v>3926</v>
          </cell>
          <cell r="B3040" t="str">
            <v>LUVA DE REDUCAO DE FERRO GALVANIZADO, COM ROSCA BSP, DE 2" X 1 1/2"</v>
          </cell>
          <cell r="C3040" t="str">
            <v xml:space="preserve">UN    </v>
          </cell>
          <cell r="D3040">
            <v>17.93</v>
          </cell>
        </row>
        <row r="3041">
          <cell r="A3041">
            <v>3935</v>
          </cell>
          <cell r="B3041" t="str">
            <v>LUVA DE REDUCAO DE FERRO GALVANIZADO, COM ROSCA BSP, DE 2" X 1 1/4"</v>
          </cell>
          <cell r="C3041" t="str">
            <v xml:space="preserve">UN    </v>
          </cell>
          <cell r="D3041">
            <v>17.93</v>
          </cell>
        </row>
        <row r="3042">
          <cell r="A3042">
            <v>3925</v>
          </cell>
          <cell r="B3042" t="str">
            <v>LUVA DE REDUCAO DE FERRO GALVANIZADO, COM ROSCA BSP, DE 2" X 1"</v>
          </cell>
          <cell r="C3042" t="str">
            <v xml:space="preserve">UN    </v>
          </cell>
          <cell r="D3042">
            <v>17.93</v>
          </cell>
        </row>
        <row r="3043">
          <cell r="A3043">
            <v>12406</v>
          </cell>
          <cell r="B3043" t="str">
            <v>LUVA DE REDUCAO DE FERRO GALVANIZADO, COM ROSCA BSP, DE 3/4" X 1/2"</v>
          </cell>
          <cell r="C3043" t="str">
            <v xml:space="preserve">UN    </v>
          </cell>
          <cell r="D3043">
            <v>4.4000000000000004</v>
          </cell>
        </row>
        <row r="3044">
          <cell r="A3044">
            <v>3929</v>
          </cell>
          <cell r="B3044" t="str">
            <v>LUVA DE REDUCAO DE FERRO GALVANIZADO, COM ROSCA BSP, DE 3" X 1 1/2"</v>
          </cell>
          <cell r="C3044" t="str">
            <v xml:space="preserve">UN    </v>
          </cell>
          <cell r="D3044">
            <v>47.92</v>
          </cell>
        </row>
        <row r="3045">
          <cell r="A3045">
            <v>3931</v>
          </cell>
          <cell r="B3045" t="str">
            <v>LUVA DE REDUCAO DE FERRO GALVANIZADO, COM ROSCA BSP, DE 3" X 2 1/2"</v>
          </cell>
          <cell r="C3045" t="str">
            <v xml:space="preserve">UN    </v>
          </cell>
          <cell r="D3045">
            <v>47.92</v>
          </cell>
        </row>
        <row r="3046">
          <cell r="A3046">
            <v>3930</v>
          </cell>
          <cell r="B3046" t="str">
            <v>LUVA DE REDUCAO DE FERRO GALVANIZADO, COM ROSCA BSP, DE 3" X 2"</v>
          </cell>
          <cell r="C3046" t="str">
            <v xml:space="preserve">UN    </v>
          </cell>
          <cell r="D3046">
            <v>47.92</v>
          </cell>
        </row>
        <row r="3047">
          <cell r="A3047">
            <v>3932</v>
          </cell>
          <cell r="B3047" t="str">
            <v>LUVA DE REDUCAO DE FERRO GALVANIZADO, COM ROSCA BSP, DE 4" X 2 1/2"</v>
          </cell>
          <cell r="C3047" t="str">
            <v xml:space="preserve">UN    </v>
          </cell>
          <cell r="D3047">
            <v>82.75</v>
          </cell>
        </row>
        <row r="3048">
          <cell r="A3048">
            <v>3933</v>
          </cell>
          <cell r="B3048" t="str">
            <v>LUVA DE REDUCAO DE FERRO GALVANIZADO, COM ROSCA BSP, DE 4" X 2"</v>
          </cell>
          <cell r="C3048" t="str">
            <v xml:space="preserve">UN    </v>
          </cell>
          <cell r="D3048">
            <v>82.75</v>
          </cell>
        </row>
        <row r="3049">
          <cell r="A3049">
            <v>3934</v>
          </cell>
          <cell r="B3049" t="str">
            <v>LUVA DE REDUCAO DE FERRO GALVANIZADO, COM ROSCA BSP, DE 4" X 3"</v>
          </cell>
          <cell r="C3049" t="str">
            <v xml:space="preserve">UN    </v>
          </cell>
          <cell r="D3049">
            <v>82.75</v>
          </cell>
        </row>
        <row r="3050">
          <cell r="A3050">
            <v>40355</v>
          </cell>
          <cell r="B3050" t="str">
            <v>LUVA DE REDUCAO EM ACO CARBONO, COM ENCAIXE PARA SOLDA DN SW, PRESSAO 3.000 LBS,  3/4 " X 1/2"</v>
          </cell>
          <cell r="C3050" t="str">
            <v xml:space="preserve">UN    </v>
          </cell>
          <cell r="D3050">
            <v>5.86</v>
          </cell>
        </row>
        <row r="3051">
          <cell r="A3051">
            <v>40364</v>
          </cell>
          <cell r="B3051" t="str">
            <v>LUVA DE REDUCAO EM ACO CARBONO, COM ENCAIXE PARA SOLDA DN SW, PRESSAO 3.000 LBS, DN 1 1/2" X 1 1/4"</v>
          </cell>
          <cell r="C3051" t="str">
            <v xml:space="preserve">UN    </v>
          </cell>
          <cell r="D3051">
            <v>27.48</v>
          </cell>
        </row>
        <row r="3052">
          <cell r="A3052">
            <v>40361</v>
          </cell>
          <cell r="B3052" t="str">
            <v>LUVA DE REDUCAO EM ACO CARBONO, COM ENCAIXE PARA SOLDA DN SW, PRESSAO 3.000 LBS, DN 1 1/4"  X 1"</v>
          </cell>
          <cell r="C3052" t="str">
            <v xml:space="preserve">UN    </v>
          </cell>
          <cell r="D3052">
            <v>21.49</v>
          </cell>
        </row>
        <row r="3053">
          <cell r="A3053">
            <v>40358</v>
          </cell>
          <cell r="B3053" t="str">
            <v>LUVA DE REDUCAO EM ACO CARBONO, COM ENCAIXE PARA SOLDA DN SW, PRESSAO 3.000 LBS, DN 1" X 3/4"</v>
          </cell>
          <cell r="C3053" t="str">
            <v xml:space="preserve">UN    </v>
          </cell>
          <cell r="D3053">
            <v>8.19</v>
          </cell>
        </row>
        <row r="3054">
          <cell r="A3054">
            <v>40370</v>
          </cell>
          <cell r="B3054" t="str">
            <v>LUVA DE REDUCAO EM ACO CARBONO, COM ENCAIXE PARA SOLDA DN SW, PRESSAO 3.000 LBS, DN 2 1/2" X 2"</v>
          </cell>
          <cell r="C3054" t="str">
            <v xml:space="preserve">UN    </v>
          </cell>
          <cell r="D3054">
            <v>87.2</v>
          </cell>
        </row>
        <row r="3055">
          <cell r="A3055">
            <v>40367</v>
          </cell>
          <cell r="B3055" t="str">
            <v>LUVA DE REDUCAO EM ACO CARBONO, COM ENCAIXE PARA SOLDA DN SW, PRESSAO 3.000 LBS, DN 2" X 1 1/2"</v>
          </cell>
          <cell r="C3055" t="str">
            <v xml:space="preserve">UN    </v>
          </cell>
          <cell r="D3055">
            <v>43.34</v>
          </cell>
        </row>
        <row r="3056">
          <cell r="A3056">
            <v>40373</v>
          </cell>
          <cell r="B3056" t="str">
            <v>LUVA DE REDUCAO EM ACO CARBONO, COM ENCAIXE PARA SOLDA DN SW, PRESSAO 3.000 LBS, DN 3" X 2 1/2"</v>
          </cell>
          <cell r="C3056" t="str">
            <v xml:space="preserve">UN    </v>
          </cell>
          <cell r="D3056">
            <v>117.92</v>
          </cell>
        </row>
        <row r="3057">
          <cell r="A3057">
            <v>38947</v>
          </cell>
          <cell r="B3057" t="str">
            <v>LUVA DE REDUCAO PARA TUBO PEX, METALICA, PARA CONEXAO COM ANEL DESLIZANTE, DN 20 X 16 MM</v>
          </cell>
          <cell r="C3057" t="str">
            <v xml:space="preserve">UN    </v>
          </cell>
          <cell r="D3057">
            <v>5.43</v>
          </cell>
        </row>
        <row r="3058">
          <cell r="A3058">
            <v>38948</v>
          </cell>
          <cell r="B3058" t="str">
            <v>LUVA DE REDUCAO PARA TUBO PEX, METALICA, PARA CONEXAO COM ANEL DESLIZANTE, DN 25 X 16 MM</v>
          </cell>
          <cell r="C3058" t="str">
            <v xml:space="preserve">UN    </v>
          </cell>
          <cell r="D3058">
            <v>8.66</v>
          </cell>
        </row>
        <row r="3059">
          <cell r="A3059">
            <v>38949</v>
          </cell>
          <cell r="B3059" t="str">
            <v>LUVA DE REDUCAO PARA TUBO PEX, METALICA, PARA CONEXAO COM ANEL DESLIZANTE, DN 25 X 20 MM</v>
          </cell>
          <cell r="C3059" t="str">
            <v xml:space="preserve">UN    </v>
          </cell>
          <cell r="D3059">
            <v>9.61</v>
          </cell>
        </row>
        <row r="3060">
          <cell r="A3060">
            <v>38951</v>
          </cell>
          <cell r="B3060" t="str">
            <v>LUVA DE REDUCAO PARA TUBO PEX, METALICA, PARA CONEXAO COM ANEL DESLIZANTE, DN 32 X 25 MM</v>
          </cell>
          <cell r="C3060" t="str">
            <v xml:space="preserve">UN    </v>
          </cell>
          <cell r="D3060">
            <v>15.2</v>
          </cell>
        </row>
        <row r="3061">
          <cell r="A3061">
            <v>39312</v>
          </cell>
          <cell r="B3061" t="str">
            <v>LUVA DE REDUCAO PARA TUBO PEX, PLASTICA, PARA CONEXAO COM CRIMPAGEM, DN 20 X 16 MM</v>
          </cell>
          <cell r="C3061" t="str">
            <v xml:space="preserve">UN    </v>
          </cell>
          <cell r="D3061">
            <v>11.79</v>
          </cell>
        </row>
        <row r="3062">
          <cell r="A3062">
            <v>39313</v>
          </cell>
          <cell r="B3062" t="str">
            <v>LUVA DE REDUCAO PARA TUBO PEX, PLASTICA, PARA CONEXAO COM CRIMPAGEM, DN 25 X 16 MM</v>
          </cell>
          <cell r="C3062" t="str">
            <v xml:space="preserve">UN    </v>
          </cell>
          <cell r="D3062">
            <v>15.39</v>
          </cell>
        </row>
        <row r="3063">
          <cell r="A3063">
            <v>38950</v>
          </cell>
          <cell r="B3063" t="str">
            <v>LUVA DE REDUCAO PARA TUBO PEX, PLASTICA, PARA CONEXAO COM CRIMPAGEM, DN 32 X 20 MM</v>
          </cell>
          <cell r="C3063" t="str">
            <v xml:space="preserve">UN    </v>
          </cell>
          <cell r="D3063">
            <v>23.16</v>
          </cell>
        </row>
        <row r="3064">
          <cell r="A3064">
            <v>39314</v>
          </cell>
          <cell r="B3064" t="str">
            <v>LUVA DE REDUCAO PARA TUBO PEX, PLASTICA, PARA CONEXAO COM CRIMPAGEM, DN 32 X 25 MM</v>
          </cell>
          <cell r="C3064" t="str">
            <v xml:space="preserve">UN    </v>
          </cell>
          <cell r="D3064">
            <v>24.44</v>
          </cell>
        </row>
        <row r="3065">
          <cell r="A3065">
            <v>3907</v>
          </cell>
          <cell r="B3065" t="str">
            <v>LUVA DE REDUCAO ROSCAVEL, PVC, 1" X 3/4", PARA AGUA FRIA PREDIAL</v>
          </cell>
          <cell r="C3065" t="str">
            <v xml:space="preserve">UN    </v>
          </cell>
          <cell r="D3065">
            <v>2.9</v>
          </cell>
        </row>
        <row r="3066">
          <cell r="A3066">
            <v>3889</v>
          </cell>
          <cell r="B3066" t="str">
            <v>LUVA DE REDUCAO ROSCAVEL, PVC, 3/4" X 1/2", PARA AGUA FRIA PREDIAL</v>
          </cell>
          <cell r="C3066" t="str">
            <v xml:space="preserve">UN    </v>
          </cell>
          <cell r="D3066">
            <v>2.2200000000000002</v>
          </cell>
        </row>
        <row r="3067">
          <cell r="A3067">
            <v>3868</v>
          </cell>
          <cell r="B3067" t="str">
            <v>LUVA DE REDUCAO SOLDAVEL, PVC, 25 MM X 20 MM, PARA AGUA FRIA PREDIAL</v>
          </cell>
          <cell r="C3067" t="str">
            <v xml:space="preserve">UN    </v>
          </cell>
          <cell r="D3067">
            <v>0.86</v>
          </cell>
        </row>
        <row r="3068">
          <cell r="A3068">
            <v>3869</v>
          </cell>
          <cell r="B3068" t="str">
            <v>LUVA DE REDUCAO SOLDAVEL, PVC, 32 MM X 25 MM, PARA AGUA FRIA PREDIAL</v>
          </cell>
          <cell r="C3068" t="str">
            <v xml:space="preserve">UN    </v>
          </cell>
          <cell r="D3068">
            <v>2.46</v>
          </cell>
        </row>
        <row r="3069">
          <cell r="A3069">
            <v>3872</v>
          </cell>
          <cell r="B3069" t="str">
            <v>LUVA DE REDUCAO SOLDAVEL, PVC, 40 MM X 32 MM, PARA AGUA FRIA PREDIAL</v>
          </cell>
          <cell r="C3069" t="str">
            <v xml:space="preserve">UN    </v>
          </cell>
          <cell r="D3069">
            <v>2.99</v>
          </cell>
        </row>
        <row r="3070">
          <cell r="A3070">
            <v>3850</v>
          </cell>
          <cell r="B3070" t="str">
            <v>LUVA DE REDUCAO SOLDAVEL, PVC, 60 MM X 50 MM, PARA AGUA FRIA PREDIAL</v>
          </cell>
          <cell r="C3070" t="str">
            <v xml:space="preserve">UN    </v>
          </cell>
          <cell r="D3070">
            <v>7.72</v>
          </cell>
        </row>
        <row r="3071">
          <cell r="A3071">
            <v>38023</v>
          </cell>
          <cell r="B3071" t="str">
            <v>LUVA DE REDUCAO, PVC, SOLDAVEL, 50 X 25 MM, PARA AGUA FRIA PREDIAL</v>
          </cell>
          <cell r="C3071" t="str">
            <v xml:space="preserve">UN    </v>
          </cell>
          <cell r="D3071">
            <v>3.26</v>
          </cell>
        </row>
        <row r="3072">
          <cell r="A3072">
            <v>37986</v>
          </cell>
          <cell r="B3072" t="str">
            <v>LUVA DE TRANSICAO DE CPVC X PVC, SOLDAVEL, 22 X 25 MM, PARA AGUA QUENTE</v>
          </cell>
          <cell r="C3072" t="str">
            <v xml:space="preserve">UN    </v>
          </cell>
          <cell r="D3072">
            <v>2.23</v>
          </cell>
        </row>
        <row r="3073">
          <cell r="A3073">
            <v>37987</v>
          </cell>
          <cell r="B3073" t="str">
            <v>LUVA DE TRANSICAO, CPVC, SOLDAVEL, 42 MM X 1 1/2", PARA AGUA QUENTE</v>
          </cell>
          <cell r="C3073" t="str">
            <v xml:space="preserve">UN    </v>
          </cell>
          <cell r="D3073">
            <v>166.62</v>
          </cell>
        </row>
        <row r="3074">
          <cell r="A3074">
            <v>37988</v>
          </cell>
          <cell r="B3074" t="str">
            <v>LUVA DE TRANSICAO, CPVC, SOLDAVEL, 54 MM X 2", PARA AGUA QUENTE PREDIAL</v>
          </cell>
          <cell r="C3074" t="str">
            <v xml:space="preserve">UN    </v>
          </cell>
          <cell r="D3074">
            <v>271.77999999999997</v>
          </cell>
        </row>
        <row r="3075">
          <cell r="A3075">
            <v>21120</v>
          </cell>
          <cell r="B3075" t="str">
            <v>LUVA DE TRANSICAO, CPVC, 15 MM X 1/2", PARA AGUA QUENTE PREDIAL</v>
          </cell>
          <cell r="C3075" t="str">
            <v xml:space="preserve">UN    </v>
          </cell>
          <cell r="D3075">
            <v>13.54</v>
          </cell>
        </row>
        <row r="3076">
          <cell r="A3076">
            <v>39318</v>
          </cell>
          <cell r="B3076" t="str">
            <v>LUVA DE TRANSICAO, CPVC, 22 MM X 1/2", PARA AGUA QUENTE</v>
          </cell>
          <cell r="C3076" t="str">
            <v xml:space="preserve">UN    </v>
          </cell>
          <cell r="D3076">
            <v>11.17</v>
          </cell>
        </row>
        <row r="3077">
          <cell r="A3077">
            <v>20162</v>
          </cell>
          <cell r="B3077" t="str">
            <v>LUVA DUPLA, PVC LEVE, DN 150 MM</v>
          </cell>
          <cell r="C3077" t="str">
            <v xml:space="preserve">UN    </v>
          </cell>
          <cell r="D3077">
            <v>10.19</v>
          </cell>
        </row>
        <row r="3078">
          <cell r="A3078">
            <v>40366</v>
          </cell>
          <cell r="B3078" t="str">
            <v>LUVA EM ACO CARBONO, SOLDAVEL, PRESSAO 3.000 LBS, DN 1 1/2"</v>
          </cell>
          <cell r="C3078" t="str">
            <v xml:space="preserve">UN    </v>
          </cell>
          <cell r="D3078">
            <v>21.44</v>
          </cell>
        </row>
        <row r="3079">
          <cell r="A3079">
            <v>40363</v>
          </cell>
          <cell r="B3079" t="str">
            <v>LUVA EM ACO CARBONO, SOLDAVEL, PRESSAO 3.000 LBS, DN 1 1/4"</v>
          </cell>
          <cell r="C3079" t="str">
            <v xml:space="preserve">UN    </v>
          </cell>
          <cell r="D3079">
            <v>16.760000000000002</v>
          </cell>
        </row>
        <row r="3080">
          <cell r="A3080">
            <v>40354</v>
          </cell>
          <cell r="B3080" t="str">
            <v>LUVA EM ACO CARBONO, SOLDAVEL, PRESSAO 3.000 LBS, DN 1/2"</v>
          </cell>
          <cell r="C3080" t="str">
            <v xml:space="preserve">UN    </v>
          </cell>
          <cell r="D3080">
            <v>7.3</v>
          </cell>
        </row>
        <row r="3081">
          <cell r="A3081">
            <v>40360</v>
          </cell>
          <cell r="B3081" t="str">
            <v>LUVA EM ACO CARBONO, SOLDAVEL, PRESSAO 3.000 LBS, DN 1"</v>
          </cell>
          <cell r="C3081" t="str">
            <v xml:space="preserve">UN    </v>
          </cell>
          <cell r="D3081">
            <v>10.99</v>
          </cell>
        </row>
        <row r="3082">
          <cell r="A3082">
            <v>40372</v>
          </cell>
          <cell r="B3082" t="str">
            <v>LUVA EM ACO CARBONO, SOLDAVEL, PRESSAO 3.000 LBS, DN 2 1/2"</v>
          </cell>
          <cell r="C3082" t="str">
            <v xml:space="preserve">UN    </v>
          </cell>
          <cell r="D3082">
            <v>67.88</v>
          </cell>
        </row>
        <row r="3083">
          <cell r="A3083">
            <v>40369</v>
          </cell>
          <cell r="B3083" t="str">
            <v>LUVA EM ACO CARBONO, SOLDAVEL, PRESSAO 3.000 LBS, DN 2"</v>
          </cell>
          <cell r="C3083" t="str">
            <v xml:space="preserve">UN    </v>
          </cell>
          <cell r="D3083">
            <v>33.78</v>
          </cell>
        </row>
        <row r="3084">
          <cell r="A3084">
            <v>40357</v>
          </cell>
          <cell r="B3084" t="str">
            <v>LUVA EM ACO CARBONO, SOLDAVEL, PRESSAO 3.000 LBS, DN 3/4"</v>
          </cell>
          <cell r="C3084" t="str">
            <v xml:space="preserve">UN    </v>
          </cell>
          <cell r="D3084">
            <v>8.19</v>
          </cell>
        </row>
        <row r="3085">
          <cell r="A3085">
            <v>40375</v>
          </cell>
          <cell r="B3085" t="str">
            <v>LUVA EM ACO CARBONO, SOLDAVEL, PRESSAO 3.000 LBS, DN 3"</v>
          </cell>
          <cell r="C3085" t="str">
            <v xml:space="preserve">UN    </v>
          </cell>
          <cell r="D3085">
            <v>91.89</v>
          </cell>
        </row>
        <row r="3086">
          <cell r="A3086">
            <v>1893</v>
          </cell>
          <cell r="B3086" t="str">
            <v>LUVA EM PVC RIGIDO ROSCAVEL, DE 1 1/2", PARA ELETRODUTO</v>
          </cell>
          <cell r="C3086" t="str">
            <v xml:space="preserve">UN    </v>
          </cell>
          <cell r="D3086">
            <v>2.5099999999999998</v>
          </cell>
        </row>
        <row r="3087">
          <cell r="A3087">
            <v>1902</v>
          </cell>
          <cell r="B3087" t="str">
            <v>LUVA EM PVC RIGIDO ROSCAVEL, DE 1 1/4", PARA ELETRODUTO</v>
          </cell>
          <cell r="C3087" t="str">
            <v xml:space="preserve">UN    </v>
          </cell>
          <cell r="D3087">
            <v>1.83</v>
          </cell>
        </row>
        <row r="3088">
          <cell r="A3088">
            <v>1901</v>
          </cell>
          <cell r="B3088" t="str">
            <v>LUVA EM PVC RIGIDO ROSCAVEL, DE 1/2", PARA ELETRODUTO</v>
          </cell>
          <cell r="C3088" t="str">
            <v xml:space="preserve">UN    </v>
          </cell>
          <cell r="D3088">
            <v>0.56999999999999995</v>
          </cell>
        </row>
        <row r="3089">
          <cell r="A3089">
            <v>1892</v>
          </cell>
          <cell r="B3089" t="str">
            <v>LUVA EM PVC RIGIDO ROSCAVEL, DE 1", PARA ELETRODUTO</v>
          </cell>
          <cell r="C3089" t="str">
            <v xml:space="preserve">UN    </v>
          </cell>
          <cell r="D3089">
            <v>1.17</v>
          </cell>
        </row>
        <row r="3090">
          <cell r="A3090">
            <v>1907</v>
          </cell>
          <cell r="B3090" t="str">
            <v>LUVA EM PVC RIGIDO ROSCAVEL, DE 2 1/2", PARA ELETRODUTO</v>
          </cell>
          <cell r="C3090" t="str">
            <v xml:space="preserve">UN    </v>
          </cell>
          <cell r="D3090">
            <v>8.09</v>
          </cell>
        </row>
        <row r="3091">
          <cell r="A3091">
            <v>1894</v>
          </cell>
          <cell r="B3091" t="str">
            <v>LUVA EM PVC RIGIDO ROSCAVEL, DE 2", PARA ELETRODUTO</v>
          </cell>
          <cell r="C3091" t="str">
            <v xml:space="preserve">UN    </v>
          </cell>
          <cell r="D3091">
            <v>3.63</v>
          </cell>
        </row>
        <row r="3092">
          <cell r="A3092">
            <v>1891</v>
          </cell>
          <cell r="B3092" t="str">
            <v>LUVA EM PVC RIGIDO ROSCAVEL, DE 3/4", PARA ELETRODUTO</v>
          </cell>
          <cell r="C3092" t="str">
            <v xml:space="preserve">UN    </v>
          </cell>
          <cell r="D3092">
            <v>0.84</v>
          </cell>
        </row>
        <row r="3093">
          <cell r="A3093">
            <v>1896</v>
          </cell>
          <cell r="B3093" t="str">
            <v>LUVA EM PVC RIGIDO ROSCAVEL, DE 3", PARA ELETRODUTO</v>
          </cell>
          <cell r="C3093" t="str">
            <v xml:space="preserve">UN    </v>
          </cell>
          <cell r="D3093">
            <v>10.86</v>
          </cell>
        </row>
        <row r="3094">
          <cell r="A3094">
            <v>1895</v>
          </cell>
          <cell r="B3094" t="str">
            <v>LUVA EM PVC RIGIDO ROSCAVEL, DE 4", PARA ELETRODUTO</v>
          </cell>
          <cell r="C3094" t="str">
            <v xml:space="preserve">UN    </v>
          </cell>
          <cell r="D3094">
            <v>19.079999999999998</v>
          </cell>
        </row>
        <row r="3095">
          <cell r="A3095">
            <v>2641</v>
          </cell>
          <cell r="B3095" t="str">
            <v>LUVA PARA ELETRODUTO, EM ACO GALVANIZADO ELETROLITICO, DIAMETRO DE 100 MM (4")</v>
          </cell>
          <cell r="C3095" t="str">
            <v xml:space="preserve">UN    </v>
          </cell>
          <cell r="D3095">
            <v>24.62</v>
          </cell>
        </row>
        <row r="3096">
          <cell r="A3096">
            <v>2636</v>
          </cell>
          <cell r="B3096" t="str">
            <v>LUVA PARA ELETRODUTO, EM ACO GALVANIZADO ELETROLITICO, DIAMETRO DE 15 MM (1/2")</v>
          </cell>
          <cell r="C3096" t="str">
            <v xml:space="preserve">UN    </v>
          </cell>
          <cell r="D3096">
            <v>1.58</v>
          </cell>
        </row>
        <row r="3097">
          <cell r="A3097">
            <v>2637</v>
          </cell>
          <cell r="B3097" t="str">
            <v>LUVA PARA ELETRODUTO, EM ACO GALVANIZADO ELETROLITICO, DIAMETRO DE 20 MM (3/4")</v>
          </cell>
          <cell r="C3097" t="str">
            <v xml:space="preserve">UN    </v>
          </cell>
          <cell r="D3097">
            <v>1.68</v>
          </cell>
        </row>
        <row r="3098">
          <cell r="A3098">
            <v>2638</v>
          </cell>
          <cell r="B3098" t="str">
            <v>LUVA PARA ELETRODUTO, EM ACO GALVANIZADO ELETROLITICO, DIAMETRO DE 25 MM (1")</v>
          </cell>
          <cell r="C3098" t="str">
            <v xml:space="preserve">UN    </v>
          </cell>
          <cell r="D3098">
            <v>1.96</v>
          </cell>
        </row>
        <row r="3099">
          <cell r="A3099">
            <v>2639</v>
          </cell>
          <cell r="B3099" t="str">
            <v>LUVA PARA ELETRODUTO, EM ACO GALVANIZADO ELETROLITICO, DIAMETRO DE 32 MM (1 1/4")</v>
          </cell>
          <cell r="C3099" t="str">
            <v xml:space="preserve">UN    </v>
          </cell>
          <cell r="D3099">
            <v>3.48</v>
          </cell>
        </row>
        <row r="3100">
          <cell r="A3100">
            <v>2644</v>
          </cell>
          <cell r="B3100" t="str">
            <v>LUVA PARA ELETRODUTO, EM ACO GALVANIZADO ELETROLITICO, DIAMETRO DE 40 MM (1 1/2")</v>
          </cell>
          <cell r="C3100" t="str">
            <v xml:space="preserve">UN    </v>
          </cell>
          <cell r="D3100">
            <v>5.03</v>
          </cell>
        </row>
        <row r="3101">
          <cell r="A3101">
            <v>2643</v>
          </cell>
          <cell r="B3101" t="str">
            <v>LUVA PARA ELETRODUTO, EM ACO GALVANIZADO ELETROLITICO, DIAMETRO DE 50 MM (2")</v>
          </cell>
          <cell r="C3101" t="str">
            <v xml:space="preserve">UN    </v>
          </cell>
          <cell r="D3101">
            <v>7.02</v>
          </cell>
        </row>
        <row r="3102">
          <cell r="A3102">
            <v>2640</v>
          </cell>
          <cell r="B3102" t="str">
            <v>LUVA PARA ELETRODUTO, EM ACO GALVANIZADO ELETROLITICO, DIAMETRO DE 65 MM (2 1/2")</v>
          </cell>
          <cell r="C3102" t="str">
            <v xml:space="preserve">UN    </v>
          </cell>
          <cell r="D3102">
            <v>10.24</v>
          </cell>
        </row>
        <row r="3103">
          <cell r="A3103">
            <v>2642</v>
          </cell>
          <cell r="B3103" t="str">
            <v>LUVA PARA ELETRODUTO, EM ACO GALVANIZADO ELETROLITICO, DIAMETRO DE 80 MM (3")</v>
          </cell>
          <cell r="C3103" t="str">
            <v xml:space="preserve">UN    </v>
          </cell>
          <cell r="D3103">
            <v>15.6</v>
          </cell>
        </row>
        <row r="3104">
          <cell r="A3104">
            <v>38943</v>
          </cell>
          <cell r="B3104" t="str">
            <v>LUVA PARA TUBO PEX, METALICO, PARA CONEXAO COM ANEL DESLIZANTE, DN 16 MM</v>
          </cell>
          <cell r="C3104" t="str">
            <v xml:space="preserve">UN    </v>
          </cell>
          <cell r="D3104">
            <v>4.01</v>
          </cell>
        </row>
        <row r="3105">
          <cell r="A3105">
            <v>38944</v>
          </cell>
          <cell r="B3105" t="str">
            <v>LUVA PARA TUBO PEX, METALICO, PARA CONEXAO COM ANEL DESLIZANTE, DN 20 MM</v>
          </cell>
          <cell r="C3105" t="str">
            <v xml:space="preserve">UN    </v>
          </cell>
          <cell r="D3105">
            <v>6.19</v>
          </cell>
        </row>
        <row r="3106">
          <cell r="A3106">
            <v>38945</v>
          </cell>
          <cell r="B3106" t="str">
            <v>LUVA PARA TUBO PEX, METALICO, PARA CONEXAO COM ANEL DESLIZANTE, DN 25 MM</v>
          </cell>
          <cell r="C3106" t="str">
            <v xml:space="preserve">UN    </v>
          </cell>
          <cell r="D3106">
            <v>12.56</v>
          </cell>
        </row>
        <row r="3107">
          <cell r="A3107">
            <v>38946</v>
          </cell>
          <cell r="B3107" t="str">
            <v>LUVA PARA TUBO PEX, METALICO, PARA CONEXAO COM ANEL DESLIZANTE, DN 32 MM</v>
          </cell>
          <cell r="C3107" t="str">
            <v xml:space="preserve">UN    </v>
          </cell>
          <cell r="D3107">
            <v>18.739999999999998</v>
          </cell>
        </row>
        <row r="3108">
          <cell r="A3108">
            <v>39308</v>
          </cell>
          <cell r="B3108" t="str">
            <v>LUVA PARA TUBO PEX, PLASTICA, PARA CONEXAO COM CRIMPAGEM, DN 16 MM</v>
          </cell>
          <cell r="C3108" t="str">
            <v xml:space="preserve">UN    </v>
          </cell>
          <cell r="D3108">
            <v>8.17</v>
          </cell>
        </row>
        <row r="3109">
          <cell r="A3109">
            <v>39309</v>
          </cell>
          <cell r="B3109" t="str">
            <v>LUVA PARA TUBO PEX, PLASTICA, PARA CONEXAO COM CRIMPAGEM, DN 20 MM</v>
          </cell>
          <cell r="C3109" t="str">
            <v xml:space="preserve">UN    </v>
          </cell>
          <cell r="D3109">
            <v>11.81</v>
          </cell>
        </row>
        <row r="3110">
          <cell r="A3110">
            <v>39310</v>
          </cell>
          <cell r="B3110" t="str">
            <v>LUVA PARA TUBO PEX, PLASTICA, PARA CONEXAO COM CRIMPAGEM, DN 25 MM</v>
          </cell>
          <cell r="C3110" t="str">
            <v xml:space="preserve">UN    </v>
          </cell>
          <cell r="D3110">
            <v>17.899999999999999</v>
          </cell>
        </row>
        <row r="3111">
          <cell r="A3111">
            <v>39311</v>
          </cell>
          <cell r="B3111" t="str">
            <v>LUVA PARA TUBO PEX, PLASTICA, PARA CONEXAO COM CRIMPAGEM, DN 32 MM</v>
          </cell>
          <cell r="C3111" t="str">
            <v xml:space="preserve">UN    </v>
          </cell>
          <cell r="D3111">
            <v>26.91</v>
          </cell>
        </row>
        <row r="3112">
          <cell r="A3112">
            <v>39855</v>
          </cell>
          <cell r="B3112" t="str">
            <v>LUVA PASSANTE DE COBRE (REF 601) SEM ANEL DE SOLDA, BOLSA 15 MM</v>
          </cell>
          <cell r="C3112" t="str">
            <v xml:space="preserve">UN    </v>
          </cell>
          <cell r="D3112">
            <v>1.65</v>
          </cell>
        </row>
        <row r="3113">
          <cell r="A3113">
            <v>39856</v>
          </cell>
          <cell r="B3113" t="str">
            <v>LUVA PASSANTE DE COBRE (REF 601) SEM ANEL DE SOLDA, BOLSA 22 MM</v>
          </cell>
          <cell r="C3113" t="str">
            <v xml:space="preserve">UN    </v>
          </cell>
          <cell r="D3113">
            <v>3.89</v>
          </cell>
        </row>
        <row r="3114">
          <cell r="A3114">
            <v>39857</v>
          </cell>
          <cell r="B3114" t="str">
            <v>LUVA PASSANTE DE COBRE (REF 601) SEM ANEL DE SOLDA, BOLSA 28 MM</v>
          </cell>
          <cell r="C3114" t="str">
            <v xml:space="preserve">UN    </v>
          </cell>
          <cell r="D3114">
            <v>6.3</v>
          </cell>
        </row>
        <row r="3115">
          <cell r="A3115">
            <v>39858</v>
          </cell>
          <cell r="B3115" t="str">
            <v>LUVA PASSANTE DE COBRE (REF 601) SEM ANEL DE SOLDA, BOLSA 35 MM</v>
          </cell>
          <cell r="C3115" t="str">
            <v xml:space="preserve">UN    </v>
          </cell>
          <cell r="D3115">
            <v>13.99</v>
          </cell>
        </row>
        <row r="3116">
          <cell r="A3116">
            <v>39859</v>
          </cell>
          <cell r="B3116" t="str">
            <v>LUVA PASSANTE DE COBRE (REF 601) SEM ANEL DE SOLDA, BOLSA 42 MM</v>
          </cell>
          <cell r="C3116" t="str">
            <v xml:space="preserve">UN    </v>
          </cell>
          <cell r="D3116">
            <v>21.56</v>
          </cell>
        </row>
        <row r="3117">
          <cell r="A3117">
            <v>39860</v>
          </cell>
          <cell r="B3117" t="str">
            <v>LUVA PASSANTE DE COBRE (REF 601) SEM ANEL DE SOLDA, BOLSA 54 MM</v>
          </cell>
          <cell r="C3117" t="str">
            <v xml:space="preserve">UN    </v>
          </cell>
          <cell r="D3117">
            <v>33.090000000000003</v>
          </cell>
        </row>
        <row r="3118">
          <cell r="A3118">
            <v>39861</v>
          </cell>
          <cell r="B3118" t="str">
            <v>LUVA PASSANTE DE COBRE (REF 601) SEM ANEL DE SOLDA, BOLSA 66 MM</v>
          </cell>
          <cell r="C3118" t="str">
            <v xml:space="preserve">UN    </v>
          </cell>
          <cell r="D3118">
            <v>94.47</v>
          </cell>
        </row>
        <row r="3119">
          <cell r="A3119">
            <v>38447</v>
          </cell>
          <cell r="B3119" t="str">
            <v>LUVA PPR, SOLDAVEL, DN 110 MM, PARA AGUA QUENTE PREDIAL</v>
          </cell>
          <cell r="C3119" t="str">
            <v xml:space="preserve">UN    </v>
          </cell>
          <cell r="D3119">
            <v>71.430000000000007</v>
          </cell>
        </row>
        <row r="3120">
          <cell r="A3120">
            <v>36320</v>
          </cell>
          <cell r="B3120" t="str">
            <v>LUVA PPR, SOLDAVEL, DN 20 MM, PARA AGUA QUENTE PREDIAL</v>
          </cell>
          <cell r="C3120" t="str">
            <v xml:space="preserve">UN    </v>
          </cell>
          <cell r="D3120">
            <v>1.03</v>
          </cell>
        </row>
        <row r="3121">
          <cell r="A3121">
            <v>36324</v>
          </cell>
          <cell r="B3121" t="str">
            <v>LUVA PPR, SOLDAVEL, DN 25 MM, PARA AGUA QUENTE PREDIAL</v>
          </cell>
          <cell r="C3121" t="str">
            <v xml:space="preserve">UN    </v>
          </cell>
          <cell r="D3121">
            <v>1.57</v>
          </cell>
        </row>
        <row r="3122">
          <cell r="A3122">
            <v>38441</v>
          </cell>
          <cell r="B3122" t="str">
            <v>LUVA PPR, SOLDAVEL, DN 32 MM, PARA AGUA QUENTE PREDIAL</v>
          </cell>
          <cell r="C3122" t="str">
            <v xml:space="preserve">UN    </v>
          </cell>
          <cell r="D3122">
            <v>2.06</v>
          </cell>
        </row>
        <row r="3123">
          <cell r="A3123">
            <v>38442</v>
          </cell>
          <cell r="B3123" t="str">
            <v>LUVA PPR, SOLDAVEL, DN 40 MM, PARA AGUA QUENTE PREDIAL</v>
          </cell>
          <cell r="C3123" t="str">
            <v xml:space="preserve">UN    </v>
          </cell>
          <cell r="D3123">
            <v>5.23</v>
          </cell>
        </row>
        <row r="3124">
          <cell r="A3124">
            <v>38443</v>
          </cell>
          <cell r="B3124" t="str">
            <v>LUVA PPR, SOLDAVEL, DN 50 MM, PARA AGUA QUENTE PREDIAL</v>
          </cell>
          <cell r="C3124" t="str">
            <v xml:space="preserve">UN    </v>
          </cell>
          <cell r="D3124">
            <v>7.91</v>
          </cell>
        </row>
        <row r="3125">
          <cell r="A3125">
            <v>38444</v>
          </cell>
          <cell r="B3125" t="str">
            <v>LUVA PPR, SOLDAVEL, DN 63 MM, PARA AGUA QUENTE PREDIAL</v>
          </cell>
          <cell r="C3125" t="str">
            <v xml:space="preserve">UN    </v>
          </cell>
          <cell r="D3125">
            <v>11.77</v>
          </cell>
        </row>
        <row r="3126">
          <cell r="A3126">
            <v>38445</v>
          </cell>
          <cell r="B3126" t="str">
            <v>LUVA PPR, SOLDAVEL, DN 75 MM, PARA AGUA QUENTE PREDIAL</v>
          </cell>
          <cell r="C3126" t="str">
            <v xml:space="preserve">UN    </v>
          </cell>
          <cell r="D3126">
            <v>27.66</v>
          </cell>
        </row>
        <row r="3127">
          <cell r="A3127">
            <v>38446</v>
          </cell>
          <cell r="B3127" t="str">
            <v>LUVA PPR, SOLDAVEL, DN 90 MM, PARA AGUA QUENTE PREDIAL</v>
          </cell>
          <cell r="C3127" t="str">
            <v xml:space="preserve">UN    </v>
          </cell>
          <cell r="D3127">
            <v>44.64</v>
          </cell>
        </row>
        <row r="3128">
          <cell r="A3128">
            <v>3867</v>
          </cell>
          <cell r="B3128" t="str">
            <v>LUVA PVC SOLDAVEL, 110 MM, PARA AGUA FRIA PREDIAL</v>
          </cell>
          <cell r="C3128" t="str">
            <v xml:space="preserve">UN    </v>
          </cell>
          <cell r="D3128">
            <v>51.87</v>
          </cell>
        </row>
        <row r="3129">
          <cell r="A3129">
            <v>3861</v>
          </cell>
          <cell r="B3129" t="str">
            <v>LUVA PVC SOLDAVEL, 20 MM, PARA AGUA FRIA PREDIAL</v>
          </cell>
          <cell r="C3129" t="str">
            <v xml:space="preserve">UN    </v>
          </cell>
          <cell r="D3129">
            <v>0.43</v>
          </cell>
        </row>
        <row r="3130">
          <cell r="A3130">
            <v>3904</v>
          </cell>
          <cell r="B3130" t="str">
            <v>LUVA PVC SOLDAVEL, 25 MM, PARA AGUA FRIA PREDIAL</v>
          </cell>
          <cell r="C3130" t="str">
            <v xml:space="preserve">UN    </v>
          </cell>
          <cell r="D3130">
            <v>0.52</v>
          </cell>
        </row>
        <row r="3131">
          <cell r="A3131">
            <v>3903</v>
          </cell>
          <cell r="B3131" t="str">
            <v>LUVA PVC SOLDAVEL, 32 MM, PARA AGUA FRIA PREDIAL</v>
          </cell>
          <cell r="C3131" t="str">
            <v xml:space="preserve">UN    </v>
          </cell>
          <cell r="D3131">
            <v>1.29</v>
          </cell>
        </row>
        <row r="3132">
          <cell r="A3132">
            <v>3862</v>
          </cell>
          <cell r="B3132" t="str">
            <v>LUVA PVC SOLDAVEL, 40 MM, PARA AGUA FRIA PREDIAL</v>
          </cell>
          <cell r="C3132" t="str">
            <v xml:space="preserve">UN    </v>
          </cell>
          <cell r="D3132">
            <v>2.63</v>
          </cell>
        </row>
        <row r="3133">
          <cell r="A3133">
            <v>3863</v>
          </cell>
          <cell r="B3133" t="str">
            <v>LUVA PVC SOLDAVEL, 50 MM, PARA AGUA FRIA PREDIAL</v>
          </cell>
          <cell r="C3133" t="str">
            <v xml:space="preserve">UN    </v>
          </cell>
          <cell r="D3133">
            <v>3.08</v>
          </cell>
        </row>
        <row r="3134">
          <cell r="A3134">
            <v>3864</v>
          </cell>
          <cell r="B3134" t="str">
            <v>LUVA PVC SOLDAVEL, 60 MM, PARA AGUA FRIA PREDIAL</v>
          </cell>
          <cell r="C3134" t="str">
            <v xml:space="preserve">UN    </v>
          </cell>
          <cell r="D3134">
            <v>8.0299999999999994</v>
          </cell>
        </row>
        <row r="3135">
          <cell r="A3135">
            <v>3865</v>
          </cell>
          <cell r="B3135" t="str">
            <v>LUVA PVC SOLDAVEL, 75 MM, PARA AGUA FRIA PREDIAL</v>
          </cell>
          <cell r="C3135" t="str">
            <v xml:space="preserve">UN    </v>
          </cell>
          <cell r="D3135">
            <v>13.97</v>
          </cell>
        </row>
        <row r="3136">
          <cell r="A3136">
            <v>3866</v>
          </cell>
          <cell r="B3136" t="str">
            <v>LUVA PVC SOLDAVEL, 85 MM, PARA AGUA FRIA PREDIAL</v>
          </cell>
          <cell r="C3136" t="str">
            <v xml:space="preserve">UN    </v>
          </cell>
          <cell r="D3136">
            <v>31.97</v>
          </cell>
        </row>
        <row r="3137">
          <cell r="A3137">
            <v>3902</v>
          </cell>
          <cell r="B3137" t="str">
            <v>LUVA PVC, ROSCAVEL,  2 1/2",  AGUA FRIA PREDIAL</v>
          </cell>
          <cell r="C3137" t="str">
            <v xml:space="preserve">UN    </v>
          </cell>
          <cell r="D3137">
            <v>15.55</v>
          </cell>
        </row>
        <row r="3138">
          <cell r="A3138">
            <v>3878</v>
          </cell>
          <cell r="B3138" t="str">
            <v>LUVA PVC, ROSCAVEL, 1 1/2",  AGUA FRIA PREDIAL</v>
          </cell>
          <cell r="C3138" t="str">
            <v xml:space="preserve">UN    </v>
          </cell>
          <cell r="D3138">
            <v>4.91</v>
          </cell>
        </row>
        <row r="3139">
          <cell r="A3139">
            <v>3877</v>
          </cell>
          <cell r="B3139" t="str">
            <v>LUVA PVC, ROSCAVEL, 1 1/4", AGUA FRIA PREDIAL</v>
          </cell>
          <cell r="C3139" t="str">
            <v xml:space="preserve">UN    </v>
          </cell>
          <cell r="D3139">
            <v>4.49</v>
          </cell>
        </row>
        <row r="3140">
          <cell r="A3140">
            <v>3879</v>
          </cell>
          <cell r="B3140" t="str">
            <v>LUVA PVC, ROSCAVEL, 2",  AGUA FRIA PREDIAL</v>
          </cell>
          <cell r="C3140" t="str">
            <v xml:space="preserve">UN    </v>
          </cell>
          <cell r="D3140">
            <v>9.91</v>
          </cell>
        </row>
        <row r="3141">
          <cell r="A3141">
            <v>3880</v>
          </cell>
          <cell r="B3141" t="str">
            <v>LUVA PVC, ROSCAVEL, 3", AGUA FRIA PREDIAL</v>
          </cell>
          <cell r="C3141" t="str">
            <v xml:space="preserve">UN    </v>
          </cell>
          <cell r="D3141">
            <v>22.36</v>
          </cell>
        </row>
        <row r="3142">
          <cell r="A3142">
            <v>12892</v>
          </cell>
          <cell r="B3142" t="str">
            <v>LUVA RASPA DE COURO, CANO CURTO (PUNHO *7* CM)</v>
          </cell>
          <cell r="C3142" t="str">
            <v xml:space="preserve">PAR   </v>
          </cell>
          <cell r="D3142">
            <v>10.119999999999999</v>
          </cell>
        </row>
        <row r="3143">
          <cell r="A3143">
            <v>3883</v>
          </cell>
          <cell r="B3143" t="str">
            <v>LUVA ROSCAVEL, PVC, 1/2", AGUA FRIA PREDIAL</v>
          </cell>
          <cell r="C3143" t="str">
            <v xml:space="preserve">UN    </v>
          </cell>
          <cell r="D3143">
            <v>1.03</v>
          </cell>
        </row>
        <row r="3144">
          <cell r="A3144">
            <v>3876</v>
          </cell>
          <cell r="B3144" t="str">
            <v>LUVA ROSCAVEL, PVC, 1", AGUA FRIA PREDIAL</v>
          </cell>
          <cell r="C3144" t="str">
            <v xml:space="preserve">UN    </v>
          </cell>
          <cell r="D3144">
            <v>2.58</v>
          </cell>
        </row>
        <row r="3145">
          <cell r="A3145">
            <v>3884</v>
          </cell>
          <cell r="B3145" t="str">
            <v>LUVA ROSCAVEL, PVC, 3/4", AGUA FRIA PREDIAL</v>
          </cell>
          <cell r="C3145" t="str">
            <v xml:space="preserve">UN    </v>
          </cell>
          <cell r="D3145">
            <v>1.54</v>
          </cell>
        </row>
        <row r="3146">
          <cell r="A3146">
            <v>3837</v>
          </cell>
          <cell r="B3146" t="str">
            <v>LUVA SIMPLES, PVC PBA, JE, DN 100 / DE 110 MM, PARA REDE AGUA (NBR 10351)</v>
          </cell>
          <cell r="C3146" t="str">
            <v xml:space="preserve">UN    </v>
          </cell>
          <cell r="D3146">
            <v>34.44</v>
          </cell>
        </row>
        <row r="3147">
          <cell r="A3147">
            <v>3845</v>
          </cell>
          <cell r="B3147" t="str">
            <v>LUVA SIMPLES, PVC PBA, JE, DN 50 / DE 60 MM, PARA REDE AGUA (NBR 10351)</v>
          </cell>
          <cell r="C3147" t="str">
            <v xml:space="preserve">UN    </v>
          </cell>
          <cell r="D3147">
            <v>12.58</v>
          </cell>
        </row>
        <row r="3148">
          <cell r="A3148">
            <v>11045</v>
          </cell>
          <cell r="B3148" t="str">
            <v>LUVA SIMPLES, PVC PBA, JE, DN 75 / DE 85 MM, PARA REDE AGUA (NBR 10351)</v>
          </cell>
          <cell r="C3148" t="str">
            <v xml:space="preserve">UN    </v>
          </cell>
          <cell r="D3148">
            <v>24.27</v>
          </cell>
        </row>
        <row r="3149">
          <cell r="A3149">
            <v>20170</v>
          </cell>
          <cell r="B3149" t="str">
            <v>LUVA SIMPLES, PVC SERIE REFORCADA - R, 100 MM, PARA ESGOTO PREDIAL</v>
          </cell>
          <cell r="C3149" t="str">
            <v xml:space="preserve">UN    </v>
          </cell>
          <cell r="D3149">
            <v>8.26</v>
          </cell>
        </row>
        <row r="3150">
          <cell r="A3150">
            <v>20171</v>
          </cell>
          <cell r="B3150" t="str">
            <v>LUVA SIMPLES, PVC SERIE REFORCADA - R, 150 MM, PARA ESGOTO PREDIAL</v>
          </cell>
          <cell r="C3150" t="str">
            <v xml:space="preserve">UN    </v>
          </cell>
          <cell r="D3150">
            <v>24.53</v>
          </cell>
        </row>
        <row r="3151">
          <cell r="A3151">
            <v>20167</v>
          </cell>
          <cell r="B3151" t="str">
            <v>LUVA SIMPLES, PVC SERIE REFORCADA - R, 40 MM, PARA ESGOTO PREDIAL</v>
          </cell>
          <cell r="C3151" t="str">
            <v xml:space="preserve">UN    </v>
          </cell>
          <cell r="D3151">
            <v>3.06</v>
          </cell>
        </row>
        <row r="3152">
          <cell r="A3152">
            <v>20168</v>
          </cell>
          <cell r="B3152" t="str">
            <v>LUVA SIMPLES, PVC SERIE REFORCADA - R, 50 MM, PARA ESGOTO PREDIAL</v>
          </cell>
          <cell r="C3152" t="str">
            <v xml:space="preserve">UN    </v>
          </cell>
          <cell r="D3152">
            <v>4.8099999999999996</v>
          </cell>
        </row>
        <row r="3153">
          <cell r="A3153">
            <v>20169</v>
          </cell>
          <cell r="B3153" t="str">
            <v>LUVA SIMPLES, PVC SERIE REFORCADA - R, 75 MM, PARA ESGOTO PREDIAL</v>
          </cell>
          <cell r="C3153" t="str">
            <v xml:space="preserve">UN    </v>
          </cell>
          <cell r="D3153">
            <v>6.81</v>
          </cell>
        </row>
        <row r="3154">
          <cell r="A3154">
            <v>3899</v>
          </cell>
          <cell r="B3154" t="str">
            <v>LUVA SIMPLES, PVC, SOLDAVEL, DN 100 MM, SERIE NORMAL, PARA ESGOTO PREDIAL</v>
          </cell>
          <cell r="C3154" t="str">
            <v xml:space="preserve">UN    </v>
          </cell>
          <cell r="D3154">
            <v>3.6</v>
          </cell>
        </row>
        <row r="3155">
          <cell r="A3155">
            <v>38676</v>
          </cell>
          <cell r="B3155" t="str">
            <v>LUVA SIMPLES, PVC, SOLDAVEL, DN 150 MM, SERIE NORMAL, PARA ESGOTO PREDIAL</v>
          </cell>
          <cell r="C3155" t="str">
            <v xml:space="preserve">UN    </v>
          </cell>
          <cell r="D3155">
            <v>17.45</v>
          </cell>
        </row>
        <row r="3156">
          <cell r="A3156">
            <v>3897</v>
          </cell>
          <cell r="B3156" t="str">
            <v>LUVA SIMPLES, PVC, SOLDAVEL, DN 40 MM, SERIE NORMAL, PARA ESGOTO PREDIAL</v>
          </cell>
          <cell r="C3156" t="str">
            <v xml:space="preserve">UN    </v>
          </cell>
          <cell r="D3156">
            <v>0.76</v>
          </cell>
        </row>
        <row r="3157">
          <cell r="A3157">
            <v>3875</v>
          </cell>
          <cell r="B3157" t="str">
            <v>LUVA SIMPLES, PVC, SOLDAVEL, DN 50 MM, SERIE NORMAL, PARA ESGOTO PREDIAL</v>
          </cell>
          <cell r="C3157" t="str">
            <v xml:space="preserve">UN    </v>
          </cell>
          <cell r="D3157">
            <v>1.64</v>
          </cell>
        </row>
        <row r="3158">
          <cell r="A3158">
            <v>3898</v>
          </cell>
          <cell r="B3158" t="str">
            <v>LUVA SIMPLES, PVC, SOLDAVEL, DN 75 MM, SERIE NORMAL, PARA ESGOTO PREDIAL</v>
          </cell>
          <cell r="C3158" t="str">
            <v xml:space="preserve">UN    </v>
          </cell>
          <cell r="D3158">
            <v>3.11</v>
          </cell>
        </row>
        <row r="3159">
          <cell r="A3159">
            <v>3855</v>
          </cell>
          <cell r="B3159" t="str">
            <v>LUVA SOLDAVEL COM BUCHA DE LATAO, PVC, 20 MM X 1/2"</v>
          </cell>
          <cell r="C3159" t="str">
            <v xml:space="preserve">UN    </v>
          </cell>
          <cell r="D3159">
            <v>3.43</v>
          </cell>
        </row>
        <row r="3160">
          <cell r="A3160">
            <v>3874</v>
          </cell>
          <cell r="B3160" t="str">
            <v>LUVA SOLDAVEL COM BUCHA DE LATAO, PVC, 25 MM X 1/2"</v>
          </cell>
          <cell r="C3160" t="str">
            <v xml:space="preserve">UN    </v>
          </cell>
          <cell r="D3160">
            <v>3.64</v>
          </cell>
        </row>
        <row r="3161">
          <cell r="A3161">
            <v>3870</v>
          </cell>
          <cell r="B3161" t="str">
            <v>LUVA SOLDAVEL COM BUCHA DE LATAO, PVC, 25 MM X 3/4"</v>
          </cell>
          <cell r="C3161" t="str">
            <v xml:space="preserve">UN    </v>
          </cell>
          <cell r="D3161">
            <v>4.5199999999999996</v>
          </cell>
        </row>
        <row r="3162">
          <cell r="A3162">
            <v>38678</v>
          </cell>
          <cell r="B3162" t="str">
            <v>LUVA SOLDAVEL COM BUCHA DE LATAO, PVC, 32 MM X 1"</v>
          </cell>
          <cell r="C3162" t="str">
            <v xml:space="preserve">UN    </v>
          </cell>
          <cell r="D3162">
            <v>12.31</v>
          </cell>
        </row>
        <row r="3163">
          <cell r="A3163">
            <v>3859</v>
          </cell>
          <cell r="B3163" t="str">
            <v>LUVA SOLDAVEL COM ROSCA, PVC, 20 MM X 1/2", PARA AGUA FRIA PREDIAL</v>
          </cell>
          <cell r="C3163" t="str">
            <v xml:space="preserve">UN    </v>
          </cell>
          <cell r="D3163">
            <v>0.91</v>
          </cell>
        </row>
        <row r="3164">
          <cell r="A3164">
            <v>3856</v>
          </cell>
          <cell r="B3164" t="str">
            <v>LUVA SOLDAVEL COM ROSCA, PVC, 25 MM X 1/2", PARA AGUA FRIA PREDIAL</v>
          </cell>
          <cell r="C3164" t="str">
            <v xml:space="preserve">UN    </v>
          </cell>
          <cell r="D3164">
            <v>1.1499999999999999</v>
          </cell>
        </row>
        <row r="3165">
          <cell r="A3165">
            <v>3906</v>
          </cell>
          <cell r="B3165" t="str">
            <v>LUVA SOLDAVEL COM ROSCA, PVC, 25 MM X 3/4", PARA AGUA FRIA PREDIAL</v>
          </cell>
          <cell r="C3165" t="str">
            <v xml:space="preserve">UN    </v>
          </cell>
          <cell r="D3165">
            <v>1.0900000000000001</v>
          </cell>
        </row>
        <row r="3166">
          <cell r="A3166">
            <v>3860</v>
          </cell>
          <cell r="B3166" t="str">
            <v>LUVA SOLDAVEL COM ROSCA, PVC, 32 MM X 1", PARA AGUA FRIA PREDIAL</v>
          </cell>
          <cell r="C3166" t="str">
            <v xml:space="preserve">UN    </v>
          </cell>
          <cell r="D3166">
            <v>3.58</v>
          </cell>
        </row>
        <row r="3167">
          <cell r="A3167">
            <v>3905</v>
          </cell>
          <cell r="B3167" t="str">
            <v>LUVA SOLDAVEL COM ROSCA, PVC, 40 MM X 1 1/4", PARA AGUA FRIA PREDIAL</v>
          </cell>
          <cell r="C3167" t="str">
            <v xml:space="preserve">UN    </v>
          </cell>
          <cell r="D3167">
            <v>7.92</v>
          </cell>
        </row>
        <row r="3168">
          <cell r="A3168">
            <v>3871</v>
          </cell>
          <cell r="B3168" t="str">
            <v>LUVA SOLDAVEL COM ROSCA, PVC, 50 MM X 1 1/2", PARA AGUA FRIA PREDIAL</v>
          </cell>
          <cell r="C3168" t="str">
            <v xml:space="preserve">UN    </v>
          </cell>
          <cell r="D3168">
            <v>16.440000000000001</v>
          </cell>
        </row>
        <row r="3169">
          <cell r="A3169">
            <v>37429</v>
          </cell>
          <cell r="B3169" t="str">
            <v>LUVA, PEAD PE 100,  DE 400 MM, PARA ELETROFUSAO</v>
          </cell>
          <cell r="C3169" t="str">
            <v xml:space="preserve">UN    </v>
          </cell>
          <cell r="D3169">
            <v>1712.36</v>
          </cell>
        </row>
        <row r="3170">
          <cell r="A3170">
            <v>37426</v>
          </cell>
          <cell r="B3170" t="str">
            <v>LUVA, PEAD PE 100,  DE 63 MM, PARA ELETROFUSAO</v>
          </cell>
          <cell r="C3170" t="str">
            <v xml:space="preserve">UN    </v>
          </cell>
          <cell r="D3170">
            <v>16.47</v>
          </cell>
        </row>
        <row r="3171">
          <cell r="A3171">
            <v>37427</v>
          </cell>
          <cell r="B3171" t="str">
            <v>LUVA, PEAD PE 100, DE 125 MM, PARA ELETROFUSAO</v>
          </cell>
          <cell r="C3171" t="str">
            <v xml:space="preserve">UN    </v>
          </cell>
          <cell r="D3171">
            <v>39.29</v>
          </cell>
        </row>
        <row r="3172">
          <cell r="A3172">
            <v>37424</v>
          </cell>
          <cell r="B3172" t="str">
            <v>LUVA, PEAD PE 100, DE 20 MM, PARA ELETROFUSAO</v>
          </cell>
          <cell r="C3172" t="str">
            <v xml:space="preserve">UN    </v>
          </cell>
          <cell r="D3172">
            <v>7.57</v>
          </cell>
        </row>
        <row r="3173">
          <cell r="A3173">
            <v>37428</v>
          </cell>
          <cell r="B3173" t="str">
            <v>LUVA, PEAD PE 100, DE 200 MM, PARA ELETROFUSAO</v>
          </cell>
          <cell r="C3173" t="str">
            <v xml:space="preserve">UN    </v>
          </cell>
          <cell r="D3173">
            <v>135.41</v>
          </cell>
        </row>
        <row r="3174">
          <cell r="A3174">
            <v>37425</v>
          </cell>
          <cell r="B3174" t="str">
            <v>LUVA, PEAD PE 100, DE 32 MM, PARA ELETROFUSAO</v>
          </cell>
          <cell r="C3174" t="str">
            <v xml:space="preserve">UN    </v>
          </cell>
          <cell r="D3174">
            <v>8.16</v>
          </cell>
        </row>
        <row r="3175">
          <cell r="A3175">
            <v>11519</v>
          </cell>
          <cell r="B3175" t="str">
            <v>MACANETA ALAVANCA, RETA OU CURVA, MACICA, CROMADA, COMPRIMENTO DE 10 A 16 CM, ACABAMENTO PADRAO MEDIO - SOMENTE MACANETAS</v>
          </cell>
          <cell r="C3175" t="str">
            <v xml:space="preserve">PAR   </v>
          </cell>
          <cell r="D3175">
            <v>29.61</v>
          </cell>
        </row>
        <row r="3176">
          <cell r="A3176">
            <v>11520</v>
          </cell>
          <cell r="B3176" t="str">
            <v>MACANETA ALAVANCA, RETA SIMPLES / OCA, CROMADA, COMPRIMENTO DE 10 A 16 CM, ACABAMENTO PADRAO POPULAR - SOMENTE MACANETAS</v>
          </cell>
          <cell r="C3176" t="str">
            <v xml:space="preserve">PAR   </v>
          </cell>
          <cell r="D3176">
            <v>11.74</v>
          </cell>
        </row>
        <row r="3177">
          <cell r="A3177">
            <v>11518</v>
          </cell>
          <cell r="B3177" t="str">
            <v>MACANETA TIPO BOLA, CROMADA,  DIAMETRO APROXIMADO DE *2 1/2*", (SOMENTE MACANETAS)</v>
          </cell>
          <cell r="C3177" t="str">
            <v xml:space="preserve">PAR   </v>
          </cell>
          <cell r="D3177">
            <v>34.17</v>
          </cell>
        </row>
        <row r="3178">
          <cell r="A3178">
            <v>38473</v>
          </cell>
          <cell r="B3178" t="str">
            <v>MACARICO DE SOLDA 201 PARA EXTENSAO GLP OU ACETILENO</v>
          </cell>
          <cell r="C3178" t="str">
            <v xml:space="preserve">UN    </v>
          </cell>
          <cell r="D3178">
            <v>129.4</v>
          </cell>
        </row>
        <row r="3179">
          <cell r="A3179">
            <v>4244</v>
          </cell>
          <cell r="B3179" t="str">
            <v>MACARIQUEIRO</v>
          </cell>
          <cell r="C3179" t="str">
            <v xml:space="preserve">H     </v>
          </cell>
          <cell r="D3179">
            <v>14.66</v>
          </cell>
        </row>
        <row r="3180">
          <cell r="A3180">
            <v>40977</v>
          </cell>
          <cell r="B3180" t="str">
            <v>MACARIQUEIRO (MENSALISTA)</v>
          </cell>
          <cell r="C3180" t="str">
            <v xml:space="preserve">MES   </v>
          </cell>
          <cell r="D3180">
            <v>2595.5</v>
          </cell>
        </row>
        <row r="3181">
          <cell r="A3181">
            <v>2742</v>
          </cell>
          <cell r="B3181" t="str">
            <v>MADEIRA ROLICA SEM TRATAMENTO, EUCALIPTO OU EQUIVALENTE DA REGIAO, H = 3 M, D = 12 A 15 CM (PARA ESCORAMENTO)</v>
          </cell>
          <cell r="C3181" t="str">
            <v xml:space="preserve">M     </v>
          </cell>
          <cell r="D3181">
            <v>2.27</v>
          </cell>
        </row>
        <row r="3182">
          <cell r="A3182">
            <v>2748</v>
          </cell>
          <cell r="B3182" t="str">
            <v>MADEIRA ROLICA SEM TRATAMENTO, EUCALIPTO OU EQUIVALENTE DA REGIAO, H = 3 M, D = 16 A 19 CM (PARA ESCORAMENTO)</v>
          </cell>
          <cell r="C3182" t="str">
            <v xml:space="preserve">M     </v>
          </cell>
          <cell r="D3182">
            <v>6.67</v>
          </cell>
        </row>
        <row r="3183">
          <cell r="A3183">
            <v>2736</v>
          </cell>
          <cell r="B3183" t="str">
            <v>MADEIRA ROLICA SEM TRATAMENTO, EUCALIPTO OU EQUIVALENTE DA REGIAO, H = 3 M, D = 20 A 24 CM (PARA ESCORAMENTO)</v>
          </cell>
          <cell r="C3183" t="str">
            <v xml:space="preserve">M     </v>
          </cell>
          <cell r="D3183">
            <v>9.32</v>
          </cell>
        </row>
        <row r="3184">
          <cell r="A3184">
            <v>2745</v>
          </cell>
          <cell r="B3184" t="str">
            <v>MADEIRA ROLICA SEM TRATAMENTO, EUCALIPTO OU EQUIVALENTE DA REGIAO, H = 3 M, D = 8 A 11 CM (PARA ESCORAMENTO)</v>
          </cell>
          <cell r="C3184" t="str">
            <v xml:space="preserve">M     </v>
          </cell>
          <cell r="D3184">
            <v>1.88</v>
          </cell>
        </row>
        <row r="3185">
          <cell r="A3185">
            <v>2751</v>
          </cell>
          <cell r="B3185" t="str">
            <v>MADEIRA ROLICA SEM TRATAMENTO, EUCALIPTO OU EQUIVALENTE DA REGIAO, H = 6 M, D = 12 A 15 CM (PARA ESCORAMENTO)</v>
          </cell>
          <cell r="C3185" t="str">
            <v xml:space="preserve">M     </v>
          </cell>
          <cell r="D3185">
            <v>2.41</v>
          </cell>
        </row>
        <row r="3186">
          <cell r="A3186">
            <v>14439</v>
          </cell>
          <cell r="B3186" t="str">
            <v>MADEIRA ROLICA SEM TRATAMENTO, EUCALIPTO OU EQUIVALENTE DA REGIAO, H = 6 M, D = 8 A 11 CM (PARA ESCORAMENTO)</v>
          </cell>
          <cell r="C3186" t="str">
            <v xml:space="preserve">M     </v>
          </cell>
          <cell r="D3186">
            <v>2.13</v>
          </cell>
        </row>
        <row r="3187">
          <cell r="A3187">
            <v>2731</v>
          </cell>
          <cell r="B3187" t="str">
            <v>MADEIRA ROLICA TRATADA, EUCALIPTO OU EQUIVALENTE DA REGIAO, H = 12 M, D = 20 A 24 CM (PARA POSTE)</v>
          </cell>
          <cell r="C3187" t="str">
            <v xml:space="preserve">M     </v>
          </cell>
          <cell r="D3187">
            <v>54.28</v>
          </cell>
        </row>
        <row r="3188">
          <cell r="A3188">
            <v>21138</v>
          </cell>
          <cell r="B3188" t="str">
            <v>MADEIRA ROLICA TRATADA, EUCALIPTO OU EQUIVALENTE DA REGIAO, H = 2,2 M, D = 8 A 11 CM (PARA CERCA)</v>
          </cell>
          <cell r="C3188" t="str">
            <v xml:space="preserve">M     </v>
          </cell>
          <cell r="D3188">
            <v>5.89</v>
          </cell>
        </row>
        <row r="3189">
          <cell r="A3189">
            <v>2747</v>
          </cell>
          <cell r="B3189" t="str">
            <v>MADEIRA ROLICA TRATADA, EUCALIPTO OU EQUIVALENTE DA REGIAO, H = 2,20 M, D = 16 A 19 CM (PARA CERCA)</v>
          </cell>
          <cell r="C3189" t="str">
            <v xml:space="preserve">M     </v>
          </cell>
          <cell r="D3189">
            <v>14.55</v>
          </cell>
        </row>
        <row r="3190">
          <cell r="A3190">
            <v>4115</v>
          </cell>
          <cell r="B3190" t="str">
            <v>MADEIRA ROLICA TRATADA, EUCALIPTO OU EQUIVALENTE DA REGIAO, H = 3 M, D = 12 A 15 CM</v>
          </cell>
          <cell r="C3190" t="str">
            <v xml:space="preserve">M     </v>
          </cell>
          <cell r="D3190">
            <v>11.4</v>
          </cell>
        </row>
        <row r="3191">
          <cell r="A3191">
            <v>2729</v>
          </cell>
          <cell r="B3191" t="str">
            <v>MADEIRA ROLICA TRATADA, EUCALIPTO OU EQUIVALENTE DA REGIAO, H = 3 M, D = 4 A 7 CM (PARA CAIBRO)</v>
          </cell>
          <cell r="C3191" t="str">
            <v xml:space="preserve">UN    </v>
          </cell>
          <cell r="D3191">
            <v>13.72</v>
          </cell>
        </row>
        <row r="3192">
          <cell r="A3192">
            <v>4119</v>
          </cell>
          <cell r="B3192" t="str">
            <v>MADEIRA ROLICA TRATADA, EUCALIPTO OU EQUIVALENTE DA REGIAO, H = 6 M, D = 16 A 19 CM</v>
          </cell>
          <cell r="C3192" t="str">
            <v xml:space="preserve">M     </v>
          </cell>
          <cell r="D3192">
            <v>22.93</v>
          </cell>
        </row>
        <row r="3193">
          <cell r="A3193">
            <v>2794</v>
          </cell>
          <cell r="B3193" t="str">
            <v>MADEIRA ROLICA TRATADA, EUCALIPTO OU EQUIVALENTE DA REGIAO, H = 6,5 M, D = 25 A 29 CM</v>
          </cell>
          <cell r="C3193" t="str">
            <v xml:space="preserve">M     </v>
          </cell>
          <cell r="D3193">
            <v>56.61</v>
          </cell>
        </row>
        <row r="3194">
          <cell r="A3194">
            <v>2788</v>
          </cell>
          <cell r="B3194" t="str">
            <v>MADEIRA ROLICA TRATADA, EUCALIPTO OU EQUIVALENTE DA REGIAO, H = 6,5 M, D = 30 A 34 CM</v>
          </cell>
          <cell r="C3194" t="str">
            <v xml:space="preserve">M     </v>
          </cell>
          <cell r="D3194">
            <v>114.45</v>
          </cell>
        </row>
        <row r="3195">
          <cell r="A3195">
            <v>4006</v>
          </cell>
          <cell r="B3195" t="str">
            <v>MADEIRA SERRADA NAO APARELHADA DE PINUS, MISTA OU EQUIVALENTE DA REGIAO</v>
          </cell>
          <cell r="C3195" t="str">
            <v xml:space="preserve">M3    </v>
          </cell>
          <cell r="D3195">
            <v>1645.15</v>
          </cell>
        </row>
        <row r="3196">
          <cell r="A3196">
            <v>36151</v>
          </cell>
          <cell r="B3196" t="str">
            <v>MANGOTE DE SEGURANCA EM RASPA DE COURO</v>
          </cell>
          <cell r="C3196" t="str">
            <v xml:space="preserve">UN    </v>
          </cell>
          <cell r="D3196">
            <v>22.5</v>
          </cell>
        </row>
        <row r="3197">
          <cell r="A3197">
            <v>37457</v>
          </cell>
          <cell r="B3197" t="str">
            <v>MANGUEIRA CRISTAL PARA NIVEL, LISA, PVC TRANSPARENTE, 3/8" X1,5 MM</v>
          </cell>
          <cell r="C3197" t="str">
            <v xml:space="preserve">M     </v>
          </cell>
          <cell r="D3197">
            <v>1.78</v>
          </cell>
        </row>
        <row r="3198">
          <cell r="A3198">
            <v>37456</v>
          </cell>
          <cell r="B3198" t="str">
            <v>MANGUEIRA CRISTAL PARA NIVEL, LISA, PVC TRANSPARENTE, 5/16" X1 MM</v>
          </cell>
          <cell r="C3198" t="str">
            <v xml:space="preserve">M     </v>
          </cell>
          <cell r="D3198">
            <v>0.94</v>
          </cell>
        </row>
        <row r="3199">
          <cell r="A3199">
            <v>37461</v>
          </cell>
          <cell r="B3199" t="str">
            <v>MANGUEIRA CRISTAL TRANCADA, PVC COM REFORCO, COM PRESSAO DE TRABALHO (PT) 250 LBS/POL2, DE 3/4" X *2,8* MM</v>
          </cell>
          <cell r="C3199" t="str">
            <v xml:space="preserve">M     </v>
          </cell>
          <cell r="D3199">
            <v>6.62</v>
          </cell>
        </row>
        <row r="3200">
          <cell r="A3200">
            <v>37460</v>
          </cell>
          <cell r="B3200" t="str">
            <v>MANGUEIRA CRISTAL TRANCADA, PVC COM REFORCO, PRESSAO DE TRABALHO (PT) 250 LBS/POL2, DE 1" X *3,4* MM</v>
          </cell>
          <cell r="C3200" t="str">
            <v xml:space="preserve">M     </v>
          </cell>
          <cell r="D3200">
            <v>9.0399999999999991</v>
          </cell>
        </row>
        <row r="3201">
          <cell r="A3201">
            <v>37458</v>
          </cell>
          <cell r="B3201" t="str">
            <v>MANGUEIRA CRISTAL, LISA, PVC TRANSPARENTE, 1/2" X 2 MM</v>
          </cell>
          <cell r="C3201" t="str">
            <v xml:space="preserve">M     </v>
          </cell>
          <cell r="D3201">
            <v>2.65</v>
          </cell>
        </row>
        <row r="3202">
          <cell r="A3202">
            <v>37454</v>
          </cell>
          <cell r="B3202" t="str">
            <v>MANGUEIRA CRISTAL, LISA, PVC TRANSPARENTE, 1/4" X1 MM</v>
          </cell>
          <cell r="C3202" t="str">
            <v xml:space="preserve">M     </v>
          </cell>
          <cell r="D3202">
            <v>0.69</v>
          </cell>
        </row>
        <row r="3203">
          <cell r="A3203">
            <v>37455</v>
          </cell>
          <cell r="B3203" t="str">
            <v>MANGUEIRA CRISTAL, LISA, PVC TRANSPARENTE, 1/4" X1,5 MM</v>
          </cell>
          <cell r="C3203" t="str">
            <v xml:space="preserve">M     </v>
          </cell>
          <cell r="D3203">
            <v>1.17</v>
          </cell>
        </row>
        <row r="3204">
          <cell r="A3204">
            <v>37459</v>
          </cell>
          <cell r="B3204" t="str">
            <v>MANGUEIRA CRISTAL, LISA, PVC TRANSPARENTE, 3/4" X 2 MM</v>
          </cell>
          <cell r="C3204" t="str">
            <v xml:space="preserve">M     </v>
          </cell>
          <cell r="D3204">
            <v>3.72</v>
          </cell>
        </row>
        <row r="3205">
          <cell r="A3205">
            <v>21029</v>
          </cell>
          <cell r="B3205" t="str">
            <v>MANGUEIRA DE INCENDIO, TIPO 1, DE 1 1/2", COMPRIMENTO = 15 M, TECIDO EM FIO DE POLIESTER E TUBO INTERNO EM BORRACHA SINTETICA, COM UNIOES ENGATE RAPIDO</v>
          </cell>
          <cell r="C3205" t="str">
            <v xml:space="preserve">UN    </v>
          </cell>
          <cell r="D3205">
            <v>250</v>
          </cell>
        </row>
        <row r="3206">
          <cell r="A3206">
            <v>21030</v>
          </cell>
          <cell r="B3206" t="str">
            <v>MANGUEIRA DE INCENDIO, TIPO 1, DE 1 1/2", COMPRIMENTO = 20 M, TECIDO EM FIO DE POLIESTER E TUBO INTERNO EM BORRACHA SINTETICA, COM UNIOES ENGATE RAPIDO</v>
          </cell>
          <cell r="C3206" t="str">
            <v xml:space="preserve">UN    </v>
          </cell>
          <cell r="D3206">
            <v>308.16000000000003</v>
          </cell>
        </row>
        <row r="3207">
          <cell r="A3207">
            <v>21031</v>
          </cell>
          <cell r="B3207" t="str">
            <v>MANGUEIRA DE INCENDIO, TIPO 1, DE 1 1/2", COMPRIMENTO = 25 M, TECIDO EM FIO DE POLIESTER E TUBO INTERNO EM BORRACHA SINTETICA, COM UNIOES ENGATE RAPIDO</v>
          </cell>
          <cell r="C3207" t="str">
            <v xml:space="preserve">UN    </v>
          </cell>
          <cell r="D3207">
            <v>383.66</v>
          </cell>
        </row>
        <row r="3208">
          <cell r="A3208">
            <v>21032</v>
          </cell>
          <cell r="B3208" t="str">
            <v>MANGUEIRA DE INCENDIO, TIPO 1, DE 1 1/2", COMPRIMENTO = 30 M, TECIDO EM FIO DE POLIESTER E TUBO INTERNO EM BORRACHA SINTETICA, COM UNIOES ENGATE RAPIDO</v>
          </cell>
          <cell r="C3208" t="str">
            <v xml:space="preserve">UN    </v>
          </cell>
          <cell r="D3208">
            <v>409.65</v>
          </cell>
        </row>
        <row r="3209">
          <cell r="A3209">
            <v>37527</v>
          </cell>
          <cell r="B3209" t="str">
            <v>MANGUEIRA DE INCENDIO, TIPO 2, DE 1 1/2", COMPRIMENTO = 15 M, TECIDO EM FIO DE POLIESTER E TUBO INTERNO EM BORRACHA SINTETICA, COM UNIOES ENGATE RAPIDO</v>
          </cell>
          <cell r="C3209" t="str">
            <v xml:space="preserve">UN    </v>
          </cell>
          <cell r="D3209">
            <v>370.04</v>
          </cell>
        </row>
        <row r="3210">
          <cell r="A3210">
            <v>37528</v>
          </cell>
          <cell r="B3210" t="str">
            <v>MANGUEIRA DE INCENDIO, TIPO 2, DE 1 1/2", COMPRIMENTO = 20 M, TECIDO EM FIO DE POLIESTER E TUBO INTERNO EM BORRACHA SINTETICA, COM UNIOES</v>
          </cell>
          <cell r="C3210" t="str">
            <v xml:space="preserve">UN    </v>
          </cell>
          <cell r="D3210">
            <v>441.21</v>
          </cell>
        </row>
        <row r="3211">
          <cell r="A3211">
            <v>37529</v>
          </cell>
          <cell r="B3211" t="str">
            <v>MANGUEIRA DE INCENDIO, TIPO 2, DE 1 1/2", COMPRIMENTO = 25 M, TECIDO EM FIO DE POLIESTER E TUBO INTERNO EM BORRACHA SINTETICA, COM UNIOES</v>
          </cell>
          <cell r="C3211" t="str">
            <v xml:space="preserve">UN    </v>
          </cell>
          <cell r="D3211">
            <v>445.54</v>
          </cell>
        </row>
        <row r="3212">
          <cell r="A3212">
            <v>37530</v>
          </cell>
          <cell r="B3212" t="str">
            <v>MANGUEIRA DE INCENDIO, TIPO 2, DE 1 1/2", COMPRIMENTO = 30 M, TECIDO EM FIO DE POLIESTER E TUBO INTERNO EM BORRACHA SINTETICA, COM UNIOES</v>
          </cell>
          <cell r="C3212" t="str">
            <v xml:space="preserve">UN    </v>
          </cell>
          <cell r="D3212">
            <v>581.67999999999995</v>
          </cell>
        </row>
        <row r="3213">
          <cell r="A3213">
            <v>21034</v>
          </cell>
          <cell r="B3213" t="str">
            <v>MANGUEIRA DE INCENDIO, TIPO 2, DE 2 1/2", COMPRIMENTO = 15 M, TECIDO EM FIO DE POLIESTER E TUBO INTERNO EM BORRACHA SINTETICA, COM UNIOES ENGATE RAPIDO</v>
          </cell>
          <cell r="C3213" t="str">
            <v xml:space="preserve">UN    </v>
          </cell>
          <cell r="D3213">
            <v>496.28</v>
          </cell>
        </row>
        <row r="3214">
          <cell r="A3214">
            <v>37531</v>
          </cell>
          <cell r="B3214" t="str">
            <v>MANGUEIRA DE INCENDIO, TIPO 2, DE 2 1/2", COMPRIMENTO = 20 M, TECIDO EM FIO DE POLIESTER E TUBO INTERNO EM BORRACHA SINTETICA, COM UNIOES</v>
          </cell>
          <cell r="C3214" t="str">
            <v xml:space="preserve">UN    </v>
          </cell>
          <cell r="D3214">
            <v>625</v>
          </cell>
        </row>
        <row r="3215">
          <cell r="A3215">
            <v>21036</v>
          </cell>
          <cell r="B3215" t="str">
            <v>MANGUEIRA DE INCENDIO, TIPO 2, DE 2 1/2", COMPRIMENTO = 25 M, TECIDO EM FIO DE POLIESTER E TUBO INTERNO EM BORRACHA SINTETICA, COM UNIOES ENGATE RAPIDO</v>
          </cell>
          <cell r="C3215" t="str">
            <v xml:space="preserve">UN    </v>
          </cell>
          <cell r="D3215">
            <v>759.9</v>
          </cell>
        </row>
        <row r="3216">
          <cell r="A3216">
            <v>21037</v>
          </cell>
          <cell r="B3216" t="str">
            <v>MANGUEIRA DE INCENDIO, TIPO 2, DE 2 1/2", COMPRIMENTO = 30 M, TECIDO EM FIO DE POLIESTER E TUBO INTERNO EM BORRACHA SINTETICA, COM UNIOES ENGATE RAPIDO</v>
          </cell>
          <cell r="C3216" t="str">
            <v xml:space="preserve">UN    </v>
          </cell>
          <cell r="D3216">
            <v>866.33</v>
          </cell>
        </row>
        <row r="3217">
          <cell r="A3217">
            <v>20185</v>
          </cell>
          <cell r="B3217" t="str">
            <v>MANGUEIRA DE PVC FLEXIVEL,TIPO FLAT/ACHATADA, COR LARANJA, D = 1 1/2" (40 MM), PARA CONDUCAO DE AGUA, SERVICOS LEVES E MEDIOS</v>
          </cell>
          <cell r="C3217" t="str">
            <v xml:space="preserve">M     </v>
          </cell>
          <cell r="D3217">
            <v>10.76</v>
          </cell>
        </row>
        <row r="3218">
          <cell r="A3218">
            <v>20260</v>
          </cell>
          <cell r="B3218" t="str">
            <v>MANGUEIRA PARA GAS - GLP, PVC, TRANCADA, DIAMETRO DE 3/8", COMPRIMENTO DE 1M (NORMATIZADA)</v>
          </cell>
          <cell r="C3218" t="str">
            <v xml:space="preserve">UN    </v>
          </cell>
          <cell r="D3218">
            <v>8.65</v>
          </cell>
        </row>
        <row r="3219">
          <cell r="A3219">
            <v>37523</v>
          </cell>
          <cell r="B3219" t="str">
            <v>MANIPULADOR TELESCOPICO, POTENCIA DE 101 HP, CAPACIDADE DE CARGA DE 3.500 KG, ALTURA MAXIMA DE ELEVACAO DE 12 M</v>
          </cell>
          <cell r="C3219" t="str">
            <v xml:space="preserve">UN    </v>
          </cell>
          <cell r="D3219">
            <v>398826.33</v>
          </cell>
        </row>
        <row r="3220">
          <cell r="A3220">
            <v>37515</v>
          </cell>
          <cell r="B3220" t="str">
            <v>MANIPULADOR TELESCOPICO, POTENCIA DE 85 HP, CAPACIDADE DE CARGA DE 3.500 KG, ALTURA MAXIMA DE ELEVACAO DE 12,3 M</v>
          </cell>
          <cell r="C3220" t="str">
            <v xml:space="preserve">UN    </v>
          </cell>
          <cell r="D3220">
            <v>354577</v>
          </cell>
        </row>
        <row r="3221">
          <cell r="A3221">
            <v>12899</v>
          </cell>
          <cell r="B3221" t="str">
            <v>MANOMETRO COM CAIXA EM ACO PINTADO, ESCALA *10* KGF/CM2 (*10* BAR), DIAMETRO NOMINAL DE *63* MM, CONEXAO DE 1/4"</v>
          </cell>
          <cell r="C3221" t="str">
            <v xml:space="preserve">UN    </v>
          </cell>
          <cell r="D3221">
            <v>100.35</v>
          </cell>
        </row>
        <row r="3222">
          <cell r="A3222">
            <v>12898</v>
          </cell>
          <cell r="B3222" t="str">
            <v>MANOMETRO COM CAIXA EM ACO PINTADO, ESCALA *10* KGF/CM2 (*10* BAR), DIAMETRO NOMINAL DE 100 MM, CONEXAO DE 1/2"</v>
          </cell>
          <cell r="C3222" t="str">
            <v xml:space="preserve">UN    </v>
          </cell>
          <cell r="D3222">
            <v>159.18</v>
          </cell>
        </row>
        <row r="3223">
          <cell r="A3223">
            <v>42528</v>
          </cell>
          <cell r="B3223" t="str">
            <v>MANTA ALUMINIZADA NAS DUAS FACES, PARA SUBCOBERTURA,  E = *2* MM</v>
          </cell>
          <cell r="C3223" t="str">
            <v xml:space="preserve">M2    </v>
          </cell>
          <cell r="D3223">
            <v>5.8</v>
          </cell>
        </row>
        <row r="3224">
          <cell r="A3224">
            <v>39696</v>
          </cell>
          <cell r="B3224" t="str">
            <v>MANTA ALUMINIZADA 1 FACE PARA SUBCOBERTURA, E = *1* MM</v>
          </cell>
          <cell r="C3224" t="str">
            <v xml:space="preserve">M2    </v>
          </cell>
          <cell r="D3224">
            <v>4.08</v>
          </cell>
        </row>
        <row r="3225">
          <cell r="A3225">
            <v>39700</v>
          </cell>
          <cell r="B3225" t="str">
            <v>MANTA ANTIRRUIDO DE POLIESTER (PET) PARA CONTRAPISO E = *8* MM</v>
          </cell>
          <cell r="C3225" t="str">
            <v xml:space="preserve">M2    </v>
          </cell>
          <cell r="D3225">
            <v>17.690000000000001</v>
          </cell>
        </row>
        <row r="3226">
          <cell r="A3226">
            <v>11621</v>
          </cell>
          <cell r="B3226" t="str">
            <v>MANTA ASFALTICA ELASTOMERICA EM POLIESTER ALUMINIZADA 3 MM, TIPO III, CLASSE B (NBR 9952)</v>
          </cell>
          <cell r="C3226" t="str">
            <v xml:space="preserve">M2    </v>
          </cell>
          <cell r="D3226">
            <v>35.19</v>
          </cell>
        </row>
        <row r="3227">
          <cell r="A3227">
            <v>4014</v>
          </cell>
          <cell r="B3227" t="str">
            <v>MANTA ASFALTICA ELASTOMERICA EM POLIESTER 3 MM, TIPO III, CLASSE B, ACABAMENTO PP (NBR 9952)</v>
          </cell>
          <cell r="C3227" t="str">
            <v xml:space="preserve">M2    </v>
          </cell>
          <cell r="D3227">
            <v>36.409999999999997</v>
          </cell>
        </row>
        <row r="3228">
          <cell r="A3228">
            <v>4015</v>
          </cell>
          <cell r="B3228" t="str">
            <v>MANTA ASFALTICA ELASTOMERICA EM POLIESTER 4 MM, TIPO III, CLASSE B, ACABAMENTO PP (NBR 9952)</v>
          </cell>
          <cell r="C3228" t="str">
            <v xml:space="preserve">M2    </v>
          </cell>
          <cell r="D3228">
            <v>44.72</v>
          </cell>
        </row>
        <row r="3229">
          <cell r="A3229">
            <v>4017</v>
          </cell>
          <cell r="B3229" t="str">
            <v>MANTA ASFALTICA ELASTOMERICA EM POLIESTER 5 MM, TIPO III, CLASSE B, ACABAMENTO PP (NBR 9952)</v>
          </cell>
          <cell r="C3229" t="str">
            <v xml:space="preserve">M2    </v>
          </cell>
          <cell r="D3229">
            <v>65.069999999999993</v>
          </cell>
        </row>
        <row r="3230">
          <cell r="A3230">
            <v>4016</v>
          </cell>
          <cell r="B3230" t="str">
            <v>MANTA ASFALTICA ELASTOMERICA TIPO GLASS 3 MM, TIPO II, CLASSE C, ACABAMENTO PP (NBR 9952)</v>
          </cell>
          <cell r="C3230" t="str">
            <v xml:space="preserve">M2    </v>
          </cell>
          <cell r="D3230">
            <v>25.7</v>
          </cell>
        </row>
        <row r="3231">
          <cell r="A3231">
            <v>39699</v>
          </cell>
          <cell r="B3231" t="str">
            <v>MANTA DE BORRACHA ANTIRRUIDO 5 MM</v>
          </cell>
          <cell r="C3231" t="str">
            <v xml:space="preserve">M2    </v>
          </cell>
          <cell r="D3231">
            <v>10.61</v>
          </cell>
        </row>
        <row r="3232">
          <cell r="A3232">
            <v>38544</v>
          </cell>
          <cell r="B3232" t="str">
            <v>MANTA DE POLIETILENO EXPANDIDO (PEBD) ANTICHAMAS, E = 8 MM</v>
          </cell>
          <cell r="C3232" t="str">
            <v xml:space="preserve">M2    </v>
          </cell>
          <cell r="D3232">
            <v>6.59</v>
          </cell>
        </row>
        <row r="3233">
          <cell r="A3233">
            <v>38545</v>
          </cell>
          <cell r="B3233" t="str">
            <v>MANTA DE POLIETILENO EXPANDIDO (PEBD), E = 5 MM</v>
          </cell>
          <cell r="C3233" t="str">
            <v xml:space="preserve">M2    </v>
          </cell>
          <cell r="D3233">
            <v>4.24</v>
          </cell>
        </row>
        <row r="3234">
          <cell r="A3234">
            <v>42527</v>
          </cell>
          <cell r="B3234" t="str">
            <v>MANTA DE POLIETILENO EXPANDIDO, COM 1 FACE METALIZADA PARA SUBCOBERTURA,  E = *5* MM</v>
          </cell>
          <cell r="C3234" t="str">
            <v xml:space="preserve">M2    </v>
          </cell>
          <cell r="D3234">
            <v>15.33</v>
          </cell>
        </row>
        <row r="3235">
          <cell r="A3235">
            <v>39323</v>
          </cell>
          <cell r="B3235" t="str">
            <v>MANTA GEOTEXTIL TECIDO DE LAMINETES DE POLIPROPILENO, RESISTENCIA A TRACAO = *25* KN/M</v>
          </cell>
          <cell r="C3235" t="str">
            <v xml:space="preserve">M2    </v>
          </cell>
          <cell r="D3235">
            <v>16.16</v>
          </cell>
        </row>
        <row r="3236">
          <cell r="A3236">
            <v>626</v>
          </cell>
          <cell r="B3236" t="str">
            <v>MANTA LIQUIDA DE BASE ASFALTICA MODIFICADA COM A ADICAO DE ELASTOMEROS DILUIDOS EM SOLVENTE ORGANICO, APLICACAO A FRIO (MEMBRANA IMPERMEABILIZANTE ASFASTICA)</v>
          </cell>
          <cell r="C3236" t="str">
            <v xml:space="preserve">KG    </v>
          </cell>
          <cell r="D3236">
            <v>10.86</v>
          </cell>
        </row>
        <row r="3237">
          <cell r="A3237">
            <v>25860</v>
          </cell>
          <cell r="B3237" t="str">
            <v>MANTA TERMOPLASTICA, PEAD, GEOMEMBRANA LISA, E = 0,50 MM ( NBR 15352)</v>
          </cell>
          <cell r="C3237" t="str">
            <v xml:space="preserve">M2    </v>
          </cell>
          <cell r="D3237">
            <v>8.64</v>
          </cell>
        </row>
        <row r="3238">
          <cell r="A3238">
            <v>25861</v>
          </cell>
          <cell r="B3238" t="str">
            <v>MANTA TERMOPLASTICA, PEAD, GEOMEMBRANA LISA, E = 0,75 MM ( NBR 15352)</v>
          </cell>
          <cell r="C3238" t="str">
            <v xml:space="preserve">M2    </v>
          </cell>
          <cell r="D3238">
            <v>13.04</v>
          </cell>
        </row>
        <row r="3239">
          <cell r="A3239">
            <v>25862</v>
          </cell>
          <cell r="B3239" t="str">
            <v>MANTA TERMOPLASTICA, PEAD, GEOMEMBRANA LISA, E = 0,80 MM ( NBR 15352)</v>
          </cell>
          <cell r="C3239" t="str">
            <v xml:space="preserve">M2    </v>
          </cell>
          <cell r="D3239">
            <v>13.84</v>
          </cell>
        </row>
        <row r="3240">
          <cell r="A3240">
            <v>25863</v>
          </cell>
          <cell r="B3240" t="str">
            <v>MANTA TERMOPLASTICA, PEAD, GEOMEMBRANA LISA, E = 1,00 MM ( NBR 15352)</v>
          </cell>
          <cell r="C3240" t="str">
            <v xml:space="preserve">M2    </v>
          </cell>
          <cell r="D3240">
            <v>17.3</v>
          </cell>
        </row>
        <row r="3241">
          <cell r="A3241">
            <v>25864</v>
          </cell>
          <cell r="B3241" t="str">
            <v>MANTA TERMOPLASTICA, PEAD, GEOMEMBRANA LISA, E = 1,50 MM ( NBR 15352)</v>
          </cell>
          <cell r="C3241" t="str">
            <v xml:space="preserve">M2    </v>
          </cell>
          <cell r="D3241">
            <v>25.94</v>
          </cell>
        </row>
        <row r="3242">
          <cell r="A3242">
            <v>25865</v>
          </cell>
          <cell r="B3242" t="str">
            <v>MANTA TERMOPLASTICA, PEAD, GEOMEMBRANA LISA, E = 2,00 MM ( NBR 15352)</v>
          </cell>
          <cell r="C3242" t="str">
            <v xml:space="preserve">M2    </v>
          </cell>
          <cell r="D3242">
            <v>34.76</v>
          </cell>
        </row>
        <row r="3243">
          <cell r="A3243">
            <v>25866</v>
          </cell>
          <cell r="B3243" t="str">
            <v>MANTA TERMOPLASTICA, PEAD, GEOMEMBRANA LISA, E = 2,50 MM ( NBR 15352)</v>
          </cell>
          <cell r="C3243" t="str">
            <v xml:space="preserve">M2    </v>
          </cell>
          <cell r="D3243">
            <v>43.16</v>
          </cell>
        </row>
        <row r="3244">
          <cell r="A3244">
            <v>25868</v>
          </cell>
          <cell r="B3244" t="str">
            <v>MANTA TERMOPLASTICA, PEAD, GEOMEMBRANA TEXTURIZADA EM AMBAS AS FACES, E = 0,50 MM (NBR 15352)</v>
          </cell>
          <cell r="C3244" t="str">
            <v xml:space="preserve">M2    </v>
          </cell>
          <cell r="D3244">
            <v>9.6300000000000008</v>
          </cell>
        </row>
        <row r="3245">
          <cell r="A3245">
            <v>25869</v>
          </cell>
          <cell r="B3245" t="str">
            <v>MANTA TERMOPLASTICA, PEAD, GEOMEMBRANA TEXTURIZADA EM AMBAS AS FACES, E = 0,75 MM (NBR 15352)</v>
          </cell>
          <cell r="C3245" t="str">
            <v xml:space="preserve">M2    </v>
          </cell>
          <cell r="D3245">
            <v>13.6</v>
          </cell>
        </row>
        <row r="3246">
          <cell r="A3246">
            <v>25870</v>
          </cell>
          <cell r="B3246" t="str">
            <v>MANTA TERMOPLASTICA, PEAD, GEOMEMBRANA TEXTURIZADA EM AMBAS AS FACES, E = 0,80 MM (NBR 15352)</v>
          </cell>
          <cell r="C3246" t="str">
            <v xml:space="preserve">M2    </v>
          </cell>
          <cell r="D3246">
            <v>15.41</v>
          </cell>
        </row>
        <row r="3247">
          <cell r="A3247">
            <v>25871</v>
          </cell>
          <cell r="B3247" t="str">
            <v>MANTA TERMOPLASTICA, PEAD, GEOMEMBRANA TEXTURIZADA EM AMBAS AS FACES, E = 1,00 MM (NBR 15352)</v>
          </cell>
          <cell r="C3247" t="str">
            <v xml:space="preserve">M2    </v>
          </cell>
          <cell r="D3247">
            <v>18.920000000000002</v>
          </cell>
        </row>
        <row r="3248">
          <cell r="A3248">
            <v>25867</v>
          </cell>
          <cell r="B3248" t="str">
            <v>MANTA TERMOPLASTICA, PEAD, GEOMEMBRANA TEXTURIZADA EM AMBAS AS FACES, E = 1,50 MM (NBR 15352)</v>
          </cell>
          <cell r="C3248" t="str">
            <v xml:space="preserve">M2    </v>
          </cell>
          <cell r="D3248">
            <v>28.01</v>
          </cell>
        </row>
        <row r="3249">
          <cell r="A3249">
            <v>25872</v>
          </cell>
          <cell r="B3249" t="str">
            <v>MANTA TERMOPLASTICA, PEAD, GEOMEMBRANA TEXTURIZADA EM AMBAS AS FACES, E = 2,00 MM (NBR 15352)</v>
          </cell>
          <cell r="C3249" t="str">
            <v xml:space="preserve">M2    </v>
          </cell>
          <cell r="D3249">
            <v>37.86</v>
          </cell>
        </row>
        <row r="3250">
          <cell r="A3250">
            <v>25873</v>
          </cell>
          <cell r="B3250" t="str">
            <v>MANTA TERMOPLASTICA, PEAD, GEOMEMBRANA TEXTURIZADA EM AMBAS AS FACES, E = 2,50 MM (NBR 15352)</v>
          </cell>
          <cell r="C3250" t="str">
            <v xml:space="preserve">M2    </v>
          </cell>
          <cell r="D3250">
            <v>47.22</v>
          </cell>
        </row>
        <row r="3251">
          <cell r="A3251">
            <v>40637</v>
          </cell>
          <cell r="B3251" t="str">
            <v>MAQUINA DEMARCADORA DE FAIXA DE TRAFEGO A FRIO, AUTOPROPELIDA, MOTOR DIESEL 38 HP</v>
          </cell>
          <cell r="C3251" t="str">
            <v xml:space="preserve">UN    </v>
          </cell>
          <cell r="D3251">
            <v>505925.24</v>
          </cell>
        </row>
        <row r="3252">
          <cell r="A3252">
            <v>13836</v>
          </cell>
          <cell r="B3252" t="str">
            <v>MAQUINA EXTRUSORA DE CONCRETO PARA GUIAS E SARJETAS, COM MOTOR A DIESEL DE 14 CV</v>
          </cell>
          <cell r="C3252" t="str">
            <v xml:space="preserve">UN    </v>
          </cell>
          <cell r="D3252">
            <v>78291.97</v>
          </cell>
        </row>
        <row r="3253">
          <cell r="A3253">
            <v>14534</v>
          </cell>
          <cell r="B3253" t="str">
            <v>MAQUINA MANUAL TIPO PRENSA PARA PRODUCAO DE BLOCOS E PAVIMENTOS DE CONCRETO, COM MOTOR ELETRICO TRIFASICO PARA VIBRACAO, POTENCIA TOTAL INSTALADA DE 1,5 KW</v>
          </cell>
          <cell r="C3253" t="str">
            <v xml:space="preserve">UN    </v>
          </cell>
          <cell r="D3253">
            <v>32775.089999999997</v>
          </cell>
        </row>
        <row r="3254">
          <cell r="A3254">
            <v>14619</v>
          </cell>
          <cell r="B3254" t="str">
            <v>MAQUINA PARA CORTE COM DISCO ABRASIVO DE DIAMETRO DE 18'' (450 MM), COM MOTOR ELETRICO TRIFASICO DE 10 CV</v>
          </cell>
          <cell r="C3254" t="str">
            <v xml:space="preserve">UN    </v>
          </cell>
          <cell r="D3254">
            <v>16624.78</v>
          </cell>
        </row>
        <row r="3255">
          <cell r="A3255">
            <v>14535</v>
          </cell>
          <cell r="B3255" t="str">
            <v>MAQUINA TIPO PRENSA HIDRAULICA, PARA FABRICACAO DE TUBOS DE CONCRETO PARA AGUAS PLUVIAIS, DN 200 A DN 600 MM X 1000 MM DE COMPRIMENTO, COM MOTOR PRINCIPAL DE 20 CV</v>
          </cell>
          <cell r="C3255" t="str">
            <v xml:space="preserve">UN    </v>
          </cell>
          <cell r="D3255">
            <v>325295.92</v>
          </cell>
        </row>
        <row r="3256">
          <cell r="A3256">
            <v>39813</v>
          </cell>
          <cell r="B3256" t="str">
            <v>MAQUINA TIPO VASO/TANQUE/JATO DE PRESSAO PORTATIL PARA JATEAMENTO, CONTROLE AUTOMATICO E REMOTO, CAMARA DE 1 SAIDA, 280 L, DIAM. *670* MM, BICO JATO CURTO VENTURI DE 5/16", MANGUEIRA DE 1" DE 10 M, COMPLETA (VALVULAS POP UP E DOSADORA, FUNDO CONICO ETC)</v>
          </cell>
          <cell r="C3256" t="str">
            <v xml:space="preserve">UN    </v>
          </cell>
          <cell r="D3256">
            <v>17291.87</v>
          </cell>
        </row>
        <row r="3257">
          <cell r="A3257">
            <v>40403</v>
          </cell>
          <cell r="B3257" t="str">
            <v>MAQUINA TRANSFORMADORA MONOFASICA PARA SOLDA ELETRICA, TENSAO DE 220 V, FREQUENCIA DE 60 HZ, FAIXA DE CORRENTE ENTRE 80 A (+/- 10 A) E 250 A, POTENCIA ENTRE 14,00 KVA E 15,0 KVA, CICLO DE TRABALHO ENTRE 10% E 20% A 250 A</v>
          </cell>
          <cell r="C3257" t="str">
            <v xml:space="preserve">UN    </v>
          </cell>
          <cell r="D3257">
            <v>722.94</v>
          </cell>
        </row>
        <row r="3258">
          <cell r="A3258">
            <v>12868</v>
          </cell>
          <cell r="B3258" t="str">
            <v>MARCENEIRO</v>
          </cell>
          <cell r="C3258" t="str">
            <v xml:space="preserve">H     </v>
          </cell>
          <cell r="D3258">
            <v>15.31</v>
          </cell>
        </row>
        <row r="3259">
          <cell r="A3259">
            <v>40916</v>
          </cell>
          <cell r="B3259" t="str">
            <v>MARCENEIRO (MENSALISTA)</v>
          </cell>
          <cell r="C3259" t="str">
            <v xml:space="preserve">MES   </v>
          </cell>
          <cell r="D3259">
            <v>2711.23</v>
          </cell>
        </row>
        <row r="3260">
          <cell r="A3260">
            <v>4755</v>
          </cell>
          <cell r="B3260" t="str">
            <v>MARMORISTA / GRANITEIRO</v>
          </cell>
          <cell r="C3260" t="str">
            <v xml:space="preserve">H     </v>
          </cell>
          <cell r="D3260">
            <v>15.31</v>
          </cell>
        </row>
        <row r="3261">
          <cell r="A3261">
            <v>41067</v>
          </cell>
          <cell r="B3261" t="str">
            <v>MARMORISTA / GRANITEIRO (MENSALISTA)</v>
          </cell>
          <cell r="C3261" t="str">
            <v xml:space="preserve">MES   </v>
          </cell>
          <cell r="D3261">
            <v>2712.03</v>
          </cell>
        </row>
        <row r="3262">
          <cell r="A3262">
            <v>38463</v>
          </cell>
          <cell r="B3262" t="str">
            <v>MARTELO DE SOLDADOR/PICADOR DE SOLDA</v>
          </cell>
          <cell r="C3262" t="str">
            <v xml:space="preserve">UN    </v>
          </cell>
          <cell r="D3262">
            <v>31.43</v>
          </cell>
        </row>
        <row r="3263">
          <cell r="A3263">
            <v>40703</v>
          </cell>
          <cell r="B3263" t="str">
            <v>MARTELO DEMOLIDOR ELETRICO, COM POTENCIA DE 2.000 W, FREQUENCIA DE 1.000 IMPACTOS POR MINUTO, FORÇA DE IMPACTO ENTRE 60 E 65 J, PESO DE 30 KG</v>
          </cell>
          <cell r="C3263" t="str">
            <v xml:space="preserve">UN    </v>
          </cell>
          <cell r="D3263">
            <v>7541.38</v>
          </cell>
        </row>
        <row r="3264">
          <cell r="A3264">
            <v>14531</v>
          </cell>
          <cell r="B3264" t="str">
            <v>MARTELO DEMOLIDOR PNEUMATICO MANUAL, COM REDUCAO DE VIBRACAO, PESO DE 21 KG</v>
          </cell>
          <cell r="C3264" t="str">
            <v xml:space="preserve">UN    </v>
          </cell>
          <cell r="D3264">
            <v>14059.97</v>
          </cell>
        </row>
        <row r="3265">
          <cell r="A3265">
            <v>36533</v>
          </cell>
          <cell r="B3265" t="str">
            <v>MARTELO DEMOLIDOR PNEUMATICO MANUAL, COM REDUCAO DE VIBRACAO, PESO DE 31,5 KG</v>
          </cell>
          <cell r="C3265" t="str">
            <v xml:space="preserve">UN    </v>
          </cell>
          <cell r="D3265">
            <v>16179.43</v>
          </cell>
        </row>
        <row r="3266">
          <cell r="A3266">
            <v>11616</v>
          </cell>
          <cell r="B3266" t="str">
            <v>MARTELO DEMOLIDOR PNEUMATICO MANUAL, PADRAO, PESO DE 32 KG</v>
          </cell>
          <cell r="C3266" t="str">
            <v xml:space="preserve">UN    </v>
          </cell>
          <cell r="D3266">
            <v>15281.23</v>
          </cell>
        </row>
        <row r="3267">
          <cell r="A3267">
            <v>41898</v>
          </cell>
          <cell r="B3267" t="str">
            <v>MARTELO DEMOLIDOR PNEUMATICO MANUAL, PESO  DE 28 KG, COM SILENCIADOR</v>
          </cell>
          <cell r="C3267" t="str">
            <v xml:space="preserve">UN    </v>
          </cell>
          <cell r="D3267">
            <v>17193.47</v>
          </cell>
        </row>
        <row r="3268">
          <cell r="A3268">
            <v>13447</v>
          </cell>
          <cell r="B3268" t="str">
            <v>MARTELO PERFURADOR PNEUMATICO MANUAL, DE SUPERFICIE, COM AVANCO DE COLUNA, PESO DE 22 KG</v>
          </cell>
          <cell r="C3268" t="str">
            <v xml:space="preserve">UN    </v>
          </cell>
          <cell r="D3268">
            <v>31637.16</v>
          </cell>
        </row>
        <row r="3269">
          <cell r="A3269">
            <v>14529</v>
          </cell>
          <cell r="B3269" t="str">
            <v>MARTELO PERFURADOR PNEUMATICO MANUAL, HASTE 25 X 75 MM, 21 KG</v>
          </cell>
          <cell r="C3269" t="str">
            <v xml:space="preserve">UN    </v>
          </cell>
          <cell r="D3269">
            <v>17693.86</v>
          </cell>
        </row>
        <row r="3270">
          <cell r="A3270">
            <v>10747</v>
          </cell>
          <cell r="B3270" t="str">
            <v>MARTELO PERFURADOR PNEUMATICO MANUAL, PESO DE 25 KG, COM SILENCIADOR</v>
          </cell>
          <cell r="C3270" t="str">
            <v xml:space="preserve">UN    </v>
          </cell>
          <cell r="D3270">
            <v>17360.38</v>
          </cell>
        </row>
        <row r="3271">
          <cell r="A3271">
            <v>36141</v>
          </cell>
          <cell r="B3271" t="str">
            <v>MASCARA DE SEGURANCA PARA SOLDA COM ESCUDO DE CELERON E CARNEIRA DE PLASTICO COM REGULAGEM</v>
          </cell>
          <cell r="C3271" t="str">
            <v xml:space="preserve">UN    </v>
          </cell>
          <cell r="D3271">
            <v>30.37</v>
          </cell>
        </row>
        <row r="3272">
          <cell r="A3272">
            <v>4053</v>
          </cell>
          <cell r="B3272" t="str">
            <v>MASSA A OLEO PARA MADEIRA</v>
          </cell>
          <cell r="C3272" t="str">
            <v xml:space="preserve">GL    </v>
          </cell>
          <cell r="D3272">
            <v>45.1</v>
          </cell>
        </row>
        <row r="3273">
          <cell r="A3273">
            <v>4052</v>
          </cell>
          <cell r="B3273" t="str">
            <v>MASSA ACRILICA</v>
          </cell>
          <cell r="C3273" t="str">
            <v xml:space="preserve">18L   </v>
          </cell>
          <cell r="D3273">
            <v>91.98</v>
          </cell>
        </row>
        <row r="3274">
          <cell r="A3274">
            <v>4056</v>
          </cell>
          <cell r="B3274" t="str">
            <v>MASSA ACRILICA PARA PAREDES INTERIOR/EXTERIOR</v>
          </cell>
          <cell r="C3274" t="str">
            <v xml:space="preserve">GL    </v>
          </cell>
          <cell r="D3274">
            <v>23.71</v>
          </cell>
        </row>
        <row r="3275">
          <cell r="A3275">
            <v>4051</v>
          </cell>
          <cell r="B3275" t="str">
            <v>MASSA CORRIDA PVA PARA PAREDES INTERNAS</v>
          </cell>
          <cell r="C3275" t="str">
            <v xml:space="preserve">18L   </v>
          </cell>
          <cell r="D3275">
            <v>59.2</v>
          </cell>
        </row>
        <row r="3276">
          <cell r="A3276">
            <v>4048</v>
          </cell>
          <cell r="B3276" t="str">
            <v>MASSA CORRIDA PVA PARA PAREDES INTERNAS</v>
          </cell>
          <cell r="C3276" t="str">
            <v xml:space="preserve">L     </v>
          </cell>
          <cell r="D3276">
            <v>3.28</v>
          </cell>
        </row>
        <row r="3277">
          <cell r="A3277">
            <v>4047</v>
          </cell>
          <cell r="B3277" t="str">
            <v>MASSA CORRIDA PVA PARA PAREDES INTERNAS</v>
          </cell>
          <cell r="C3277" t="str">
            <v xml:space="preserve">GL    </v>
          </cell>
          <cell r="D3277">
            <v>11.84</v>
          </cell>
        </row>
        <row r="3278">
          <cell r="A3278">
            <v>39434</v>
          </cell>
          <cell r="B3278" t="str">
            <v>MASSA DE REJUNTE EM PO PARA DRYWALL, A BASE DE GESSO, SECAGEM RAPIDA, PARA TRATAMENTO DE JUNTAS DE CHAPA DE GESSO (COM ADICAO DE AGUA)</v>
          </cell>
          <cell r="C3278" t="str">
            <v xml:space="preserve">KG    </v>
          </cell>
          <cell r="D3278">
            <v>4.0999999999999996</v>
          </cell>
        </row>
        <row r="3279">
          <cell r="A3279">
            <v>39433</v>
          </cell>
          <cell r="B3279" t="str">
            <v>MASSA DE REJUNTE PRONTA PARA TRATAMENTO DE JUNTAS DE CHAPA DE GESSO PARA DRYWALL, SEM ADICAO DE AGUA</v>
          </cell>
          <cell r="C3279" t="str">
            <v xml:space="preserve">KG    </v>
          </cell>
          <cell r="D3279">
            <v>2.94</v>
          </cell>
        </row>
        <row r="3280">
          <cell r="A3280">
            <v>4049</v>
          </cell>
          <cell r="B3280" t="str">
            <v>MASSA EPOXI BICOMPONENTE (MASSA + CATALIZADOR)</v>
          </cell>
          <cell r="C3280" t="str">
            <v xml:space="preserve">L     </v>
          </cell>
          <cell r="D3280">
            <v>37.090000000000003</v>
          </cell>
        </row>
        <row r="3281">
          <cell r="A3281">
            <v>38120</v>
          </cell>
          <cell r="B3281" t="str">
            <v>MASSA EPOXI BICOMPONENTE PARA REPAROS</v>
          </cell>
          <cell r="C3281" t="str">
            <v xml:space="preserve">KG    </v>
          </cell>
          <cell r="D3281">
            <v>77.28</v>
          </cell>
        </row>
        <row r="3282">
          <cell r="A3282">
            <v>38877</v>
          </cell>
          <cell r="B3282" t="str">
            <v>MASSA PARA TEXTURA LISA DE BASE ACRILICA, USO INTERNO E EXTERNO</v>
          </cell>
          <cell r="C3282" t="str">
            <v xml:space="preserve">KG    </v>
          </cell>
          <cell r="D3282">
            <v>5.74</v>
          </cell>
        </row>
        <row r="3283">
          <cell r="A3283">
            <v>34546</v>
          </cell>
          <cell r="B3283" t="str">
            <v>MASSA PARA TEXTURA RUSTICA DE BASE ACRILICA, COR BRANCA, USO INTERNO E EXTERNO</v>
          </cell>
          <cell r="C3283" t="str">
            <v xml:space="preserve">KG    </v>
          </cell>
          <cell r="D3283">
            <v>5.78</v>
          </cell>
        </row>
        <row r="3284">
          <cell r="A3284">
            <v>10498</v>
          </cell>
          <cell r="B3284" t="str">
            <v>MASSA PARA VIDRO</v>
          </cell>
          <cell r="C3284" t="str">
            <v xml:space="preserve">KG    </v>
          </cell>
          <cell r="D3284">
            <v>6.61</v>
          </cell>
        </row>
        <row r="3285">
          <cell r="A3285">
            <v>4823</v>
          </cell>
          <cell r="B3285" t="str">
            <v>MASSA PLASTICA PARA MARMORE/GRANITO</v>
          </cell>
          <cell r="C3285" t="str">
            <v xml:space="preserve">KG    </v>
          </cell>
          <cell r="D3285">
            <v>28.73</v>
          </cell>
        </row>
        <row r="3286">
          <cell r="A3286">
            <v>12357</v>
          </cell>
          <cell r="B3286" t="str">
            <v>MASTRO SIMPLES GALVANIZADO DIAMETRO NOMINAL 1 1/2", COMPRIMENTO 3 M</v>
          </cell>
          <cell r="C3286" t="str">
            <v xml:space="preserve">UN    </v>
          </cell>
          <cell r="D3286">
            <v>152.06</v>
          </cell>
        </row>
        <row r="3287">
          <cell r="A3287">
            <v>12358</v>
          </cell>
          <cell r="B3287" t="str">
            <v>MASTRO SIMPLES GALVANIZADO DIAMETRO NOMINAL 2", COMPRIMENTO 3 M</v>
          </cell>
          <cell r="C3287" t="str">
            <v xml:space="preserve">UN    </v>
          </cell>
          <cell r="D3287">
            <v>171.04</v>
          </cell>
        </row>
        <row r="3288">
          <cell r="A3288">
            <v>11079</v>
          </cell>
          <cell r="B3288" t="str">
            <v>MATERIAL FILTRANTE (PEDREGULHO) 0,6 A 25,46 MM (POSTO PEDREIRA/FORNECEDOR, SEM FRETE)</v>
          </cell>
          <cell r="C3288" t="str">
            <v xml:space="preserve">M3    </v>
          </cell>
          <cell r="D3288">
            <v>838.76</v>
          </cell>
        </row>
        <row r="3289">
          <cell r="A3289">
            <v>11082</v>
          </cell>
          <cell r="B3289" t="str">
            <v>MATERIAL FILTRANTE (PEDREGULHO) 38 A 25,4 MM (POSTO PEDREIRA/FORNECEDOR, SEM FRETE)</v>
          </cell>
          <cell r="C3289" t="str">
            <v xml:space="preserve">M3    </v>
          </cell>
          <cell r="D3289">
            <v>855.74</v>
          </cell>
        </row>
        <row r="3290">
          <cell r="A3290">
            <v>4058</v>
          </cell>
          <cell r="B3290" t="str">
            <v>MECANICO DE EQUIPAMENTOS PESADOS</v>
          </cell>
          <cell r="C3290" t="str">
            <v xml:space="preserve">H     </v>
          </cell>
          <cell r="D3290">
            <v>16.41</v>
          </cell>
        </row>
        <row r="3291">
          <cell r="A3291">
            <v>40974</v>
          </cell>
          <cell r="B3291" t="str">
            <v>MECANICO DE EQUIPAMENTOS PESADOS (MENSALISTA)</v>
          </cell>
          <cell r="C3291" t="str">
            <v xml:space="preserve">MES   </v>
          </cell>
          <cell r="D3291">
            <v>2906.58</v>
          </cell>
        </row>
        <row r="3292">
          <cell r="A3292">
            <v>34794</v>
          </cell>
          <cell r="B3292" t="str">
            <v>MECANICO DE REFRIGERACAO</v>
          </cell>
          <cell r="C3292" t="str">
            <v xml:space="preserve">H     </v>
          </cell>
          <cell r="D3292">
            <v>17.059999999999999</v>
          </cell>
        </row>
        <row r="3293">
          <cell r="A3293">
            <v>40925</v>
          </cell>
          <cell r="B3293" t="str">
            <v>MECANICO DE REFRIGERACAO (MENSALISTA)</v>
          </cell>
          <cell r="C3293" t="str">
            <v xml:space="preserve">MES   </v>
          </cell>
          <cell r="D3293">
            <v>3020.96</v>
          </cell>
        </row>
        <row r="3294">
          <cell r="A3294">
            <v>13741</v>
          </cell>
          <cell r="B3294" t="str">
            <v>MEDIDOR DE NIVEL ESTATICO E DINAMICO PARA POCO, COMPRIMENTO DE 200 M</v>
          </cell>
          <cell r="C3294" t="str">
            <v xml:space="preserve">UN    </v>
          </cell>
          <cell r="D3294">
            <v>1624.43</v>
          </cell>
        </row>
        <row r="3295">
          <cell r="A3295">
            <v>3288</v>
          </cell>
          <cell r="B3295" t="str">
            <v>MEIA CANA DE MADEIRA CEDRINHO OU EQUIVALENTE DA REGIAO, ACABAMENTO PARA FORRO PAULISTA, *2,5 X 2,5* CM</v>
          </cell>
          <cell r="C3295" t="str">
            <v xml:space="preserve">M     </v>
          </cell>
          <cell r="D3295">
            <v>3.75</v>
          </cell>
        </row>
        <row r="3296">
          <cell r="A3296">
            <v>13587</v>
          </cell>
          <cell r="B3296" t="str">
            <v>MEIA CANA DE MADEIRA PINUS OU EQUIVALENTE DA REGIAO, ACABAMENTO PARA FORRO PAULISTA, *2,5 X 2,5* CM</v>
          </cell>
          <cell r="C3296" t="str">
            <v xml:space="preserve">M     </v>
          </cell>
          <cell r="D3296">
            <v>2.2599999999999998</v>
          </cell>
        </row>
        <row r="3297">
          <cell r="A3297">
            <v>38598</v>
          </cell>
          <cell r="B3297" t="str">
            <v>MEIA CANALETA CONCRETO ESTRUTURAL 14 X 19 X 19 CM, FBK 14 MPA (NBR 6136)</v>
          </cell>
          <cell r="C3297" t="str">
            <v xml:space="preserve">UN    </v>
          </cell>
          <cell r="D3297">
            <v>2.33</v>
          </cell>
        </row>
        <row r="3298">
          <cell r="A3298">
            <v>38595</v>
          </cell>
          <cell r="B3298" t="str">
            <v>MEIA CANALETA CONCRETO ESTRUTURAL 14 X 19 X 19 CM, FBK 4,5 MPA (NBR 6136)</v>
          </cell>
          <cell r="C3298" t="str">
            <v xml:space="preserve">UN    </v>
          </cell>
          <cell r="D3298">
            <v>1.61</v>
          </cell>
        </row>
        <row r="3299">
          <cell r="A3299">
            <v>38592</v>
          </cell>
          <cell r="B3299" t="str">
            <v>MEIO BLOCO CONCRETO ESTRUTURAL 14 X 19 X 14 CM, FBK 14 MPA (NBR 6136)</v>
          </cell>
          <cell r="C3299" t="str">
            <v xml:space="preserve">UN    </v>
          </cell>
          <cell r="D3299">
            <v>2.11</v>
          </cell>
        </row>
        <row r="3300">
          <cell r="A3300">
            <v>38588</v>
          </cell>
          <cell r="B3300" t="str">
            <v>MEIO BLOCO CONCRETO ESTRUTURAL 14 X 19 X 14 CM, FBK 4,5 MPA (NBR 6136)</v>
          </cell>
          <cell r="C3300" t="str">
            <v xml:space="preserve">UN    </v>
          </cell>
          <cell r="D3300">
            <v>1.33</v>
          </cell>
        </row>
        <row r="3301">
          <cell r="A3301">
            <v>38593</v>
          </cell>
          <cell r="B3301" t="str">
            <v>MEIO BLOCO CONCRETO ESTRUTURAL 14 X 19 X 19 CM, FBK 14 MPA (NBR 6136)</v>
          </cell>
          <cell r="C3301" t="str">
            <v xml:space="preserve">UN    </v>
          </cell>
          <cell r="D3301">
            <v>2.2599999999999998</v>
          </cell>
        </row>
        <row r="3302">
          <cell r="A3302">
            <v>38589</v>
          </cell>
          <cell r="B3302" t="str">
            <v>MEIO BLOCO CONCRETO ESTRUTURAL 14 X 19 X 19 CM, FBK 4,5 MPA (NBR 6136)</v>
          </cell>
          <cell r="C3302" t="str">
            <v xml:space="preserve">UN    </v>
          </cell>
          <cell r="D3302">
            <v>1.62</v>
          </cell>
        </row>
        <row r="3303">
          <cell r="A3303">
            <v>38594</v>
          </cell>
          <cell r="B3303" t="str">
            <v>MEIO BLOCO CONCRETO ESTRUTURAL 14 X 19 X 34 CM, FBK 14 MPA (NBR 6136)</v>
          </cell>
          <cell r="C3303" t="str">
            <v xml:space="preserve">UN    </v>
          </cell>
          <cell r="D3303">
            <v>3.36</v>
          </cell>
        </row>
        <row r="3304">
          <cell r="A3304">
            <v>34787</v>
          </cell>
          <cell r="B3304" t="str">
            <v>MEIO BLOCO ESTRUTURAL CERAMICO 14 X 19 X 14 CM, 4,0 MPA (NBR 15270)</v>
          </cell>
          <cell r="C3304" t="str">
            <v xml:space="preserve">UN    </v>
          </cell>
          <cell r="D3304">
            <v>1.02</v>
          </cell>
        </row>
        <row r="3305">
          <cell r="A3305">
            <v>34788</v>
          </cell>
          <cell r="B3305" t="str">
            <v>MEIO BLOCO ESTRUTURAL CERAMICO 14 X 19 X 14 CM, 6,0 MPA (NBR 15270)</v>
          </cell>
          <cell r="C3305" t="str">
            <v xml:space="preserve">UN    </v>
          </cell>
          <cell r="D3305">
            <v>1.02</v>
          </cell>
        </row>
        <row r="3306">
          <cell r="A3306">
            <v>34784</v>
          </cell>
          <cell r="B3306" t="str">
            <v>MEIO BLOCO ESTRUTURAL CERAMICO 14 X 19 X 19 CM, 4,0 MPA (NBR 15270)</v>
          </cell>
          <cell r="C3306" t="str">
            <v xml:space="preserve">UN    </v>
          </cell>
          <cell r="D3306">
            <v>1.1299999999999999</v>
          </cell>
        </row>
        <row r="3307">
          <cell r="A3307">
            <v>34781</v>
          </cell>
          <cell r="B3307" t="str">
            <v>MEIO BLOCO ESTRUTURAL CERAMICO 14 X 19 X 19 CM, 6,0 MPA (NBR 15270)</v>
          </cell>
          <cell r="C3307" t="str">
            <v xml:space="preserve">UN    </v>
          </cell>
          <cell r="D3307">
            <v>1.28</v>
          </cell>
        </row>
        <row r="3308">
          <cell r="A3308">
            <v>34773</v>
          </cell>
          <cell r="B3308" t="str">
            <v>MEIO BLOCO VEDACAO CONCRETO APARENTE 14 X 19 X 19 CM  (CLASSE C - NBR 6136)</v>
          </cell>
          <cell r="C3308" t="str">
            <v xml:space="preserve">UN    </v>
          </cell>
          <cell r="D3308">
            <v>1.68</v>
          </cell>
        </row>
        <row r="3309">
          <cell r="A3309">
            <v>34769</v>
          </cell>
          <cell r="B3309" t="str">
            <v>MEIO BLOCO VEDACAO CONCRETO APARENTE 19 X 19 X 19 CM (CLASSE C - NBR 6136)</v>
          </cell>
          <cell r="C3309" t="str">
            <v xml:space="preserve">UN    </v>
          </cell>
          <cell r="D3309">
            <v>1.94</v>
          </cell>
        </row>
        <row r="3310">
          <cell r="A3310">
            <v>34763</v>
          </cell>
          <cell r="B3310" t="str">
            <v>MEIO BLOCO VEDACAO CONCRETO APARENTE 9  X 19 X 19 CM (CLASSE C - NBR 6136)</v>
          </cell>
          <cell r="C3310" t="str">
            <v xml:space="preserve">UN    </v>
          </cell>
          <cell r="D3310">
            <v>1.1299999999999999</v>
          </cell>
        </row>
        <row r="3311">
          <cell r="A3311">
            <v>34774</v>
          </cell>
          <cell r="B3311" t="str">
            <v>MEIO BLOCO VEDACAO CONCRETO 14 X 19 X 19 CM (CLASSE C - NBR 6136)</v>
          </cell>
          <cell r="C3311" t="str">
            <v xml:space="preserve">UN    </v>
          </cell>
          <cell r="D3311">
            <v>1.5</v>
          </cell>
        </row>
        <row r="3312">
          <cell r="A3312">
            <v>34771</v>
          </cell>
          <cell r="B3312" t="str">
            <v>MEIO BLOCO VEDACAO CONCRETO 19 X 19 X 19 CM (CLASSE C - NBR 6136)</v>
          </cell>
          <cell r="C3312" t="str">
            <v xml:space="preserve">UN    </v>
          </cell>
          <cell r="D3312">
            <v>1.72</v>
          </cell>
        </row>
        <row r="3313">
          <cell r="A3313">
            <v>34764</v>
          </cell>
          <cell r="B3313" t="str">
            <v>MEIO BLOCO VEDACAO CONCRETO 9 X 19 X 19 CM (CLASSE C - NBR 6136)</v>
          </cell>
          <cell r="C3313" t="str">
            <v xml:space="preserve">UN    </v>
          </cell>
          <cell r="D3313">
            <v>1.05</v>
          </cell>
        </row>
        <row r="3314">
          <cell r="A3314">
            <v>4062</v>
          </cell>
          <cell r="B3314" t="str">
            <v>MEIO-FIO OU GUIA DE CONCRETO, PRE-MOLDADO, COMP 1 M, *30 X 15* CM (H X L)</v>
          </cell>
          <cell r="C3314" t="str">
            <v xml:space="preserve">UN    </v>
          </cell>
          <cell r="D3314">
            <v>18.149999999999999</v>
          </cell>
        </row>
        <row r="3315">
          <cell r="A3315">
            <v>4059</v>
          </cell>
          <cell r="B3315" t="str">
            <v>MEIO-FIO OU GUIA DE CONCRETO, PRE-MOLDADO, COMP 1 M, *30 X 15/ 12* CM (H X L1/L2)</v>
          </cell>
          <cell r="C3315" t="str">
            <v xml:space="preserve">M     </v>
          </cell>
          <cell r="D3315">
            <v>22</v>
          </cell>
        </row>
        <row r="3316">
          <cell r="A3316">
            <v>4061</v>
          </cell>
          <cell r="B3316" t="str">
            <v>MEIO-FIO OU GUIA DE CONCRETO, PRE-MOLDADO, COMP 80 CM, *45 X 18 /12* CM (H X L1/L2)</v>
          </cell>
          <cell r="C3316" t="str">
            <v xml:space="preserve">UN    </v>
          </cell>
          <cell r="D3316">
            <v>17.600000000000001</v>
          </cell>
        </row>
        <row r="3317">
          <cell r="A3317">
            <v>10608</v>
          </cell>
          <cell r="B3317" t="str">
            <v>MESA VIBRATORIA COM DIMENSOES DE 2,0 X 1,0 M, COM MOTOR ELETRICO DE 2 POLOS E POTENCIA DE 3 CV</v>
          </cell>
          <cell r="C3317" t="str">
            <v xml:space="preserve">UN    </v>
          </cell>
          <cell r="D3317">
            <v>11200</v>
          </cell>
        </row>
        <row r="3318">
          <cell r="A3318">
            <v>4069</v>
          </cell>
          <cell r="B3318" t="str">
            <v>MESTRE DE OBRAS</v>
          </cell>
          <cell r="C3318" t="str">
            <v xml:space="preserve">H     </v>
          </cell>
          <cell r="D3318">
            <v>30.47</v>
          </cell>
        </row>
        <row r="3319">
          <cell r="A3319">
            <v>40819</v>
          </cell>
          <cell r="B3319" t="str">
            <v>MESTRE DE OBRAS (MENSALISTA)</v>
          </cell>
          <cell r="C3319" t="str">
            <v xml:space="preserve">MES   </v>
          </cell>
          <cell r="D3319">
            <v>5392.88</v>
          </cell>
        </row>
        <row r="3320">
          <cell r="A3320">
            <v>34361</v>
          </cell>
          <cell r="B3320" t="str">
            <v>METACAULIM DE ALTA REATIVIDADE/CAULIM CALCINADO</v>
          </cell>
          <cell r="C3320" t="str">
            <v xml:space="preserve">KG    </v>
          </cell>
          <cell r="D3320">
            <v>1.67</v>
          </cell>
        </row>
        <row r="3321">
          <cell r="A3321">
            <v>36512</v>
          </cell>
          <cell r="B3321" t="str">
            <v>MICRO-TRATOR CORTADOR DE GRAMA COM LARGURA DO CORTE DE 107 CM, COM  2 LAMINAS E DESCARTE LATERAL</v>
          </cell>
          <cell r="C3321" t="str">
            <v xml:space="preserve">UN    </v>
          </cell>
          <cell r="D3321">
            <v>10144.84</v>
          </cell>
        </row>
        <row r="3322">
          <cell r="A3322">
            <v>25972</v>
          </cell>
          <cell r="B3322" t="str">
            <v>MICROESFERAS DE VIDRO PARA SINALIZACAO HORIZONTAL VIARIA, TIPO I-B (PREMIX) - NBR 16184</v>
          </cell>
          <cell r="C3322" t="str">
            <v xml:space="preserve">KG    </v>
          </cell>
          <cell r="D3322">
            <v>8.66</v>
          </cell>
        </row>
        <row r="3323">
          <cell r="A3323">
            <v>25973</v>
          </cell>
          <cell r="B3323" t="str">
            <v>MICROESFERAS DE VIDRO PARA SINALIZACAO HORIZONTAL VIARIA, TIPO II-A (DROP-ON) - NBR 16184</v>
          </cell>
          <cell r="C3323" t="str">
            <v xml:space="preserve">KG    </v>
          </cell>
          <cell r="D3323">
            <v>8.66</v>
          </cell>
        </row>
        <row r="3324">
          <cell r="A3324">
            <v>11697</v>
          </cell>
          <cell r="B3324" t="str">
            <v>MICTORIO COLETIVO ACO INOX (AISI 304), E = 0,8 MM, DE *100 X 40 X 30* CM (C X A X P)</v>
          </cell>
          <cell r="C3324" t="str">
            <v xml:space="preserve">UN    </v>
          </cell>
          <cell r="D3324">
            <v>486.92</v>
          </cell>
        </row>
        <row r="3325">
          <cell r="A3325">
            <v>11698</v>
          </cell>
          <cell r="B3325" t="str">
            <v>MICTORIO COLETIVO ACO INOX (AISI 304), E = 0,8 MM, DE *100 X 50 X 35* CM (C X A X P)</v>
          </cell>
          <cell r="C3325" t="str">
            <v xml:space="preserve">UN    </v>
          </cell>
          <cell r="D3325">
            <v>580.88</v>
          </cell>
        </row>
        <row r="3326">
          <cell r="A3326">
            <v>11699</v>
          </cell>
          <cell r="B3326" t="str">
            <v>MICTORIO INDIVIDUAL ACO INOX (AISI 304), E = 0,8 MM, DE *50  X 45  X 35* (C X A X P)</v>
          </cell>
          <cell r="C3326" t="str">
            <v xml:space="preserve">UN    </v>
          </cell>
          <cell r="D3326">
            <v>642</v>
          </cell>
        </row>
        <row r="3327">
          <cell r="A3327">
            <v>10432</v>
          </cell>
          <cell r="B3327" t="str">
            <v>MICTORIO SIFONADO LOUCA BRANCA SEM COMPLEMENTOS</v>
          </cell>
          <cell r="C3327" t="str">
            <v xml:space="preserve">UN    </v>
          </cell>
          <cell r="D3327">
            <v>247.8</v>
          </cell>
        </row>
        <row r="3328">
          <cell r="A3328">
            <v>10430</v>
          </cell>
          <cell r="B3328" t="str">
            <v>MICTORIO SIFONADO LOUCA COR SEM COMPLEMENTOS</v>
          </cell>
          <cell r="C3328" t="str">
            <v xml:space="preserve">UN    </v>
          </cell>
          <cell r="D3328">
            <v>266.87</v>
          </cell>
        </row>
        <row r="3329">
          <cell r="A3329">
            <v>37514</v>
          </cell>
          <cell r="B3329" t="str">
            <v>MINICARREGADEIRA SOBRE RODAS, POTENCIA LIQUIDA DE *47* HP, CAPACIDADE NOMINAL DE OPERACAO DE *646* KG</v>
          </cell>
          <cell r="C3329" t="str">
            <v xml:space="preserve">UN    </v>
          </cell>
          <cell r="D3329">
            <v>144877.5</v>
          </cell>
        </row>
        <row r="3330">
          <cell r="A3330">
            <v>37519</v>
          </cell>
          <cell r="B3330" t="str">
            <v>MINICARREGADEIRA SOBRE RODAS, POTENCIA LIQUIDA DE *72* HP, CAPACIDADE NOMINAL DE OPERACAO DE *1200* KG</v>
          </cell>
          <cell r="C3330" t="str">
            <v xml:space="preserve">UN    </v>
          </cell>
          <cell r="D3330">
            <v>223588.48000000001</v>
          </cell>
        </row>
        <row r="3331">
          <cell r="A3331">
            <v>37520</v>
          </cell>
          <cell r="B3331" t="str">
            <v>MINIESCAVADEIRA SOBRE ESTEIRAS, POTENCIA LIQUIDA DE *30* HP, PESO OPERACIONAL DE *3.500* KG</v>
          </cell>
          <cell r="C3331" t="str">
            <v xml:space="preserve">UN    </v>
          </cell>
          <cell r="D3331">
            <v>219923.1</v>
          </cell>
        </row>
        <row r="3332">
          <cell r="A3332">
            <v>37521</v>
          </cell>
          <cell r="B3332" t="str">
            <v>MINIESCAVADEIRA SOBRE ESTEIRAS, POTENCIA LIQUIDA DE *42* HP, PESO OPERACIONAL DE *4.500* KG</v>
          </cell>
          <cell r="C3332" t="str">
            <v xml:space="preserve">UN    </v>
          </cell>
          <cell r="D3332">
            <v>268306.19</v>
          </cell>
        </row>
        <row r="3333">
          <cell r="A3333">
            <v>37522</v>
          </cell>
          <cell r="B3333" t="str">
            <v>MINIESCAVADEIRA SOBRE ESTEIRAS, POTENCIA LIQUIDA DE *42* HP, PESO OPERACIONAL DE *5.300* KG</v>
          </cell>
          <cell r="C3333" t="str">
            <v xml:space="preserve">UN    </v>
          </cell>
          <cell r="D3333">
            <v>276378.38</v>
          </cell>
        </row>
        <row r="3334">
          <cell r="A3334">
            <v>21109</v>
          </cell>
          <cell r="B3334" t="str">
            <v>MINUTERIA ELETRONICA COLETIVA COM POTENCIA MAXIMA RESISTIVA PARA LAMPADAS FLUORESCENTES DE *300* W ( 110 V ) / *600* W ( 110 V )</v>
          </cell>
          <cell r="C3334" t="str">
            <v xml:space="preserve">UN    </v>
          </cell>
          <cell r="D3334">
            <v>60.51</v>
          </cell>
        </row>
        <row r="3335">
          <cell r="A3335">
            <v>36800</v>
          </cell>
          <cell r="B3335" t="str">
            <v>MISTURADOR BASE PARA CHUVEIRO/BANHEIRA, 1/2 " OU 3/4 ", SOLDAVEL OU ROSCAVEL</v>
          </cell>
          <cell r="C3335" t="str">
            <v xml:space="preserve">UN    </v>
          </cell>
          <cell r="D3335">
            <v>79.5</v>
          </cell>
        </row>
        <row r="3336">
          <cell r="A3336">
            <v>11769</v>
          </cell>
          <cell r="B3336" t="str">
            <v>MISTURADOR CROMADO DE MESA BICA BAIXA PARA LAVATORIO (REF 1875)</v>
          </cell>
          <cell r="C3336" t="str">
            <v xml:space="preserve">UN    </v>
          </cell>
          <cell r="D3336">
            <v>194.82</v>
          </cell>
        </row>
        <row r="3337">
          <cell r="A3337">
            <v>36793</v>
          </cell>
          <cell r="B3337" t="str">
            <v>MISTURADOR CROMADO DE PAREDE PARA LAVATORIO (REF 1178)</v>
          </cell>
          <cell r="C3337" t="str">
            <v xml:space="preserve">UN    </v>
          </cell>
          <cell r="D3337">
            <v>315.43</v>
          </cell>
        </row>
        <row r="3338">
          <cell r="A3338">
            <v>37546</v>
          </cell>
          <cell r="B3338" t="str">
            <v>MISTURADOR DE ARGAMASSA, EIXO HORIZONTAL, CAPACIDADE DE MISTURA 160 KG, MOTOR ELETRICO TRIFASICO 220/380 V, POTENCIA 3 CV</v>
          </cell>
          <cell r="C3338" t="str">
            <v xml:space="preserve">UN    </v>
          </cell>
          <cell r="D3338">
            <v>9359.7999999999993</v>
          </cell>
        </row>
        <row r="3339">
          <cell r="A3339">
            <v>37544</v>
          </cell>
          <cell r="B3339" t="str">
            <v>MISTURADOR DE ARGAMASSA, EIXO HORIZONTAL, CAPACIDADE DE MISTURA 300 KG, MOTOR ELETRICO TRIFASICO 220/380 V, POTENCIA 5 CV</v>
          </cell>
          <cell r="C3339" t="str">
            <v xml:space="preserve">UN    </v>
          </cell>
          <cell r="D3339">
            <v>9899.56</v>
          </cell>
        </row>
        <row r="3340">
          <cell r="A3340">
            <v>37545</v>
          </cell>
          <cell r="B3340" t="str">
            <v>MISTURADOR DE ARGAMASSA, EIXO HORIZONTAL, CAPACIDADE DE MISTURA 600 KG, MOTOR ELETRICO TRIFASICO 220/380 V, POTENCIA 7,5 CV</v>
          </cell>
          <cell r="C3340" t="str">
            <v xml:space="preserve">UN    </v>
          </cell>
          <cell r="D3340">
            <v>11779.15</v>
          </cell>
        </row>
        <row r="3341">
          <cell r="A3341">
            <v>11771</v>
          </cell>
          <cell r="B3341" t="str">
            <v>MISTURADOR DE PAREDE CROMADO PARA COZINHA BICA MOVEL COM AREJADOR (REF 1258)</v>
          </cell>
          <cell r="C3341" t="str">
            <v xml:space="preserve">UN    </v>
          </cell>
          <cell r="D3341">
            <v>241.66</v>
          </cell>
        </row>
        <row r="3342">
          <cell r="A3342">
            <v>39919</v>
          </cell>
          <cell r="B3342" t="str">
            <v>MISTURADOR DUPLO HORIZONTAL DE ALTA TURBULENCIA, CAPACIDADE / VOLUME 2 X 500 LITROS, MOTORES ELETRICOS MINIMO 5 CV CADA,  PARA NATA CIMENTO, ARGAMASSA E OUTROS</v>
          </cell>
          <cell r="C3342" t="str">
            <v xml:space="preserve">UN    </v>
          </cell>
          <cell r="D3342">
            <v>46850.97</v>
          </cell>
        </row>
        <row r="3343">
          <cell r="A3343">
            <v>38385</v>
          </cell>
          <cell r="B3343" t="str">
            <v>MISTURADOR MANUAL DE TINTAS PARA FURADEIRA, HASTE METALICA *60* CM, COM HELICE  (MEXEDOR DE TINTA)</v>
          </cell>
          <cell r="C3343" t="str">
            <v xml:space="preserve">UN    </v>
          </cell>
          <cell r="D3343">
            <v>38.270000000000003</v>
          </cell>
        </row>
        <row r="3344">
          <cell r="A3344">
            <v>37587</v>
          </cell>
          <cell r="B3344" t="str">
            <v>MISTURADOR MONOCOMANDO PARA CHUVEIRO, BASE BRUTA E ACABAMENTO CROMADO</v>
          </cell>
          <cell r="C3344" t="str">
            <v xml:space="preserve">UN    </v>
          </cell>
          <cell r="D3344">
            <v>219.8</v>
          </cell>
        </row>
        <row r="3345">
          <cell r="A3345">
            <v>11571</v>
          </cell>
          <cell r="B3345" t="str">
            <v>MOLA AEREA FECHA PORTA, PARA PORTAS COM LARGURA ACIMA DE 110 CM</v>
          </cell>
          <cell r="C3345" t="str">
            <v xml:space="preserve">UN    </v>
          </cell>
          <cell r="D3345">
            <v>190.02</v>
          </cell>
        </row>
        <row r="3346">
          <cell r="A3346">
            <v>11561</v>
          </cell>
          <cell r="B3346" t="str">
            <v>MOLA AEREA FECHA PORTA, PARA PORTAS COM LARGURA ATE 110 CM</v>
          </cell>
          <cell r="C3346" t="str">
            <v xml:space="preserve">UN    </v>
          </cell>
          <cell r="D3346">
            <v>146.97</v>
          </cell>
        </row>
        <row r="3347">
          <cell r="A3347">
            <v>11560</v>
          </cell>
          <cell r="B3347" t="str">
            <v>MOLA AEREA FECHA PORTA, PARA PORTAS COM LARGURA ATE 95 CM</v>
          </cell>
          <cell r="C3347" t="str">
            <v xml:space="preserve">UN    </v>
          </cell>
          <cell r="D3347">
            <v>125.09</v>
          </cell>
        </row>
        <row r="3348">
          <cell r="A3348">
            <v>11499</v>
          </cell>
          <cell r="B3348" t="str">
            <v>MOLA HIDRAULICA DE PISO P/ VIDRO TEMPERADO 10MM</v>
          </cell>
          <cell r="C3348" t="str">
            <v xml:space="preserve">UN    </v>
          </cell>
          <cell r="D3348">
            <v>1177.96</v>
          </cell>
        </row>
        <row r="3349">
          <cell r="A3349">
            <v>34761</v>
          </cell>
          <cell r="B3349" t="str">
            <v>MONTADOR DE ELETROELETRONICOS</v>
          </cell>
          <cell r="C3349" t="str">
            <v xml:space="preserve">H     </v>
          </cell>
          <cell r="D3349">
            <v>15.14</v>
          </cell>
        </row>
        <row r="3350">
          <cell r="A3350">
            <v>40924</v>
          </cell>
          <cell r="B3350" t="str">
            <v>MONTADOR DE ELETROELETRONICOS (MENSALISTA)</v>
          </cell>
          <cell r="C3350" t="str">
            <v xml:space="preserve">MES   </v>
          </cell>
          <cell r="D3350">
            <v>2680.21</v>
          </cell>
        </row>
        <row r="3351">
          <cell r="A3351">
            <v>25957</v>
          </cell>
          <cell r="B3351" t="str">
            <v>MONTADOR DE ESTRUTURAS METALICAS</v>
          </cell>
          <cell r="C3351" t="str">
            <v xml:space="preserve">H     </v>
          </cell>
          <cell r="D3351">
            <v>10.26</v>
          </cell>
        </row>
        <row r="3352">
          <cell r="A3352">
            <v>40983</v>
          </cell>
          <cell r="B3352" t="str">
            <v>MONTADOR DE ESTRUTURAS METALICAS (MENSALISTA)</v>
          </cell>
          <cell r="C3352" t="str">
            <v xml:space="preserve">MES   </v>
          </cell>
          <cell r="D3352">
            <v>1817.3</v>
          </cell>
        </row>
        <row r="3353">
          <cell r="A3353">
            <v>2437</v>
          </cell>
          <cell r="B3353" t="str">
            <v>MONTADOR DE MAQUINAS</v>
          </cell>
          <cell r="C3353" t="str">
            <v xml:space="preserve">H     </v>
          </cell>
          <cell r="D3353">
            <v>16.86</v>
          </cell>
        </row>
        <row r="3354">
          <cell r="A3354">
            <v>40921</v>
          </cell>
          <cell r="B3354" t="str">
            <v>MONTADOR DE MAQUINAS (MENSALISTA)</v>
          </cell>
          <cell r="C3354" t="str">
            <v xml:space="preserve">MES   </v>
          </cell>
          <cell r="D3354">
            <v>2987.58</v>
          </cell>
        </row>
        <row r="3355">
          <cell r="A3355">
            <v>40534</v>
          </cell>
          <cell r="B3355" t="str">
            <v>MONTANTE EM BARRA CHATA ACO GALVANIZADO, *65 X 8* MM, ALTURA *1420* MM, PINTURA ELETROSTATICA, COR PRETA</v>
          </cell>
          <cell r="C3355" t="str">
            <v xml:space="preserve">UN    </v>
          </cell>
          <cell r="D3355">
            <v>242.54</v>
          </cell>
        </row>
        <row r="3356">
          <cell r="A3356">
            <v>14252</v>
          </cell>
          <cell r="B3356" t="str">
            <v>MOTOBOMBA AUTOESCORVANTE MOTOR A GASOLINA, POTENCIA 6,0HP, BOCAIS 3" X 3", HM/Q = 5 MCA / 24 M3/H A 52,5 MCA / 5,0 M3/H</v>
          </cell>
          <cell r="C3356" t="str">
            <v xml:space="preserve">UN    </v>
          </cell>
          <cell r="D3356">
            <v>1844.54</v>
          </cell>
        </row>
        <row r="3357">
          <cell r="A3357">
            <v>730</v>
          </cell>
          <cell r="B3357" t="str">
            <v>MOTOBOMBA AUTOESCORVANTE MOTOR ELETRICO TRIFASICO 7,4HP BOCA DIAMETRO DE SUCCAO X RECLAQUE: 2"X2", HM/ Q = 10 M / 73,5 M3/H A 28 M / 8,2 M3 /H</v>
          </cell>
          <cell r="C3357" t="str">
            <v xml:space="preserve">UN    </v>
          </cell>
          <cell r="D3357">
            <v>4928.2700000000004</v>
          </cell>
        </row>
        <row r="3358">
          <cell r="A3358">
            <v>723</v>
          </cell>
          <cell r="B3358" t="str">
            <v>MOTOBOMBA AUTOESCORVANTE POTENCIA 5,42 HP, BOCAIS SUCCAO X RECALQUE 2" X 2", A GASOLINA, DIAMETRO DO ROTOR 122 MM HM/Q = 6 MCA / 33,0 M3/H A 28 MCA / 8,0 M3/H</v>
          </cell>
          <cell r="C3358" t="str">
            <v xml:space="preserve">UN    </v>
          </cell>
          <cell r="D3358">
            <v>2449.52</v>
          </cell>
        </row>
        <row r="3359">
          <cell r="A3359">
            <v>36502</v>
          </cell>
          <cell r="B3359" t="str">
            <v>MOTOBOMBA CENTRIFUGA, MOTOR A GASOLINA, POTENCIA 5,42 HP, BOCAIS 1 1/2" X 1", DIAMETRO ROTOR 143 MM HM/Q = 6 MCA / 16,8 M3/H A 38 MCA / 6,6 M3/H</v>
          </cell>
          <cell r="C3359" t="str">
            <v xml:space="preserve">UN    </v>
          </cell>
          <cell r="D3359">
            <v>2302.2600000000002</v>
          </cell>
        </row>
        <row r="3360">
          <cell r="A3360">
            <v>36503</v>
          </cell>
          <cell r="B3360" t="str">
            <v>MOTOBOMBA TRASH (PARA AGUA SUJA) AUTO ESCORVANTE, MOTOR GASOLINA DE 6,41 HP, DIAMETROS DE SUCCAO X RECALQUE: 3" X 3", HM/Q: 10/60 A 23/0</v>
          </cell>
          <cell r="C3360" t="str">
            <v xml:space="preserve">UN    </v>
          </cell>
          <cell r="D3360">
            <v>2838.96</v>
          </cell>
        </row>
        <row r="3361">
          <cell r="A3361">
            <v>4090</v>
          </cell>
          <cell r="B3361" t="str">
            <v>MOTONIVELADORA POTENCIA BASICA LIQUIDA (PRIMEIRA MARCHA) 125 HP , PESO BRUTO 13843 KG, LARGURA DA LAMINA DE 3,7 M</v>
          </cell>
          <cell r="C3361" t="str">
            <v xml:space="preserve">UN    </v>
          </cell>
          <cell r="D3361">
            <v>547000</v>
          </cell>
        </row>
        <row r="3362">
          <cell r="A3362">
            <v>13227</v>
          </cell>
          <cell r="B3362" t="str">
            <v>MOTONIVELADORA POTENCIA BASICA LIQUIDA (PRIMEIRA MARCHA) 171 HP, PESO BRUTO 14768 KG, LARGURA DA LAMINA DE 3,7 M</v>
          </cell>
          <cell r="C3362" t="str">
            <v xml:space="preserve">UN    </v>
          </cell>
          <cell r="D3362">
            <v>679715.71</v>
          </cell>
        </row>
        <row r="3363">
          <cell r="A3363">
            <v>10597</v>
          </cell>
          <cell r="B3363" t="str">
            <v>MOTONIVELADORA POTENCIA BASICA LIQUIDA (PRIMEIRA MARCHA) 186 HP, PESO BRUTO 15785 KG, LARGURA DA LAMINA DE 4,3 M</v>
          </cell>
          <cell r="C3363" t="str">
            <v xml:space="preserve">UN    </v>
          </cell>
          <cell r="D3363">
            <v>715488.47</v>
          </cell>
        </row>
        <row r="3364">
          <cell r="A3364">
            <v>39628</v>
          </cell>
          <cell r="B3364" t="str">
            <v>MOTOR A DIESEL PARA VIBRADOR DE IMERSAO, DE *4,7* CV</v>
          </cell>
          <cell r="C3364" t="str">
            <v xml:space="preserve">UN    </v>
          </cell>
          <cell r="D3364">
            <v>3158.7</v>
          </cell>
        </row>
        <row r="3365">
          <cell r="A3365">
            <v>39404</v>
          </cell>
          <cell r="B3365" t="str">
            <v>MOTOR A GASOLINA PARA VIBRADOR DE IMERSAO, 4 TEMPOS, DE 5,5 CV</v>
          </cell>
          <cell r="C3365" t="str">
            <v xml:space="preserve">UN    </v>
          </cell>
          <cell r="D3365">
            <v>1566.29</v>
          </cell>
        </row>
        <row r="3366">
          <cell r="A3366">
            <v>39402</v>
          </cell>
          <cell r="B3366" t="str">
            <v>MOTOR ELETRICO PARA VIBRADOR DE IMERSAO, DE 2 CV, MONOFASICO, 110/220 V</v>
          </cell>
          <cell r="C3366" t="str">
            <v xml:space="preserve">UN    </v>
          </cell>
          <cell r="D3366">
            <v>1290.33</v>
          </cell>
        </row>
        <row r="3367">
          <cell r="A3367">
            <v>39403</v>
          </cell>
          <cell r="B3367" t="str">
            <v>MOTOR ELETRICO PARA VIBRADOR DE IMERSAO, DE 2 CV, TRIFASICO, 220/380 V</v>
          </cell>
          <cell r="C3367" t="str">
            <v xml:space="preserve">UN    </v>
          </cell>
          <cell r="D3367">
            <v>1262.26</v>
          </cell>
        </row>
        <row r="3368">
          <cell r="A3368">
            <v>4093</v>
          </cell>
          <cell r="B3368" t="str">
            <v>MOTORISTA DE CAMINHAO</v>
          </cell>
          <cell r="C3368" t="str">
            <v xml:space="preserve">H     </v>
          </cell>
          <cell r="D3368">
            <v>11.9</v>
          </cell>
        </row>
        <row r="3369">
          <cell r="A3369">
            <v>10512</v>
          </cell>
          <cell r="B3369" t="str">
            <v>MOTORISTA DE CAMINHAO (MENSALISTA)</v>
          </cell>
          <cell r="C3369" t="str">
            <v xml:space="preserve">MES   </v>
          </cell>
          <cell r="D3369">
            <v>2564.7199999999998</v>
          </cell>
        </row>
        <row r="3370">
          <cell r="A3370">
            <v>20020</v>
          </cell>
          <cell r="B3370" t="str">
            <v>MOTORISTA DE CAMINHAO-BASCULANTE</v>
          </cell>
          <cell r="C3370" t="str">
            <v xml:space="preserve">H     </v>
          </cell>
          <cell r="D3370">
            <v>11.23</v>
          </cell>
        </row>
        <row r="3371">
          <cell r="A3371">
            <v>41038</v>
          </cell>
          <cell r="B3371" t="str">
            <v>MOTORISTA DE CAMINHAO-BASCULANTE (MENSALISTA)</v>
          </cell>
          <cell r="C3371" t="str">
            <v xml:space="preserve">MES   </v>
          </cell>
          <cell r="D3371">
            <v>2419.17</v>
          </cell>
        </row>
        <row r="3372">
          <cell r="A3372">
            <v>4094</v>
          </cell>
          <cell r="B3372" t="str">
            <v>MOTORISTA DE CAMINHAO-CARRETA</v>
          </cell>
          <cell r="C3372" t="str">
            <v xml:space="preserve">H     </v>
          </cell>
          <cell r="D3372">
            <v>15.91</v>
          </cell>
        </row>
        <row r="3373">
          <cell r="A3373">
            <v>40988</v>
          </cell>
          <cell r="B3373" t="str">
            <v>MOTORISTA DE CAMINHAO-CARRETA (MENSALISTA)</v>
          </cell>
          <cell r="C3373" t="str">
            <v xml:space="preserve">MES   </v>
          </cell>
          <cell r="D3373">
            <v>3425.01</v>
          </cell>
        </row>
        <row r="3374">
          <cell r="A3374">
            <v>4095</v>
          </cell>
          <cell r="B3374" t="str">
            <v>MOTORISTA DE CARRO DE PASSEIO</v>
          </cell>
          <cell r="C3374" t="str">
            <v xml:space="preserve">H     </v>
          </cell>
          <cell r="D3374">
            <v>11.04</v>
          </cell>
        </row>
        <row r="3375">
          <cell r="A3375">
            <v>40990</v>
          </cell>
          <cell r="B3375" t="str">
            <v>MOTORISTA DE CARRO DE PASSEIO (MENSALISTA)</v>
          </cell>
          <cell r="C3375" t="str">
            <v xml:space="preserve">MES   </v>
          </cell>
          <cell r="D3375">
            <v>2512</v>
          </cell>
        </row>
        <row r="3376">
          <cell r="A3376">
            <v>4097</v>
          </cell>
          <cell r="B3376" t="str">
            <v>MOTORISTA DE ONIBUS / MICRO-ONIBUS</v>
          </cell>
          <cell r="C3376" t="str">
            <v xml:space="preserve">H     </v>
          </cell>
          <cell r="D3376">
            <v>13</v>
          </cell>
        </row>
        <row r="3377">
          <cell r="A3377">
            <v>40994</v>
          </cell>
          <cell r="B3377" t="str">
            <v>MOTORISTA DE ONIBUS / MICRO-ONIBUS (MENSALISTA)</v>
          </cell>
          <cell r="C3377" t="str">
            <v xml:space="preserve">MES   </v>
          </cell>
          <cell r="D3377">
            <v>2957.4</v>
          </cell>
        </row>
        <row r="3378">
          <cell r="A3378">
            <v>4096</v>
          </cell>
          <cell r="B3378" t="str">
            <v>MOTORISTA OPERADOR DE CAMINHAO COM MUNCK</v>
          </cell>
          <cell r="C3378" t="str">
            <v xml:space="preserve">H     </v>
          </cell>
          <cell r="D3378">
            <v>13.95</v>
          </cell>
        </row>
        <row r="3379">
          <cell r="A3379">
            <v>40992</v>
          </cell>
          <cell r="B3379" t="str">
            <v>MOTORISTA OPERADOR DE CAMINHAO COM MUNCK (MENSALISTA)</v>
          </cell>
          <cell r="C3379" t="str">
            <v xml:space="preserve">MES   </v>
          </cell>
          <cell r="D3379">
            <v>3173.78</v>
          </cell>
        </row>
        <row r="3380">
          <cell r="A3380">
            <v>13955</v>
          </cell>
          <cell r="B3380" t="str">
            <v>MOTOSSERRA PORTATIL COM MOTOR A GASOLINA DE *60* CC</v>
          </cell>
          <cell r="C3380" t="str">
            <v xml:space="preserve">UN    </v>
          </cell>
          <cell r="D3380">
            <v>2316.38</v>
          </cell>
        </row>
        <row r="3381">
          <cell r="A3381">
            <v>4114</v>
          </cell>
          <cell r="B3381" t="str">
            <v>MOURAO CONCRETO CURVO, SECAO "T", H = 2,80 M + CURVA COM 0,45 M, COM FUROS PARA FIOS</v>
          </cell>
          <cell r="C3381" t="str">
            <v xml:space="preserve">UN    </v>
          </cell>
          <cell r="D3381">
            <v>44.68</v>
          </cell>
        </row>
        <row r="3382">
          <cell r="A3382">
            <v>36797</v>
          </cell>
          <cell r="B3382" t="str">
            <v>MOURAO DE CONCRETO CURVO,10 X 10 CM, H= *2,60* M + CURVA DE 0,40 M</v>
          </cell>
          <cell r="C3382" t="str">
            <v xml:space="preserve">UN    </v>
          </cell>
          <cell r="D3382">
            <v>39.07</v>
          </cell>
        </row>
        <row r="3383">
          <cell r="A3383">
            <v>4107</v>
          </cell>
          <cell r="B3383" t="str">
            <v>MOURAO DE CONCRETO RETO, *10 X 10* CM, H= 2,30 M</v>
          </cell>
          <cell r="C3383" t="str">
            <v xml:space="preserve">UN    </v>
          </cell>
          <cell r="D3383">
            <v>37.619999999999997</v>
          </cell>
        </row>
        <row r="3384">
          <cell r="A3384">
            <v>36799</v>
          </cell>
          <cell r="B3384" t="str">
            <v>MOURAO DE CONCRETO RETO, TIPO ESTICADOR, *10 X 10* CM, H= 2,50 M</v>
          </cell>
          <cell r="C3384" t="str">
            <v xml:space="preserve">UN    </v>
          </cell>
          <cell r="D3384">
            <v>35.92</v>
          </cell>
        </row>
        <row r="3385">
          <cell r="A3385">
            <v>4108</v>
          </cell>
          <cell r="B3385" t="str">
            <v>MOURAO DE CONCRETO RETO, 10 X 10 CM, H= 2,00 M</v>
          </cell>
          <cell r="C3385" t="str">
            <v xml:space="preserve">UN    </v>
          </cell>
          <cell r="D3385">
            <v>30.25</v>
          </cell>
        </row>
        <row r="3386">
          <cell r="A3386">
            <v>4102</v>
          </cell>
          <cell r="B3386" t="str">
            <v>MOURAO DE CONCRETO RETO, 10 X 10 CM, H= 3,00 M</v>
          </cell>
          <cell r="C3386" t="str">
            <v xml:space="preserve">UN    </v>
          </cell>
          <cell r="D3386">
            <v>45</v>
          </cell>
        </row>
        <row r="3387">
          <cell r="A3387">
            <v>10826</v>
          </cell>
          <cell r="B3387" t="str">
            <v>MUDA DE ARBUSTO FLORIFERO, CLUSIA/GARDENIA/MOREIA BRANCA/ AZALEIA OU EQUIVALENTE DA REGIAO, H= *50 A 70* CM</v>
          </cell>
          <cell r="C3387" t="str">
            <v xml:space="preserve">UN    </v>
          </cell>
          <cell r="D3387">
            <v>86.2</v>
          </cell>
        </row>
        <row r="3388">
          <cell r="A3388">
            <v>365</v>
          </cell>
          <cell r="B3388" t="str">
            <v>MUDA DE ARBUSTO FOLHAGEM, SANSAO-DO-CAMPO OU EQUIVALENTE DA REGIAO, H= *50 A 70* CM</v>
          </cell>
          <cell r="C3388" t="str">
            <v xml:space="preserve">UN    </v>
          </cell>
          <cell r="D3388">
            <v>53.44</v>
          </cell>
        </row>
        <row r="3389">
          <cell r="A3389">
            <v>38639</v>
          </cell>
          <cell r="B3389" t="str">
            <v>MUDA DE ARBUSTO, BUXINHO, H= *50* M</v>
          </cell>
          <cell r="C3389" t="str">
            <v xml:space="preserve">UN    </v>
          </cell>
          <cell r="D3389">
            <v>206.89</v>
          </cell>
        </row>
        <row r="3390">
          <cell r="A3390">
            <v>38640</v>
          </cell>
          <cell r="B3390" t="str">
            <v>MUDA DE ARBUSTO, PINGO DE OURO/ VIOLETEIRA, H = *10 A 20* CM</v>
          </cell>
          <cell r="C3390" t="str">
            <v xml:space="preserve">UN    </v>
          </cell>
          <cell r="D3390">
            <v>3.1</v>
          </cell>
        </row>
        <row r="3391">
          <cell r="A3391">
            <v>358</v>
          </cell>
          <cell r="B3391" t="str">
            <v>MUDA DE ARVORE ORNAMENTAL, OITI/AROEIRA SALSA/ANGICO/IPE/JACARANDA OU EQUIVALENTE  DA REGIAO, H= *1* M</v>
          </cell>
          <cell r="C3391" t="str">
            <v xml:space="preserve">UN    </v>
          </cell>
          <cell r="D3391">
            <v>63.79</v>
          </cell>
        </row>
        <row r="3392">
          <cell r="A3392">
            <v>359</v>
          </cell>
          <cell r="B3392" t="str">
            <v>MUDA DE ARVORE ORNAMENTAL, OITI/AROEIRA SALSA/ANGICO/IPE/JACARANDA OU EQUIVALENTE  DA REGIAO, H= *2* M</v>
          </cell>
          <cell r="C3392" t="str">
            <v xml:space="preserve">UN    </v>
          </cell>
          <cell r="D3392">
            <v>131.03</v>
          </cell>
        </row>
        <row r="3393">
          <cell r="A3393">
            <v>38641</v>
          </cell>
          <cell r="B3393" t="str">
            <v>MUDA DE PALMEIRA, ARECA, H= *1,50* CM</v>
          </cell>
          <cell r="C3393" t="str">
            <v xml:space="preserve">UN    </v>
          </cell>
          <cell r="D3393">
            <v>129.31</v>
          </cell>
        </row>
        <row r="3394">
          <cell r="A3394">
            <v>360</v>
          </cell>
          <cell r="B3394" t="str">
            <v>MUDA DE RASTEIRA/FORRACAO, AMENDOIM RASTEIRO/ONZE HORAS/AZULZINHA/IMPATIENS OU EQUIVALENTE DA REGIAO</v>
          </cell>
          <cell r="C3394" t="str">
            <v xml:space="preserve">UN    </v>
          </cell>
          <cell r="D3394">
            <v>3</v>
          </cell>
        </row>
        <row r="3395">
          <cell r="A3395">
            <v>4127</v>
          </cell>
          <cell r="B3395" t="str">
            <v>MUFLA TERMINAL PRIMARIA UNIPOLAR USO EXTERNO PARA CABO 25/70MM2 ISOL, 3,6/6KV EM EPR - BORRACHA DE SILICONE</v>
          </cell>
          <cell r="C3395" t="str">
            <v xml:space="preserve">UN    </v>
          </cell>
          <cell r="D3395">
            <v>210.82</v>
          </cell>
        </row>
        <row r="3396">
          <cell r="A3396">
            <v>4154</v>
          </cell>
          <cell r="B3396" t="str">
            <v>MUFLA TERMINAL PRIMARIA UNIPOLAR USO INTERNO PARA CABO 25/70MM2 ISOL 6/10KV EM EPR- BORRACHA DE SILICONE</v>
          </cell>
          <cell r="C3396" t="str">
            <v xml:space="preserve">UN    </v>
          </cell>
          <cell r="D3396">
            <v>257.57</v>
          </cell>
        </row>
        <row r="3397">
          <cell r="A3397">
            <v>4168</v>
          </cell>
          <cell r="B3397" t="str">
            <v>MUFLA TERMINAL PRIMARIA UNIPOLAR USO INTERNO PARA CABO 35/120MM2 ISOLACAO 15/25KV EM EPR - BORRACHA DE SILICONE</v>
          </cell>
          <cell r="C3397" t="str">
            <v xml:space="preserve">UN    </v>
          </cell>
          <cell r="D3397">
            <v>272.02</v>
          </cell>
        </row>
        <row r="3398">
          <cell r="A3398">
            <v>4161</v>
          </cell>
          <cell r="B3398" t="str">
            <v>MUFLA TERMINAL PRIMARIA UNIPOLAR USO INTERNO PARA CABO 35/70MM2 ISOLACAO 8,7/15KV EM EPR - BORRACHA DE SILICONE</v>
          </cell>
          <cell r="C3398" t="str">
            <v xml:space="preserve">UN    </v>
          </cell>
          <cell r="D3398">
            <v>261.82</v>
          </cell>
        </row>
        <row r="3399">
          <cell r="A3399">
            <v>42430</v>
          </cell>
          <cell r="B3399" t="str">
            <v>MULTIEXERCITADOR COM SEIS FUNCOES, EM TUBO DE ACO CARBONO, PINTURA NO PROCESSO ELETROSTATICO - EQUIPAMENTO DE GINASTICA PARA ACADEMIA AO AR LIVRE / ACADEMIA DA TERCEIRA IDADE - ATI</v>
          </cell>
          <cell r="C3399" t="str">
            <v xml:space="preserve">UN    </v>
          </cell>
          <cell r="D3399">
            <v>3654.84</v>
          </cell>
        </row>
        <row r="3400">
          <cell r="A3400">
            <v>4214</v>
          </cell>
          <cell r="B3400" t="str">
            <v>NIPEL PVC, ROSCAVEL, 1 1/2",  AGUA FRIA PREDIAL</v>
          </cell>
          <cell r="C3400" t="str">
            <v xml:space="preserve">UN    </v>
          </cell>
          <cell r="D3400">
            <v>6.15</v>
          </cell>
        </row>
        <row r="3401">
          <cell r="A3401">
            <v>4215</v>
          </cell>
          <cell r="B3401" t="str">
            <v>NIPEL PVC, ROSCAVEL, 1 1/4",  AGUA FRIA PREDIAL</v>
          </cell>
          <cell r="C3401" t="str">
            <v xml:space="preserve">UN    </v>
          </cell>
          <cell r="D3401">
            <v>4.04</v>
          </cell>
        </row>
        <row r="3402">
          <cell r="A3402">
            <v>4210</v>
          </cell>
          <cell r="B3402" t="str">
            <v>NIPEL PVC, ROSCAVEL, 1/2",  AGUA FRIA PREDIAL</v>
          </cell>
          <cell r="C3402" t="str">
            <v xml:space="preserve">UN    </v>
          </cell>
          <cell r="D3402">
            <v>0.68</v>
          </cell>
        </row>
        <row r="3403">
          <cell r="A3403">
            <v>4212</v>
          </cell>
          <cell r="B3403" t="str">
            <v>NIPEL PVC, ROSCAVEL, 1",  AGUA FRIA PREDIAL</v>
          </cell>
          <cell r="C3403" t="str">
            <v xml:space="preserve">UN    </v>
          </cell>
          <cell r="D3403">
            <v>1.95</v>
          </cell>
        </row>
        <row r="3404">
          <cell r="A3404">
            <v>4213</v>
          </cell>
          <cell r="B3404" t="str">
            <v>NIPEL PVC, ROSCAVEL, 2",  AGUA FRIA PREDIAL</v>
          </cell>
          <cell r="C3404" t="str">
            <v xml:space="preserve">UN    </v>
          </cell>
          <cell r="D3404">
            <v>8.73</v>
          </cell>
        </row>
        <row r="3405">
          <cell r="A3405">
            <v>4211</v>
          </cell>
          <cell r="B3405" t="str">
            <v>NIPEL PVC, ROSCAVEL, 3/4",  AGUA FRIA PREDIAL</v>
          </cell>
          <cell r="C3405" t="str">
            <v xml:space="preserve">UN    </v>
          </cell>
          <cell r="D3405">
            <v>0.97</v>
          </cell>
        </row>
        <row r="3406">
          <cell r="A3406">
            <v>4209</v>
          </cell>
          <cell r="B3406" t="str">
            <v>NIPLE DE FERRO GALVANIZADO, COM ROSCA BSP, DE 1 1/2"</v>
          </cell>
          <cell r="C3406" t="str">
            <v xml:space="preserve">UN    </v>
          </cell>
          <cell r="D3406">
            <v>10.39</v>
          </cell>
        </row>
        <row r="3407">
          <cell r="A3407">
            <v>4180</v>
          </cell>
          <cell r="B3407" t="str">
            <v>NIPLE DE FERRO GALVANIZADO, COM ROSCA BSP, DE 1 1/4"</v>
          </cell>
          <cell r="C3407" t="str">
            <v xml:space="preserve">UN    </v>
          </cell>
          <cell r="D3407">
            <v>7.82</v>
          </cell>
        </row>
        <row r="3408">
          <cell r="A3408">
            <v>4177</v>
          </cell>
          <cell r="B3408" t="str">
            <v>NIPLE DE FERRO GALVANIZADO, COM ROSCA BSP, DE 1/2"</v>
          </cell>
          <cell r="C3408" t="str">
            <v xml:space="preserve">UN    </v>
          </cell>
          <cell r="D3408">
            <v>2.59</v>
          </cell>
        </row>
        <row r="3409">
          <cell r="A3409">
            <v>4179</v>
          </cell>
          <cell r="B3409" t="str">
            <v>NIPLE DE FERRO GALVANIZADO, COM ROSCA BSP, DE 1"</v>
          </cell>
          <cell r="C3409" t="str">
            <v xml:space="preserve">UN    </v>
          </cell>
          <cell r="D3409">
            <v>5.31</v>
          </cell>
        </row>
        <row r="3410">
          <cell r="A3410">
            <v>4208</v>
          </cell>
          <cell r="B3410" t="str">
            <v>NIPLE DE FERRO GALVANIZADO, COM ROSCA BSP, DE 2 1/2"</v>
          </cell>
          <cell r="C3410" t="str">
            <v xml:space="preserve">UN    </v>
          </cell>
          <cell r="D3410">
            <v>24.73</v>
          </cell>
        </row>
        <row r="3411">
          <cell r="A3411">
            <v>4181</v>
          </cell>
          <cell r="B3411" t="str">
            <v>NIPLE DE FERRO GALVANIZADO, COM ROSCA BSP, DE 2"</v>
          </cell>
          <cell r="C3411" t="str">
            <v xml:space="preserve">UN    </v>
          </cell>
          <cell r="D3411">
            <v>16.16</v>
          </cell>
        </row>
        <row r="3412">
          <cell r="A3412">
            <v>4178</v>
          </cell>
          <cell r="B3412" t="str">
            <v>NIPLE DE FERRO GALVANIZADO, COM ROSCA BSP, DE 3/4"</v>
          </cell>
          <cell r="C3412" t="str">
            <v xml:space="preserve">UN    </v>
          </cell>
          <cell r="D3412">
            <v>3.6</v>
          </cell>
        </row>
        <row r="3413">
          <cell r="A3413">
            <v>4182</v>
          </cell>
          <cell r="B3413" t="str">
            <v>NIPLE DE FERRO GALVANIZADO, COM ROSCA BSP, DE 3"</v>
          </cell>
          <cell r="C3413" t="str">
            <v xml:space="preserve">UN    </v>
          </cell>
          <cell r="D3413">
            <v>40.229999999999997</v>
          </cell>
        </row>
        <row r="3414">
          <cell r="A3414">
            <v>4183</v>
          </cell>
          <cell r="B3414" t="str">
            <v>NIPLE DE FERRO GALVANIZADO, COM ROSCA BSP, DE 4"</v>
          </cell>
          <cell r="C3414" t="str">
            <v xml:space="preserve">UN    </v>
          </cell>
          <cell r="D3414">
            <v>64.77</v>
          </cell>
        </row>
        <row r="3415">
          <cell r="A3415">
            <v>4184</v>
          </cell>
          <cell r="B3415" t="str">
            <v>NIPLE DE FERRO GALVANIZADO, COM ROSCA BSP, DE 5"</v>
          </cell>
          <cell r="C3415" t="str">
            <v xml:space="preserve">UN    </v>
          </cell>
          <cell r="D3415">
            <v>142.97999999999999</v>
          </cell>
        </row>
        <row r="3416">
          <cell r="A3416">
            <v>4185</v>
          </cell>
          <cell r="B3416" t="str">
            <v>NIPLE DE FERRO GALVANIZADO, COM ROSCA BSP, DE 6"</v>
          </cell>
          <cell r="C3416" t="str">
            <v xml:space="preserve">UN    </v>
          </cell>
          <cell r="D3416">
            <v>237.58</v>
          </cell>
        </row>
        <row r="3417">
          <cell r="A3417">
            <v>4205</v>
          </cell>
          <cell r="B3417" t="str">
            <v>NIPLE DE REDUCAO DE FERRO GALVANIZADO, COM ROSCA BSP, DE 1 1/2" X 1 1/4"</v>
          </cell>
          <cell r="C3417" t="str">
            <v xml:space="preserve">UN    </v>
          </cell>
          <cell r="D3417">
            <v>13.72</v>
          </cell>
        </row>
        <row r="3418">
          <cell r="A3418">
            <v>4192</v>
          </cell>
          <cell r="B3418" t="str">
            <v>NIPLE DE REDUCAO DE FERRO GALVANIZADO, COM ROSCA BSP, DE 1 1/2" X 1"</v>
          </cell>
          <cell r="C3418" t="str">
            <v xml:space="preserve">UN    </v>
          </cell>
          <cell r="D3418">
            <v>13.72</v>
          </cell>
        </row>
        <row r="3419">
          <cell r="A3419">
            <v>4191</v>
          </cell>
          <cell r="B3419" t="str">
            <v>NIPLE DE REDUCAO DE FERRO GALVANIZADO, COM ROSCA BSP, DE 1 1/2" X 3/4"</v>
          </cell>
          <cell r="C3419" t="str">
            <v xml:space="preserve">UN    </v>
          </cell>
          <cell r="D3419">
            <v>13.72</v>
          </cell>
        </row>
        <row r="3420">
          <cell r="A3420">
            <v>4207</v>
          </cell>
          <cell r="B3420" t="str">
            <v>NIPLE DE REDUCAO DE FERRO GALVANIZADO, COM ROSCA BSP, DE 1 1/4" X 1/2"</v>
          </cell>
          <cell r="C3420" t="str">
            <v xml:space="preserve">UN    </v>
          </cell>
          <cell r="D3420">
            <v>11.04</v>
          </cell>
        </row>
        <row r="3421">
          <cell r="A3421">
            <v>4206</v>
          </cell>
          <cell r="B3421" t="str">
            <v>NIPLE DE REDUCAO DE FERRO GALVANIZADO, COM ROSCA BSP, DE 1 1/4" X 1"</v>
          </cell>
          <cell r="C3421" t="str">
            <v xml:space="preserve">UN    </v>
          </cell>
          <cell r="D3421">
            <v>10.72</v>
          </cell>
        </row>
        <row r="3422">
          <cell r="A3422">
            <v>4190</v>
          </cell>
          <cell r="B3422" t="str">
            <v>NIPLE DE REDUCAO DE FERRO GALVANIZADO, COM ROSCA BSP, DE 1 1/4" X 3/4"</v>
          </cell>
          <cell r="C3422" t="str">
            <v xml:space="preserve">UN    </v>
          </cell>
          <cell r="D3422">
            <v>10.72</v>
          </cell>
        </row>
        <row r="3423">
          <cell r="A3423">
            <v>4186</v>
          </cell>
          <cell r="B3423" t="str">
            <v>NIPLE DE REDUCAO DE FERRO GALVANIZADO, COM ROSCA BSP, DE 1/2" X 1/4"</v>
          </cell>
          <cell r="C3423" t="str">
            <v xml:space="preserve">UN    </v>
          </cell>
          <cell r="D3423">
            <v>3.17</v>
          </cell>
        </row>
        <row r="3424">
          <cell r="A3424">
            <v>4188</v>
          </cell>
          <cell r="B3424" t="str">
            <v>NIPLE DE REDUCAO DE FERRO GALVANIZADO, COM ROSCA BSP, DE 1" X 1/2"</v>
          </cell>
          <cell r="C3424" t="str">
            <v xml:space="preserve">UN    </v>
          </cell>
          <cell r="D3424">
            <v>6.47</v>
          </cell>
        </row>
        <row r="3425">
          <cell r="A3425">
            <v>4189</v>
          </cell>
          <cell r="B3425" t="str">
            <v>NIPLE DE REDUCAO DE FERRO GALVANIZADO, COM ROSCA BSP, DE 1" X 3/4"</v>
          </cell>
          <cell r="C3425" t="str">
            <v xml:space="preserve">UN    </v>
          </cell>
          <cell r="D3425">
            <v>6.47</v>
          </cell>
        </row>
        <row r="3426">
          <cell r="A3426">
            <v>4197</v>
          </cell>
          <cell r="B3426" t="str">
            <v>NIPLE DE REDUCAO DE FERRO GALVANIZADO, COM ROSCA BSP, DE 2 1/2" X 2"</v>
          </cell>
          <cell r="C3426" t="str">
            <v xml:space="preserve">UN    </v>
          </cell>
          <cell r="D3426">
            <v>34.26</v>
          </cell>
        </row>
        <row r="3427">
          <cell r="A3427">
            <v>4194</v>
          </cell>
          <cell r="B3427" t="str">
            <v>NIPLE DE REDUCAO DE FERRO GALVANIZADO, COM ROSCA BSP, DE 2" X 1 1/2"</v>
          </cell>
          <cell r="C3427" t="str">
            <v xml:space="preserve">UN    </v>
          </cell>
          <cell r="D3427">
            <v>20.7</v>
          </cell>
        </row>
        <row r="3428">
          <cell r="A3428">
            <v>4193</v>
          </cell>
          <cell r="B3428" t="str">
            <v>NIPLE DE REDUCAO DE FERRO GALVANIZADO, COM ROSCA BSP, DE 2" X 1 1/4"</v>
          </cell>
          <cell r="C3428" t="str">
            <v xml:space="preserve">UN    </v>
          </cell>
          <cell r="D3428">
            <v>20.7</v>
          </cell>
        </row>
        <row r="3429">
          <cell r="A3429">
            <v>4204</v>
          </cell>
          <cell r="B3429" t="str">
            <v>NIPLE DE REDUCAO DE FERRO GALVANIZADO, COM ROSCA BSP, DE 2" X 1"</v>
          </cell>
          <cell r="C3429" t="str">
            <v xml:space="preserve">UN    </v>
          </cell>
          <cell r="D3429">
            <v>20.7</v>
          </cell>
        </row>
        <row r="3430">
          <cell r="A3430">
            <v>4187</v>
          </cell>
          <cell r="B3430" t="str">
            <v>NIPLE DE REDUCAO DE FERRO GALVANIZADO, COM ROSCA BSP, DE 3/4" X 1/2"</v>
          </cell>
          <cell r="C3430" t="str">
            <v xml:space="preserve">UN    </v>
          </cell>
          <cell r="D3430">
            <v>4.12</v>
          </cell>
        </row>
        <row r="3431">
          <cell r="A3431">
            <v>4202</v>
          </cell>
          <cell r="B3431" t="str">
            <v>NIPLE DE REDUCAO DE FERRO GALVANIZADO, COM ROSCA BSP, DE 3" X 2 1/2"</v>
          </cell>
          <cell r="C3431" t="str">
            <v xml:space="preserve">UN    </v>
          </cell>
          <cell r="D3431">
            <v>62.56</v>
          </cell>
        </row>
        <row r="3432">
          <cell r="A3432">
            <v>4203</v>
          </cell>
          <cell r="B3432" t="str">
            <v>NIPLE DE REDUCAO DE FERRO GALVANIZADO, COM ROSCA BSP, DE 3" X 2"</v>
          </cell>
          <cell r="C3432" t="str">
            <v xml:space="preserve">UN    </v>
          </cell>
          <cell r="D3432">
            <v>55.25</v>
          </cell>
        </row>
        <row r="3433">
          <cell r="A3433">
            <v>40368</v>
          </cell>
          <cell r="B3433" t="str">
            <v>NIPLE SEXTAVADO EM ACO CARBONO, COM ROSCA BSP, PRESSAO 3.000 LBS, DN 1 1/2"</v>
          </cell>
          <cell r="C3433" t="str">
            <v xml:space="preserve">UN    </v>
          </cell>
          <cell r="D3433">
            <v>26.26</v>
          </cell>
        </row>
        <row r="3434">
          <cell r="A3434">
            <v>40365</v>
          </cell>
          <cell r="B3434" t="str">
            <v>NIPLE SEXTAVADO EM ACO CARBONO, COM ROSCA BSP, PRESSAO 3.000 LBS, DN 1 1/4"</v>
          </cell>
          <cell r="C3434" t="str">
            <v xml:space="preserve">UN    </v>
          </cell>
          <cell r="D3434">
            <v>17.72</v>
          </cell>
        </row>
        <row r="3435">
          <cell r="A3435">
            <v>40356</v>
          </cell>
          <cell r="B3435" t="str">
            <v>NIPLE SEXTAVADO EM ACO CARBONO, COM ROSCA BSP, PRESSAO 3.000 LBS, DN 1/2"</v>
          </cell>
          <cell r="C3435" t="str">
            <v xml:space="preserve">UN    </v>
          </cell>
          <cell r="D3435">
            <v>6.05</v>
          </cell>
        </row>
        <row r="3436">
          <cell r="A3436">
            <v>40362</v>
          </cell>
          <cell r="B3436" t="str">
            <v>NIPLE SEXTAVADO EM ACO CARBONO, COM ROSCA BSP, PRESSAO 3.000 LBS, DN 1"</v>
          </cell>
          <cell r="C3436" t="str">
            <v xml:space="preserve">UN    </v>
          </cell>
          <cell r="D3436">
            <v>11.73</v>
          </cell>
        </row>
        <row r="3437">
          <cell r="A3437">
            <v>40374</v>
          </cell>
          <cell r="B3437" t="str">
            <v>NIPLE SEXTAVADO EM ACO CARBONO, COM ROSCA BSP, PRESSAO 3.000 LBS, DN 2 1/2"</v>
          </cell>
          <cell r="C3437" t="str">
            <v xml:space="preserve">UN    </v>
          </cell>
          <cell r="D3437">
            <v>68.64</v>
          </cell>
        </row>
        <row r="3438">
          <cell r="A3438">
            <v>40371</v>
          </cell>
          <cell r="B3438" t="str">
            <v>NIPLE SEXTAVADO EM ACO CARBONO, COM ROSCA BSP, PRESSAO 3.000 LBS, DN 2"</v>
          </cell>
          <cell r="C3438" t="str">
            <v xml:space="preserve">UN    </v>
          </cell>
          <cell r="D3438">
            <v>43.21</v>
          </cell>
        </row>
        <row r="3439">
          <cell r="A3439">
            <v>40359</v>
          </cell>
          <cell r="B3439" t="str">
            <v>NIPLE SEXTAVADO EM ACO CARBONO, COM ROSCA BSP, PRESSAO 3.000 LBS, DN 3/4"</v>
          </cell>
          <cell r="C3439" t="str">
            <v xml:space="preserve">UN    </v>
          </cell>
          <cell r="D3439">
            <v>7.82</v>
          </cell>
        </row>
        <row r="3440">
          <cell r="A3440">
            <v>7595</v>
          </cell>
          <cell r="B3440" t="str">
            <v>NIVELADOR</v>
          </cell>
          <cell r="C3440" t="str">
            <v xml:space="preserve">H     </v>
          </cell>
          <cell r="D3440">
            <v>7.44</v>
          </cell>
        </row>
        <row r="3441">
          <cell r="A3441">
            <v>41094</v>
          </cell>
          <cell r="B3441" t="str">
            <v>NIVELADOR (MENSALISTA)</v>
          </cell>
          <cell r="C3441" t="str">
            <v xml:space="preserve">MES   </v>
          </cell>
          <cell r="D3441">
            <v>1383.53</v>
          </cell>
        </row>
        <row r="3442">
          <cell r="A3442">
            <v>38175</v>
          </cell>
          <cell r="B3442" t="str">
            <v>NUMERO / ALGARISMO PARA PORTA, TAMANHO *40* MM, EM ZAMAC, (MODELO DE 0 A 9), FIXACAO POR PARAFUSOS</v>
          </cell>
          <cell r="C3442" t="str">
            <v xml:space="preserve">UN    </v>
          </cell>
          <cell r="D3442">
            <v>2.5299999999999998</v>
          </cell>
        </row>
        <row r="3443">
          <cell r="A3443">
            <v>38176</v>
          </cell>
          <cell r="B3443" t="str">
            <v>NUMERO / ALGARISMO PARA RESIDENCIA (FACHADA), TAMANHO *120* MM, EM ZAMAC, (MODELO DE 0 A 9), FIXACAO POR PARAFUSOS</v>
          </cell>
          <cell r="C3443" t="str">
            <v xml:space="preserve">UN    </v>
          </cell>
          <cell r="D3443">
            <v>6.87</v>
          </cell>
        </row>
        <row r="3444">
          <cell r="A3444">
            <v>36152</v>
          </cell>
          <cell r="B3444" t="str">
            <v>OCULOS DE SEGURANCA CONTRA IMPACTOS COM LENTE INCOLOR, ARMACAO NYLON, COM PROTECAO UVA E UVB</v>
          </cell>
          <cell r="C3444" t="str">
            <v xml:space="preserve">UN    </v>
          </cell>
          <cell r="D3444">
            <v>4.38</v>
          </cell>
        </row>
        <row r="3445">
          <cell r="A3445">
            <v>11138</v>
          </cell>
          <cell r="B3445" t="str">
            <v>OLEO COMBUSTIVEL BPF A GRANEL</v>
          </cell>
          <cell r="C3445" t="str">
            <v xml:space="preserve">L     </v>
          </cell>
          <cell r="D3445">
            <v>2.52</v>
          </cell>
        </row>
        <row r="3446">
          <cell r="A3446">
            <v>5333</v>
          </cell>
          <cell r="B3446" t="str">
            <v>OLEO DE LINHACA</v>
          </cell>
          <cell r="C3446" t="str">
            <v xml:space="preserve">L     </v>
          </cell>
          <cell r="D3446">
            <v>17.78</v>
          </cell>
        </row>
        <row r="3447">
          <cell r="A3447">
            <v>4221</v>
          </cell>
          <cell r="B3447" t="str">
            <v>OLEO DIESEL COMBUSTIVEL COMUM</v>
          </cell>
          <cell r="C3447" t="str">
            <v xml:space="preserve">L     </v>
          </cell>
          <cell r="D3447">
            <v>3.92</v>
          </cell>
        </row>
        <row r="3448">
          <cell r="A3448">
            <v>4227</v>
          </cell>
          <cell r="B3448" t="str">
            <v>OLEO LUBRIFICANTE PARA MOTORES DE EQUIPAMENTOS PESADOS (CAMINHOES, TRATORES, RETROS E ETC)</v>
          </cell>
          <cell r="C3448" t="str">
            <v xml:space="preserve">L     </v>
          </cell>
          <cell r="D3448">
            <v>14.07</v>
          </cell>
        </row>
        <row r="3449">
          <cell r="A3449">
            <v>38170</v>
          </cell>
          <cell r="B3449" t="str">
            <v>OLHO MAGICO / VISOR PARA PORTA DE *25 A 46* MM DE ESPESSURA, ANGULO DE VISAO APROXIMADO DE 200 GRAUS, LATAO CROMADO, COM FECHO JANELA</v>
          </cell>
          <cell r="C3449" t="str">
            <v xml:space="preserve">UN    </v>
          </cell>
          <cell r="D3449">
            <v>11.57</v>
          </cell>
        </row>
        <row r="3450">
          <cell r="A3450">
            <v>4252</v>
          </cell>
          <cell r="B3450" t="str">
            <v>OPERADOR DE BATE-ESTACAS</v>
          </cell>
          <cell r="C3450" t="str">
            <v xml:space="preserve">H     </v>
          </cell>
          <cell r="D3450">
            <v>12.53</v>
          </cell>
        </row>
        <row r="3451">
          <cell r="A3451">
            <v>40980</v>
          </cell>
          <cell r="B3451" t="str">
            <v>OPERADOR DE BATE-ESTACAS (MENSALISTA)</v>
          </cell>
          <cell r="C3451" t="str">
            <v xml:space="preserve">MES   </v>
          </cell>
          <cell r="D3451">
            <v>2218.08</v>
          </cell>
        </row>
        <row r="3452">
          <cell r="A3452">
            <v>4243</v>
          </cell>
          <cell r="B3452" t="str">
            <v>OPERADOR DE BETONEIRA (CAMINHAO)</v>
          </cell>
          <cell r="C3452" t="str">
            <v xml:space="preserve">H     </v>
          </cell>
          <cell r="D3452">
            <v>10.74</v>
          </cell>
        </row>
        <row r="3453">
          <cell r="A3453">
            <v>41031</v>
          </cell>
          <cell r="B3453" t="str">
            <v>OPERADOR DE BETONEIRA (CAMINHAO) (MENSALISTA)</v>
          </cell>
          <cell r="C3453" t="str">
            <v xml:space="preserve">MES   </v>
          </cell>
          <cell r="D3453">
            <v>1902.26</v>
          </cell>
        </row>
        <row r="3454">
          <cell r="A3454">
            <v>40986</v>
          </cell>
          <cell r="B3454" t="str">
            <v>OPERADOR DE BETONEIRA ESTACIONARIA / MISTURADOR (MENSALISTA)</v>
          </cell>
          <cell r="C3454" t="str">
            <v xml:space="preserve">MES   </v>
          </cell>
          <cell r="D3454">
            <v>1835.74</v>
          </cell>
        </row>
        <row r="3455">
          <cell r="A3455">
            <v>37666</v>
          </cell>
          <cell r="B3455" t="str">
            <v>OPERADOR DE BETONEIRA ESTACIONARIA/MISTURADOR</v>
          </cell>
          <cell r="C3455" t="str">
            <v xml:space="preserve">H     </v>
          </cell>
          <cell r="D3455">
            <v>10.35</v>
          </cell>
        </row>
        <row r="3456">
          <cell r="A3456">
            <v>4250</v>
          </cell>
          <cell r="B3456" t="str">
            <v>OPERADOR DE COMPRESSOR DE AR OU COMPRESSORISTA</v>
          </cell>
          <cell r="C3456" t="str">
            <v xml:space="preserve">H     </v>
          </cell>
          <cell r="D3456">
            <v>11.3</v>
          </cell>
        </row>
        <row r="3457">
          <cell r="A3457">
            <v>40978</v>
          </cell>
          <cell r="B3457" t="str">
            <v>OPERADOR DE COMPRESSOR DE AR OU COMPRESSORISTA (MENSALISTA)</v>
          </cell>
          <cell r="C3457" t="str">
            <v xml:space="preserve">MES   </v>
          </cell>
          <cell r="D3457">
            <v>2000.71</v>
          </cell>
        </row>
        <row r="3458">
          <cell r="A3458">
            <v>25960</v>
          </cell>
          <cell r="B3458" t="str">
            <v>OPERADOR DE DEMARCADORA DE FAIXAS DE TRAFEGO</v>
          </cell>
          <cell r="C3458" t="str">
            <v xml:space="preserve">H     </v>
          </cell>
          <cell r="D3458">
            <v>13.22</v>
          </cell>
        </row>
        <row r="3459">
          <cell r="A3459">
            <v>41043</v>
          </cell>
          <cell r="B3459" t="str">
            <v>OPERADOR DE DEMARCADORA DE FAIXAS DE TRAFEGO (MENSALISTA)</v>
          </cell>
          <cell r="C3459" t="str">
            <v xml:space="preserve">MES   </v>
          </cell>
          <cell r="D3459">
            <v>2341.23</v>
          </cell>
        </row>
        <row r="3460">
          <cell r="A3460">
            <v>4234</v>
          </cell>
          <cell r="B3460" t="str">
            <v>OPERADOR DE ESCAVADEIRA</v>
          </cell>
          <cell r="C3460" t="str">
            <v xml:space="preserve">H     </v>
          </cell>
          <cell r="D3460">
            <v>14.49</v>
          </cell>
        </row>
        <row r="3461">
          <cell r="A3461">
            <v>40987</v>
          </cell>
          <cell r="B3461" t="str">
            <v>OPERADOR DE ESCAVADEIRA (MENSALISTA)</v>
          </cell>
          <cell r="C3461" t="str">
            <v xml:space="preserve">MES   </v>
          </cell>
          <cell r="D3461">
            <v>2564.7199999999998</v>
          </cell>
        </row>
        <row r="3462">
          <cell r="A3462">
            <v>4253</v>
          </cell>
          <cell r="B3462" t="str">
            <v>OPERADOR DE GUINCHO</v>
          </cell>
          <cell r="C3462" t="str">
            <v xml:space="preserve">H     </v>
          </cell>
          <cell r="D3462">
            <v>10.41</v>
          </cell>
        </row>
        <row r="3463">
          <cell r="A3463">
            <v>40981</v>
          </cell>
          <cell r="B3463" t="str">
            <v>OPERADOR DE GUINCHO OU GUINCHEIRO (MENSALISTA)</v>
          </cell>
          <cell r="C3463" t="str">
            <v xml:space="preserve">MES   </v>
          </cell>
          <cell r="D3463">
            <v>1844.82</v>
          </cell>
        </row>
        <row r="3464">
          <cell r="A3464">
            <v>4254</v>
          </cell>
          <cell r="B3464" t="str">
            <v>OPERADOR DE GUINDASTE</v>
          </cell>
          <cell r="C3464" t="str">
            <v xml:space="preserve">H     </v>
          </cell>
          <cell r="D3464">
            <v>10.48</v>
          </cell>
        </row>
        <row r="3465">
          <cell r="A3465">
            <v>41036</v>
          </cell>
          <cell r="B3465" t="str">
            <v>OPERADOR DE GUINDASTE (MENSALISTA)</v>
          </cell>
          <cell r="C3465" t="str">
            <v xml:space="preserve">MES   </v>
          </cell>
          <cell r="D3465">
            <v>1854.95</v>
          </cell>
        </row>
        <row r="3466">
          <cell r="A3466">
            <v>4251</v>
          </cell>
          <cell r="B3466" t="str">
            <v>OPERADOR DE JATO ABRASIVO OU JATISTA</v>
          </cell>
          <cell r="C3466" t="str">
            <v xml:space="preserve">H     </v>
          </cell>
          <cell r="D3466">
            <v>15.87</v>
          </cell>
        </row>
        <row r="3467">
          <cell r="A3467">
            <v>40979</v>
          </cell>
          <cell r="B3467" t="str">
            <v>OPERADOR DE JATO ABRASIVO OU JATISTA (MENSALISTA)</v>
          </cell>
          <cell r="C3467" t="str">
            <v xml:space="preserve">MES   </v>
          </cell>
          <cell r="D3467">
            <v>2811.5</v>
          </cell>
        </row>
        <row r="3468">
          <cell r="A3468">
            <v>4230</v>
          </cell>
          <cell r="B3468" t="str">
            <v>OPERADOR DE MAQUINAS E TRATORES DIVERSOS (TERRAPLANAGEM)</v>
          </cell>
          <cell r="C3468" t="str">
            <v xml:space="preserve">H     </v>
          </cell>
          <cell r="D3468">
            <v>11.04</v>
          </cell>
        </row>
        <row r="3469">
          <cell r="A3469">
            <v>40998</v>
          </cell>
          <cell r="B3469" t="str">
            <v>OPERADOR DE MAQUINAS E TRATORES DIVERSOS (TERRAPLANAGEM) (MENSALISTA)</v>
          </cell>
          <cell r="C3469" t="str">
            <v xml:space="preserve">MES   </v>
          </cell>
          <cell r="D3469">
            <v>1955.1</v>
          </cell>
        </row>
        <row r="3470">
          <cell r="A3470">
            <v>4257</v>
          </cell>
          <cell r="B3470" t="str">
            <v>OPERADOR DE MARTELETE OU MARTELETEIRO</v>
          </cell>
          <cell r="C3470" t="str">
            <v xml:space="preserve">H     </v>
          </cell>
          <cell r="D3470">
            <v>8.69</v>
          </cell>
        </row>
        <row r="3471">
          <cell r="A3471">
            <v>40982</v>
          </cell>
          <cell r="B3471" t="str">
            <v>OPERADOR DE MARTELETE OU MARTELETEIRO (MENSALISTA)</v>
          </cell>
          <cell r="C3471" t="str">
            <v xml:space="preserve">MES   </v>
          </cell>
          <cell r="D3471">
            <v>1541.28</v>
          </cell>
        </row>
        <row r="3472">
          <cell r="A3472">
            <v>4240</v>
          </cell>
          <cell r="B3472" t="str">
            <v>OPERADOR DE MOTO SCRAPER</v>
          </cell>
          <cell r="C3472" t="str">
            <v xml:space="preserve">H     </v>
          </cell>
          <cell r="D3472">
            <v>13.43</v>
          </cell>
        </row>
        <row r="3473">
          <cell r="A3473">
            <v>41026</v>
          </cell>
          <cell r="B3473" t="str">
            <v>OPERADOR DE MOTO SCRAPER (MENSALISTA)</v>
          </cell>
          <cell r="C3473" t="str">
            <v xml:space="preserve">MES   </v>
          </cell>
          <cell r="D3473">
            <v>2381.15</v>
          </cell>
        </row>
        <row r="3474">
          <cell r="A3474">
            <v>4239</v>
          </cell>
          <cell r="B3474" t="str">
            <v>OPERADOR DE MOTONIVELADORA</v>
          </cell>
          <cell r="C3474" t="str">
            <v xml:space="preserve">H     </v>
          </cell>
          <cell r="D3474">
            <v>16.5</v>
          </cell>
        </row>
        <row r="3475">
          <cell r="A3475">
            <v>41024</v>
          </cell>
          <cell r="B3475" t="str">
            <v>OPERADOR DE MOTONIVELADORA (MENSALISTA)</v>
          </cell>
          <cell r="C3475" t="str">
            <v xml:space="preserve">MES   </v>
          </cell>
          <cell r="D3475">
            <v>2921.22</v>
          </cell>
        </row>
        <row r="3476">
          <cell r="A3476">
            <v>4248</v>
          </cell>
          <cell r="B3476" t="str">
            <v>OPERADOR DE PA CARREGADEIRA</v>
          </cell>
          <cell r="C3476" t="str">
            <v xml:space="preserve">H     </v>
          </cell>
          <cell r="D3476">
            <v>12.03</v>
          </cell>
        </row>
        <row r="3477">
          <cell r="A3477">
            <v>41033</v>
          </cell>
          <cell r="B3477" t="str">
            <v>OPERADOR DE PA CARREGADEIRA (MENSALISTA)</v>
          </cell>
          <cell r="C3477" t="str">
            <v xml:space="preserve">MES   </v>
          </cell>
          <cell r="D3477">
            <v>2133.2600000000002</v>
          </cell>
        </row>
        <row r="3478">
          <cell r="A3478">
            <v>25959</v>
          </cell>
          <cell r="B3478" t="str">
            <v>OPERADOR DE PAVIMENTADORA</v>
          </cell>
          <cell r="C3478" t="str">
            <v xml:space="preserve">H     </v>
          </cell>
          <cell r="D3478">
            <v>13.89</v>
          </cell>
        </row>
        <row r="3479">
          <cell r="A3479">
            <v>41040</v>
          </cell>
          <cell r="B3479" t="str">
            <v>OPERADOR DE PAVIMENTADORA/MESA VIBROACABADORA (MENSALISTA)</v>
          </cell>
          <cell r="C3479" t="str">
            <v xml:space="preserve">MES   </v>
          </cell>
          <cell r="D3479">
            <v>2458.29</v>
          </cell>
        </row>
        <row r="3480">
          <cell r="A3480">
            <v>4238</v>
          </cell>
          <cell r="B3480" t="str">
            <v>OPERADOR DE ROLO COMPACTADOR</v>
          </cell>
          <cell r="C3480" t="str">
            <v xml:space="preserve">H     </v>
          </cell>
          <cell r="D3480">
            <v>11.04</v>
          </cell>
        </row>
        <row r="3481">
          <cell r="A3481">
            <v>41012</v>
          </cell>
          <cell r="B3481" t="str">
            <v>OPERADOR DE ROLO COMPACTADOR (MENSALISTA)</v>
          </cell>
          <cell r="C3481" t="str">
            <v xml:space="preserve">MES   </v>
          </cell>
          <cell r="D3481">
            <v>1955.1</v>
          </cell>
        </row>
        <row r="3482">
          <cell r="A3482">
            <v>4237</v>
          </cell>
          <cell r="B3482" t="str">
            <v>OPERADOR DE TRATOR - EXCLUSIVE AGROPECUARIA</v>
          </cell>
          <cell r="C3482" t="str">
            <v xml:space="preserve">H     </v>
          </cell>
          <cell r="D3482">
            <v>11.13</v>
          </cell>
        </row>
        <row r="3483">
          <cell r="A3483">
            <v>41002</v>
          </cell>
          <cell r="B3483" t="str">
            <v>OPERADOR DE TRATOR - EXCLUSIVE AGROPECUARIA (MENSALISTA)</v>
          </cell>
          <cell r="C3483" t="str">
            <v xml:space="preserve">MES   </v>
          </cell>
          <cell r="D3483">
            <v>1970.48</v>
          </cell>
        </row>
        <row r="3484">
          <cell r="A3484">
            <v>4233</v>
          </cell>
          <cell r="B3484" t="str">
            <v>OPERADOR DE USINA DE ASFALTO, DE SOLOS OU DE CONCRETO</v>
          </cell>
          <cell r="C3484" t="str">
            <v xml:space="preserve">H     </v>
          </cell>
          <cell r="D3484">
            <v>11.92</v>
          </cell>
        </row>
        <row r="3485">
          <cell r="A3485">
            <v>41001</v>
          </cell>
          <cell r="B3485" t="str">
            <v>OPERADOR DE USINA DE ASFALTO, DE SOLOS OU DE CONCRETO (MENSALISTA)</v>
          </cell>
          <cell r="C3485" t="str">
            <v xml:space="preserve">MES   </v>
          </cell>
          <cell r="D3485">
            <v>2111.09</v>
          </cell>
        </row>
        <row r="3486">
          <cell r="A3486">
            <v>2</v>
          </cell>
          <cell r="B3486" t="str">
            <v>OXIGENIO, RECARGA PARA CILINDRO DE CONJUNTO OXICORTE GRANDE</v>
          </cell>
          <cell r="C3486" t="str">
            <v xml:space="preserve">M3    </v>
          </cell>
          <cell r="D3486">
            <v>11.73</v>
          </cell>
        </row>
        <row r="3487">
          <cell r="A3487">
            <v>36517</v>
          </cell>
          <cell r="B3487" t="str">
            <v>PA CARREGADEIRA SOBRE RODAS, POTENCIA BRUTA *127* CV, CAPACIDADE DA CACAMBA DE 2,0 A 2,4 M3, PESO OPERACIONAL DE 10330 KG</v>
          </cell>
          <cell r="C3487" t="str">
            <v xml:space="preserve">UN    </v>
          </cell>
          <cell r="D3487">
            <v>325565.65999999997</v>
          </cell>
        </row>
        <row r="3488">
          <cell r="A3488">
            <v>4262</v>
          </cell>
          <cell r="B3488" t="str">
            <v>PA CARREGADEIRA SOBRE RODAS, POTENCIA LIQUIDA 128 HP, CAPACIDADE DA CACAMBA DE 1,7 A 2,8 M3, PESO OPERACIONAL DE 11632 KG</v>
          </cell>
          <cell r="C3488" t="str">
            <v xml:space="preserve">UN    </v>
          </cell>
          <cell r="D3488">
            <v>366628</v>
          </cell>
        </row>
        <row r="3489">
          <cell r="A3489">
            <v>4263</v>
          </cell>
          <cell r="B3489" t="str">
            <v>PA CARREGADEIRA SOBRE RODAS, POTENCIA LIQUIDA 197 HP, CAPACIDADE DA CACAMBA DE 2,5 A 3,5 M3, PESO OPERACIONAL DE 18338 KG</v>
          </cell>
          <cell r="C3489" t="str">
            <v xml:space="preserve">UN    </v>
          </cell>
          <cell r="D3489">
            <v>508390.8</v>
          </cell>
        </row>
        <row r="3490">
          <cell r="A3490">
            <v>36518</v>
          </cell>
          <cell r="B3490" t="str">
            <v>PA CARREGADEIRA SOBRE RODAS, POTENCIA LIQUIDA 213 HP, CAPACIDADE DA CACAMBA DE 1,9 A 3,5 M3, PESO OPERACIONAL DE 19234 KG</v>
          </cell>
          <cell r="C3490" t="str">
            <v xml:space="preserve">UN    </v>
          </cell>
          <cell r="D3490">
            <v>578783.37</v>
          </cell>
        </row>
        <row r="3491">
          <cell r="A3491">
            <v>14221</v>
          </cell>
          <cell r="B3491" t="str">
            <v>PA CARREGADEIRA SOBRE RODAS, POTENCIA 152 HP, CAPACIDADE DA CACAMBA DE 1,53 A 2,30 M3, PESO OPERACIONAL DE 10216 KG</v>
          </cell>
          <cell r="C3491" t="str">
            <v xml:space="preserve">UN    </v>
          </cell>
          <cell r="D3491">
            <v>337786.58</v>
          </cell>
        </row>
        <row r="3492">
          <cell r="A3492">
            <v>38402</v>
          </cell>
          <cell r="B3492" t="str">
            <v>PA DE LIXO PLASTICA, CABO LONGO</v>
          </cell>
          <cell r="C3492" t="str">
            <v xml:space="preserve">UN    </v>
          </cell>
          <cell r="D3492">
            <v>8.58</v>
          </cell>
        </row>
        <row r="3493">
          <cell r="A3493">
            <v>3412</v>
          </cell>
          <cell r="B3493" t="str">
            <v>PAINEL DE LA DE VIDRO SEM REVESTIMENTO PSI 20, E = 25 MM, DE 1200 X 600 MM</v>
          </cell>
          <cell r="C3493" t="str">
            <v xml:space="preserve">M2    </v>
          </cell>
          <cell r="D3493">
            <v>16.36</v>
          </cell>
        </row>
        <row r="3494">
          <cell r="A3494">
            <v>3413</v>
          </cell>
          <cell r="B3494" t="str">
            <v>PAINEL DE LA DE VIDRO SEM REVESTIMENTO PSI 20, E = 50 MM, DE 1200 X 600 MM</v>
          </cell>
          <cell r="C3494" t="str">
            <v xml:space="preserve">M2    </v>
          </cell>
          <cell r="D3494">
            <v>36.83</v>
          </cell>
        </row>
        <row r="3495">
          <cell r="A3495">
            <v>39744</v>
          </cell>
          <cell r="B3495" t="str">
            <v>PAINEL DE LA DE VIDRO SEM REVESTIMENTO PSI 40, E = 25 MM, DE 1200 X 600 MM</v>
          </cell>
          <cell r="C3495" t="str">
            <v xml:space="preserve">M2    </v>
          </cell>
          <cell r="D3495">
            <v>28.6</v>
          </cell>
        </row>
        <row r="3496">
          <cell r="A3496">
            <v>39745</v>
          </cell>
          <cell r="B3496" t="str">
            <v>PAINEL DE LA DE VIDRO SEM REVESTIMENTO PSI 40, E = 50 MM, DE 1200 X 600 MM</v>
          </cell>
          <cell r="C3496" t="str">
            <v xml:space="preserve">M2    </v>
          </cell>
          <cell r="D3496">
            <v>60.37</v>
          </cell>
        </row>
        <row r="3497">
          <cell r="A3497">
            <v>39637</v>
          </cell>
          <cell r="B3497" t="str">
            <v>PAINEL ESTRUTURAL PARA LAJE SECA REVESTIDO EM PLACA CIMENTICIA, DE 1,20 X 2,50 M, E = 23 MM</v>
          </cell>
          <cell r="C3497" t="str">
            <v xml:space="preserve">M2    </v>
          </cell>
          <cell r="D3497">
            <v>62.56</v>
          </cell>
        </row>
        <row r="3498">
          <cell r="A3498">
            <v>39638</v>
          </cell>
          <cell r="B3498" t="str">
            <v>PAINEL ESTRUTURAL PARA LAJE SECA REVESTIDO EM PLACA CIMENTICIA, DE 1,20 X 2,50 M, E = 40 MM</v>
          </cell>
          <cell r="C3498" t="str">
            <v xml:space="preserve">M2    </v>
          </cell>
          <cell r="D3498">
            <v>116.49</v>
          </cell>
        </row>
        <row r="3499">
          <cell r="A3499">
            <v>39639</v>
          </cell>
          <cell r="B3499" t="str">
            <v>PAINEL ESTRUTURAL PARA LAJE SECA REVESTIDO EM PLACA CIMENTICIA, DE 1,20 X 2,50 M, E = 55 MM</v>
          </cell>
          <cell r="C3499" t="str">
            <v xml:space="preserve">M2    </v>
          </cell>
          <cell r="D3499">
            <v>153.58000000000001</v>
          </cell>
        </row>
        <row r="3500">
          <cell r="A3500">
            <v>39517</v>
          </cell>
          <cell r="B3500" t="str">
            <v>PAINEL ISOLANTE REVESTIDO EM ACO GALVALUME *0,5* MM COM PRE-PINTURA NAS DUAS FACES, NUCLEO EM POLIURETANO (PUR), E = 40/50 MM, PARA FECHAMENTOS VERTICAIS (INCLUI PARAFUSOS DE FIXACAO)</v>
          </cell>
          <cell r="C3500" t="str">
            <v xml:space="preserve">M2    </v>
          </cell>
          <cell r="D3500">
            <v>139.31</v>
          </cell>
        </row>
        <row r="3501">
          <cell r="A3501">
            <v>39518</v>
          </cell>
          <cell r="B3501" t="str">
            <v>PAINEL ISOLANTE REVESTIDO EM ACO GALVALUME *0,5* MM COM PRE-PINTURA NAS DUAS FACES, NUCLEO EM POLIURETANO (PUR), E = 70/80 MM, PARA FECHAMENTOS VERTICAIS (INCLUI PARAFUSOS DE FIXACAO)</v>
          </cell>
          <cell r="C3501" t="str">
            <v xml:space="preserve">M2    </v>
          </cell>
          <cell r="D3501">
            <v>164.78</v>
          </cell>
        </row>
        <row r="3502">
          <cell r="A3502">
            <v>38366</v>
          </cell>
          <cell r="B3502" t="str">
            <v>PAPEL KRAFT BETUMADO</v>
          </cell>
          <cell r="C3502" t="str">
            <v xml:space="preserve">M2    </v>
          </cell>
          <cell r="D3502">
            <v>3.73</v>
          </cell>
        </row>
        <row r="3503">
          <cell r="A3503">
            <v>11703</v>
          </cell>
          <cell r="B3503" t="str">
            <v>PAPELEIRA DE PAREDE EM METAL CROMADO SEM TAMPA</v>
          </cell>
          <cell r="C3503" t="str">
            <v xml:space="preserve">UN    </v>
          </cell>
          <cell r="D3503">
            <v>37.39</v>
          </cell>
        </row>
        <row r="3504">
          <cell r="A3504">
            <v>37400</v>
          </cell>
          <cell r="B3504" t="str">
            <v>PAPELEIRA PLASTICA TIPO DISPENSER PARA PAPEL HIGIENICO ROLAO</v>
          </cell>
          <cell r="C3504" t="str">
            <v xml:space="preserve">UN    </v>
          </cell>
          <cell r="D3504">
            <v>45.7</v>
          </cell>
        </row>
        <row r="3505">
          <cell r="A3505">
            <v>25400</v>
          </cell>
          <cell r="B3505" t="str">
            <v>PAR DE TABELAS DE BASQUETE EM COMPENSADO NAVAL DE *1,80 X 1,20* M, COM ARO DE METAL E REDE (SEM SUPORTE DE FIXACAO)</v>
          </cell>
          <cell r="C3505" t="str">
            <v xml:space="preserve">UN    </v>
          </cell>
          <cell r="D3505">
            <v>1247.98</v>
          </cell>
        </row>
        <row r="3506">
          <cell r="A3506">
            <v>4272</v>
          </cell>
          <cell r="B3506" t="str">
            <v>PARA-RAIOS DE BAIXA TENSAO, TENSAO DE OPERACAO *280* V , CORRENTE MAXIMA *20* KA</v>
          </cell>
          <cell r="C3506" t="str">
            <v xml:space="preserve">UN    </v>
          </cell>
          <cell r="D3506">
            <v>87.3</v>
          </cell>
        </row>
        <row r="3507">
          <cell r="A3507">
            <v>4276</v>
          </cell>
          <cell r="B3507" t="str">
            <v>PARA-RAIOS DE DISTRIBUICAO, TENSAO NOMINAL 15 KV, CORRENTE NOMINAL DE DESCARGA 5 KA</v>
          </cell>
          <cell r="C3507" t="str">
            <v xml:space="preserve">UN    </v>
          </cell>
          <cell r="D3507">
            <v>257.68</v>
          </cell>
        </row>
        <row r="3508">
          <cell r="A3508">
            <v>4273</v>
          </cell>
          <cell r="B3508" t="str">
            <v>PARA-RAIOS DE DISTRIBUICAO, TENSAO NOMINAL 30 KV, CORRENTE NOMINAL DE DESCARGA 10 KA</v>
          </cell>
          <cell r="C3508" t="str">
            <v xml:space="preserve">UN    </v>
          </cell>
          <cell r="D3508">
            <v>428.06</v>
          </cell>
        </row>
        <row r="3509">
          <cell r="A3509">
            <v>4274</v>
          </cell>
          <cell r="B3509" t="str">
            <v>PARA-RAIOS TIPO FRANKLIN 350 MM, EM LATAO CROMADO, DUAS DESCIDAS, PARA PROTECAO DE EDIFICACOES CONTRA DESCARGAS ATMOSFERICAS</v>
          </cell>
          <cell r="C3509" t="str">
            <v xml:space="preserve">UN    </v>
          </cell>
          <cell r="D3509">
            <v>99.26</v>
          </cell>
        </row>
        <row r="3510">
          <cell r="A3510">
            <v>39438</v>
          </cell>
          <cell r="B3510" t="str">
            <v>PARAFUSO CABECA TROMBETA E PONTA AGULHA (GN55), COMPRIMENTO 55 MM, EM ACO FOSFATIZADO, PARA FIXAR CHAPA DE GESSO EM PERFIL DRYWALL METALICO MAXIMO 0,7 MM</v>
          </cell>
          <cell r="C3510" t="str">
            <v xml:space="preserve">UN    </v>
          </cell>
          <cell r="D3510">
            <v>0.2</v>
          </cell>
        </row>
        <row r="3511">
          <cell r="A3511">
            <v>11963</v>
          </cell>
          <cell r="B3511" t="str">
            <v>PARAFUSO DE ACO TIPO CHUMBADOR PARABOLT, DIAMETRO 1/2", COMPRIMENTO 75 MM</v>
          </cell>
          <cell r="C3511" t="str">
            <v xml:space="preserve">UN    </v>
          </cell>
          <cell r="D3511">
            <v>7.43</v>
          </cell>
        </row>
        <row r="3512">
          <cell r="A3512">
            <v>11964</v>
          </cell>
          <cell r="B3512" t="str">
            <v>PARAFUSO DE ACO TIPO CHUMBADOR PARABOLT, DIAMETRO 3/8", COMPRIMENTO 75 MM</v>
          </cell>
          <cell r="C3512" t="str">
            <v xml:space="preserve">UN    </v>
          </cell>
          <cell r="D3512">
            <v>1.87</v>
          </cell>
        </row>
        <row r="3513">
          <cell r="A3513">
            <v>4379</v>
          </cell>
          <cell r="B3513" t="str">
            <v>PARAFUSO DE ACO ZINCADO COM ROSCA SOBERBA, CABECA CHATA E FENDA SIMPLES, DIAMETRO 2,5 MM, COMPRIMENTO * 9,5 * MM</v>
          </cell>
          <cell r="C3513" t="str">
            <v xml:space="preserve">UN    </v>
          </cell>
          <cell r="D3513">
            <v>0.04</v>
          </cell>
        </row>
        <row r="3514">
          <cell r="A3514">
            <v>4377</v>
          </cell>
          <cell r="B3514" t="str">
            <v>PARAFUSO DE ACO ZINCADO COM ROSCA SOBERBA, CABECA CHATA E FENDA SIMPLES, DIAMETRO 4,2 MM, COMPRIMENTO * 32 * MM</v>
          </cell>
          <cell r="C3514" t="str">
            <v xml:space="preserve">UN    </v>
          </cell>
          <cell r="D3514">
            <v>0.14000000000000001</v>
          </cell>
        </row>
        <row r="3515">
          <cell r="A3515">
            <v>4356</v>
          </cell>
          <cell r="B3515" t="str">
            <v>PARAFUSO DE ACO ZINCADO COM ROSCA SOBERBA, CABECA CHATA E FENDA SIMPLES, DIAMETRO 4,8 MM, COMPRIMENTO 45 MM</v>
          </cell>
          <cell r="C3515" t="str">
            <v xml:space="preserve">UN    </v>
          </cell>
          <cell r="D3515">
            <v>0.2</v>
          </cell>
        </row>
        <row r="3516">
          <cell r="A3516">
            <v>13246</v>
          </cell>
          <cell r="B3516" t="str">
            <v>PARAFUSO DE FERRO POLIDO, SEXTAVADO, COM ROSCA INTEIRA, DIAMETRO 5/16", COMPRIMENTO 3/4", COM PORCA E ARRUELA LISA LEVE</v>
          </cell>
          <cell r="C3516" t="str">
            <v xml:space="preserve">UN    </v>
          </cell>
          <cell r="D3516">
            <v>0.35</v>
          </cell>
        </row>
        <row r="3517">
          <cell r="A3517">
            <v>4346</v>
          </cell>
          <cell r="B3517" t="str">
            <v>PARAFUSO DE FERRO POLIDO, SEXTAVADO, COM ROSCA PARCIAL, DIAMETRO 5/8", COMPRIMENTO 6", COM PORCA E ARRUELA DE PRESSAO MEDIA</v>
          </cell>
          <cell r="C3517" t="str">
            <v xml:space="preserve">UN    </v>
          </cell>
          <cell r="D3517">
            <v>7.96</v>
          </cell>
        </row>
        <row r="3518">
          <cell r="A3518">
            <v>11955</v>
          </cell>
          <cell r="B3518" t="str">
            <v>PARAFUSO DE LATAO COM ACABAMENTO CROMADO PARA FIXAR PECA SANITARIA, INCLUI PORCA CEGA, ARRUELA E BUCHA DE NYLON TAMANHO S-10</v>
          </cell>
          <cell r="C3518" t="str">
            <v xml:space="preserve">UN    </v>
          </cell>
          <cell r="D3518">
            <v>3.48</v>
          </cell>
        </row>
        <row r="3519">
          <cell r="A3519">
            <v>11960</v>
          </cell>
          <cell r="B3519" t="str">
            <v>PARAFUSO DE LATAO COM ROSCA SOBERBA, CABECA CHATA E FENDA SIMPLES, DIAMETRO 2,5 MM, COMPRIMENTO 12 MM</v>
          </cell>
          <cell r="C3519" t="str">
            <v xml:space="preserve">UN    </v>
          </cell>
          <cell r="D3519">
            <v>0.11</v>
          </cell>
        </row>
        <row r="3520">
          <cell r="A3520">
            <v>4333</v>
          </cell>
          <cell r="B3520" t="str">
            <v>PARAFUSO DE LATAO COM ROSCA SOBERBA, CABECA CHATA E FENDA SIMPLES, DIAMETRO 3,2 MM, COMPRIMENTO 16 MM</v>
          </cell>
          <cell r="C3520" t="str">
            <v xml:space="preserve">UN    </v>
          </cell>
          <cell r="D3520">
            <v>0.2</v>
          </cell>
        </row>
        <row r="3521">
          <cell r="A3521">
            <v>4358</v>
          </cell>
          <cell r="B3521" t="str">
            <v>PARAFUSO DE LATAO COM ROSCA SOBERBA, CABECA CHATA E FENDA SIMPLES, DIAMETRO 4,8 MM, COMPRIMENTO 65 MM</v>
          </cell>
          <cell r="C3521" t="str">
            <v xml:space="preserve">UN    </v>
          </cell>
          <cell r="D3521">
            <v>1.59</v>
          </cell>
        </row>
        <row r="3522">
          <cell r="A3522">
            <v>39435</v>
          </cell>
          <cell r="B3522" t="str">
            <v>PARAFUSO DRY WALL, EM ACO FOSFATIZADO, CABECA TROMBETA E PONTA AGULHA (TA), COMPRIMENTO 25 MM</v>
          </cell>
          <cell r="C3522" t="str">
            <v xml:space="preserve">UN    </v>
          </cell>
          <cell r="D3522">
            <v>0.08</v>
          </cell>
        </row>
        <row r="3523">
          <cell r="A3523">
            <v>39436</v>
          </cell>
          <cell r="B3523" t="str">
            <v>PARAFUSO DRY WALL, EM ACO FOSFATIZADO, CABECA TROMBETA E PONTA AGULHA (TA), COMPRIMENTO 35 MM</v>
          </cell>
          <cell r="C3523" t="str">
            <v xml:space="preserve">UN    </v>
          </cell>
          <cell r="D3523">
            <v>0.13</v>
          </cell>
        </row>
        <row r="3524">
          <cell r="A3524">
            <v>39437</v>
          </cell>
          <cell r="B3524" t="str">
            <v>PARAFUSO DRY WALL, EM ACO FOSFATIZADO, CABECA TROMBETA E PONTA AGULHA (TA), COMPRIMENTO 45 MM</v>
          </cell>
          <cell r="C3524" t="str">
            <v xml:space="preserve">UN    </v>
          </cell>
          <cell r="D3524">
            <v>0.18</v>
          </cell>
        </row>
        <row r="3525">
          <cell r="A3525">
            <v>39439</v>
          </cell>
          <cell r="B3525" t="str">
            <v>PARAFUSO DRY WALL, EM ACO FOSFATIZADO, CABECA TROMBETA E PONTA BROCA (TB), COMPRIMENTO 25 MM</v>
          </cell>
          <cell r="C3525" t="str">
            <v xml:space="preserve">UN    </v>
          </cell>
          <cell r="D3525">
            <v>0.12</v>
          </cell>
        </row>
        <row r="3526">
          <cell r="A3526">
            <v>39440</v>
          </cell>
          <cell r="B3526" t="str">
            <v>PARAFUSO DRY WALL, EM ACO FOSFATIZADO, CABECA TROMBETA E PONTA BROCA (TB), COMPRIMENTO 35 MM</v>
          </cell>
          <cell r="C3526" t="str">
            <v xml:space="preserve">UN    </v>
          </cell>
          <cell r="D3526">
            <v>0.16</v>
          </cell>
        </row>
        <row r="3527">
          <cell r="A3527">
            <v>39441</v>
          </cell>
          <cell r="B3527" t="str">
            <v>PARAFUSO DRY WALL, EM ACO FOSFATIZADO, CABECA TROMBETA E PONTA BROCA (TB), COMPRIMENTO 45 MM</v>
          </cell>
          <cell r="C3527" t="str">
            <v xml:space="preserve">UN    </v>
          </cell>
          <cell r="D3527">
            <v>0.2</v>
          </cell>
        </row>
        <row r="3528">
          <cell r="A3528">
            <v>39442</v>
          </cell>
          <cell r="B3528" t="str">
            <v>PARAFUSO DRY WALL, EM ACO ZINCADO, CABECA LENTILHA E PONTA AGULHA (LA), LARGURA 4,2 MM, COMPRIMENTO 13 MM</v>
          </cell>
          <cell r="C3528" t="str">
            <v xml:space="preserve">UN    </v>
          </cell>
          <cell r="D3528">
            <v>0.14000000000000001</v>
          </cell>
        </row>
        <row r="3529">
          <cell r="A3529">
            <v>39443</v>
          </cell>
          <cell r="B3529" t="str">
            <v>PARAFUSO DRY WALL, EM ACO ZINCADO, CABECA LENTILHA E PONTA BROCA (LB), LARGURA 4,2 MM, COMPRIMENTO 13 MM</v>
          </cell>
          <cell r="C3529" t="str">
            <v xml:space="preserve">UN    </v>
          </cell>
          <cell r="D3529">
            <v>0.19</v>
          </cell>
        </row>
        <row r="3530">
          <cell r="A3530">
            <v>4329</v>
          </cell>
          <cell r="B3530" t="str">
            <v>PARAFUSO EM ACO GALVANIZADO, TIPO MAQUINA, SEXTAVADO, SEM PORCA, DIAMETRO 1/2", COMPRIMENTO 2"</v>
          </cell>
          <cell r="C3530" t="str">
            <v xml:space="preserve">UN    </v>
          </cell>
          <cell r="D3530">
            <v>1.7</v>
          </cell>
        </row>
        <row r="3531">
          <cell r="A3531">
            <v>4383</v>
          </cell>
          <cell r="B3531" t="str">
            <v>PARAFUSO FRANCES METRICO ZINCADO, DIAMETRO 12 MM, COMPRIMENTO 140MM, COM PORCA SEXTAVADA E ARRUELA DE PRESSAO MEDIA</v>
          </cell>
          <cell r="C3531" t="str">
            <v xml:space="preserve">UN    </v>
          </cell>
          <cell r="D3531">
            <v>15.37</v>
          </cell>
        </row>
        <row r="3532">
          <cell r="A3532">
            <v>4344</v>
          </cell>
          <cell r="B3532" t="str">
            <v>PARAFUSO FRANCES METRICO ZINCADO, DIAMETRO 12 MM, COMPRIMENTO 150 MM, COM PORCA SEXTAVADA E ARRUELA DE PRESSAO MEDIA</v>
          </cell>
          <cell r="C3532" t="str">
            <v xml:space="preserve">UN    </v>
          </cell>
          <cell r="D3532">
            <v>16.11</v>
          </cell>
        </row>
        <row r="3533">
          <cell r="A3533">
            <v>436</v>
          </cell>
          <cell r="B3533" t="str">
            <v>PARAFUSO FRANCES M16 EM ACO GALVANIZADO, COMPRIMENTO = 150 MM, DIAMETRO = 16 MM, CABECA ABAULADA</v>
          </cell>
          <cell r="C3533" t="str">
            <v xml:space="preserve">UN    </v>
          </cell>
          <cell r="D3533">
            <v>3.92</v>
          </cell>
        </row>
        <row r="3534">
          <cell r="A3534">
            <v>442</v>
          </cell>
          <cell r="B3534" t="str">
            <v>PARAFUSO FRANCES M16 EM ACO GALVANIZADO, COMPRIMENTO = 45 MM, DIAMETRO = 16 MM, CABECA ABAULADA</v>
          </cell>
          <cell r="C3534" t="str">
            <v xml:space="preserve">UN    </v>
          </cell>
          <cell r="D3534">
            <v>2.3199999999999998</v>
          </cell>
        </row>
        <row r="3535">
          <cell r="A3535">
            <v>11953</v>
          </cell>
          <cell r="B3535" t="str">
            <v>PARAFUSO FRANCES ZINCADO, DIAMETRO 1/2'', COMPRIMENTO 2'', COM PORCA E ARRUELA</v>
          </cell>
          <cell r="C3535" t="str">
            <v xml:space="preserve">UN    </v>
          </cell>
          <cell r="D3535">
            <v>2.5499999999999998</v>
          </cell>
        </row>
        <row r="3536">
          <cell r="A3536">
            <v>4335</v>
          </cell>
          <cell r="B3536" t="str">
            <v>PARAFUSO FRANCES ZINCADO, DIAMETRO 1/2", COMPRIMENTO 12", COM PORCA E ARRUELA LISA MEDIA</v>
          </cell>
          <cell r="C3536" t="str">
            <v xml:space="preserve">UN    </v>
          </cell>
          <cell r="D3536">
            <v>10.82</v>
          </cell>
        </row>
        <row r="3537">
          <cell r="A3537">
            <v>4334</v>
          </cell>
          <cell r="B3537" t="str">
            <v>PARAFUSO FRANCES ZINCADO, DIAMETRO 1/2", COMPRIMENTO 15", COM PORCA E ARRUELA LISA MEDIA</v>
          </cell>
          <cell r="C3537" t="str">
            <v xml:space="preserve">UN    </v>
          </cell>
          <cell r="D3537">
            <v>14.84</v>
          </cell>
        </row>
        <row r="3538">
          <cell r="A3538">
            <v>4343</v>
          </cell>
          <cell r="B3538" t="str">
            <v>PARAFUSO FRANCES ZINCADO, DIAMETRO 1/2", COMPRIMENTO 4", COM PORCA E ARRUELA</v>
          </cell>
          <cell r="C3538" t="str">
            <v xml:space="preserve">UN    </v>
          </cell>
          <cell r="D3538">
            <v>3.65</v>
          </cell>
        </row>
        <row r="3539">
          <cell r="A3539">
            <v>430</v>
          </cell>
          <cell r="B3539" t="str">
            <v>PARAFUSO M16 EM ACO GALVANIZADO, COMPRIMENTO = 125 MM, DIAMETRO = 16 MM, ROSCA MAQUINA, CABECA QUADRADA</v>
          </cell>
          <cell r="C3539" t="str">
            <v xml:space="preserve">UN    </v>
          </cell>
          <cell r="D3539">
            <v>3.51</v>
          </cell>
        </row>
        <row r="3540">
          <cell r="A3540">
            <v>441</v>
          </cell>
          <cell r="B3540" t="str">
            <v>PARAFUSO M16 EM ACO GALVANIZADO, COMPRIMENTO = 150 MM, DIAMETRO = 16 MM, ROSCA MAQUINA, CABECA QUADRADA</v>
          </cell>
          <cell r="C3540" t="str">
            <v xml:space="preserve">UN    </v>
          </cell>
          <cell r="D3540">
            <v>3.86</v>
          </cell>
        </row>
        <row r="3541">
          <cell r="A3541">
            <v>431</v>
          </cell>
          <cell r="B3541" t="str">
            <v>PARAFUSO M16 EM ACO GALVANIZADO, COMPRIMENTO = 200 MM, DIAMETRO = 16 MM, ROSCA MAQUINA, CABECA QUADRADA</v>
          </cell>
          <cell r="C3541" t="str">
            <v xml:space="preserve">UN    </v>
          </cell>
          <cell r="D3541">
            <v>4.66</v>
          </cell>
        </row>
        <row r="3542">
          <cell r="A3542">
            <v>432</v>
          </cell>
          <cell r="B3542" t="str">
            <v>PARAFUSO M16 EM ACO GALVANIZADO, COMPRIMENTO = 250 MM, DIAMETRO = 16 MM, ROSCA MAQUINA, CABECA QUADRADA</v>
          </cell>
          <cell r="C3542" t="str">
            <v xml:space="preserve">UN    </v>
          </cell>
          <cell r="D3542">
            <v>5.15</v>
          </cell>
        </row>
        <row r="3543">
          <cell r="A3543">
            <v>429</v>
          </cell>
          <cell r="B3543" t="str">
            <v>PARAFUSO M16 EM ACO GALVANIZADO, COMPRIMENTO = 300 MM, DIAMETRO = 16 MM, ROSCA DUPLA</v>
          </cell>
          <cell r="C3543" t="str">
            <v xml:space="preserve">UN    </v>
          </cell>
          <cell r="D3543">
            <v>6.94</v>
          </cell>
        </row>
        <row r="3544">
          <cell r="A3544">
            <v>439</v>
          </cell>
          <cell r="B3544" t="str">
            <v>PARAFUSO M16 EM ACO GALVANIZADO, COMPRIMENTO = 300 MM, DIAMETRO = 16 MM, ROSCA MAQUINA, CABECA QUADRADA</v>
          </cell>
          <cell r="C3544" t="str">
            <v xml:space="preserve">UN    </v>
          </cell>
          <cell r="D3544">
            <v>5.91</v>
          </cell>
        </row>
        <row r="3545">
          <cell r="A3545">
            <v>433</v>
          </cell>
          <cell r="B3545" t="str">
            <v>PARAFUSO M16 EM ACO GALVANIZADO, COMPRIMENTO = 350 MM, DIAMETRO = 16 MM, ROSCA MAQUINA, CABECA QUADRADA</v>
          </cell>
          <cell r="C3545" t="str">
            <v xml:space="preserve">UN    </v>
          </cell>
          <cell r="D3545">
            <v>6.9</v>
          </cell>
        </row>
        <row r="3546">
          <cell r="A3546">
            <v>437</v>
          </cell>
          <cell r="B3546" t="str">
            <v>PARAFUSO M16 EM ACO GALVANIZADO, COMPRIMENTO = 400 MM, DIAMETRO = 16 MM, ROSCA DUPLA</v>
          </cell>
          <cell r="C3546" t="str">
            <v xml:space="preserve">UN    </v>
          </cell>
          <cell r="D3546">
            <v>9.17</v>
          </cell>
        </row>
        <row r="3547">
          <cell r="A3547">
            <v>11790</v>
          </cell>
          <cell r="B3547" t="str">
            <v>PARAFUSO M16 EM ACO GALVANIZADO, COMPRIMENTO = 450 MM, DIAMETRO = 16 MM, ROSCA MAQUINA, CABECA QUADRADA</v>
          </cell>
          <cell r="C3547" t="str">
            <v xml:space="preserve">UN    </v>
          </cell>
          <cell r="D3547">
            <v>10.41</v>
          </cell>
        </row>
        <row r="3548">
          <cell r="A3548">
            <v>428</v>
          </cell>
          <cell r="B3548" t="str">
            <v>PARAFUSO M16 EM ACO GALVANIZADO, COMPRIMENTO = 500 MM, DIAMETRO = 16 MM, ROSCA MAQUINA, COM CABECA SEXTAVADA E PORCA</v>
          </cell>
          <cell r="C3548" t="str">
            <v xml:space="preserve">UN    </v>
          </cell>
          <cell r="D3548">
            <v>11.32</v>
          </cell>
        </row>
        <row r="3549">
          <cell r="A3549">
            <v>4384</v>
          </cell>
          <cell r="B3549" t="str">
            <v>PARAFUSO NIQUELADO COM ACABAMENTO CROMADO PARA FIXAR PECA SANITARIA, INCLUI PORCA CEGA, ARRUELA E BUCHA DE NYLON TAMANHO S-10</v>
          </cell>
          <cell r="C3549" t="str">
            <v xml:space="preserve">UN    </v>
          </cell>
          <cell r="D3549">
            <v>17.66</v>
          </cell>
        </row>
        <row r="3550">
          <cell r="A3550">
            <v>4351</v>
          </cell>
          <cell r="B3550" t="str">
            <v>PARAFUSO NIQUELADO 3 1/2" COM ACABAMENTO CROMADO PARA FIXAR PECA SANITARIA, INCLUI PORCA CEGA, ARRUELA E BUCHA DE NYLON TAMANHO S-8</v>
          </cell>
          <cell r="C3550" t="str">
            <v xml:space="preserve">UN    </v>
          </cell>
          <cell r="D3550">
            <v>13.09</v>
          </cell>
        </row>
        <row r="3551">
          <cell r="A3551">
            <v>11054</v>
          </cell>
          <cell r="B3551" t="str">
            <v>PARAFUSO ROSCA SOBERBA ZINCADO CABECA CHATA FENDA SIMPLES 3,2 X 20 MM (3/4 ")</v>
          </cell>
          <cell r="C3551" t="str">
            <v xml:space="preserve">UN    </v>
          </cell>
          <cell r="D3551">
            <v>0.02</v>
          </cell>
        </row>
        <row r="3552">
          <cell r="A3552">
            <v>11055</v>
          </cell>
          <cell r="B3552" t="str">
            <v>PARAFUSO ROSCA SOBERBA ZINCADO CABECA CHATA FENDA SIMPLES 3,5 X 25 MM (1 ")</v>
          </cell>
          <cell r="C3552" t="str">
            <v xml:space="preserve">UN    </v>
          </cell>
          <cell r="D3552">
            <v>0.04</v>
          </cell>
        </row>
        <row r="3553">
          <cell r="A3553">
            <v>11056</v>
          </cell>
          <cell r="B3553" t="str">
            <v>PARAFUSO ROSCA SOBERBA ZINCADO CABECA CHATA FENDA SIMPLES 3,8 X 30 MM (1.1/4 ")</v>
          </cell>
          <cell r="C3553" t="str">
            <v xml:space="preserve">UN    </v>
          </cell>
          <cell r="D3553">
            <v>0.05</v>
          </cell>
        </row>
        <row r="3554">
          <cell r="A3554">
            <v>11057</v>
          </cell>
          <cell r="B3554" t="str">
            <v>PARAFUSO ROSCA SOBERBA ZINCADO CABECA CHATA FENDA SIMPLES 4,8 X 40 MM (1.1/2 ")</v>
          </cell>
          <cell r="C3554" t="str">
            <v xml:space="preserve">UN    </v>
          </cell>
          <cell r="D3554">
            <v>0.1</v>
          </cell>
        </row>
        <row r="3555">
          <cell r="A3555">
            <v>11059</v>
          </cell>
          <cell r="B3555" t="str">
            <v>PARAFUSO ROSCA SOBERBA ZINCADO CABECA CHATA FENDA SIMPLES 5,5 X 50 MM (2 ")</v>
          </cell>
          <cell r="C3555" t="str">
            <v xml:space="preserve">UN    </v>
          </cell>
          <cell r="D3555">
            <v>0.2</v>
          </cell>
        </row>
        <row r="3556">
          <cell r="A3556">
            <v>11058</v>
          </cell>
          <cell r="B3556" t="str">
            <v>PARAFUSO ROSCA SOBERBA ZINCADO CABECA CHATA FENDA SIMPLES 5,5 X 65 MM (2.1/2 ")</v>
          </cell>
          <cell r="C3556" t="str">
            <v xml:space="preserve">UN    </v>
          </cell>
          <cell r="D3556">
            <v>0.26</v>
          </cell>
        </row>
        <row r="3557">
          <cell r="A3557">
            <v>4380</v>
          </cell>
          <cell r="B3557" t="str">
            <v>PARAFUSO ZINCADO ROSCA SOBERBA 5/16 " X 120 MM PARA TELHA FIBROCIMENTO</v>
          </cell>
          <cell r="C3557" t="str">
            <v xml:space="preserve">UN    </v>
          </cell>
          <cell r="D3557">
            <v>0.87</v>
          </cell>
        </row>
        <row r="3558">
          <cell r="A3558">
            <v>4299</v>
          </cell>
          <cell r="B3558" t="str">
            <v>PARAFUSO ZINCADO ROSCA SOBERBA, CABECA SEXTAVADA, 5/16 " X 110 MM, PARA FIXACAO DE TELHA EM MADEIRA</v>
          </cell>
          <cell r="C3558" t="str">
            <v xml:space="preserve">UN    </v>
          </cell>
          <cell r="D3558">
            <v>0.82</v>
          </cell>
        </row>
        <row r="3559">
          <cell r="A3559">
            <v>4304</v>
          </cell>
          <cell r="B3559" t="str">
            <v>PARAFUSO ZINCADO ROSCA SOBERBA, CABECA SEXTAVADA, 5/16 " X 150 MM, PARA FIXACAO DE TELHA EM MADEIRA</v>
          </cell>
          <cell r="C3559" t="str">
            <v xml:space="preserve">UN    </v>
          </cell>
          <cell r="D3559">
            <v>1.1100000000000001</v>
          </cell>
        </row>
        <row r="3560">
          <cell r="A3560">
            <v>4305</v>
          </cell>
          <cell r="B3560" t="str">
            <v>PARAFUSO ZINCADO ROSCA SOBERBA, CABECA SEXTAVADA, 5/16 " X 180 MM, PARA FIXACAO DE TELHA EM MADEIRA</v>
          </cell>
          <cell r="C3560" t="str">
            <v xml:space="preserve">UN    </v>
          </cell>
          <cell r="D3560">
            <v>1.3</v>
          </cell>
        </row>
        <row r="3561">
          <cell r="A3561">
            <v>4306</v>
          </cell>
          <cell r="B3561" t="str">
            <v>PARAFUSO ZINCADO ROSCA SOBERBA, CABECA SEXTAVADA, 5/16 " X 200 MM, PARA FIXACAO DE TELHA EM MADEIRA</v>
          </cell>
          <cell r="C3561" t="str">
            <v xml:space="preserve">UN    </v>
          </cell>
          <cell r="D3561">
            <v>1.5</v>
          </cell>
        </row>
        <row r="3562">
          <cell r="A3562">
            <v>4308</v>
          </cell>
          <cell r="B3562" t="str">
            <v>PARAFUSO ZINCADO ROSCA SOBERBA, CABECA SEXTAVADA, 5/16 " X 230 MM, PARA FIXACAO DE TELHA EM MADEIRA</v>
          </cell>
          <cell r="C3562" t="str">
            <v xml:space="preserve">UN    </v>
          </cell>
          <cell r="D3562">
            <v>3.12</v>
          </cell>
        </row>
        <row r="3563">
          <cell r="A3563">
            <v>4302</v>
          </cell>
          <cell r="B3563" t="str">
            <v>PARAFUSO ZINCADO ROSCA SOBERBA, CABECA SEXTAVADA, 5/16 " X 250 MM, PARA FIXACAO DE TELHA EM MADEIRA</v>
          </cell>
          <cell r="C3563" t="str">
            <v xml:space="preserve">UN    </v>
          </cell>
          <cell r="D3563">
            <v>2.34</v>
          </cell>
        </row>
        <row r="3564">
          <cell r="A3564">
            <v>4300</v>
          </cell>
          <cell r="B3564" t="str">
            <v>PARAFUSO ZINCADO ROSCA SOBERBA, CABECA SEXTAVADA, 5/16 " X 50 MM, PARA FIXACAO DE TELHA EM MADEIRA</v>
          </cell>
          <cell r="C3564" t="str">
            <v xml:space="preserve">UN    </v>
          </cell>
          <cell r="D3564">
            <v>0.55000000000000004</v>
          </cell>
        </row>
        <row r="3565">
          <cell r="A3565">
            <v>4301</v>
          </cell>
          <cell r="B3565" t="str">
            <v>PARAFUSO ZINCADO ROSCA SOBERBA, CABECA SEXTAVADA, 5/16 " X 85 MM, PARA FIXACAO DE TELHA EM MADEIRA</v>
          </cell>
          <cell r="C3565" t="str">
            <v xml:space="preserve">UN    </v>
          </cell>
          <cell r="D3565">
            <v>0.68</v>
          </cell>
        </row>
        <row r="3566">
          <cell r="A3566">
            <v>4320</v>
          </cell>
          <cell r="B3566" t="str">
            <v>PARAFUSO ZINCADO 5/16 " X 250 MM PARA FIXACAO DE TELHA DE FIBROCIMENTO CANALETE 49, INCLUI BUCHA NYLON S-10</v>
          </cell>
          <cell r="C3566" t="str">
            <v xml:space="preserve">UN    </v>
          </cell>
          <cell r="D3566">
            <v>2.06</v>
          </cell>
        </row>
        <row r="3567">
          <cell r="A3567">
            <v>4318</v>
          </cell>
          <cell r="B3567" t="str">
            <v>PARAFUSO ZINCADO 5/16 " X 85 MM PARA FIXACAO DE TELHA DE FIBROCIMENTO CANALETE 90, INCLUI BUCHA NYLON S-10</v>
          </cell>
          <cell r="C3567" t="str">
            <v xml:space="preserve">UN    </v>
          </cell>
          <cell r="D3567">
            <v>1</v>
          </cell>
        </row>
        <row r="3568">
          <cell r="A3568">
            <v>40547</v>
          </cell>
          <cell r="B3568" t="str">
            <v>PARAFUSO ZINCADO, AUTOBROCANTE, FLANGEADO, 4,2 MM X 19 MM</v>
          </cell>
          <cell r="C3568" t="str">
            <v xml:space="preserve">CENTO </v>
          </cell>
          <cell r="D3568">
            <v>21.46</v>
          </cell>
        </row>
        <row r="3569">
          <cell r="A3569">
            <v>11962</v>
          </cell>
          <cell r="B3569" t="str">
            <v>PARAFUSO ZINCADO, SEXTAVADO, COM ROSCA INTEIRA, DIAMETRO 1/4", COMPRIMENTO 1/2"</v>
          </cell>
          <cell r="C3569" t="str">
            <v xml:space="preserve">UN    </v>
          </cell>
          <cell r="D3569">
            <v>0.17</v>
          </cell>
        </row>
        <row r="3570">
          <cell r="A3570">
            <v>4332</v>
          </cell>
          <cell r="B3570" t="str">
            <v>PARAFUSO ZINCADO, SEXTAVADO, COM ROSCA INTEIRA, DIAMETRO 3/8", COMPRIMENTO 2"</v>
          </cell>
          <cell r="C3570" t="str">
            <v xml:space="preserve">UN    </v>
          </cell>
          <cell r="D3570">
            <v>0.85</v>
          </cell>
        </row>
        <row r="3571">
          <cell r="A3571">
            <v>4331</v>
          </cell>
          <cell r="B3571" t="str">
            <v>PARAFUSO ZINCADO, SEXTAVADO, COM ROSCA INTEIRA, DIAMETRO 5/8", COMPRIMENTO 2 1/4"</v>
          </cell>
          <cell r="C3571" t="str">
            <v xml:space="preserve">UN    </v>
          </cell>
          <cell r="D3571">
            <v>3.22</v>
          </cell>
        </row>
        <row r="3572">
          <cell r="A3572">
            <v>4336</v>
          </cell>
          <cell r="B3572" t="str">
            <v>PARAFUSO ZINCADO, SEXTAVADO, COM ROSCA INTEIRA, DIAMETRO 5/8", COMPRIMENTO 3", COM PORCA E ARRUELA DE PRESSAO MEDIA</v>
          </cell>
          <cell r="C3572" t="str">
            <v xml:space="preserve">UN    </v>
          </cell>
          <cell r="D3572">
            <v>4.12</v>
          </cell>
        </row>
        <row r="3573">
          <cell r="A3573">
            <v>13294</v>
          </cell>
          <cell r="B3573" t="str">
            <v>PARAFUSO ZINCADO, SEXTAVADO, COM ROSCA SOBERBA, DIAMETRO 3/8", COMPRIMENTO 80 MM</v>
          </cell>
          <cell r="C3573" t="str">
            <v xml:space="preserve">UN    </v>
          </cell>
          <cell r="D3573">
            <v>1.18</v>
          </cell>
        </row>
        <row r="3574">
          <cell r="A3574">
            <v>11948</v>
          </cell>
          <cell r="B3574" t="str">
            <v>PARAFUSO ZINCADO, SEXTAVADO, COM ROSCA SOBERBA, DIAMETRO 5/16", COMPRIMENTO 40 MM</v>
          </cell>
          <cell r="C3574" t="str">
            <v xml:space="preserve">UN    </v>
          </cell>
          <cell r="D3574">
            <v>0.53</v>
          </cell>
        </row>
        <row r="3575">
          <cell r="A3575">
            <v>4382</v>
          </cell>
          <cell r="B3575" t="str">
            <v>PARAFUSO ZINCADO, SEXTAVADO, COM ROSCA SOBERBA, DIAMETRO 5/16", COMPRIMENTO 80 MM</v>
          </cell>
          <cell r="C3575" t="str">
            <v xml:space="preserve">UN    </v>
          </cell>
          <cell r="D3575">
            <v>0.88</v>
          </cell>
        </row>
        <row r="3576">
          <cell r="A3576">
            <v>4354</v>
          </cell>
          <cell r="B3576" t="str">
            <v>PARAFUSO ZINCADO, SEXTAVADO, GRAU 5, ROSCA INTEIRA, DIAMETRO 1 1/2", COMPRIMENTO 4"</v>
          </cell>
          <cell r="C3576" t="str">
            <v xml:space="preserve">UN    </v>
          </cell>
          <cell r="D3576">
            <v>36.950000000000003</v>
          </cell>
        </row>
        <row r="3577">
          <cell r="A3577">
            <v>40839</v>
          </cell>
          <cell r="B3577" t="str">
            <v>PARAFUSO, ASTM A307 - GRAU A, SEXTAVADO, ZINCADO, DIAMETRO 3/8" (9,52 MM), COMPRIMENTO 1 " (25,4 MM)</v>
          </cell>
          <cell r="C3577" t="str">
            <v xml:space="preserve">CENTO </v>
          </cell>
          <cell r="D3577">
            <v>88.92</v>
          </cell>
        </row>
        <row r="3578">
          <cell r="A3578">
            <v>40552</v>
          </cell>
          <cell r="B3578" t="str">
            <v>PARAFUSO, AUTO ATARRACHANTE, CABECA CHATA, FENDA SIMPLES, 1/4 (6,35 MM) X 25 MM</v>
          </cell>
          <cell r="C3578" t="str">
            <v xml:space="preserve">CENTO </v>
          </cell>
          <cell r="D3578">
            <v>36.79</v>
          </cell>
        </row>
        <row r="3579">
          <cell r="A3579">
            <v>40549</v>
          </cell>
          <cell r="B3579" t="str">
            <v>PARAFUSO, COMUM, ASTM A307, SEXTAVADO, DIAMETRO 1/2" (12,7 MM), COMPRIMENTO 1" (25,4 MM)</v>
          </cell>
          <cell r="C3579" t="str">
            <v xml:space="preserve">CENTO </v>
          </cell>
          <cell r="D3579">
            <v>145.65</v>
          </cell>
        </row>
        <row r="3580">
          <cell r="A3580">
            <v>4385</v>
          </cell>
          <cell r="B3580" t="str">
            <v>PARALELEPIPEDO GRANITICO OU BASALTICO, PARA PAVIMENTACAO, SEM FRETE,  *30 A 35* PECAS POR M2</v>
          </cell>
          <cell r="C3580" t="str">
            <v xml:space="preserve">MIL   </v>
          </cell>
          <cell r="D3580">
            <v>1260</v>
          </cell>
        </row>
        <row r="3581">
          <cell r="A3581">
            <v>38397</v>
          </cell>
          <cell r="B3581" t="str">
            <v>PASTA DESENGRAXANTE PARA MAOS</v>
          </cell>
          <cell r="C3581" t="str">
            <v xml:space="preserve">KG    </v>
          </cell>
          <cell r="D3581">
            <v>4.76</v>
          </cell>
        </row>
        <row r="3582">
          <cell r="A3582">
            <v>20078</v>
          </cell>
          <cell r="B3582" t="str">
            <v>PASTA LUBRIFICANTE PARA TUBOS E CONEXOES COM JUNTA ELASTICA (USO EM PVC, ACO, POLIETILENO E OUTROS) ( DE *400* G)</v>
          </cell>
          <cell r="C3582" t="str">
            <v xml:space="preserve">UN    </v>
          </cell>
          <cell r="D3582">
            <v>23.81</v>
          </cell>
        </row>
        <row r="3583">
          <cell r="A3583">
            <v>20079</v>
          </cell>
          <cell r="B3583" t="str">
            <v>PASTA LUBRIFICANTE PARA TUBOS E CONEXOES COM JUNTA ELASTICA (USO EM PVC, ACO, POLIETILENO E OUTROS) (POTE DE 3.500* G)</v>
          </cell>
          <cell r="C3583" t="str">
            <v xml:space="preserve">UN    </v>
          </cell>
          <cell r="D3583">
            <v>148.53</v>
          </cell>
        </row>
        <row r="3584">
          <cell r="A3584">
            <v>39897</v>
          </cell>
          <cell r="B3584" t="str">
            <v>PASTA PARA SOLDA DE TUBOS E CONEXOES DE COBRE (EMBALAGEM COM 250 G)</v>
          </cell>
          <cell r="C3584" t="str">
            <v xml:space="preserve">UN    </v>
          </cell>
          <cell r="D3584">
            <v>30.33</v>
          </cell>
        </row>
        <row r="3585">
          <cell r="A3585">
            <v>118</v>
          </cell>
          <cell r="B3585" t="str">
            <v>PASTA VEDA JUNTAS/ROSCA, LATA DE *500* G, PARA INSTALACOES DE GAS E OUTROS</v>
          </cell>
          <cell r="C3585" t="str">
            <v xml:space="preserve">UN    </v>
          </cell>
          <cell r="D3585">
            <v>90.02</v>
          </cell>
        </row>
        <row r="3586">
          <cell r="A3586">
            <v>4396</v>
          </cell>
          <cell r="B3586" t="str">
            <v>PASTILHA CERAMICA/PORCELANA, REVEST INT/EXT E  PISCINA, CORES BRANCA OU FRIAS, *2,5 X 2,5* CM</v>
          </cell>
          <cell r="C3586" t="str">
            <v xml:space="preserve">M2    </v>
          </cell>
          <cell r="D3586">
            <v>130.09</v>
          </cell>
        </row>
        <row r="3587">
          <cell r="A3587">
            <v>36881</v>
          </cell>
          <cell r="B3587" t="str">
            <v>PASTILHA CERAMICA/PORCELANA, REVEST INT/EXT E  PISCINA, CORES FRIAS *5 X 5* CM</v>
          </cell>
          <cell r="C3587" t="str">
            <v xml:space="preserve">M2    </v>
          </cell>
          <cell r="D3587">
            <v>116.25</v>
          </cell>
        </row>
        <row r="3588">
          <cell r="A3588">
            <v>36882</v>
          </cell>
          <cell r="B3588" t="str">
            <v>PASTILHA CERAMICA/PORCELANA, REVEST INT/EXT E  PISCINA, CORES QUENTES *5 X 5* CM</v>
          </cell>
          <cell r="C3588" t="str">
            <v xml:space="preserve">M2    </v>
          </cell>
          <cell r="D3588">
            <v>135.62</v>
          </cell>
        </row>
        <row r="3589">
          <cell r="A3589">
            <v>4397</v>
          </cell>
          <cell r="B3589" t="str">
            <v>PASTILHA CERAMICA/PORCELANA, REVEST INT/EXT E  PISCINA, CORES QUENTES, *2,5 X 2,5* CM</v>
          </cell>
          <cell r="C3589" t="str">
            <v xml:space="preserve">M2    </v>
          </cell>
          <cell r="D3589">
            <v>210.95</v>
          </cell>
        </row>
        <row r="3590">
          <cell r="A3590">
            <v>34754</v>
          </cell>
          <cell r="B3590" t="str">
            <v>PASTILHA DE VIDRO CRISTAL, NACIONAL, REVEST INT/EXT E PISCINA, TODAS AS CORES, E MAIOR OU IGUAL A 5 MM  *2,0 X 2,0* CM</v>
          </cell>
          <cell r="C3590" t="str">
            <v xml:space="preserve">M2    </v>
          </cell>
          <cell r="D3590">
            <v>390.62</v>
          </cell>
        </row>
        <row r="3591">
          <cell r="A3591">
            <v>25962</v>
          </cell>
          <cell r="B3591" t="str">
            <v>PASTILHA DE VIDRO PIGMENTADA *2,0 X 2,0* CM, NACIONAL, PARA REVESTIMENTO INTERNO/EXTERNO E PISCINA, BRANCA OU CORES FRIAS, ESPESSURA MAIOR OU IGUAL A 5 MM</v>
          </cell>
          <cell r="C3591" t="str">
            <v xml:space="preserve">M2    </v>
          </cell>
          <cell r="D3591">
            <v>247.4</v>
          </cell>
        </row>
        <row r="3592">
          <cell r="A3592">
            <v>34752</v>
          </cell>
          <cell r="B3592" t="str">
            <v>PASTILHA DE VIDRO PIGMENTADA, NACIONAL, REVEST INT/EXT E PISCINA, CORES QUENTES, ESPESSURA MAIOR OU IGUAL A 5 MM  *2,0 X 2,0* CM</v>
          </cell>
          <cell r="C3592" t="str">
            <v xml:space="preserve">M2    </v>
          </cell>
          <cell r="D3592">
            <v>435.67</v>
          </cell>
        </row>
        <row r="3593">
          <cell r="A3593">
            <v>4751</v>
          </cell>
          <cell r="B3593" t="str">
            <v>PASTILHEIRO</v>
          </cell>
          <cell r="C3593" t="str">
            <v xml:space="preserve">H     </v>
          </cell>
          <cell r="D3593">
            <v>17.47</v>
          </cell>
        </row>
        <row r="3594">
          <cell r="A3594">
            <v>41066</v>
          </cell>
          <cell r="B3594" t="str">
            <v>PASTILHEIRO (MENSALISTA)</v>
          </cell>
          <cell r="C3594" t="str">
            <v xml:space="preserve">MES   </v>
          </cell>
          <cell r="D3594">
            <v>3093.58</v>
          </cell>
        </row>
        <row r="3595">
          <cell r="A3595">
            <v>39604</v>
          </cell>
          <cell r="B3595" t="str">
            <v>PATCH CORD, CATEGORIA 5 E, EXTENSAO DE 1,50 M</v>
          </cell>
          <cell r="C3595" t="str">
            <v xml:space="preserve">UN    </v>
          </cell>
          <cell r="D3595">
            <v>8.83</v>
          </cell>
        </row>
        <row r="3596">
          <cell r="A3596">
            <v>39605</v>
          </cell>
          <cell r="B3596" t="str">
            <v>PATCH CORD, CATEGORIA 5 E, EXTENSAO DE 2,50 M</v>
          </cell>
          <cell r="C3596" t="str">
            <v xml:space="preserve">UN    </v>
          </cell>
          <cell r="D3596">
            <v>12.25</v>
          </cell>
        </row>
        <row r="3597">
          <cell r="A3597">
            <v>39606</v>
          </cell>
          <cell r="B3597" t="str">
            <v>PATCH CORD, CATEGORIA 6, EXTENSAO DE 1,50 M</v>
          </cell>
          <cell r="C3597" t="str">
            <v xml:space="preserve">UN    </v>
          </cell>
          <cell r="D3597">
            <v>15.56</v>
          </cell>
        </row>
        <row r="3598">
          <cell r="A3598">
            <v>39607</v>
          </cell>
          <cell r="B3598" t="str">
            <v>PATCH CORD, CATEGORIA 6, EXTENSAO DE 2,50 M</v>
          </cell>
          <cell r="C3598" t="str">
            <v xml:space="preserve">UN    </v>
          </cell>
          <cell r="D3598">
            <v>17.850000000000001</v>
          </cell>
        </row>
        <row r="3599">
          <cell r="A3599">
            <v>39594</v>
          </cell>
          <cell r="B3599" t="str">
            <v>PATCH PANEL, 24 PORTAS, CATEGORIA 5E, COM RACKS DE 19" E 1 U DE ALTURA</v>
          </cell>
          <cell r="C3599" t="str">
            <v xml:space="preserve">UN    </v>
          </cell>
          <cell r="D3599">
            <v>169</v>
          </cell>
        </row>
        <row r="3600">
          <cell r="A3600">
            <v>39596</v>
          </cell>
          <cell r="B3600" t="str">
            <v>PATCH PANEL, 24 PORTAS, CATEGORIA 6, COM RACKS DE 19" E 1 U DE ALTURA</v>
          </cell>
          <cell r="C3600" t="str">
            <v xml:space="preserve">UN    </v>
          </cell>
          <cell r="D3600">
            <v>294.56</v>
          </cell>
        </row>
        <row r="3601">
          <cell r="A3601">
            <v>39595</v>
          </cell>
          <cell r="B3601" t="str">
            <v>PATCH PANEL, 48 PORTAS, CATEGORIA 5E, COM RACKS DE 19" E 2 U DE ALTURA</v>
          </cell>
          <cell r="C3601" t="str">
            <v xml:space="preserve">UN    </v>
          </cell>
          <cell r="D3601">
            <v>247.26</v>
          </cell>
        </row>
        <row r="3602">
          <cell r="A3602">
            <v>39597</v>
          </cell>
          <cell r="B3602" t="str">
            <v>PATCH PANEL, 48 PORTAS, CATEGORIA 6, COM RACKS DE 19" E 2 U DE ALTURA</v>
          </cell>
          <cell r="C3602" t="str">
            <v xml:space="preserve">UN    </v>
          </cell>
          <cell r="D3602">
            <v>397.22</v>
          </cell>
        </row>
        <row r="3603">
          <cell r="A3603">
            <v>20209</v>
          </cell>
          <cell r="B3603" t="str">
            <v>PECA DE MADEIRA APARELHADA *7,5 X 7,5* CM (3 X 3 ") MACARANDUBA, ANGELIM OU EQUIVALENTE DA REGIAO</v>
          </cell>
          <cell r="C3603" t="str">
            <v xml:space="preserve">M     </v>
          </cell>
          <cell r="D3603">
            <v>9.14</v>
          </cell>
        </row>
        <row r="3604">
          <cell r="A3604">
            <v>4433</v>
          </cell>
          <cell r="B3604" t="str">
            <v>PECA DE MADEIRA NAO APARELHADA *7,5 X 7,5* CM (3 X 3 ") MACARANDUBA, ANGELIM OU EQUIVALENTE DA REGIAO</v>
          </cell>
          <cell r="C3604" t="str">
            <v xml:space="preserve">M     </v>
          </cell>
          <cell r="D3604">
            <v>6.65</v>
          </cell>
        </row>
        <row r="3605">
          <cell r="A3605">
            <v>10731</v>
          </cell>
          <cell r="B3605" t="str">
            <v>PEDRA ARDOSIA, CINZA, *40 X 40* CM, E= *1 CM</v>
          </cell>
          <cell r="C3605" t="str">
            <v xml:space="preserve">M2    </v>
          </cell>
          <cell r="D3605">
            <v>24.8</v>
          </cell>
        </row>
        <row r="3606">
          <cell r="A3606">
            <v>4704</v>
          </cell>
          <cell r="B3606" t="str">
            <v>PEDRA ARDOSIA, CINZA, 20  X  40 CM,  E=  *1 CM</v>
          </cell>
          <cell r="C3606" t="str">
            <v xml:space="preserve">M2    </v>
          </cell>
          <cell r="D3606">
            <v>22.38</v>
          </cell>
        </row>
        <row r="3607">
          <cell r="A3607">
            <v>10730</v>
          </cell>
          <cell r="B3607" t="str">
            <v>PEDRA ARDOSIA, CINZA, 30  X  30,  E= *1 CM</v>
          </cell>
          <cell r="C3607" t="str">
            <v xml:space="preserve">M2    </v>
          </cell>
          <cell r="D3607">
            <v>23.98</v>
          </cell>
        </row>
        <row r="3608">
          <cell r="A3608">
            <v>4729</v>
          </cell>
          <cell r="B3608" t="str">
            <v>PEDRA BRITADA GRADUADA, CLASSIFICADA (POSTO PEDREIRA/FORNECEDOR, SEM FRETE)</v>
          </cell>
          <cell r="C3608" t="str">
            <v xml:space="preserve">M3    </v>
          </cell>
          <cell r="D3608">
            <v>78.510000000000005</v>
          </cell>
        </row>
        <row r="3609">
          <cell r="A3609">
            <v>4720</v>
          </cell>
          <cell r="B3609" t="str">
            <v>PEDRA BRITADA N. 0, OU PEDRISCO (4,8 A 9,5 MM) POSTO PEDREIRA/FORNECEDOR, SEM FRETE</v>
          </cell>
          <cell r="C3609" t="str">
            <v xml:space="preserve">M3    </v>
          </cell>
          <cell r="D3609">
            <v>85.84</v>
          </cell>
        </row>
        <row r="3610">
          <cell r="A3610">
            <v>4721</v>
          </cell>
          <cell r="B3610" t="str">
            <v>PEDRA BRITADA N. 1 (9,5 a 19 MM) POSTO PEDREIRA/FORNECEDOR, SEM FRETE</v>
          </cell>
          <cell r="C3610" t="str">
            <v xml:space="preserve">M3    </v>
          </cell>
          <cell r="D3610">
            <v>67.23</v>
          </cell>
        </row>
        <row r="3611">
          <cell r="A3611">
            <v>4718</v>
          </cell>
          <cell r="B3611" t="str">
            <v>PEDRA BRITADA N. 2 (19 A 38 MM) POSTO PEDREIRA/FORNECEDOR, SEM FRETE</v>
          </cell>
          <cell r="C3611" t="str">
            <v xml:space="preserve">M3    </v>
          </cell>
          <cell r="D3611">
            <v>67.23</v>
          </cell>
        </row>
        <row r="3612">
          <cell r="A3612">
            <v>4722</v>
          </cell>
          <cell r="B3612" t="str">
            <v>PEDRA BRITADA N. 3 (38 A 50 MM) POSTO PEDREIRA/FORNECEDOR, SEM FRETE</v>
          </cell>
          <cell r="C3612" t="str">
            <v xml:space="preserve">M3    </v>
          </cell>
          <cell r="D3612">
            <v>67.23</v>
          </cell>
        </row>
        <row r="3613">
          <cell r="A3613">
            <v>4723</v>
          </cell>
          <cell r="B3613" t="str">
            <v>PEDRA BRITADA N. 4 (50 A 76 MM) POSTO PEDREIRA/FORNECEDOR, SEM FRETE</v>
          </cell>
          <cell r="C3613" t="str">
            <v xml:space="preserve">M3    </v>
          </cell>
          <cell r="D3613">
            <v>73.34</v>
          </cell>
        </row>
        <row r="3614">
          <cell r="A3614">
            <v>4727</v>
          </cell>
          <cell r="B3614" t="str">
            <v>PEDRA BRITADA N. 5 (76 A 100 MM) POSTO PEDREIRA/FORNECEDOR, SEM FRETE</v>
          </cell>
          <cell r="C3614" t="str">
            <v xml:space="preserve">M3    </v>
          </cell>
          <cell r="D3614">
            <v>75.38</v>
          </cell>
        </row>
        <row r="3615">
          <cell r="A3615">
            <v>4748</v>
          </cell>
          <cell r="B3615" t="str">
            <v>PEDRA BRITADA OU BICA CORRIDA, NAO CLASSIFICADA (POSTO PEDREIRA/FORNECEDOR, SEM FRETE)</v>
          </cell>
          <cell r="C3615" t="str">
            <v xml:space="preserve">M3    </v>
          </cell>
          <cell r="D3615">
            <v>72.73</v>
          </cell>
        </row>
        <row r="3616">
          <cell r="A3616">
            <v>4730</v>
          </cell>
          <cell r="B3616" t="str">
            <v>PEDRA DE MAO OU PEDRA RACHAO PARA ARRIMO/FUNDACAO (POSTO PEDREIRA/FORNECEDOR, SEM FRETE)</v>
          </cell>
          <cell r="C3616" t="str">
            <v xml:space="preserve">M3    </v>
          </cell>
          <cell r="D3616">
            <v>70.290000000000006</v>
          </cell>
        </row>
        <row r="3617">
          <cell r="A3617">
            <v>13186</v>
          </cell>
          <cell r="B3617" t="str">
            <v>PEDRA GRANITICA OU BASALTICA IRREGULAR, FAIXA GRANULOMETRICA 100 A 150 MM PARA PAVIMENTACAO OU CALCAMENTO POLIEDRICO, POSTO PEDREIRA / FORNECEDOR (SEM FRETE)</v>
          </cell>
          <cell r="C3617" t="str">
            <v xml:space="preserve">M3    </v>
          </cell>
          <cell r="D3617">
            <v>74.94</v>
          </cell>
        </row>
        <row r="3618">
          <cell r="A3618">
            <v>10737</v>
          </cell>
          <cell r="B3618" t="str">
            <v>PEDRA GRANITICA OU BASALTO, CACO, RETALHO, CAVACO, TIPO MIRACEMA, MADEIRA, PADUANA, RACHINHA, SANTA ISABEL OU OUTRAS SIMILARES, E=  *1,0 A *2,0 CM</v>
          </cell>
          <cell r="C3618" t="str">
            <v xml:space="preserve">M2    </v>
          </cell>
          <cell r="D3618">
            <v>77.930000000000007</v>
          </cell>
        </row>
        <row r="3619">
          <cell r="A3619">
            <v>10734</v>
          </cell>
          <cell r="B3619" t="str">
            <v>PEDRA GRANITICA, SERRADA, TIPO MIRACEMA, MADEIRA, PADUANA, RACHINHA, SANTA ISABEL OU OUTRAS SIMILARES, *11,5 X  *23 CM, E=  *1,0 A *2,0 CM</v>
          </cell>
          <cell r="C3619" t="str">
            <v xml:space="preserve">M2    </v>
          </cell>
          <cell r="D3619">
            <v>46.36</v>
          </cell>
        </row>
        <row r="3620">
          <cell r="A3620">
            <v>4708</v>
          </cell>
          <cell r="B3620" t="str">
            <v>PEDRA PORTUGUESA  OU PETIT PAVE, BRANCA OU PRETA</v>
          </cell>
          <cell r="C3620" t="str">
            <v xml:space="preserve">M2    </v>
          </cell>
          <cell r="D3620">
            <v>89.92</v>
          </cell>
        </row>
        <row r="3621">
          <cell r="A3621">
            <v>4712</v>
          </cell>
          <cell r="B3621" t="str">
            <v>PEDRA QUARTZITO OU CALCARIO LAMINADO, CACO, TIPO CARIRI, ITACOLOMI, LAGOA SANTA, LUMINARIA, PIRENOPOLIS, SAO TOME OU OUTRAS SIMILARES DA REGIAO, E=  *1,5 A *2,5 CM</v>
          </cell>
          <cell r="C3621" t="str">
            <v xml:space="preserve">M2    </v>
          </cell>
          <cell r="D3621">
            <v>43.96</v>
          </cell>
        </row>
        <row r="3622">
          <cell r="A3622">
            <v>4710</v>
          </cell>
          <cell r="B3622" t="str">
            <v>PEDRA QUARTZITO OU CALCARIO LAMINADO, SERRADA, TIPO CARIRI, ITACOLOMI, LAGOA SANTA, LUMINARIA, PIRENOPOLIS, SAO TOME OU OUTRAS SIMILARES DA REGIAO, *20 X *40 CM, E=  *1,5 A *2,5 CM</v>
          </cell>
          <cell r="C3622" t="str">
            <v xml:space="preserve">M2    </v>
          </cell>
          <cell r="D3622">
            <v>140.97999999999999</v>
          </cell>
        </row>
        <row r="3623">
          <cell r="A3623">
            <v>4746</v>
          </cell>
          <cell r="B3623" t="str">
            <v>PEDREGULHO OU PICARRA DE JAZIDA, AO NATURAL, PARA BASE DE PAVIMENTACAO (RETIRADO NA JAZIDA, SEM TRANSPORTE)</v>
          </cell>
          <cell r="C3623" t="str">
            <v xml:space="preserve">M3    </v>
          </cell>
          <cell r="D3623">
            <v>65.19</v>
          </cell>
        </row>
        <row r="3624">
          <cell r="A3624">
            <v>4750</v>
          </cell>
          <cell r="B3624" t="str">
            <v>PEDREIRO</v>
          </cell>
          <cell r="C3624" t="str">
            <v xml:space="preserve">H     </v>
          </cell>
          <cell r="D3624">
            <v>14.99</v>
          </cell>
        </row>
        <row r="3625">
          <cell r="A3625">
            <v>41065</v>
          </cell>
          <cell r="B3625" t="str">
            <v>PEDREIRO (MENSALISTA)</v>
          </cell>
          <cell r="C3625" t="str">
            <v xml:space="preserve">MES   </v>
          </cell>
          <cell r="D3625">
            <v>2652.5</v>
          </cell>
        </row>
        <row r="3626">
          <cell r="A3626">
            <v>34747</v>
          </cell>
          <cell r="B3626" t="str">
            <v>PEITORIL EM MARMORE, POLIDO, BRANCO COMUM, L= *15* CM, E=  *2,0* CM, COM PINGADEIRA</v>
          </cell>
          <cell r="C3626" t="str">
            <v xml:space="preserve">M     </v>
          </cell>
          <cell r="D3626">
            <v>62.58</v>
          </cell>
        </row>
        <row r="3627">
          <cell r="A3627">
            <v>4826</v>
          </cell>
          <cell r="B3627" t="str">
            <v>PEITORIL EM MARMORE, POLIDO, BRANCO COMUM, L= *15* CM, E=  *3* CM, CORTE RETO</v>
          </cell>
          <cell r="C3627" t="str">
            <v xml:space="preserve">M     </v>
          </cell>
          <cell r="D3627">
            <v>67.290000000000006</v>
          </cell>
        </row>
        <row r="3628">
          <cell r="A3628">
            <v>41975</v>
          </cell>
          <cell r="B3628" t="str">
            <v>PEITORIL PRE-MOLDADO EM GRANILITE, MARMORITE OU GRANITINA, L = *15* CM</v>
          </cell>
          <cell r="C3628" t="str">
            <v xml:space="preserve">M2    </v>
          </cell>
          <cell r="D3628">
            <v>65.209999999999994</v>
          </cell>
        </row>
        <row r="3629">
          <cell r="A3629">
            <v>4825</v>
          </cell>
          <cell r="B3629" t="str">
            <v>PEITORIL/ SOLEIRA EM MARMORE, POLIDO, BRANCO COMUM, L= *25* CM, E=  *3* CM, CORTE RETO</v>
          </cell>
          <cell r="C3629" t="str">
            <v xml:space="preserve">M     </v>
          </cell>
          <cell r="D3629">
            <v>93.14</v>
          </cell>
        </row>
        <row r="3630">
          <cell r="A3630">
            <v>34744</v>
          </cell>
          <cell r="B3630" t="str">
            <v>PELICULA REFLETIVA, GT 7 ANOS PARA SINALIZACAO VERTICAL</v>
          </cell>
          <cell r="C3630" t="str">
            <v xml:space="preserve">M2    </v>
          </cell>
          <cell r="D3630">
            <v>27.9</v>
          </cell>
        </row>
        <row r="3631">
          <cell r="A3631">
            <v>39430</v>
          </cell>
          <cell r="B3631" t="str">
            <v>PENDURAL OU PRESILHA REGULADORA, EM ACO GALVANIZADO, COM CORPO, MOLA E REBITE, PARA PERFIL TIPO CANALETA DE ESTRUTURA EM FORROS DRYWALL</v>
          </cell>
          <cell r="C3631" t="str">
            <v xml:space="preserve">UN    </v>
          </cell>
          <cell r="D3631">
            <v>1.47</v>
          </cell>
        </row>
        <row r="3632">
          <cell r="A3632">
            <v>39573</v>
          </cell>
          <cell r="B3632" t="str">
            <v>PENDURAL OU REGULADOR, COM MOLA, EM ACO GALVANIZADO, PARA PERFIL TIPO T CLICADO DE FORROS REMOVIVEL</v>
          </cell>
          <cell r="C3632" t="str">
            <v xml:space="preserve">UN    </v>
          </cell>
          <cell r="D3632">
            <v>1.45</v>
          </cell>
        </row>
        <row r="3633">
          <cell r="A3633">
            <v>38410</v>
          </cell>
          <cell r="B3633" t="str">
            <v>PENEIRA ROTATIVA COM MOTOR ELETRICO TRIFASICO DE 2 CV, CILINDRO DE 1 M X 0,60 M, COM FUROS DE 3,17 MM</v>
          </cell>
          <cell r="C3633" t="str">
            <v xml:space="preserve">UN    </v>
          </cell>
          <cell r="D3633">
            <v>10960.19</v>
          </cell>
        </row>
        <row r="3634">
          <cell r="A3634">
            <v>4765</v>
          </cell>
          <cell r="B3634" t="str">
            <v>PERFIL "I" DE ACO LAMINADO, "I" 102 X 12,7</v>
          </cell>
          <cell r="C3634" t="str">
            <v xml:space="preserve">M     </v>
          </cell>
          <cell r="D3634">
            <v>85.99</v>
          </cell>
        </row>
        <row r="3635">
          <cell r="A3635">
            <v>4767</v>
          </cell>
          <cell r="B3635" t="str">
            <v>PERFIL "I" DE ACO LAMINADO, "I" 152 X 22</v>
          </cell>
          <cell r="C3635" t="str">
            <v xml:space="preserve">M     </v>
          </cell>
          <cell r="D3635">
            <v>148.16</v>
          </cell>
        </row>
        <row r="3636">
          <cell r="A3636">
            <v>4766</v>
          </cell>
          <cell r="B3636" t="str">
            <v>PERFIL "I" DE ACO LAMINADO, "I" 152 X 22</v>
          </cell>
          <cell r="C3636" t="str">
            <v xml:space="preserve">KG    </v>
          </cell>
          <cell r="D3636">
            <v>6.86</v>
          </cell>
        </row>
        <row r="3637">
          <cell r="A3637">
            <v>10963</v>
          </cell>
          <cell r="B3637" t="str">
            <v>PERFIL "I" DE ACO LAMINADO, "I" 203  X  34,3</v>
          </cell>
          <cell r="C3637" t="str">
            <v xml:space="preserve">M     </v>
          </cell>
          <cell r="D3637">
            <v>234.81</v>
          </cell>
        </row>
        <row r="3638">
          <cell r="A3638">
            <v>10962</v>
          </cell>
          <cell r="B3638" t="str">
            <v>PERFIL "I" DE ACO LAMINADO, "W" 150 X 22,5</v>
          </cell>
          <cell r="C3638" t="str">
            <v xml:space="preserve">KG    </v>
          </cell>
          <cell r="D3638">
            <v>7.29</v>
          </cell>
        </row>
        <row r="3639">
          <cell r="A3639">
            <v>34742</v>
          </cell>
          <cell r="B3639" t="str">
            <v>PERFIL "I" DE ACO LAMINADO, "W" 250 X 32,7</v>
          </cell>
          <cell r="C3639" t="str">
            <v xml:space="preserve">KG    </v>
          </cell>
          <cell r="D3639">
            <v>6.83</v>
          </cell>
        </row>
        <row r="3640">
          <cell r="A3640">
            <v>4773</v>
          </cell>
          <cell r="B3640" t="str">
            <v>PERFIL "I" DE ACO LAMINADO, "W" 250 X 44,8</v>
          </cell>
          <cell r="C3640" t="str">
            <v xml:space="preserve">M     </v>
          </cell>
          <cell r="D3640">
            <v>296.39999999999998</v>
          </cell>
        </row>
        <row r="3641">
          <cell r="A3641">
            <v>34740</v>
          </cell>
          <cell r="B3641" t="str">
            <v>PERFIL "I" DE ACO LAMINADO, "W" 310 X 52,0</v>
          </cell>
          <cell r="C3641" t="str">
            <v xml:space="preserve">KG    </v>
          </cell>
          <cell r="D3641">
            <v>6.83</v>
          </cell>
        </row>
        <row r="3642">
          <cell r="A3642">
            <v>4774</v>
          </cell>
          <cell r="B3642" t="str">
            <v>PERFIL "I" DE ACO LAMINADO, "W" 410 X 67</v>
          </cell>
          <cell r="C3642" t="str">
            <v xml:space="preserve">KG    </v>
          </cell>
          <cell r="D3642">
            <v>6.86</v>
          </cell>
        </row>
        <row r="3643">
          <cell r="A3643">
            <v>4776</v>
          </cell>
          <cell r="B3643" t="str">
            <v>PERFIL "I" DE ACO LAMINADO, "W" 410 X 67</v>
          </cell>
          <cell r="C3643" t="str">
            <v xml:space="preserve">M     </v>
          </cell>
          <cell r="D3643">
            <v>459.54</v>
          </cell>
        </row>
        <row r="3644">
          <cell r="A3644">
            <v>40313</v>
          </cell>
          <cell r="B3644" t="str">
            <v>PERFIL "I" DE ACO LAMINADO, W 250 X 38,50</v>
          </cell>
          <cell r="C3644" t="str">
            <v xml:space="preserve">KG    </v>
          </cell>
          <cell r="D3644">
            <v>6.83</v>
          </cell>
        </row>
        <row r="3645">
          <cell r="A3645">
            <v>13340</v>
          </cell>
          <cell r="B3645" t="str">
            <v>PERFIL "U" CHAPA ACO DOBRADA,  E = 3,04 MM , H = 20 CM, ABAS = 5 CM (4,47 KG/M)</v>
          </cell>
          <cell r="C3645" t="str">
            <v xml:space="preserve">M     </v>
          </cell>
          <cell r="D3645">
            <v>28.97</v>
          </cell>
        </row>
        <row r="3646">
          <cell r="A3646">
            <v>10965</v>
          </cell>
          <cell r="B3646" t="str">
            <v>PERFIL "U" DE ACO LAMINADO, "U" 102 X 9,3</v>
          </cell>
          <cell r="C3646" t="str">
            <v xml:space="preserve">M     </v>
          </cell>
          <cell r="D3646">
            <v>61.81</v>
          </cell>
        </row>
        <row r="3647">
          <cell r="A3647">
            <v>10966</v>
          </cell>
          <cell r="B3647" t="str">
            <v>PERFIL "U" DE ACO LAMINADO, "U" 152 X 15,6</v>
          </cell>
          <cell r="C3647" t="str">
            <v xml:space="preserve">KG    </v>
          </cell>
          <cell r="D3647">
            <v>6.9</v>
          </cell>
        </row>
        <row r="3648">
          <cell r="A3648">
            <v>40537</v>
          </cell>
          <cell r="B3648" t="str">
            <v>PERFIL "U" ENRIJECIDO DE  ACO GALVANIZADO, DOBRADO, 200 X 75 X 25 MM, E = 3,75 MM</v>
          </cell>
          <cell r="C3648" t="str">
            <v xml:space="preserve">KG    </v>
          </cell>
          <cell r="D3648">
            <v>7.54</v>
          </cell>
        </row>
        <row r="3649">
          <cell r="A3649">
            <v>40536</v>
          </cell>
          <cell r="B3649" t="str">
            <v>PERFIL "U" ENRIJECIDO DE ACO GALVANIZADO, DOBRADO, 150 X 60 X 20 MM, E = 3,00 MM</v>
          </cell>
          <cell r="C3649" t="str">
            <v xml:space="preserve">KG    </v>
          </cell>
          <cell r="D3649">
            <v>7.54</v>
          </cell>
        </row>
        <row r="3650">
          <cell r="A3650">
            <v>40535</v>
          </cell>
          <cell r="B3650" t="str">
            <v>PERFIL "U" SIMPLES DE ACO GALVANIZADO DOBRADO 75 X *40* MM, E = 2,65 MM</v>
          </cell>
          <cell r="C3650" t="str">
            <v xml:space="preserve">KG    </v>
          </cell>
          <cell r="D3650">
            <v>7.54</v>
          </cell>
        </row>
        <row r="3651">
          <cell r="A3651">
            <v>39427</v>
          </cell>
          <cell r="B3651" t="str">
            <v>PERFIL CANALETA, FORMATO C, EM ACO ZINCADO, PARA ESTRUTURA FORRO DRYWALL, E = 0,5 MM, *46 X 18* (L X H), COMPRIMENTO 3 M</v>
          </cell>
          <cell r="C3651" t="str">
            <v xml:space="preserve">M     </v>
          </cell>
          <cell r="D3651">
            <v>3.91</v>
          </cell>
        </row>
        <row r="3652">
          <cell r="A3652">
            <v>39424</v>
          </cell>
          <cell r="B3652" t="str">
            <v>PERFIL CANTONEIRA L, LISA, EM ACO, 25 X 30 MM, E = 0,5 MM, PARA ESTRUTURA DRYWALL</v>
          </cell>
          <cell r="C3652" t="str">
            <v xml:space="preserve">M     </v>
          </cell>
          <cell r="D3652">
            <v>2.33</v>
          </cell>
        </row>
        <row r="3653">
          <cell r="A3653">
            <v>39425</v>
          </cell>
          <cell r="B3653" t="str">
            <v>PERFIL CANTONEIRA L, PERFURADA, EM ACO, 23 X 23 MM, E = 0,5 MM, PARA ESTRUTURA DRYWALL</v>
          </cell>
          <cell r="C3653" t="str">
            <v xml:space="preserve">M     </v>
          </cell>
          <cell r="D3653">
            <v>2.2999999999999998</v>
          </cell>
        </row>
        <row r="3654">
          <cell r="A3654">
            <v>40664</v>
          </cell>
          <cell r="B3654" t="str">
            <v>PERFIL CARTOLA DE ACO GALVANIZADO, *20 X 30 X 10* MM, E =  0,8 MM</v>
          </cell>
          <cell r="C3654" t="str">
            <v xml:space="preserve">KG    </v>
          </cell>
          <cell r="D3654">
            <v>6.47</v>
          </cell>
        </row>
        <row r="3655">
          <cell r="A3655">
            <v>34360</v>
          </cell>
          <cell r="B3655" t="str">
            <v>PERFIL DE ALUMINIO ANODIZADO</v>
          </cell>
          <cell r="C3655" t="str">
            <v xml:space="preserve">KG    </v>
          </cell>
          <cell r="D3655">
            <v>27.99</v>
          </cell>
        </row>
        <row r="3656">
          <cell r="A3656">
            <v>20259</v>
          </cell>
          <cell r="B3656" t="str">
            <v>PERFIL DE BORRACHA EPDM MACICO *12 X 15* MM PARA ESQUADRIAS</v>
          </cell>
          <cell r="C3656" t="str">
            <v xml:space="preserve">M     </v>
          </cell>
          <cell r="D3656">
            <v>8.8000000000000007</v>
          </cell>
        </row>
        <row r="3657">
          <cell r="A3657">
            <v>14077</v>
          </cell>
          <cell r="B3657" t="str">
            <v>PERFIL ELASTOMERICO PRE-FORMADO EM EPMD, PARA JUNTA DE DILATACAO DE PISOS COM POUCA SOLICITACAO, 15 MM DE LARGURA, MOVIMENTACAO DE *11 A 19* MM</v>
          </cell>
          <cell r="C3657" t="str">
            <v xml:space="preserve">M     </v>
          </cell>
          <cell r="D3657">
            <v>134.69</v>
          </cell>
        </row>
        <row r="3658">
          <cell r="A3658">
            <v>3678</v>
          </cell>
          <cell r="B3658" t="str">
            <v>PERFIL ELASTOMERICO PRE-FORMADO EM EPMD, PARA JUNTA DE DILATACAO DE USO GERAL EM MEDIAS SOLICITACOES, 8 MM DE LARGURA, MOVIMENTACAO DE *5 A 11* MM</v>
          </cell>
          <cell r="C3658" t="str">
            <v xml:space="preserve">M     </v>
          </cell>
          <cell r="D3658">
            <v>60.88</v>
          </cell>
        </row>
        <row r="3659">
          <cell r="A3659">
            <v>39418</v>
          </cell>
          <cell r="B3659" t="str">
            <v>PERFIL GUIA, FORMATO U, EM ACO ZINCADO, PARA ESTRUTURA PAREDE DRYWALL, E = 0,5 MM, 48  X 3000 MM (L X C)</v>
          </cell>
          <cell r="C3659" t="str">
            <v xml:space="preserve">M     </v>
          </cell>
          <cell r="D3659">
            <v>4.37</v>
          </cell>
        </row>
        <row r="3660">
          <cell r="A3660">
            <v>39419</v>
          </cell>
          <cell r="B3660" t="str">
            <v>PERFIL GUIA, FORMATO U, EM ACO ZINCADO, PARA ESTRUTURA PAREDE DRYWALL, E = 0,5 MM, 70 X 3000 MM (L X C)</v>
          </cell>
          <cell r="C3660" t="str">
            <v xml:space="preserve">M     </v>
          </cell>
          <cell r="D3660">
            <v>5.32</v>
          </cell>
        </row>
        <row r="3661">
          <cell r="A3661">
            <v>39420</v>
          </cell>
          <cell r="B3661" t="str">
            <v>PERFIL GUIA, FORMATO U, EM ACO ZINCADO, PARA ESTRUTURA PAREDE DRYWALL, E = 0,5 MM, 90 X 3000 MM (L X C)</v>
          </cell>
          <cell r="C3661" t="str">
            <v xml:space="preserve">M     </v>
          </cell>
          <cell r="D3661">
            <v>5.87</v>
          </cell>
        </row>
        <row r="3662">
          <cell r="A3662">
            <v>39571</v>
          </cell>
          <cell r="B3662" t="str">
            <v>PERFIL LONGARINA (PRINCIPAL), T CLICADO, EM ACO, BRANCO, PARA FORRO REMOVIVEL, 24 X 3750 MM (L X C)</v>
          </cell>
          <cell r="C3662" t="str">
            <v xml:space="preserve">M     </v>
          </cell>
          <cell r="D3662">
            <v>3.55</v>
          </cell>
        </row>
        <row r="3663">
          <cell r="A3663">
            <v>39421</v>
          </cell>
          <cell r="B3663" t="str">
            <v>PERFIL MONTANTE, FORMATO C, EM ACO ZINCADO, PARA ESTRUTURA PAREDE DRYWALL, E = 0,5 MM, 48 X 3000 MM (L X C)</v>
          </cell>
          <cell r="C3663" t="str">
            <v xml:space="preserve">M     </v>
          </cell>
          <cell r="D3663">
            <v>5.17</v>
          </cell>
        </row>
        <row r="3664">
          <cell r="A3664">
            <v>39422</v>
          </cell>
          <cell r="B3664" t="str">
            <v>PERFIL MONTANTE, FORMATO C, EM ACO ZINCADO, PARA ESTRUTURA PAREDE DRYWALL, E = 0,5 MM, 70 X 3000 MM (L X C)</v>
          </cell>
          <cell r="C3664" t="str">
            <v xml:space="preserve">M     </v>
          </cell>
          <cell r="D3664">
            <v>6.04</v>
          </cell>
        </row>
        <row r="3665">
          <cell r="A3665">
            <v>39423</v>
          </cell>
          <cell r="B3665" t="str">
            <v>PERFIL MONTANTE, FORMATO C, EM ACO ZINCADO, PARA ESTRUTURA PAREDE DRYWALL, E = 0,5 MM, 90 X 3000 MM (L X C)</v>
          </cell>
          <cell r="C3665" t="str">
            <v xml:space="preserve">M     </v>
          </cell>
          <cell r="D3665">
            <v>7.01</v>
          </cell>
        </row>
        <row r="3666">
          <cell r="A3666">
            <v>39426</v>
          </cell>
          <cell r="B3666" t="str">
            <v>PERFIL RODAPE DE IMPERMEABILIZACAO, FORMATO L, EM ACO ZINCADO, PARA ESTRUTURA DRYWALL, E = 0,5 MM, 220 X 3000 MM (H X C)</v>
          </cell>
          <cell r="C3666" t="str">
            <v xml:space="preserve">M     </v>
          </cell>
          <cell r="D3666">
            <v>15.76</v>
          </cell>
        </row>
        <row r="3667">
          <cell r="A3667">
            <v>39429</v>
          </cell>
          <cell r="B3667" t="str">
            <v>PERFIL TABICA ABERTA, PERFURADA, FORMATO Z, EM ACO GALVANIZADO NATURAL, LARGURA APROXIMADA 40 MM, PARA ESTRUTURA FORRO DRYWALL</v>
          </cell>
          <cell r="C3667" t="str">
            <v xml:space="preserve">M     </v>
          </cell>
          <cell r="D3667">
            <v>4.97</v>
          </cell>
        </row>
        <row r="3668">
          <cell r="A3668">
            <v>39428</v>
          </cell>
          <cell r="B3668" t="str">
            <v>PERFIL TABICA FECHADA, LISA, FORMATO Z, EM ACO GALVANIZADO NATURAL, LARGURA TOTAL NA HORIZONTAL *40* MM, PARA ESTRUTURA FORRO DRYWALL</v>
          </cell>
          <cell r="C3668" t="str">
            <v xml:space="preserve">M     </v>
          </cell>
          <cell r="D3668">
            <v>3.8</v>
          </cell>
        </row>
        <row r="3669">
          <cell r="A3669">
            <v>39572</v>
          </cell>
          <cell r="B3669" t="str">
            <v>PERFIL TIPO CANTONEIRA EM L, EM ACO GALVANIZADO, BRANCO, PARA FORRO REMOVIVEL, *23* X 3000 MM (L X C)</v>
          </cell>
          <cell r="C3669" t="str">
            <v xml:space="preserve">M     </v>
          </cell>
          <cell r="D3669">
            <v>3.29</v>
          </cell>
        </row>
        <row r="3670">
          <cell r="A3670">
            <v>39570</v>
          </cell>
          <cell r="B3670" t="str">
            <v>PERFIL TRAVESSA (SECUNDARIO), T CLICADO, EM ACO GALVANIZADO , BRANCO, PARA FORRO REMOVIVEL, 24 X 1250 MM (L X C)</v>
          </cell>
          <cell r="C3670" t="str">
            <v xml:space="preserve">M     </v>
          </cell>
          <cell r="D3670">
            <v>3.49</v>
          </cell>
        </row>
        <row r="3671">
          <cell r="A3671">
            <v>39569</v>
          </cell>
          <cell r="B3671" t="str">
            <v>PERFIL TRAVESSA (SECUNDARIO), T CLICADO, EM ACO GALVANIZADO, BRANCO, PARA FORRO REMOVIVEL, 24 X 625 MM (L X C)</v>
          </cell>
          <cell r="C3671" t="str">
            <v xml:space="preserve">M     </v>
          </cell>
          <cell r="D3671">
            <v>3.44</v>
          </cell>
        </row>
        <row r="3672">
          <cell r="A3672">
            <v>11552</v>
          </cell>
          <cell r="B3672" t="str">
            <v>PERFIL U / CANALETA DE ALUMINIO, DE ABAS IGUAIS, 1/2" (1,27 X 1,27 CM), PARA PORTA OU JANELA DE CORRER</v>
          </cell>
          <cell r="C3672" t="str">
            <v xml:space="preserve">M     </v>
          </cell>
          <cell r="D3672">
            <v>8.75</v>
          </cell>
        </row>
        <row r="3673">
          <cell r="A3673">
            <v>40598</v>
          </cell>
          <cell r="B3673" t="str">
            <v>PERFIL UDC ("U" DOBRADO DE CHAPA) SIMPLES DE ACO LAMINADO, GALVANIZADO, ASTM A36, 127 X 50 MM, E= 3 MM</v>
          </cell>
          <cell r="C3673" t="str">
            <v xml:space="preserve">KG    </v>
          </cell>
          <cell r="D3673">
            <v>7.54</v>
          </cell>
        </row>
        <row r="3674">
          <cell r="A3674">
            <v>39029</v>
          </cell>
          <cell r="B3674" t="str">
            <v>PERFILADO PERFURADO DUPLO 38 X 76 MM, CHAPA 22</v>
          </cell>
          <cell r="C3674" t="str">
            <v xml:space="preserve">M     </v>
          </cell>
          <cell r="D3674">
            <v>11.13</v>
          </cell>
        </row>
        <row r="3675">
          <cell r="A3675">
            <v>39028</v>
          </cell>
          <cell r="B3675" t="str">
            <v>PERFILADO PERFURADO SIMPLES 38 X 38 MM, CHAPA 22</v>
          </cell>
          <cell r="C3675" t="str">
            <v xml:space="preserve">M     </v>
          </cell>
          <cell r="D3675">
            <v>6.48</v>
          </cell>
        </row>
        <row r="3676">
          <cell r="A3676">
            <v>39328</v>
          </cell>
          <cell r="B3676" t="str">
            <v>PERFILADO PERFURADO 19 X 38 MM, CHAPA 22</v>
          </cell>
          <cell r="C3676" t="str">
            <v xml:space="preserve">M     </v>
          </cell>
          <cell r="D3676">
            <v>3.56</v>
          </cell>
        </row>
        <row r="3677">
          <cell r="A3677">
            <v>38541</v>
          </cell>
          <cell r="B3677" t="str">
            <v>PERFURATRIZ COM TORRE METALICA PARA EXECUCAO DE ESTACA HELICE CONTINUA, PROFUNDIDADE MAXIMA DE 30 M, DIAMETRO MAXIMO DE 800 MM, POTENCIA INSTALADA DE 268 HP, MESA ROTATIVA COM TORQUE MAXIMO DE 170 KNM</v>
          </cell>
          <cell r="C3677" t="str">
            <v xml:space="preserve">UN    </v>
          </cell>
          <cell r="D3677">
            <v>1996632.17</v>
          </cell>
        </row>
        <row r="3678">
          <cell r="A3678">
            <v>38542</v>
          </cell>
          <cell r="B3678" t="str">
            <v>PERFURATRIZ COM TORRE METALICA PARA EXECUCAO DE ESTACA HELICE CONTINUA, PROFUNDIDADE MAXIMA DE 32 M, DIAMETRO MAXIMO DE 1000 MM, POTENCIA INSTALADA DE 350 HP, MESA ROTATIVA COM TORQUE MAXIMO DE 263 KNM</v>
          </cell>
          <cell r="C3678" t="str">
            <v xml:space="preserve">UN    </v>
          </cell>
          <cell r="D3678">
            <v>3104682.74</v>
          </cell>
        </row>
        <row r="3679">
          <cell r="A3679">
            <v>38543</v>
          </cell>
          <cell r="B3679" t="str">
            <v>PERFURATRIZ HIDRAULICA COM TRADO CURTO ACOPLADO, PROFUNDIDADE MAXIMA DE 20 M, DIAMETRO MAXIMO DE 1500 MM, POTENCIA INSTALADA DE 137 HP, MESA ROTATIVA COM TORQUE MAXIMO DE 30 KNM (INCLUI MONTAGEM, NAO INCLUI CAMINHAO)</v>
          </cell>
          <cell r="C3679" t="str">
            <v xml:space="preserve">UN    </v>
          </cell>
          <cell r="D3679">
            <v>760112</v>
          </cell>
        </row>
        <row r="3680">
          <cell r="A3680">
            <v>40406</v>
          </cell>
          <cell r="B3680" t="str">
            <v>PERFURATRIZ MANUAL, TORQUE MAXIMO 55 KGF.M, POTENCIA 5 CV, COM DIAMETRO MAXIMO 8 1/2" (INCLUI SUPORTE/CHASSI TIPO MESA)</v>
          </cell>
          <cell r="C3680" t="str">
            <v xml:space="preserve">UN    </v>
          </cell>
          <cell r="D3680">
            <v>50785.41</v>
          </cell>
        </row>
        <row r="3681">
          <cell r="A3681">
            <v>40789</v>
          </cell>
          <cell r="B3681" t="str">
            <v>PERFURATRIZ MANUAL, TORQUE MAXIMO 83 N.M, POTENCIA 5 CV, COM DIAMETRO MAXIMO 4" (NAO INCLUI SUPORTE / CHASSI)</v>
          </cell>
          <cell r="C3681" t="str">
            <v xml:space="preserve">UN    </v>
          </cell>
          <cell r="D3681">
            <v>7318.7</v>
          </cell>
        </row>
        <row r="3682">
          <cell r="A3682">
            <v>40791</v>
          </cell>
          <cell r="B3682" t="str">
            <v>PERFURATRIZ MANUAL, TORQUE MAXIMO 83 N.M, POTENCIA 5 CV, COM DIAMETRO MAXIMO 4", PARA SOLO GRAMPEADO (INCLUI SUPORTE OU CHASSI TIPO MESA)</v>
          </cell>
          <cell r="C3682" t="str">
            <v xml:space="preserve">UN    </v>
          </cell>
          <cell r="D3682">
            <v>22910.71</v>
          </cell>
        </row>
        <row r="3683">
          <cell r="A3683">
            <v>11651</v>
          </cell>
          <cell r="B3683" t="str">
            <v>PERFURATRIZ PNEUMATICA MANUAL DE PESO MEDIO, 18KG, COMPRIMENTO DE CURSO DE 6 M, DIAMETRO DO PISTAO DE 5,5 CM</v>
          </cell>
          <cell r="C3683" t="str">
            <v xml:space="preserve">UN    </v>
          </cell>
          <cell r="D3683">
            <v>12530.19</v>
          </cell>
        </row>
        <row r="3684">
          <cell r="A3684">
            <v>42002</v>
          </cell>
          <cell r="B3684" t="str">
            <v>PERFURATRIZ ROTATIVA SOBRE ESTEIRA, TORQUE MAXIMO 2500 KGM, POTENCIA 110 HP, MOTOR DIESEL  (COLETADO CAIXA)</v>
          </cell>
          <cell r="C3684" t="str">
            <v xml:space="preserve">UN    </v>
          </cell>
          <cell r="D3684">
            <v>651017.18999999994</v>
          </cell>
        </row>
        <row r="3685">
          <cell r="A3685">
            <v>40435</v>
          </cell>
          <cell r="B3685" t="str">
            <v>PERFURATRIZ SOBRE ESTEIRA, TORQUE MAXIMO DE 600 KGF, POTENCIA ENTRE 50 E 60 HP, DIAMETRO MAXIMO DE 10"</v>
          </cell>
          <cell r="C3685" t="str">
            <v xml:space="preserve">UN    </v>
          </cell>
          <cell r="D3685">
            <v>416991.01</v>
          </cell>
        </row>
        <row r="3686">
          <cell r="A3686">
            <v>39012</v>
          </cell>
          <cell r="B3686" t="str">
            <v>PERFURATRIZ SOBRE ESTEIRA, TORQUE MAXIMO 600 KGF, PESO MEDIO 1000 KG, POTENCIA 20 HP, DIAMETRO MAXIMO 10"</v>
          </cell>
          <cell r="C3686" t="str">
            <v xml:space="preserve">UN    </v>
          </cell>
          <cell r="D3686">
            <v>435072.47</v>
          </cell>
        </row>
        <row r="3687">
          <cell r="A3687">
            <v>13617</v>
          </cell>
          <cell r="B3687" t="str">
            <v>PICAPE CABINE SIMPLES COM MOTOR 1.6 FLEX, CAMBIO MANUAL, POTENCIA 101/104 CV, 2 PORTAS</v>
          </cell>
          <cell r="C3687" t="str">
            <v xml:space="preserve">UN    </v>
          </cell>
          <cell r="D3687">
            <v>46194.01</v>
          </cell>
        </row>
        <row r="3688">
          <cell r="A3688">
            <v>5327</v>
          </cell>
          <cell r="B3688" t="str">
            <v>PIGMENTO EM PO PARA ARGAMASSAS, CIMENTOS E OUTROS</v>
          </cell>
          <cell r="C3688" t="str">
            <v xml:space="preserve">KG    </v>
          </cell>
          <cell r="D3688">
            <v>28.2</v>
          </cell>
        </row>
        <row r="3689">
          <cell r="A3689">
            <v>35274</v>
          </cell>
          <cell r="B3689" t="str">
            <v>PILAR DE MADEIRA NAO APARELHADA *10 X 10* CM, MACARANDUBA, ANGELIM OU EQUIVALENTE DA REGIAO</v>
          </cell>
          <cell r="C3689" t="str">
            <v xml:space="preserve">M     </v>
          </cell>
          <cell r="D3689">
            <v>20.46</v>
          </cell>
        </row>
        <row r="3690">
          <cell r="A3690">
            <v>35275</v>
          </cell>
          <cell r="B3690" t="str">
            <v>PILAR DE MADEIRA NAO APARELHADA *15 X 15* CM, MACARANDUBA, ANGELIM OU EQUIVALENTE DA REGIAO</v>
          </cell>
          <cell r="C3690" t="str">
            <v xml:space="preserve">M     </v>
          </cell>
          <cell r="D3690">
            <v>43.71</v>
          </cell>
        </row>
        <row r="3691">
          <cell r="A3691">
            <v>35276</v>
          </cell>
          <cell r="B3691" t="str">
            <v>PILAR DE MADEIRA NAO APARELHADA *20 X 20* CM, MACARANDUBA, ANGELIM OU EQUIVALENTE DA REGIAO</v>
          </cell>
          <cell r="C3691" t="str">
            <v xml:space="preserve">M     </v>
          </cell>
          <cell r="D3691">
            <v>71.47</v>
          </cell>
        </row>
        <row r="3692">
          <cell r="A3692">
            <v>38386</v>
          </cell>
          <cell r="B3692" t="str">
            <v>PINCEL CHATO (TRINCHA) CERDAS GRIS 1.1/2 " (38 MM)</v>
          </cell>
          <cell r="C3692" t="str">
            <v xml:space="preserve">UN    </v>
          </cell>
          <cell r="D3692">
            <v>4.0999999999999996</v>
          </cell>
        </row>
        <row r="3693">
          <cell r="A3693">
            <v>11091</v>
          </cell>
          <cell r="B3693" t="str">
            <v>PINGADEIRA PLASTICA PARA TELHA DE FIBROCIMENTO CANALETE 49/KALHETA OU CANALETE 90/KALHETAO</v>
          </cell>
          <cell r="C3693" t="str">
            <v xml:space="preserve">UN    </v>
          </cell>
          <cell r="D3693">
            <v>1</v>
          </cell>
        </row>
        <row r="3694">
          <cell r="A3694">
            <v>37586</v>
          </cell>
          <cell r="B3694" t="str">
            <v>PINO DE ACO COM ARRUELA CONICA, DIAMETRO ARRUELA = *23* MM E COMP HASTE = *27* MM (ACAO INDIRETA)</v>
          </cell>
          <cell r="C3694" t="str">
            <v xml:space="preserve">CENTO </v>
          </cell>
          <cell r="D3694">
            <v>30.9</v>
          </cell>
        </row>
        <row r="3695">
          <cell r="A3695">
            <v>37395</v>
          </cell>
          <cell r="B3695" t="str">
            <v>PINO DE ACO COM FURO, HASTE = 27 MM (ACAO DIRETA)</v>
          </cell>
          <cell r="C3695" t="str">
            <v xml:space="preserve">CENTO </v>
          </cell>
          <cell r="D3695">
            <v>26.57</v>
          </cell>
        </row>
        <row r="3696">
          <cell r="A3696">
            <v>14147</v>
          </cell>
          <cell r="B3696" t="str">
            <v>PINO DE ACO COM ROSCA 1/4 ", COMPRIMENTO DA HASTE = 30 MM E ROSCA = 20 MM (ACAO DIRETA)</v>
          </cell>
          <cell r="C3696" t="str">
            <v xml:space="preserve">CENTO </v>
          </cell>
          <cell r="D3696">
            <v>35.25</v>
          </cell>
        </row>
        <row r="3697">
          <cell r="A3697">
            <v>37396</v>
          </cell>
          <cell r="B3697" t="str">
            <v>PINO DE ACO LISO 1/4 ", HASTE = *36,5* MM (ACAO DIRETA)</v>
          </cell>
          <cell r="C3697" t="str">
            <v xml:space="preserve">CENTO </v>
          </cell>
          <cell r="D3697">
            <v>21.74</v>
          </cell>
        </row>
        <row r="3698">
          <cell r="A3698">
            <v>37397</v>
          </cell>
          <cell r="B3698" t="str">
            <v>PINO DE ACO LISO 1/4 ", HASTE = *53* MM (ACAO DIRETA)</v>
          </cell>
          <cell r="C3698" t="str">
            <v xml:space="preserve">CENTO </v>
          </cell>
          <cell r="D3698">
            <v>22.78</v>
          </cell>
        </row>
        <row r="3699">
          <cell r="A3699">
            <v>11559</v>
          </cell>
          <cell r="B3699" t="str">
            <v>PINO GUIA, RETO, COM CHAPA DE LATAO CROMADO, 3/4", PARA PORTA / JANELA DE CORRER</v>
          </cell>
          <cell r="C3699" t="str">
            <v xml:space="preserve">UN    </v>
          </cell>
          <cell r="D3699">
            <v>4.0199999999999996</v>
          </cell>
        </row>
        <row r="3700">
          <cell r="A3700">
            <v>444</v>
          </cell>
          <cell r="B3700" t="str">
            <v>PINO ROSCA EXTERNA, EM ACO GALVANIZADO, PARA ISOLADOR DE 15KV, DIAMETRO 25 MM, COMPRIMENTO *290* MM</v>
          </cell>
          <cell r="C3700" t="str">
            <v xml:space="preserve">UN    </v>
          </cell>
          <cell r="D3700">
            <v>17.440000000000001</v>
          </cell>
        </row>
        <row r="3701">
          <cell r="A3701">
            <v>445</v>
          </cell>
          <cell r="B3701" t="str">
            <v>PINO ROSCA EXTERNA, EM ACO GALVANIZADO, PARA ISOLADOR DE 25KV, DIAMETRO 35MM, COMPRIMENTO *320* MM</v>
          </cell>
          <cell r="C3701" t="str">
            <v xml:space="preserve">UN    </v>
          </cell>
          <cell r="D3701">
            <v>23.87</v>
          </cell>
        </row>
        <row r="3702">
          <cell r="A3702">
            <v>4783</v>
          </cell>
          <cell r="B3702" t="str">
            <v>PINTOR</v>
          </cell>
          <cell r="C3702" t="str">
            <v xml:space="preserve">H     </v>
          </cell>
          <cell r="D3702">
            <v>14.99</v>
          </cell>
        </row>
        <row r="3703">
          <cell r="A3703">
            <v>41079</v>
          </cell>
          <cell r="B3703" t="str">
            <v>PINTOR (MENSALISTA)</v>
          </cell>
          <cell r="C3703" t="str">
            <v xml:space="preserve">MES   </v>
          </cell>
          <cell r="D3703">
            <v>2652.5</v>
          </cell>
        </row>
        <row r="3704">
          <cell r="A3704">
            <v>12874</v>
          </cell>
          <cell r="B3704" t="str">
            <v>PINTOR DE LETREIROS</v>
          </cell>
          <cell r="C3704" t="str">
            <v xml:space="preserve">H     </v>
          </cell>
          <cell r="D3704">
            <v>17.27</v>
          </cell>
        </row>
        <row r="3705">
          <cell r="A3705">
            <v>41082</v>
          </cell>
          <cell r="B3705" t="str">
            <v>PINTOR DE LETREIROS (MENSALISTA)</v>
          </cell>
          <cell r="C3705" t="str">
            <v xml:space="preserve">MES   </v>
          </cell>
          <cell r="D3705">
            <v>3057.74</v>
          </cell>
        </row>
        <row r="3706">
          <cell r="A3706">
            <v>4785</v>
          </cell>
          <cell r="B3706" t="str">
            <v>PINTOR PARA TINTA EPOXI</v>
          </cell>
          <cell r="C3706" t="str">
            <v xml:space="preserve">H     </v>
          </cell>
          <cell r="D3706">
            <v>16.11</v>
          </cell>
        </row>
        <row r="3707">
          <cell r="A3707">
            <v>41081</v>
          </cell>
          <cell r="B3707" t="str">
            <v>PINTOR PARA TINTA EPOXI (MENSALISTA)</v>
          </cell>
          <cell r="C3707" t="str">
            <v xml:space="preserve">MES   </v>
          </cell>
          <cell r="D3707">
            <v>2853.05</v>
          </cell>
        </row>
        <row r="3708">
          <cell r="A3708">
            <v>4801</v>
          </cell>
          <cell r="B3708" t="str">
            <v>PISO DE BORRACHA CANELADO EM PLACAS 50 X 50 CM, E = *3,5* MM, PARA COLA</v>
          </cell>
          <cell r="C3708" t="str">
            <v xml:space="preserve">M2    </v>
          </cell>
          <cell r="D3708">
            <v>50.56</v>
          </cell>
        </row>
        <row r="3709">
          <cell r="A3709">
            <v>4794</v>
          </cell>
          <cell r="B3709" t="str">
            <v>PISO DE BORRACHA ESPORTIVO EM PLACAS 50 X 50 CM, E = 15 MM, PARA ARGAMASSA, PRETO</v>
          </cell>
          <cell r="C3709" t="str">
            <v xml:space="preserve">M2    </v>
          </cell>
          <cell r="D3709">
            <v>230.29</v>
          </cell>
        </row>
        <row r="3710">
          <cell r="A3710">
            <v>4796</v>
          </cell>
          <cell r="B3710" t="str">
            <v>PISO DE BORRACHA FRISADO OU PASTILHADO, PRETO, EM PLACAS 50 X 50 CM, E = 7 MM, PARA ARGAMASSA</v>
          </cell>
          <cell r="C3710" t="str">
            <v xml:space="preserve">M2    </v>
          </cell>
          <cell r="D3710">
            <v>139.88</v>
          </cell>
        </row>
        <row r="3711">
          <cell r="A3711">
            <v>4800</v>
          </cell>
          <cell r="B3711" t="str">
            <v>PISO DE BORRACHA PASTILHADO EM PLACAS 50 X 50 CM, E = *3,5* MM, PARA COLA, PRETO</v>
          </cell>
          <cell r="C3711" t="str">
            <v xml:space="preserve">M2    </v>
          </cell>
          <cell r="D3711">
            <v>38.46</v>
          </cell>
        </row>
        <row r="3712">
          <cell r="A3712">
            <v>4795</v>
          </cell>
          <cell r="B3712" t="str">
            <v>PISO DE BORRACHA PASTILHADO EM PLACAS 50 X 50 CM, E = 15 MM, PARA ARGAMASSA, PRETO</v>
          </cell>
          <cell r="C3712" t="str">
            <v xml:space="preserve">M2    </v>
          </cell>
          <cell r="D3712">
            <v>224.18</v>
          </cell>
        </row>
        <row r="3713">
          <cell r="A3713">
            <v>39694</v>
          </cell>
          <cell r="B3713" t="str">
            <v>PISO ELEVADO COM 2 PLACAS DE ACO COM ENCHIMENTO DE CONCRETO CELULAR, INCLUSO BASE/HASTE/CRUZETAS, 60 X 60 CM, H = *28* CM, RESISTENCIA CARGA CONCENTRADA 496 KG (COM COLOCACAO)</v>
          </cell>
          <cell r="C3713" t="str">
            <v xml:space="preserve">M2    </v>
          </cell>
          <cell r="D3713">
            <v>217.53</v>
          </cell>
        </row>
        <row r="3714">
          <cell r="A3714">
            <v>1292</v>
          </cell>
          <cell r="B3714" t="str">
            <v>PISO EM CERAMICA ESMALTADA EXTRA, PEI MAIOR OU IGUAL A 4, FORMATO MAIOR QUE 2025 CM2</v>
          </cell>
          <cell r="C3714" t="str">
            <v xml:space="preserve">M2    </v>
          </cell>
          <cell r="D3714">
            <v>32.409999999999997</v>
          </cell>
        </row>
        <row r="3715">
          <cell r="A3715">
            <v>1287</v>
          </cell>
          <cell r="B3715" t="str">
            <v>PISO EM CERAMICA ESMALTADA EXTRA, PEI MAIOR OU IGUAL A 4, FORMATO MENOR OU IGUAL A 2025 CM2</v>
          </cell>
          <cell r="C3715" t="str">
            <v xml:space="preserve">M2    </v>
          </cell>
          <cell r="D3715">
            <v>15.9</v>
          </cell>
        </row>
        <row r="3716">
          <cell r="A3716">
            <v>1297</v>
          </cell>
          <cell r="B3716" t="str">
            <v>PISO EM CERAMICA ESMALTADA, COMERCIAL (PADRAO POPULAR), PEI MAIOR OU IGUAL A 3, FORMATO MENOR OU IGUAL A  2025 CM2</v>
          </cell>
          <cell r="C3716" t="str">
            <v xml:space="preserve">M2    </v>
          </cell>
          <cell r="D3716">
            <v>13.19</v>
          </cell>
        </row>
        <row r="3717">
          <cell r="A3717">
            <v>4786</v>
          </cell>
          <cell r="B3717" t="str">
            <v>PISO EM GRANILITE, MARMORITE OU GRANITINA, AGREGADO COR PRETO, CINZA, PALHA OU BRANCO, E=  *8* MM (INCLUSO EXECUCAO)</v>
          </cell>
          <cell r="C3717" t="str">
            <v xml:space="preserve">M2    </v>
          </cell>
          <cell r="D3717">
            <v>75</v>
          </cell>
        </row>
        <row r="3718">
          <cell r="A3718">
            <v>10840</v>
          </cell>
          <cell r="B3718" t="str">
            <v>PISO EM GRANITO, POLIDO, TIPO AMENDOA/ AMARELO CAPRI/ AMARELO DOURADO CARIOCA OU OUTROS EQUIVALENTES DA REGIAO, FORMATO MENOR OU IGUAL A 3025 CM2, E=  *2* CM</v>
          </cell>
          <cell r="C3718" t="str">
            <v xml:space="preserve">M2    </v>
          </cell>
          <cell r="D3718">
            <v>289</v>
          </cell>
        </row>
        <row r="3719">
          <cell r="A3719">
            <v>10841</v>
          </cell>
          <cell r="B3719" t="str">
            <v>PISO EM GRANITO, POLIDO, TIPO ANDORINHA/ QUARTZ/ CASTELO/ CORUMBA OU OUTROS EQUIVALENTES DA REGIAO, FORMATO MENOR OU IGUAL A 3025 CM2, E=  *2* CM</v>
          </cell>
          <cell r="C3719" t="str">
            <v xml:space="preserve">M2    </v>
          </cell>
          <cell r="D3719">
            <v>218.11</v>
          </cell>
        </row>
        <row r="3720">
          <cell r="A3720">
            <v>25980</v>
          </cell>
          <cell r="B3720" t="str">
            <v>PISO EM GRANITO, POLIDO, TIPO MARFIM, DALLAS, CARAVELAS OU OUTROS EQUIVALENTES DA REGIAO, FORMATO MENOR OU IGUAL A 3025 CM2, E=  *2* CM</v>
          </cell>
          <cell r="C3720" t="str">
            <v xml:space="preserve">M2    </v>
          </cell>
          <cell r="D3720">
            <v>278.7</v>
          </cell>
        </row>
        <row r="3721">
          <cell r="A3721">
            <v>10842</v>
          </cell>
          <cell r="B3721" t="str">
            <v>PISO EM GRANITO, POLIDO, TIPO PRETO SAO GABRIEL/ TIJUCA OU OUTROS EQUIVALENTES DA REGIAO, FORMATO MENOR OU IGUAL A 3025 CM2, E=  *2* CM</v>
          </cell>
          <cell r="C3721" t="str">
            <v xml:space="preserve">M2    </v>
          </cell>
          <cell r="D3721">
            <v>315.05</v>
          </cell>
        </row>
        <row r="3722">
          <cell r="A3722">
            <v>21108</v>
          </cell>
          <cell r="B3722" t="str">
            <v>PISO EM PORCELANATO RETIFICADO EXTRA, FORMATO MENOR OU IGUAL A 2025 CM2</v>
          </cell>
          <cell r="C3722" t="str">
            <v xml:space="preserve">M2    </v>
          </cell>
          <cell r="D3722">
            <v>43.2</v>
          </cell>
        </row>
        <row r="3723">
          <cell r="A3723">
            <v>38180</v>
          </cell>
          <cell r="B3723" t="str">
            <v>PISO EM REGUA VINILICA SEMIFLEXIVEL, ENCAIXE CLICADO, E = 4 MM (SEM COLOCACAO)</v>
          </cell>
          <cell r="C3723" t="str">
            <v xml:space="preserve">M2    </v>
          </cell>
          <cell r="D3723">
            <v>112.62</v>
          </cell>
        </row>
        <row r="3724">
          <cell r="A3724">
            <v>40648</v>
          </cell>
          <cell r="B3724" t="str">
            <v>PISO EPOXI AUTONIVELANTE, ESPESSURA *4* MM (INCLUSO EXECUCAO)</v>
          </cell>
          <cell r="C3724" t="str">
            <v xml:space="preserve">M2    </v>
          </cell>
          <cell r="D3724">
            <v>144</v>
          </cell>
        </row>
        <row r="3725">
          <cell r="A3725">
            <v>40649</v>
          </cell>
          <cell r="B3725" t="str">
            <v>PISO EPOXI MULTILAYER, ESPESSURA *2* MM (INCLUSO EXECUCAO)</v>
          </cell>
          <cell r="C3725" t="str">
            <v xml:space="preserve">M2    </v>
          </cell>
          <cell r="D3725">
            <v>83.88</v>
          </cell>
        </row>
        <row r="3726">
          <cell r="A3726">
            <v>40650</v>
          </cell>
          <cell r="B3726" t="str">
            <v>PISO FULGET (GRANITO LAVADO) EM PLACAS DE *40 X 40* CM (SEM COLOCACAO)</v>
          </cell>
          <cell r="C3726" t="str">
            <v xml:space="preserve">M2    </v>
          </cell>
          <cell r="D3726">
            <v>108</v>
          </cell>
        </row>
        <row r="3727">
          <cell r="A3727">
            <v>40651</v>
          </cell>
          <cell r="B3727" t="str">
            <v>PISO FULGET (GRANITO LAVADO) EM PLACAS DE *75 X 75* CM (SEM COLOCACAO)</v>
          </cell>
          <cell r="C3727" t="str">
            <v xml:space="preserve">M2    </v>
          </cell>
          <cell r="D3727">
            <v>199.2</v>
          </cell>
        </row>
        <row r="3728">
          <cell r="A3728">
            <v>40652</v>
          </cell>
          <cell r="B3728" t="str">
            <v>PISO FULGET (GRANITO LAVADO) MOLDADO IN LOCO (INCLUSO EXECUCAO)</v>
          </cell>
          <cell r="C3728" t="str">
            <v xml:space="preserve">M2    </v>
          </cell>
          <cell r="D3728">
            <v>106.8</v>
          </cell>
        </row>
        <row r="3729">
          <cell r="A3729">
            <v>40647</v>
          </cell>
          <cell r="B3729" t="str">
            <v>PISO INDUSTRIAL EM CONCRETO ARMADO DE ACABAMENTO POLIDO, ESPESSURA 12 CM (CIMENTO QUEIMADO) (INCLUSO EXECUCAO)</v>
          </cell>
          <cell r="C3729" t="str">
            <v xml:space="preserve">M2    </v>
          </cell>
          <cell r="D3729">
            <v>117.6</v>
          </cell>
        </row>
        <row r="3730">
          <cell r="A3730">
            <v>40653</v>
          </cell>
          <cell r="B3730" t="str">
            <v>PISO KORODUR (INCLUSO EXECUCAO)</v>
          </cell>
          <cell r="C3730" t="str">
            <v xml:space="preserve">M2    </v>
          </cell>
          <cell r="D3730">
            <v>90</v>
          </cell>
        </row>
        <row r="3731">
          <cell r="A3731">
            <v>36178</v>
          </cell>
          <cell r="B3731" t="str">
            <v>PISO PODOTATIL DE CONCRETO - DIRECIONAL E ALERTA, *40 X 40 X 2,5* CM</v>
          </cell>
          <cell r="C3731" t="str">
            <v xml:space="preserve">UN    </v>
          </cell>
          <cell r="D3731">
            <v>8.58</v>
          </cell>
        </row>
        <row r="3732">
          <cell r="A3732">
            <v>38195</v>
          </cell>
          <cell r="B3732" t="str">
            <v>PISO PORCELANATO, BORDA RETA, EXTRA, FORMATO MAIOR QUE 2025 CM2</v>
          </cell>
          <cell r="C3732" t="str">
            <v xml:space="preserve">M2    </v>
          </cell>
          <cell r="D3732">
            <v>51.02</v>
          </cell>
        </row>
        <row r="3733">
          <cell r="A3733">
            <v>38181</v>
          </cell>
          <cell r="B3733" t="str">
            <v>PISO TATIL ALERTA OU DIRECIONAL, DE BORRACHA, COLORIDO, 25 X 25 CM, E = 5 MM, PARA COLA</v>
          </cell>
          <cell r="C3733" t="str">
            <v xml:space="preserve">M2    </v>
          </cell>
          <cell r="D3733">
            <v>153.74</v>
          </cell>
        </row>
        <row r="3734">
          <cell r="A3734">
            <v>38182</v>
          </cell>
          <cell r="B3734" t="str">
            <v>PISO TATIL DE ALERTA OU DIRECIONAL DE BORRACHA, PRETO, 25 X 25 CM, E = 5 MM, PARA COLA</v>
          </cell>
          <cell r="C3734" t="str">
            <v xml:space="preserve">M2    </v>
          </cell>
          <cell r="D3734">
            <v>146.44</v>
          </cell>
        </row>
        <row r="3735">
          <cell r="A3735">
            <v>38186</v>
          </cell>
          <cell r="B3735" t="str">
            <v>PISO TATIL DE ALERTA OU DIRECIONAL, DE BORRACHA, COLORIDO, 25 X 25 CM, E = 12 MM, PARA ARGAMASSA</v>
          </cell>
          <cell r="C3735" t="str">
            <v xml:space="preserve">M2    </v>
          </cell>
          <cell r="D3735">
            <v>380.66</v>
          </cell>
        </row>
        <row r="3736">
          <cell r="A3736">
            <v>38185</v>
          </cell>
          <cell r="B3736" t="str">
            <v>PISO TATIL DE ALERTA OU DIRECIONAL, DE BORRACHA, PRETO, 25 X 25 CM, E = 12 MM, PARA ARGAMASSA</v>
          </cell>
          <cell r="C3736" t="str">
            <v xml:space="preserve">M2    </v>
          </cell>
          <cell r="D3736">
            <v>338.92</v>
          </cell>
        </row>
        <row r="3737">
          <cell r="A3737">
            <v>40654</v>
          </cell>
          <cell r="B3737" t="str">
            <v>PISO URETANO, VERSAO REVESTIMENTO AUTONIVELANTE, ESPESSURA VARIÁVEL DE 3 A 4 MM (INCLUSO EXECUCAO)</v>
          </cell>
          <cell r="C3737" t="str">
            <v xml:space="preserve">M2    </v>
          </cell>
          <cell r="D3737">
            <v>139.80000000000001</v>
          </cell>
        </row>
        <row r="3738">
          <cell r="A3738">
            <v>25981</v>
          </cell>
          <cell r="B3738" t="str">
            <v>PISO/ REVESTIMENTO EM GRANITO, POLIDO, TIPO ANDORINHA/ QUARTZ/ CASTELO/ CORUMBA OU OUTROS EQUIVALENTES DA REGIAO, FORMATO MAIOR OU IGUAL A 3025 CM2, E = *2* CM</v>
          </cell>
          <cell r="C3738" t="str">
            <v xml:space="preserve">M2    </v>
          </cell>
          <cell r="D3738">
            <v>230.23</v>
          </cell>
        </row>
        <row r="3739">
          <cell r="A3739">
            <v>4822</v>
          </cell>
          <cell r="B3739" t="str">
            <v>PISO/ REVESTIMENTO EM MARMORE, POLIDO, BRANCO COMUM, FORMATO MAIOR OU IGUAL A 3025 CM2, E = *2* CM</v>
          </cell>
          <cell r="C3739" t="str">
            <v xml:space="preserve">M2    </v>
          </cell>
          <cell r="D3739">
            <v>257.81</v>
          </cell>
        </row>
        <row r="3740">
          <cell r="A3740">
            <v>4818</v>
          </cell>
          <cell r="B3740" t="str">
            <v>PISO/ REVESTIMENTO EM MARMORE, POLIDO, BRANCO COMUM, FORMATO MENOR OU IGUAL A 3025 CM2, E = *2* CM</v>
          </cell>
          <cell r="C3740" t="str">
            <v xml:space="preserve">M2    </v>
          </cell>
          <cell r="D3740">
            <v>265</v>
          </cell>
        </row>
        <row r="3741">
          <cell r="A3741">
            <v>39567</v>
          </cell>
          <cell r="B3741" t="str">
            <v>PLACA / CHAPA DE GESSO ACARTONADO, ACABAMENTO VINILICO LISO EM UMA DAS FACES, COR BRANCA, BORDA QUADRADA, E = 9,5 MM, 625 X 1250 MM (L X C), PARA FORRO REMOVIVEL</v>
          </cell>
          <cell r="C3741" t="str">
            <v xml:space="preserve">M2    </v>
          </cell>
          <cell r="D3741">
            <v>48.75</v>
          </cell>
        </row>
        <row r="3742">
          <cell r="A3742">
            <v>39566</v>
          </cell>
          <cell r="B3742" t="str">
            <v>PLACA / CHAPA DE GESSO ACARTONADO, ACABAMENTO VINILICO LISO EM UMA DAS FACES, COR BRANCA, BORDA QUADRADA, E = 9,5 MM, 625 X 625 MM (L X C), PARA FORRO REMOVIVEL</v>
          </cell>
          <cell r="C3742" t="str">
            <v xml:space="preserve">M2    </v>
          </cell>
          <cell r="D3742">
            <v>56.31</v>
          </cell>
        </row>
        <row r="3743">
          <cell r="A3743">
            <v>11062</v>
          </cell>
          <cell r="B3743" t="str">
            <v>PLACA CIMENTICIA LISA E = 10 MM, DE 1,20 X 3,00 M (SEM AMIANTO)</v>
          </cell>
          <cell r="C3743" t="str">
            <v xml:space="preserve">M2    </v>
          </cell>
          <cell r="D3743">
            <v>44.74</v>
          </cell>
        </row>
        <row r="3744">
          <cell r="A3744">
            <v>11063</v>
          </cell>
          <cell r="B3744" t="str">
            <v>PLACA CIMENTICIA LISA E = 6 MM, DE 1,20 X 3,00 M (SEM AMIANTO)</v>
          </cell>
          <cell r="C3744" t="str">
            <v xml:space="preserve">M2    </v>
          </cell>
          <cell r="D3744">
            <v>43.31</v>
          </cell>
        </row>
        <row r="3745">
          <cell r="A3745">
            <v>13521</v>
          </cell>
          <cell r="B3745" t="str">
            <v>PLACA DE ACO ESMALTADA PARA  IDENTIFICACAO DE RUA, *45 CM X 20* CM</v>
          </cell>
          <cell r="C3745" t="str">
            <v xml:space="preserve">UN    </v>
          </cell>
          <cell r="D3745">
            <v>99</v>
          </cell>
        </row>
        <row r="3746">
          <cell r="A3746">
            <v>10851</v>
          </cell>
          <cell r="B3746" t="str">
            <v>PLACA DE ACRILICO TRANSPARENTE ADESIVADA PARA SINALIZACAO DE PORTAS, BORDA POLIDA, DE *25 X 8*, E = 6 MM (NAO INCLUI ACESSORIOS PARA FIXACAO)</v>
          </cell>
          <cell r="C3746" t="str">
            <v xml:space="preserve">UN    </v>
          </cell>
          <cell r="D3746">
            <v>46.98</v>
          </cell>
        </row>
        <row r="3747">
          <cell r="A3747">
            <v>39515</v>
          </cell>
          <cell r="B3747" t="str">
            <v>PLACA DE FIBRA MINERAL PARA FORRO, DE 1250 X 625 MM, E = 15 MM, BORDA RETA, COM PINTURA ANTIMOFO (NAO INCLUI PERFIS)</v>
          </cell>
          <cell r="C3747" t="str">
            <v xml:space="preserve">UN    </v>
          </cell>
          <cell r="D3747">
            <v>32.119999999999997</v>
          </cell>
        </row>
        <row r="3748">
          <cell r="A3748">
            <v>39516</v>
          </cell>
          <cell r="B3748" t="str">
            <v>PLACA DE FIBRA MINERAL PARA FORRO, DE 625 X 625 MM, E = 15 MM, BORDA REBAIXADA PARA PERFIL 24 MM, COM PINTURA ANTIMOFO (NAO INCLUI PERFIS)</v>
          </cell>
          <cell r="C3748" t="str">
            <v xml:space="preserve">UN    </v>
          </cell>
          <cell r="D3748">
            <v>27.08</v>
          </cell>
        </row>
        <row r="3749">
          <cell r="A3749">
            <v>39514</v>
          </cell>
          <cell r="B3749" t="str">
            <v>PLACA DE FIBRA MINERAL PARA FORRO, DE 625 X 625 MM, E = 15 MM, BORDA RETA, COM PINTURA ANTIMOFO (NAO INCLUI PERFIS)</v>
          </cell>
          <cell r="C3749" t="str">
            <v xml:space="preserve">UN    </v>
          </cell>
          <cell r="D3749">
            <v>16.850000000000001</v>
          </cell>
        </row>
        <row r="3750">
          <cell r="A3750">
            <v>4812</v>
          </cell>
          <cell r="B3750" t="str">
            <v>PLACA DE GESSO PARA FORRO, DE  *60 X 60* CM E ESPESSURA DE 12 MM (30 MM NAS BORDAS) SEM COLOCACAO</v>
          </cell>
          <cell r="C3750" t="str">
            <v xml:space="preserve">M2    </v>
          </cell>
          <cell r="D3750">
            <v>13.47</v>
          </cell>
        </row>
        <row r="3751">
          <cell r="A3751">
            <v>10849</v>
          </cell>
          <cell r="B3751" t="str">
            <v>PLACA DE INAUGURACAO EM BRONZE *35X 50*CM</v>
          </cell>
          <cell r="C3751" t="str">
            <v xml:space="preserve">UN    </v>
          </cell>
          <cell r="D3751">
            <v>1440.01</v>
          </cell>
        </row>
        <row r="3752">
          <cell r="A3752">
            <v>10848</v>
          </cell>
          <cell r="B3752" t="str">
            <v>PLACA DE INAUGURACAO METALICA, *40* CM X *60* CM</v>
          </cell>
          <cell r="C3752" t="str">
            <v xml:space="preserve">UN    </v>
          </cell>
          <cell r="D3752">
            <v>904.5</v>
          </cell>
        </row>
        <row r="3753">
          <cell r="A3753">
            <v>4813</v>
          </cell>
          <cell r="B3753" t="str">
            <v>PLACA DE OBRA (PARA CONSTRUCAO CIVIL) EM CHAPA GALVANIZADA *N. 22*, ADESIVADA, DE *2,0 X 1,125* M</v>
          </cell>
          <cell r="C3753" t="str">
            <v xml:space="preserve">M2    </v>
          </cell>
          <cell r="D3753">
            <v>300</v>
          </cell>
        </row>
        <row r="3754">
          <cell r="A3754">
            <v>37560</v>
          </cell>
          <cell r="B3754" t="str">
            <v>PLACA DE SINALIZACAO DE SEGURANCA CONTRA INCENDIO - ALERTA, TRIANGULAR, BASE DE *30* CM, EM PVC *2* MM ANTI-CHAMAS (SIMBOLOS, CORES E PICTOGRAMAS CONFORME NBR 13434)</v>
          </cell>
          <cell r="C3754" t="str">
            <v xml:space="preserve">UN    </v>
          </cell>
          <cell r="D3754">
            <v>23.42</v>
          </cell>
        </row>
        <row r="3755">
          <cell r="A3755">
            <v>37557</v>
          </cell>
          <cell r="B3755" t="str">
            <v>PLACA DE SINALIZACAO DE SEGURANCA CONTRA INCENDIO, FOTOLUMINESCENTE, QUADRADA, *14 X 14* CM, EM PVC *2* MM ANTI-CHAMAS (SIMBOLOS, CORES E PICTOGRAMAS CONFORME NBR 13434)</v>
          </cell>
          <cell r="C3755" t="str">
            <v xml:space="preserve">UN    </v>
          </cell>
          <cell r="D3755">
            <v>7.11</v>
          </cell>
        </row>
        <row r="3756">
          <cell r="A3756">
            <v>37556</v>
          </cell>
          <cell r="B3756" t="str">
            <v>PLACA DE SINALIZACAO DE SEGURANCA CONTRA INCENDIO, FOTOLUMINESCENTE, QUADRADA, *20 X 20* CM, EM PVC *2* MM ANTI-CHAMAS (SIMBOLOS, CORES E PICTOGRAMAS CONFORME NBR 13434)</v>
          </cell>
          <cell r="C3756" t="str">
            <v xml:space="preserve">UN    </v>
          </cell>
          <cell r="D3756">
            <v>13.76</v>
          </cell>
        </row>
        <row r="3757">
          <cell r="A3757">
            <v>37559</v>
          </cell>
          <cell r="B3757" t="str">
            <v>PLACA DE SINALIZACAO DE SEGURANCA CONTRA INCENDIO, FOTOLUMINESCENTE, RETANGULAR, *12 X 40* CM, EM PVC *2* MM ANTI-CHAMAS (SIMBOLOS, CORES E PICTOGRAMAS CONFORME NBR 13434)</v>
          </cell>
          <cell r="C3757" t="str">
            <v xml:space="preserve">UN    </v>
          </cell>
          <cell r="D3757">
            <v>16.88</v>
          </cell>
        </row>
        <row r="3758">
          <cell r="A3758">
            <v>37539</v>
          </cell>
          <cell r="B3758" t="str">
            <v>PLACA DE SINALIZACAO DE SEGURANCA CONTRA INCENDIO, FOTOLUMINESCENTE, RETANGULAR, *13 X 26* CM, EM PVC *2* MM ANTI-CHAMAS (SIMBOLOS, CORES E PICTOGRAMAS CONFORME NBR 13434)</v>
          </cell>
          <cell r="C3758" t="str">
            <v xml:space="preserve">UN    </v>
          </cell>
          <cell r="D3758">
            <v>11.9</v>
          </cell>
        </row>
        <row r="3759">
          <cell r="A3759">
            <v>37558</v>
          </cell>
          <cell r="B3759" t="str">
            <v>PLACA DE SINALIZACAO DE SEGURANCA CONTRA INCENDIO, FOTOLUMINESCENTE, RETANGULAR, *20 X 40* CM, EM PVC *2* MM ANTI-CHAMAS (SIMBOLOS, CORES E PICTOGRAMAS CONFORME NBR 13434)</v>
          </cell>
          <cell r="C3759" t="str">
            <v xml:space="preserve">UN    </v>
          </cell>
          <cell r="D3759">
            <v>22.18</v>
          </cell>
        </row>
        <row r="3760">
          <cell r="A3760">
            <v>34723</v>
          </cell>
          <cell r="B3760" t="str">
            <v>PLACA DE SINALIZACAO EM CHAPA DE ACO NUM 16 COM PINTURA REFLETIVA</v>
          </cell>
          <cell r="C3760" t="str">
            <v xml:space="preserve">M2    </v>
          </cell>
          <cell r="D3760">
            <v>693</v>
          </cell>
        </row>
        <row r="3761">
          <cell r="A3761">
            <v>34721</v>
          </cell>
          <cell r="B3761" t="str">
            <v>PLACA DE SINALIZACAO EM CHAPA DE ALUMINIO COM PINTURA REFLETIVA, E = 2 MM</v>
          </cell>
          <cell r="C3761" t="str">
            <v xml:space="preserve">M2    </v>
          </cell>
          <cell r="D3761">
            <v>864</v>
          </cell>
        </row>
        <row r="3762">
          <cell r="A3762">
            <v>4309</v>
          </cell>
          <cell r="B3762" t="str">
            <v>PLACA DE VENTILACAO PARA TELHA DE FIBROCIMENTO CANALETE 49 KALHETA</v>
          </cell>
          <cell r="C3762" t="str">
            <v xml:space="preserve">UN    </v>
          </cell>
          <cell r="D3762">
            <v>4.49</v>
          </cell>
        </row>
        <row r="3763">
          <cell r="A3763">
            <v>4307</v>
          </cell>
          <cell r="B3763" t="str">
            <v>PLACA DE VENTILACAO PARA TELHA DE FIBROCIMENTO, CANALETE 90 OU KALHETAO</v>
          </cell>
          <cell r="C3763" t="str">
            <v xml:space="preserve">UN    </v>
          </cell>
          <cell r="D3763">
            <v>7.67</v>
          </cell>
        </row>
        <row r="3764">
          <cell r="A3764">
            <v>10850</v>
          </cell>
          <cell r="B3764" t="str">
            <v>PLACA NUMERACAO RESIDENCIAL EM CHAPA GALVANIZADA ESMALTADA 12 X 18 CM</v>
          </cell>
          <cell r="C3764" t="str">
            <v xml:space="preserve">UN    </v>
          </cell>
          <cell r="D3764">
            <v>45</v>
          </cell>
        </row>
        <row r="3765">
          <cell r="A3765">
            <v>42438</v>
          </cell>
          <cell r="B3765" t="str">
            <v>PLACA ORIENTATIVA SOBRE EXERCÍCIOS, 2,00M X 1,00M, EM TUBO DE ACO CARBONO, PINTURA NO PROCESSO ELETROSTATICO - PARA ACADEMIA AO AR LIVRE / ACADEMIA DA TERCEIRA IDADE - ATI</v>
          </cell>
          <cell r="C3765" t="str">
            <v xml:space="preserve">UN    </v>
          </cell>
          <cell r="D3765">
            <v>1187.6099999999999</v>
          </cell>
        </row>
        <row r="3766">
          <cell r="A3766">
            <v>4792</v>
          </cell>
          <cell r="B3766" t="str">
            <v>PLACA VINILICA SEMIFLEXIVEL PARA PISOS, E = 3,2 MM, 30 X 30 CM (SEM COLOCACAO)</v>
          </cell>
          <cell r="C3766" t="str">
            <v xml:space="preserve">M2    </v>
          </cell>
          <cell r="D3766">
            <v>108.11</v>
          </cell>
        </row>
        <row r="3767">
          <cell r="A3767">
            <v>4790</v>
          </cell>
          <cell r="B3767" t="str">
            <v>PLACA VINILICA SEMIFLEXIVEL PARA REVESTIMENTO DE PISOS E PAREDES, E = 2 MM (SEM COLOCACAO)</v>
          </cell>
          <cell r="C3767" t="str">
            <v xml:space="preserve">M2    </v>
          </cell>
          <cell r="D3767">
            <v>65</v>
          </cell>
        </row>
        <row r="3768">
          <cell r="A3768">
            <v>40671</v>
          </cell>
          <cell r="B3768" t="str">
            <v>PLACA/PISO DE CONCRETO POROSO/ PAVIMENTO PERMEAVEL/BLOCO DRENANTE DE CONCRETO, 40 CM X 40 CM, E = 6 CM, COR NATURAL</v>
          </cell>
          <cell r="C3768" t="str">
            <v xml:space="preserve">M2    </v>
          </cell>
          <cell r="D3768">
            <v>48.95</v>
          </cell>
        </row>
        <row r="3769">
          <cell r="A3769">
            <v>7552</v>
          </cell>
          <cell r="B3769" t="str">
            <v>PLACA/TAMPA CEGA EM LATAO ESCOVADO PARA CONDULETE EM LIGA DE ALUMINIO 4 X 4"</v>
          </cell>
          <cell r="C3769" t="str">
            <v xml:space="preserve">UN    </v>
          </cell>
          <cell r="D3769">
            <v>22.9</v>
          </cell>
        </row>
        <row r="3770">
          <cell r="A3770">
            <v>4893</v>
          </cell>
          <cell r="B3770" t="str">
            <v>PLUG OU BUJAO DE FERRO GALVANIZADO, DE 1 1/2"</v>
          </cell>
          <cell r="C3770" t="str">
            <v xml:space="preserve">UN    </v>
          </cell>
          <cell r="D3770">
            <v>6.48</v>
          </cell>
        </row>
        <row r="3771">
          <cell r="A3771">
            <v>4894</v>
          </cell>
          <cell r="B3771" t="str">
            <v>PLUG OU BUJAO DE FERRO GALVANIZADO, DE 1 1/4"</v>
          </cell>
          <cell r="C3771" t="str">
            <v xml:space="preserve">UN    </v>
          </cell>
          <cell r="D3771">
            <v>5.56</v>
          </cell>
        </row>
        <row r="3772">
          <cell r="A3772">
            <v>4888</v>
          </cell>
          <cell r="B3772" t="str">
            <v>PLUG OU BUJAO DE FERRO GALVANIZADO, DE 1/2"</v>
          </cell>
          <cell r="C3772" t="str">
            <v xml:space="preserve">UN    </v>
          </cell>
          <cell r="D3772">
            <v>1.89</v>
          </cell>
        </row>
        <row r="3773">
          <cell r="A3773">
            <v>4890</v>
          </cell>
          <cell r="B3773" t="str">
            <v>PLUG OU BUJAO DE FERRO GALVANIZADO, DE 1"</v>
          </cell>
          <cell r="C3773" t="str">
            <v xml:space="preserve">UN    </v>
          </cell>
          <cell r="D3773">
            <v>3.56</v>
          </cell>
        </row>
        <row r="3774">
          <cell r="A3774">
            <v>12411</v>
          </cell>
          <cell r="B3774" t="str">
            <v>PLUG OU BUJAO DE FERRO GALVANIZADO, DE 2 1/2"</v>
          </cell>
          <cell r="C3774" t="str">
            <v xml:space="preserve">UN    </v>
          </cell>
          <cell r="D3774">
            <v>19.16</v>
          </cell>
        </row>
        <row r="3775">
          <cell r="A3775">
            <v>4891</v>
          </cell>
          <cell r="B3775" t="str">
            <v>PLUG OU BUJAO DE FERRO GALVANIZADO, DE 2"</v>
          </cell>
          <cell r="C3775" t="str">
            <v xml:space="preserve">UN    </v>
          </cell>
          <cell r="D3775">
            <v>9.58</v>
          </cell>
        </row>
        <row r="3776">
          <cell r="A3776">
            <v>4889</v>
          </cell>
          <cell r="B3776" t="str">
            <v>PLUG OU BUJAO DE FERRO GALVANIZADO, DE 3/4"</v>
          </cell>
          <cell r="C3776" t="str">
            <v xml:space="preserve">UN    </v>
          </cell>
          <cell r="D3776">
            <v>2.56</v>
          </cell>
        </row>
        <row r="3777">
          <cell r="A3777">
            <v>4892</v>
          </cell>
          <cell r="B3777" t="str">
            <v>PLUG OU BUJAO DE FERRO GALVANIZADO, DE 3"</v>
          </cell>
          <cell r="C3777" t="str">
            <v xml:space="preserve">UN    </v>
          </cell>
          <cell r="D3777">
            <v>26.83</v>
          </cell>
        </row>
        <row r="3778">
          <cell r="A3778">
            <v>12412</v>
          </cell>
          <cell r="B3778" t="str">
            <v>PLUG OU BUJAO DE FERRO GALVANIZADO, DE 4"</v>
          </cell>
          <cell r="C3778" t="str">
            <v xml:space="preserve">UN    </v>
          </cell>
          <cell r="D3778">
            <v>49.87</v>
          </cell>
        </row>
        <row r="3779">
          <cell r="A3779">
            <v>11073</v>
          </cell>
          <cell r="B3779" t="str">
            <v>PLUG PVC P/ ESG PREDIAL  75MM</v>
          </cell>
          <cell r="C3779" t="str">
            <v xml:space="preserve">UN    </v>
          </cell>
          <cell r="D3779">
            <v>3.1</v>
          </cell>
        </row>
        <row r="3780">
          <cell r="A3780">
            <v>11071</v>
          </cell>
          <cell r="B3780" t="str">
            <v>PLUG PVC P/ ESG PREDIAL 100MM</v>
          </cell>
          <cell r="C3780" t="str">
            <v xml:space="preserve">UN    </v>
          </cell>
          <cell r="D3780">
            <v>5.0199999999999996</v>
          </cell>
        </row>
        <row r="3781">
          <cell r="A3781">
            <v>11072</v>
          </cell>
          <cell r="B3781" t="str">
            <v>PLUG PVC P/ ESG PREDIAL 50MM</v>
          </cell>
          <cell r="C3781" t="str">
            <v xml:space="preserve">UN    </v>
          </cell>
          <cell r="D3781">
            <v>1.75</v>
          </cell>
        </row>
        <row r="3782">
          <cell r="A3782">
            <v>4895</v>
          </cell>
          <cell r="B3782" t="str">
            <v>PLUG PVC ROSCAVEL,  1/2",  AGUA FRIA PREDIAL (NBR 5648)</v>
          </cell>
          <cell r="C3782" t="str">
            <v xml:space="preserve">UN    </v>
          </cell>
          <cell r="D3782">
            <v>0.36</v>
          </cell>
        </row>
        <row r="3783">
          <cell r="A3783">
            <v>4907</v>
          </cell>
          <cell r="B3783" t="str">
            <v>PLUG PVC,  JE, DN 100 MM, PARA REDE COLETORA ESGOTO (NBR 10569)</v>
          </cell>
          <cell r="C3783" t="str">
            <v xml:space="preserve">UN    </v>
          </cell>
          <cell r="D3783">
            <v>19.04</v>
          </cell>
        </row>
        <row r="3784">
          <cell r="A3784">
            <v>4902</v>
          </cell>
          <cell r="B3784" t="str">
            <v>PLUG PVC, JE, DN 150 MM, PARA REDE COLETORA ESGOTO (NBR 10569)</v>
          </cell>
          <cell r="C3784" t="str">
            <v xml:space="preserve">UN    </v>
          </cell>
          <cell r="D3784">
            <v>43.09</v>
          </cell>
        </row>
        <row r="3785">
          <cell r="A3785">
            <v>4908</v>
          </cell>
          <cell r="B3785" t="str">
            <v>PLUG PVC, JE, DN 200 MM, PARA REDE COLETORA ESGOTO (NBR 10569)</v>
          </cell>
          <cell r="C3785" t="str">
            <v xml:space="preserve">UN    </v>
          </cell>
          <cell r="D3785">
            <v>87.5</v>
          </cell>
        </row>
        <row r="3786">
          <cell r="A3786">
            <v>4909</v>
          </cell>
          <cell r="B3786" t="str">
            <v>PLUG PVC, JE, DN 250 MM, PARA REDE COLETORA ESGOTO (NBR 10569)</v>
          </cell>
          <cell r="C3786" t="str">
            <v xml:space="preserve">UN    </v>
          </cell>
          <cell r="D3786">
            <v>169</v>
          </cell>
        </row>
        <row r="3787">
          <cell r="A3787">
            <v>4903</v>
          </cell>
          <cell r="B3787" t="str">
            <v>PLUG PVC, JE, DN 350 MM, PARA REDE COLETORA ESGOTO (NBR 10569)</v>
          </cell>
          <cell r="C3787" t="str">
            <v xml:space="preserve">UN    </v>
          </cell>
          <cell r="D3787">
            <v>496.91</v>
          </cell>
        </row>
        <row r="3788">
          <cell r="A3788">
            <v>4897</v>
          </cell>
          <cell r="B3788" t="str">
            <v>PLUG PVC, ROSCAVEL 1", PARA AGUA FRIA PREDIAL</v>
          </cell>
          <cell r="C3788" t="str">
            <v xml:space="preserve">UN    </v>
          </cell>
          <cell r="D3788">
            <v>1.55</v>
          </cell>
        </row>
        <row r="3789">
          <cell r="A3789">
            <v>4896</v>
          </cell>
          <cell r="B3789" t="str">
            <v>PLUG PVC, ROSCAVEL 3/4", PARA  AGUA FRIA PREDIAL</v>
          </cell>
          <cell r="C3789" t="str">
            <v xml:space="preserve">UN    </v>
          </cell>
          <cell r="D3789">
            <v>0.55000000000000004</v>
          </cell>
        </row>
        <row r="3790">
          <cell r="A3790">
            <v>4900</v>
          </cell>
          <cell r="B3790" t="str">
            <v>PLUG PVC, ROSCAVEL, 1 1/2",  AGUA FRIA PREDIAL</v>
          </cell>
          <cell r="C3790" t="str">
            <v xml:space="preserve">UN    </v>
          </cell>
          <cell r="D3790">
            <v>4.6100000000000003</v>
          </cell>
        </row>
        <row r="3791">
          <cell r="A3791">
            <v>4898</v>
          </cell>
          <cell r="B3791" t="str">
            <v>PLUG PVC, ROSCAVEL, 1 1/4",  AGUA FRIA PREDIAL</v>
          </cell>
          <cell r="C3791" t="str">
            <v xml:space="preserve">UN    </v>
          </cell>
          <cell r="D3791">
            <v>1.72</v>
          </cell>
        </row>
        <row r="3792">
          <cell r="A3792">
            <v>4899</v>
          </cell>
          <cell r="B3792" t="str">
            <v>PLUG PVC, ROSCAVEL, 2",  AGUA FRIA PREDIAL</v>
          </cell>
          <cell r="C3792" t="str">
            <v xml:space="preserve">UN    </v>
          </cell>
          <cell r="D3792">
            <v>6.33</v>
          </cell>
        </row>
        <row r="3793">
          <cell r="A3793">
            <v>11096</v>
          </cell>
          <cell r="B3793" t="str">
            <v>PO DE MARMORE (POSTO PEDREIRA/FORNECEDOR, SEM FRETE)</v>
          </cell>
          <cell r="C3793" t="str">
            <v xml:space="preserve">KG    </v>
          </cell>
          <cell r="D3793">
            <v>0.34</v>
          </cell>
        </row>
        <row r="3794">
          <cell r="A3794">
            <v>4741</v>
          </cell>
          <cell r="B3794" t="str">
            <v>PO DE PEDRA (POSTO PEDREIRA/FORNECEDOR, SEM FRETE)</v>
          </cell>
          <cell r="C3794" t="str">
            <v xml:space="preserve">M3    </v>
          </cell>
          <cell r="D3794">
            <v>64.180000000000007</v>
          </cell>
        </row>
        <row r="3795">
          <cell r="A3795">
            <v>4752</v>
          </cell>
          <cell r="B3795" t="str">
            <v>POCEIRO / ESCAVADOR DE VALAS E TUBULOES</v>
          </cell>
          <cell r="C3795" t="str">
            <v xml:space="preserve">H     </v>
          </cell>
          <cell r="D3795">
            <v>10.41</v>
          </cell>
        </row>
        <row r="3796">
          <cell r="A3796">
            <v>41091</v>
          </cell>
          <cell r="B3796" t="str">
            <v>POCEIRO / ESCAVADOR DE VALAS E TUBULOES (MENSALISTA)</v>
          </cell>
          <cell r="C3796" t="str">
            <v xml:space="preserve">MES   </v>
          </cell>
          <cell r="D3796">
            <v>1844.82</v>
          </cell>
        </row>
        <row r="3797">
          <cell r="A3797">
            <v>13954</v>
          </cell>
          <cell r="B3797" t="str">
            <v>POLIDORA DE PISO (POLITRIZ) ELETRICA, MOTOR MONOFASICO DE 4 HP, PESO DE 100 KG, DIAMETRO DO TRABALHO DE 450 MM</v>
          </cell>
          <cell r="C3797" t="str">
            <v xml:space="preserve">UN    </v>
          </cell>
          <cell r="D3797">
            <v>5610.74</v>
          </cell>
        </row>
        <row r="3798">
          <cell r="A3798">
            <v>3411</v>
          </cell>
          <cell r="B3798" t="str">
            <v>POLIESTIRENO EXPANDIDO/EPS (ISOPOR), PEROLAS, PARA CONCRETO LEVE</v>
          </cell>
          <cell r="C3798" t="str">
            <v xml:space="preserve">KG    </v>
          </cell>
          <cell r="D3798">
            <v>45.93</v>
          </cell>
        </row>
        <row r="3799">
          <cell r="A3799">
            <v>39995</v>
          </cell>
          <cell r="B3799" t="str">
            <v>POLIESTIRENO EXPANDIDO/EPS (ISOPOR), TIPO 2F, BLOCO</v>
          </cell>
          <cell r="C3799" t="str">
            <v xml:space="preserve">M3    </v>
          </cell>
          <cell r="D3799">
            <v>353.36</v>
          </cell>
        </row>
        <row r="3800">
          <cell r="A3800">
            <v>11615</v>
          </cell>
          <cell r="B3800" t="str">
            <v>POLIESTIRENO EXPANDIDO/EPS (ISOPOR), TIPO 2F, PLACA, ISOLAMENTO TERMOACUSTICO, E = 10 MM, 1000 X 500 MM</v>
          </cell>
          <cell r="C3800" t="str">
            <v xml:space="preserve">M2    </v>
          </cell>
          <cell r="D3800">
            <v>2.99</v>
          </cell>
        </row>
        <row r="3801">
          <cell r="A3801">
            <v>3408</v>
          </cell>
          <cell r="B3801" t="str">
            <v>POLIESTIRENO EXPANDIDO/EPS (ISOPOR), TIPO 2F, PLACA, ISOLAMENTO TERMOACUSTICO, E = 20 MM, 1000 X 500 MM</v>
          </cell>
          <cell r="C3801" t="str">
            <v xml:space="preserve">M2    </v>
          </cell>
          <cell r="D3801">
            <v>7.96</v>
          </cell>
        </row>
        <row r="3802">
          <cell r="A3802">
            <v>3409</v>
          </cell>
          <cell r="B3802" t="str">
            <v>POLIESTIRENO EXPANDIDO/EPS (ISOPOR), TIPO 2F, PLACA, ISOLAMENTO TERMOACUSTICO, E = 50 MM, 1000 X 500 MM</v>
          </cell>
          <cell r="C3802" t="str">
            <v xml:space="preserve">M2    </v>
          </cell>
          <cell r="D3802">
            <v>19.899999999999999</v>
          </cell>
        </row>
        <row r="3803">
          <cell r="A3803">
            <v>11427</v>
          </cell>
          <cell r="B3803" t="str">
            <v>POLVORA NEGRA</v>
          </cell>
          <cell r="C3803" t="str">
            <v xml:space="preserve">KG    </v>
          </cell>
          <cell r="D3803">
            <v>76.66</v>
          </cell>
        </row>
        <row r="3804">
          <cell r="A3804">
            <v>4491</v>
          </cell>
          <cell r="B3804" t="str">
            <v>PONTALETE DE MADEIRA NAO APARELHADA *7,5 X 7,5* CM (3 X 3 ") PINUS, MISTA OU EQUIVALENTE DA REGIAO</v>
          </cell>
          <cell r="C3804" t="str">
            <v xml:space="preserve">M     </v>
          </cell>
          <cell r="D3804">
            <v>5.45</v>
          </cell>
        </row>
        <row r="3805">
          <cell r="A3805">
            <v>26022</v>
          </cell>
          <cell r="B3805" t="str">
            <v>PONTEIRO PARA MARTELO ROMPEDOR, DIAMETRO = *28* MM, COMPRIMENTO = *520* MM, ENCAIXE SEXTAVADO</v>
          </cell>
          <cell r="C3805" t="str">
            <v xml:space="preserve">UN    </v>
          </cell>
          <cell r="D3805">
            <v>175.65</v>
          </cell>
        </row>
        <row r="3806">
          <cell r="A3806">
            <v>421</v>
          </cell>
          <cell r="B3806" t="str">
            <v>PORCA OLHAL EM ACO GALVANIZADO, DIAMETRO NOMINAL DE 16 MM</v>
          </cell>
          <cell r="C3806" t="str">
            <v xml:space="preserve">UN    </v>
          </cell>
          <cell r="D3806">
            <v>6.83</v>
          </cell>
        </row>
        <row r="3807">
          <cell r="A3807">
            <v>12362</v>
          </cell>
          <cell r="B3807" t="str">
            <v>PORCA OLHAL EM ACO GALVANIZADO, ESPESSURA 16MM, ABERTURA 21MM</v>
          </cell>
          <cell r="C3807" t="str">
            <v xml:space="preserve">UN    </v>
          </cell>
          <cell r="D3807">
            <v>9.4700000000000006</v>
          </cell>
        </row>
        <row r="3808">
          <cell r="A3808">
            <v>14148</v>
          </cell>
          <cell r="B3808" t="str">
            <v>PORCA UNIAO/JUNCAO ZINCADA SEXTAVADA 1/4 ", CHAVE 7/16 ", COMPRIMENTO = 25 MM</v>
          </cell>
          <cell r="C3808" t="str">
            <v xml:space="preserve">UN    </v>
          </cell>
          <cell r="D3808">
            <v>0.6</v>
          </cell>
        </row>
        <row r="3809">
          <cell r="A3809">
            <v>4341</v>
          </cell>
          <cell r="B3809" t="str">
            <v>PORCA ZINCADA, QUADRADA, DIAMETRO 3/8"</v>
          </cell>
          <cell r="C3809" t="str">
            <v xml:space="preserve">UN    </v>
          </cell>
          <cell r="D3809">
            <v>0.79</v>
          </cell>
        </row>
        <row r="3810">
          <cell r="A3810">
            <v>4337</v>
          </cell>
          <cell r="B3810" t="str">
            <v>PORCA ZINCADA, QUADRADA, DIAMETRO 5/8"</v>
          </cell>
          <cell r="C3810" t="str">
            <v xml:space="preserve">UN    </v>
          </cell>
          <cell r="D3810">
            <v>2.0099999999999998</v>
          </cell>
        </row>
        <row r="3811">
          <cell r="A3811">
            <v>4339</v>
          </cell>
          <cell r="B3811" t="str">
            <v>PORCA ZINCADA, SEXTAVADA, DIAMETRO 1/2"</v>
          </cell>
          <cell r="C3811" t="str">
            <v xml:space="preserve">UN    </v>
          </cell>
          <cell r="D3811">
            <v>0.42</v>
          </cell>
        </row>
        <row r="3812">
          <cell r="A3812">
            <v>39997</v>
          </cell>
          <cell r="B3812" t="str">
            <v>PORCA ZINCADA, SEXTAVADA, DIAMETRO 1/4"</v>
          </cell>
          <cell r="C3812" t="str">
            <v xml:space="preserve">UN    </v>
          </cell>
          <cell r="D3812">
            <v>0.24</v>
          </cell>
        </row>
        <row r="3813">
          <cell r="A3813">
            <v>11971</v>
          </cell>
          <cell r="B3813" t="str">
            <v>PORCA ZINCADA, SEXTAVADA, DIAMETRO 1"</v>
          </cell>
          <cell r="C3813" t="str">
            <v xml:space="preserve">UN    </v>
          </cell>
          <cell r="D3813">
            <v>3.32</v>
          </cell>
        </row>
        <row r="3814">
          <cell r="A3814">
            <v>4342</v>
          </cell>
          <cell r="B3814" t="str">
            <v>PORCA ZINCADA, SEXTAVADA, DIAMETRO 3/8"</v>
          </cell>
          <cell r="C3814" t="str">
            <v xml:space="preserve">UN    </v>
          </cell>
          <cell r="D3814">
            <v>0.17</v>
          </cell>
        </row>
        <row r="3815">
          <cell r="A3815">
            <v>4330</v>
          </cell>
          <cell r="B3815" t="str">
            <v>PORCA ZINCADA, SEXTAVADA, DIAMETRO 5/16"</v>
          </cell>
          <cell r="C3815" t="str">
            <v xml:space="preserve">UN    </v>
          </cell>
          <cell r="D3815">
            <v>0.11</v>
          </cell>
        </row>
        <row r="3816">
          <cell r="A3816">
            <v>4340</v>
          </cell>
          <cell r="B3816" t="str">
            <v>PORCA ZINCADA, SEXTAVADA, DIAMETRO 5/8"</v>
          </cell>
          <cell r="C3816" t="str">
            <v xml:space="preserve">UN    </v>
          </cell>
          <cell r="D3816">
            <v>0.93</v>
          </cell>
        </row>
        <row r="3817">
          <cell r="A3817">
            <v>5088</v>
          </cell>
          <cell r="B3817" t="str">
            <v>PORTA CADEADO,  3 1/2", EM ACO ZINCADO, PRETO, PARA PORTAO E JANELA</v>
          </cell>
          <cell r="C3817" t="str">
            <v xml:space="preserve">UN    </v>
          </cell>
          <cell r="D3817">
            <v>2.57</v>
          </cell>
        </row>
        <row r="3818">
          <cell r="A3818">
            <v>11154</v>
          </cell>
          <cell r="B3818" t="str">
            <v>PORTA CORTA-FOGO PARA SAIDA DE EMERGENCIA, COM FECHADURA, VAO LUZ DE 90 X 210 CM, CLASSE P-90 (NBR 11742)</v>
          </cell>
          <cell r="C3818" t="str">
            <v xml:space="preserve">UN    </v>
          </cell>
          <cell r="D3818">
            <v>829.1</v>
          </cell>
        </row>
        <row r="3819">
          <cell r="A3819">
            <v>39021</v>
          </cell>
          <cell r="B3819" t="str">
            <v>PORTA DE ABRIR EM ACO COM DIVISAO HORIZONTAL  PARA VIDROS, COM FUNDO ANTICORROSIVO/PRIMER DE PROTECAO, SEM GUARNICAO/ALIZAR/VISTA, VIDROS NAO INCLUSOS, 87 X 210 CM</v>
          </cell>
          <cell r="C3819" t="str">
            <v xml:space="preserve">UN    </v>
          </cell>
          <cell r="D3819">
            <v>372.92</v>
          </cell>
        </row>
        <row r="3820">
          <cell r="A3820">
            <v>39022</v>
          </cell>
          <cell r="B3820" t="str">
            <v>PORTA DE ABRIR EM ACO TIPO VENEZIANA, COM FUNDO ANTICORROSIVO / PRIMER DE PROTECAO, SEM GUARNICAO/ALIZAR/VISTA, 87 X 210 CM</v>
          </cell>
          <cell r="C3820" t="str">
            <v xml:space="preserve">UN    </v>
          </cell>
          <cell r="D3820">
            <v>461.2</v>
          </cell>
        </row>
        <row r="3821">
          <cell r="A3821">
            <v>39024</v>
          </cell>
          <cell r="B3821" t="str">
            <v>PORTA DE ABRIR EM ALUMINIO COM DIVISAO HORIZONTAL  PARA VIDROS,  ACABAMENTO ANODIZADO NATURAL, VIDROS INCLUSOS, SEM GUARNICAO/ALIZAR/VISTA , 87 X 210 CM</v>
          </cell>
          <cell r="C3821" t="str">
            <v xml:space="preserve">UN    </v>
          </cell>
          <cell r="D3821">
            <v>1215.1400000000001</v>
          </cell>
        </row>
        <row r="3822">
          <cell r="A3822">
            <v>4914</v>
          </cell>
          <cell r="B3822" t="str">
            <v>PORTA DE ABRIR EM ALUMINIO COM LAMBRI HORIZONTAL/LAMINADA, ACABAMENTO ANODIZADO NATURAL, SEM GUARNICAO/ALIZAR/VISTA</v>
          </cell>
          <cell r="C3822" t="str">
            <v xml:space="preserve">M2    </v>
          </cell>
          <cell r="D3822">
            <v>985.26</v>
          </cell>
        </row>
        <row r="3823">
          <cell r="A3823">
            <v>4917</v>
          </cell>
          <cell r="B3823" t="str">
            <v>PORTA DE ABRIR EM ALUMINIO TIPO VENEZIANA, ACABAMENTO ANODIZADO NATURAL, SEM GUARNICAO/ALIZAR/VISTA</v>
          </cell>
          <cell r="C3823" t="str">
            <v xml:space="preserve">M2    </v>
          </cell>
          <cell r="D3823">
            <v>680.43</v>
          </cell>
        </row>
        <row r="3824">
          <cell r="A3824">
            <v>39025</v>
          </cell>
          <cell r="B3824" t="str">
            <v>PORTA DE ABRIR EM ALUMINIO TIPO VENEZIANA, ACABAMENTO ANODIZADO NATURAL, SEM GUARNICAO/ALIZAR/VISTA, 87 X 210 CM</v>
          </cell>
          <cell r="C3824" t="str">
            <v xml:space="preserve">UN    </v>
          </cell>
          <cell r="D3824">
            <v>1245.99</v>
          </cell>
        </row>
        <row r="3825">
          <cell r="A3825">
            <v>4930</v>
          </cell>
          <cell r="B3825" t="str">
            <v>PORTA DE ABRIR EM GRADIL COM BARRA CHATA 3 CM X 1/4", COM REQUADRO E GUARNICAO - COMPLETO - ACABAMENTO NATURAL</v>
          </cell>
          <cell r="C3825" t="str">
            <v xml:space="preserve">M2    </v>
          </cell>
          <cell r="D3825">
            <v>400.79</v>
          </cell>
        </row>
        <row r="3826">
          <cell r="A3826">
            <v>4922</v>
          </cell>
          <cell r="B3826" t="str">
            <v>PORTA DE CORRER EM ALUMINIO, DUAS FOLHAS MOVEIS COM VIDRO, FECHADURA E PUXADOR EMBUTIDO, ACABAMENTO ANODIZADO NATURAL, SEM GUARNICAO/ALIZAR/VISTA</v>
          </cell>
          <cell r="C3826" t="str">
            <v xml:space="preserve">M2    </v>
          </cell>
          <cell r="D3826">
            <v>631.16</v>
          </cell>
        </row>
        <row r="3827">
          <cell r="A3827">
            <v>4911</v>
          </cell>
          <cell r="B3827" t="str">
            <v>PORTA DE ENROLAR MANUAL COMPLETA, ARTICULADA RAIADA LARGA, EM ACO GALVANIZADO NATURAL, CHAPA NUMERO 24 (SEM INSTALACAO)</v>
          </cell>
          <cell r="C3827" t="str">
            <v xml:space="preserve">M2    </v>
          </cell>
          <cell r="D3827">
            <v>149.34</v>
          </cell>
        </row>
        <row r="3828">
          <cell r="A3828">
            <v>37518</v>
          </cell>
          <cell r="B3828" t="str">
            <v>PORTA DE ENROLAR MANUAL COMPLETA, PERFIL MEIA CANA CEGA, EM ACO GALVANIZADO COM PINTURA ELETROSTATICA, CHAPA NUMERO 24 " (SEM INSTALACAO)</v>
          </cell>
          <cell r="C3828" t="str">
            <v xml:space="preserve">M2    </v>
          </cell>
          <cell r="D3828">
            <v>190.64</v>
          </cell>
        </row>
        <row r="3829">
          <cell r="A3829">
            <v>4910</v>
          </cell>
          <cell r="B3829" t="str">
            <v>PORTA DE ENROLAR MANUAL COMPLETA, PERFIL MEIA CANA CEGA, EM ACO GALVANIZADO NATURAL, CHAPA NUMERO 24 (SEM INSTALACAO)</v>
          </cell>
          <cell r="C3829" t="str">
            <v xml:space="preserve">M2    </v>
          </cell>
          <cell r="D3829">
            <v>149.34</v>
          </cell>
        </row>
        <row r="3830">
          <cell r="A3830">
            <v>4943</v>
          </cell>
          <cell r="B3830" t="str">
            <v>PORTA DE ENROLAR MANUAL COMPLETA, PERFIL MEIA CANA VAZADA TIJOLINHO, EM ACO GALVANIZADO NATURAL, CHAPA NUMERO 24 (SEM INSTALACAO)</v>
          </cell>
          <cell r="C3830" t="str">
            <v xml:space="preserve">M2    </v>
          </cell>
          <cell r="D3830">
            <v>237.03</v>
          </cell>
        </row>
        <row r="3831">
          <cell r="A3831">
            <v>5002</v>
          </cell>
          <cell r="B3831" t="str">
            <v>PORTA DE MADEIRA QUADRICULADA PARA VIDRO, DE CORRER (EUCALIPTO OU EQUIVALENTE REGIONAL), E = *3,5* CM</v>
          </cell>
          <cell r="C3831" t="str">
            <v xml:space="preserve">M2    </v>
          </cell>
          <cell r="D3831">
            <v>320.62</v>
          </cell>
        </row>
        <row r="3832">
          <cell r="A3832">
            <v>4977</v>
          </cell>
          <cell r="B3832" t="str">
            <v>PORTA DE MADEIRA TIPO VENEZIANA (EUCALIPTO OU EQUIVALENTE REGIONAL), E = *3,5* CM</v>
          </cell>
          <cell r="C3832" t="str">
            <v xml:space="preserve">M2    </v>
          </cell>
          <cell r="D3832">
            <v>216.43</v>
          </cell>
        </row>
        <row r="3833">
          <cell r="A3833">
            <v>5028</v>
          </cell>
          <cell r="B3833" t="str">
            <v>PORTA DE MADEIRA-DE-LEI QUADRICULADA PARA VIDRO, DE CORRER (ANGELIM OU EQUIVALENTE REGIONAL), E = *3,5* CM</v>
          </cell>
          <cell r="C3833" t="str">
            <v xml:space="preserve">M2    </v>
          </cell>
          <cell r="D3833">
            <v>529.57000000000005</v>
          </cell>
        </row>
        <row r="3834">
          <cell r="A3834">
            <v>4998</v>
          </cell>
          <cell r="B3834" t="str">
            <v>PORTA DE MADEIRA-DE-LEI TIPO MEXICANA SEM EMENDA (ANGELIM OU EQUIVALENTE REGIONAL), E = *3,5* CM</v>
          </cell>
          <cell r="C3834" t="str">
            <v xml:space="preserve">M2    </v>
          </cell>
          <cell r="D3834">
            <v>439.82</v>
          </cell>
        </row>
        <row r="3835">
          <cell r="A3835">
            <v>4969</v>
          </cell>
          <cell r="B3835" t="str">
            <v>PORTA DE MADEIRA-DE-LEI TIPO VENEZIANA (ANGELIM OU EQUIVALENTE REGIONAL), E = *3,5* CM</v>
          </cell>
          <cell r="C3835" t="str">
            <v xml:space="preserve">M2    </v>
          </cell>
          <cell r="D3835">
            <v>306.10000000000002</v>
          </cell>
        </row>
        <row r="3836">
          <cell r="A3836">
            <v>11364</v>
          </cell>
          <cell r="B3836" t="str">
            <v>PORTA DE MADEIRA, FOLHA LEVE (NBR 15930) DE 60 X 210 CM, E = *35* MM, NUCLEO COLMEIA, CAPA LISA EM HDF, ACABAMENTO EM PRIMER PARA PINTURA</v>
          </cell>
          <cell r="C3836" t="str">
            <v xml:space="preserve">UN    </v>
          </cell>
          <cell r="D3836">
            <v>120.41</v>
          </cell>
        </row>
        <row r="3837">
          <cell r="A3837">
            <v>11365</v>
          </cell>
          <cell r="B3837" t="str">
            <v>PORTA DE MADEIRA, FOLHA LEVE (NBR 15930) DE 70 X 210 CM, E = *35* MM, NUCLEO COLMEIA, CAPA LISA EM HDF, ACABAMENTO EM PRIMER PARA PINTURA</v>
          </cell>
          <cell r="C3837" t="str">
            <v xml:space="preserve">UN    </v>
          </cell>
          <cell r="D3837">
            <v>129.68</v>
          </cell>
        </row>
        <row r="3838">
          <cell r="A3838">
            <v>11366</v>
          </cell>
          <cell r="B3838" t="str">
            <v>PORTA DE MADEIRA, FOLHA LEVE (NBR 15930) DE 80 X 210 CM, E = *35* MM, NUCLEO COLMEIA, CAPA LISA EM HDF, ACABAMENTO EM PRIMER PARA PINTURA</v>
          </cell>
          <cell r="C3838" t="str">
            <v xml:space="preserve">UN    </v>
          </cell>
          <cell r="D3838">
            <v>137.24</v>
          </cell>
        </row>
        <row r="3839">
          <cell r="A3839">
            <v>11367</v>
          </cell>
          <cell r="B3839" t="str">
            <v>PORTA DE MADEIRA, FOLHA LEVE (NBR 15930), E = *35* MM, NUCLEO COLMEIA, CAPA LISA EM HDF, ACABAMENTO MELAMINICO EM PADRAO MADEIRA</v>
          </cell>
          <cell r="C3839" t="str">
            <v xml:space="preserve">M2    </v>
          </cell>
          <cell r="D3839">
            <v>105.72</v>
          </cell>
        </row>
        <row r="3840">
          <cell r="A3840">
            <v>4989</v>
          </cell>
          <cell r="B3840" t="str">
            <v>PORTA DE MADEIRA, FOLHA MEDIA (NBR 15930) DE 100 X 210 CM, E = 35 MM, NUCLEO SARRAFEADO, CAPA LISA EM HDF, ACABAMENTO EM LAMINADO NATURAL PARA VERNIZ</v>
          </cell>
          <cell r="C3840" t="str">
            <v xml:space="preserve">UN    </v>
          </cell>
          <cell r="D3840">
            <v>274.32</v>
          </cell>
        </row>
        <row r="3841">
          <cell r="A3841">
            <v>4982</v>
          </cell>
          <cell r="B3841" t="str">
            <v>PORTA DE MADEIRA, FOLHA MEDIA (NBR 15930) DE 100 X 210 CM, E = 35 MM, NUCLEO SARRAFEADO, CAPA LISA EM HDF, ACABAMENTO EM PRIMER PARA PINTURA</v>
          </cell>
          <cell r="C3841" t="str">
            <v xml:space="preserve">UN    </v>
          </cell>
          <cell r="D3841">
            <v>238.16</v>
          </cell>
        </row>
        <row r="3842">
          <cell r="A3842">
            <v>20322</v>
          </cell>
          <cell r="B3842" t="str">
            <v>PORTA DE MADEIRA, FOLHA MEDIA (NBR 15930) DE 60 X 210 CM, E = 35 MM, NUCLEO SARRAFEADO, CAPA FRISADA EM HDF, ACABAMENTO MELAMINICO EM PADRAO MADEIRA</v>
          </cell>
          <cell r="C3842" t="str">
            <v xml:space="preserve">UN    </v>
          </cell>
          <cell r="D3842">
            <v>209.9</v>
          </cell>
        </row>
        <row r="3843">
          <cell r="A3843">
            <v>10553</v>
          </cell>
          <cell r="B3843" t="str">
            <v>PORTA DE MADEIRA, FOLHA MEDIA (NBR 15930) DE 60 X 210 CM, E = 35 MM, NUCLEO SARRAFEADO, CAPA LISA EM HDF, ACABAMENTO EM PRIMER PARA PINTURA</v>
          </cell>
          <cell r="C3843" t="str">
            <v xml:space="preserve">UN    </v>
          </cell>
          <cell r="D3843">
            <v>223.79</v>
          </cell>
        </row>
        <row r="3844">
          <cell r="A3844">
            <v>5020</v>
          </cell>
          <cell r="B3844" t="str">
            <v>PORTA DE MADEIRA, FOLHA MEDIA (NBR 15930) DE 60 X 210 CM, E = 35 MM, NUCLEO SARRAFEADO, CAPA LISA EM HDF, ACABAMENTO LAMINADO NATURAL PARA VERNIZ</v>
          </cell>
          <cell r="C3844" t="str">
            <v xml:space="preserve">UN    </v>
          </cell>
          <cell r="D3844">
            <v>232.02</v>
          </cell>
        </row>
        <row r="3845">
          <cell r="A3845">
            <v>4962</v>
          </cell>
          <cell r="B3845" t="str">
            <v>PORTA DE MADEIRA, FOLHA MEDIA (NBR 15930) DE 70 X 210 CM, E = 35 MM, NUCLEO SARRAFEADO, CAPA FRISADA EM HDF, ACABAMENTO MELAMINICO EM PADRAO MADEIRA</v>
          </cell>
          <cell r="C3845" t="str">
            <v xml:space="preserve">UN    </v>
          </cell>
          <cell r="D3845">
            <v>226.05</v>
          </cell>
        </row>
        <row r="3846">
          <cell r="A3846">
            <v>4981</v>
          </cell>
          <cell r="B3846" t="str">
            <v>PORTA DE MADEIRA, FOLHA MEDIA (NBR 15930) DE 70 X 210 CM, E = 35 MM, NUCLEO SARRAFEADO, CAPA LISA EM HDF, ACABAMENTO EM LAMINADO NATURAL PARA VERNIZ</v>
          </cell>
          <cell r="C3846" t="str">
            <v xml:space="preserve">UN    </v>
          </cell>
          <cell r="D3846">
            <v>159.85</v>
          </cell>
        </row>
        <row r="3847">
          <cell r="A3847">
            <v>10554</v>
          </cell>
          <cell r="B3847" t="str">
            <v>PORTA DE MADEIRA, FOLHA MEDIA (NBR 15930) DE 70 X 210 CM, E = 35 MM, NUCLEO SARRAFEADO, CAPA LISA EM HDF, ACABAMENTO EM PRIMER PARA PINTURA</v>
          </cell>
          <cell r="C3847" t="str">
            <v xml:space="preserve">UN    </v>
          </cell>
          <cell r="D3847">
            <v>250.1</v>
          </cell>
        </row>
        <row r="3848">
          <cell r="A3848">
            <v>4964</v>
          </cell>
          <cell r="B3848" t="str">
            <v>PORTA DE MADEIRA, FOLHA MEDIA (NBR 15930) DE 80 X 210 CM, E = 35 MM, NUCLEO SARRAFEADO, CAPA FRISADA EM HDF, ACABAMENTO MELAMINICO EM PADRAO MADEIRA</v>
          </cell>
          <cell r="C3848" t="str">
            <v xml:space="preserve">UN    </v>
          </cell>
          <cell r="D3848">
            <v>274.48</v>
          </cell>
        </row>
        <row r="3849">
          <cell r="A3849">
            <v>4992</v>
          </cell>
          <cell r="B3849" t="str">
            <v>PORTA DE MADEIRA, FOLHA MEDIA (NBR 15930) DE 80 X 210 CM, E = 35 MM, NUCLEO SARRAFEADO, CAPA LISA EM HDF, ACABAMENTO EM LAMINADO NATURAL PARA VERNIZ</v>
          </cell>
          <cell r="C3849" t="str">
            <v xml:space="preserve">UN    </v>
          </cell>
          <cell r="D3849">
            <v>272.22000000000003</v>
          </cell>
        </row>
        <row r="3850">
          <cell r="A3850">
            <v>10555</v>
          </cell>
          <cell r="B3850" t="str">
            <v>PORTA DE MADEIRA, FOLHA MEDIA (NBR 15930) DE 80 X 210 CM, E = 35 MM, NUCLEO SARRAFEADO, CAPA LISA EM HDF, ACABAMENTO EM PRIMER PARA PINTURA</v>
          </cell>
          <cell r="C3850" t="str">
            <v xml:space="preserve">UN    </v>
          </cell>
          <cell r="D3850">
            <v>241.38</v>
          </cell>
        </row>
        <row r="3851">
          <cell r="A3851">
            <v>4987</v>
          </cell>
          <cell r="B3851" t="str">
            <v>PORTA DE MADEIRA, FOLHA MEDIA (NBR 15930) DE 90 X 210 CM, E = 35 MM, NUCLEO SARRAFEADO, CAPA LISA EM HDF, ACABAMENTO EM LAMINADO NATURAL PARA VERNIZ</v>
          </cell>
          <cell r="C3851" t="str">
            <v xml:space="preserve">UN    </v>
          </cell>
          <cell r="D3851">
            <v>250.1</v>
          </cell>
        </row>
        <row r="3852">
          <cell r="A3852">
            <v>10556</v>
          </cell>
          <cell r="B3852" t="str">
            <v>PORTA DE MADEIRA, FOLHA MEDIA (NBR 15930) DE 90 X 210 CM, E = 35 MM, NUCLEO SARRAFEADO, CAPA LISA EM HDF, ACABAMENTO EM PRIMER PARA PINTURA</v>
          </cell>
          <cell r="C3852" t="str">
            <v xml:space="preserve">UN    </v>
          </cell>
          <cell r="D3852">
            <v>256.44</v>
          </cell>
        </row>
        <row r="3853">
          <cell r="A3853">
            <v>4958</v>
          </cell>
          <cell r="B3853" t="str">
            <v>PORTA DE MADEIRA, FOLHA MEDIA (NBR 15930), E = 35 MM, NUCLEO SARRAFEADO, CAPA FRISADA EM HDF, ACABAMENTO MELAMINICO EM PADRAO MADEIRA</v>
          </cell>
          <cell r="C3853" t="str">
            <v xml:space="preserve">M2    </v>
          </cell>
          <cell r="D3853">
            <v>146.56</v>
          </cell>
        </row>
        <row r="3854">
          <cell r="A3854">
            <v>39502</v>
          </cell>
          <cell r="B3854" t="str">
            <v>PORTA DE MADEIRA, FOLHA PESADA (NBR 15930) DE 80 X 210 CM, E = 35 MM, NUCLEO SOLIDO, CAPA LISA EM HDF, ACABAMENTO EM LAMINADO NATURAL PARA VERNIZ</v>
          </cell>
          <cell r="C3854" t="str">
            <v xml:space="preserve">UN    </v>
          </cell>
          <cell r="D3854">
            <v>355.22</v>
          </cell>
        </row>
        <row r="3855">
          <cell r="A3855">
            <v>39504</v>
          </cell>
          <cell r="B3855" t="str">
            <v>PORTA DE MADEIRA, FOLHA PESADA (NBR 15930) DE 80 X 210 CM, E = 35 MM, NUCLEO SOLIDO, CAPA LISA EM HDF, ACABAMENTO EM PRIMER PARA PINTURA</v>
          </cell>
          <cell r="C3855" t="str">
            <v xml:space="preserve">UN    </v>
          </cell>
          <cell r="D3855">
            <v>251.88</v>
          </cell>
        </row>
        <row r="3856">
          <cell r="A3856">
            <v>39503</v>
          </cell>
          <cell r="B3856" t="str">
            <v>PORTA DE MADEIRA, FOLHA PESADA (NBR 15930) DE 90 X 210 CM, E = 35 MM, NUCLEO SOLIDO, CAPA LISA EM HDF, ACABAMENTO EM LAMINADO NATURAL PARA VERNIZ</v>
          </cell>
          <cell r="C3856" t="str">
            <v xml:space="preserve">UN    </v>
          </cell>
          <cell r="D3856">
            <v>385.9</v>
          </cell>
        </row>
        <row r="3857">
          <cell r="A3857">
            <v>39505</v>
          </cell>
          <cell r="B3857" t="str">
            <v>PORTA DE MADEIRA, FOLHA PESADA (NBR 15930) DE 90 X 210 CM, E = 35 MM, NUCLEO SOLIDO, CAPA LISA EM HDF, ACABAMENTO EM PRIMER PARA PINTURA</v>
          </cell>
          <cell r="C3857" t="str">
            <v xml:space="preserve">UN    </v>
          </cell>
          <cell r="D3857">
            <v>274.48</v>
          </cell>
        </row>
        <row r="3858">
          <cell r="A3858">
            <v>25969</v>
          </cell>
          <cell r="B3858" t="str">
            <v>PORTA DENTE PARA FRESADORA</v>
          </cell>
          <cell r="C3858" t="str">
            <v xml:space="preserve">UN    </v>
          </cell>
          <cell r="D3858">
            <v>373.58</v>
          </cell>
        </row>
        <row r="3859">
          <cell r="A3859">
            <v>4944</v>
          </cell>
          <cell r="B3859" t="str">
            <v>PORTA GRADE DE ENROLAR MANUAL COMPLETA, PERFIL TUBULAR TIJOLINHO 3/4 ", EM ACO GALVANIZADO NATURAL (SEM INSTALACAO)</v>
          </cell>
          <cell r="C3859" t="str">
            <v xml:space="preserve">M2    </v>
          </cell>
          <cell r="D3859">
            <v>290.69</v>
          </cell>
        </row>
        <row r="3860">
          <cell r="A3860">
            <v>21102</v>
          </cell>
          <cell r="B3860" t="str">
            <v>PORTA TOALHA BANHO EM METAL CROMADO, TIPO BARRA</v>
          </cell>
          <cell r="C3860" t="str">
            <v xml:space="preserve">UN    </v>
          </cell>
          <cell r="D3860">
            <v>44.48</v>
          </cell>
        </row>
        <row r="3861">
          <cell r="A3861">
            <v>21101</v>
          </cell>
          <cell r="B3861" t="str">
            <v>PORTA TOALHA ROSTO EM METAL CROMADO, TIPO ARGOLA</v>
          </cell>
          <cell r="C3861" t="str">
            <v xml:space="preserve">UN    </v>
          </cell>
          <cell r="D3861">
            <v>28.56</v>
          </cell>
        </row>
        <row r="3862">
          <cell r="A3862">
            <v>34713</v>
          </cell>
          <cell r="B3862" t="str">
            <v>PORTA VIDRO TEMPERADO INCOLOR, 2 FOLHAS DE CORRER, E = 10 MM (SEM FERRAGENS E SEM COLOCACAO)</v>
          </cell>
          <cell r="C3862" t="str">
            <v xml:space="preserve">M2    </v>
          </cell>
          <cell r="D3862">
            <v>227.51</v>
          </cell>
        </row>
        <row r="3863">
          <cell r="A3863">
            <v>4947</v>
          </cell>
          <cell r="B3863" t="str">
            <v>PORTAO BASCULANTE MANUAL EM ACO GALVANIZADO NATURAL, TIPO LAMBRIL COM REQUADRO/BATENTE, CHAPA NUMERO 26, INCLUI FECHADURA (SEM INSTALACAO)</v>
          </cell>
          <cell r="C3863" t="str">
            <v xml:space="preserve">M2    </v>
          </cell>
          <cell r="D3863">
            <v>515.04</v>
          </cell>
        </row>
        <row r="3864">
          <cell r="A3864">
            <v>37563</v>
          </cell>
          <cell r="B3864" t="str">
            <v>PORTAO BASCULANTE, MANUAL, EM CHAPA TIPO LAMBRIL QUADRADO, COM REQUADRO, ACABAMENTO NATURAL</v>
          </cell>
          <cell r="C3864" t="str">
            <v xml:space="preserve">M2    </v>
          </cell>
          <cell r="D3864">
            <v>395.47</v>
          </cell>
        </row>
        <row r="3865">
          <cell r="A3865">
            <v>4948</v>
          </cell>
          <cell r="B3865" t="str">
            <v>PORTAO DE ABRIR EM GRADIL DE METALON REDONDO DE 3/4"  VERTICAL, COM REQUADRO, ACABAMENTO NATURAL - COMPLETO</v>
          </cell>
          <cell r="C3865" t="str">
            <v xml:space="preserve">M2    </v>
          </cell>
          <cell r="D3865">
            <v>358.91</v>
          </cell>
        </row>
        <row r="3866">
          <cell r="A3866">
            <v>37561</v>
          </cell>
          <cell r="B3866" t="str">
            <v>PORTAO DE CORRER EM CHAPA TIPO PAINEL LAMBRIL QUADRADO, COM PORTA SOCIAL COMPLETA INCLUIDA, COM REQUADRO, ACABAMENTO NATURAL, COM TRILHOS E ROLDANAS</v>
          </cell>
          <cell r="C3866" t="str">
            <v xml:space="preserve">M2    </v>
          </cell>
          <cell r="D3866">
            <v>738.24</v>
          </cell>
        </row>
        <row r="3867">
          <cell r="A3867">
            <v>37562</v>
          </cell>
          <cell r="B3867" t="str">
            <v>PORTAO DE CORRER EM GRADIL FIXO DE BARRA DE FERRO CHATA DE 3 X 1/4" NA VERTICAL, SEM REQUADRO, ACABAMENTO NATURAL, COM TRILHOS E ROLDANAS</v>
          </cell>
          <cell r="C3867" t="str">
            <v xml:space="preserve">M2    </v>
          </cell>
          <cell r="D3867">
            <v>473.51</v>
          </cell>
        </row>
        <row r="3868">
          <cell r="A3868">
            <v>37585</v>
          </cell>
          <cell r="B3868" t="str">
            <v>PORTINHOLA DE ABRIR EM ALUMINIO DE 60 X 80 CM, VENEZIANA VENTILADA 1 FOLHA, ACABAMENTO ANODIZADO NATURAL</v>
          </cell>
          <cell r="C3868" t="str">
            <v xml:space="preserve">UN    </v>
          </cell>
          <cell r="D3868">
            <v>339.26</v>
          </cell>
        </row>
        <row r="3869">
          <cell r="A3869">
            <v>14164</v>
          </cell>
          <cell r="B3869" t="str">
            <v>POSTE CONICO CONTINUO EM ACO GALVANIZADO, CURVO, BRACO DUPLO, ENGASTADO,  H = 9 M, DIAMETRO INFERIOR = *135* MM</v>
          </cell>
          <cell r="C3869" t="str">
            <v xml:space="preserve">UN    </v>
          </cell>
          <cell r="D3869">
            <v>1041.3800000000001</v>
          </cell>
        </row>
        <row r="3870">
          <cell r="A3870">
            <v>14163</v>
          </cell>
          <cell r="B3870" t="str">
            <v>POSTE CONICO CONTINUO EM ACO GALVANIZADO, CURVO, BRACO DUPLO, FLANGEADO,  H = 9 M, DIAMETRO INFERIOR = *135* MM</v>
          </cell>
          <cell r="C3870" t="str">
            <v xml:space="preserve">UN    </v>
          </cell>
          <cell r="D3870">
            <v>1183.5899999999999</v>
          </cell>
        </row>
        <row r="3871">
          <cell r="A3871">
            <v>5051</v>
          </cell>
          <cell r="B3871" t="str">
            <v>POSTE CONICO CONTINUO EM ACO GALVANIZADO, CURVO, BRACO SIMPLES, ENGASTADO,  H = 9 M, DIAMETRO INFERIOR = *135* MM</v>
          </cell>
          <cell r="C3871" t="str">
            <v xml:space="preserve">UN    </v>
          </cell>
          <cell r="D3871">
            <v>1006.63</v>
          </cell>
        </row>
        <row r="3872">
          <cell r="A3872">
            <v>14162</v>
          </cell>
          <cell r="B3872" t="str">
            <v>POSTE CONICO CONTINUO EM ACO GALVANIZADO, CURVO, BRACO SIMPLES, FLANGEADO,  H = 9 M, DIAMETRO INFERIOR = *135* MM</v>
          </cell>
          <cell r="C3872" t="str">
            <v xml:space="preserve">UN    </v>
          </cell>
          <cell r="D3872">
            <v>1005.17</v>
          </cell>
        </row>
        <row r="3873">
          <cell r="A3873">
            <v>5052</v>
          </cell>
          <cell r="B3873" t="str">
            <v>POSTE CONICO CONTINUO EM ACO GALVANIZADO, CURVO, BRACO SIMPLES, FLANGEADO, H = 7 M, DIAMETRO INFERIOR = *125* MM</v>
          </cell>
          <cell r="C3873" t="str">
            <v xml:space="preserve">UN    </v>
          </cell>
          <cell r="D3873">
            <v>750</v>
          </cell>
        </row>
        <row r="3874">
          <cell r="A3874">
            <v>14166</v>
          </cell>
          <cell r="B3874" t="str">
            <v>POSTE CONICO CONTINUO EM ACO GALVANIZADO, RETO, ENGASTADO,  H = 7 M, DIAMETRO INFERIOR = *125* MM</v>
          </cell>
          <cell r="C3874" t="str">
            <v xml:space="preserve">UN    </v>
          </cell>
          <cell r="D3874">
            <v>759.52</v>
          </cell>
        </row>
        <row r="3875">
          <cell r="A3875">
            <v>14165</v>
          </cell>
          <cell r="B3875" t="str">
            <v>POSTE CONICO CONTINUO EM ACO GALVANIZADO, RETO, ENGASTADO,  H = 9 M, DIAMETRO INFERIOR = *145* MM</v>
          </cell>
          <cell r="C3875" t="str">
            <v xml:space="preserve">UN    </v>
          </cell>
          <cell r="D3875">
            <v>1052.21</v>
          </cell>
        </row>
        <row r="3876">
          <cell r="A3876">
            <v>5050</v>
          </cell>
          <cell r="B3876" t="str">
            <v>POSTE CONICO CONTINUO EM ACO GALVANIZADO, RETO, FLANGEADO,  H = 3 M, DIAMETRO INFERIOR = *95* MM</v>
          </cell>
          <cell r="C3876" t="str">
            <v xml:space="preserve">UN    </v>
          </cell>
          <cell r="D3876">
            <v>258.97000000000003</v>
          </cell>
        </row>
        <row r="3877">
          <cell r="A3877">
            <v>12378</v>
          </cell>
          <cell r="B3877" t="str">
            <v>POSTE CONICO CONTINUO EM ACO GALVANIZADO, RETO, FLANGEADO, H = 6 M, DIAMETRO INFERIOR = *90* CM</v>
          </cell>
          <cell r="C3877" t="str">
            <v xml:space="preserve">UN    </v>
          </cell>
          <cell r="D3877">
            <v>615.57000000000005</v>
          </cell>
        </row>
        <row r="3878">
          <cell r="A3878">
            <v>12366</v>
          </cell>
          <cell r="B3878" t="str">
            <v>POSTE DE CONCRETO CIRCULAR, 150 KG, H = 10 M (NBR 8451)</v>
          </cell>
          <cell r="C3878" t="str">
            <v xml:space="preserve">UN    </v>
          </cell>
          <cell r="D3878">
            <v>540.11</v>
          </cell>
        </row>
        <row r="3879">
          <cell r="A3879">
            <v>5045</v>
          </cell>
          <cell r="B3879" t="str">
            <v>POSTE DE CONCRETO CIRCULAR, 200 KG, H = 11 M (NBR 8451)</v>
          </cell>
          <cell r="C3879" t="str">
            <v xml:space="preserve">UN    </v>
          </cell>
          <cell r="D3879">
            <v>752.13</v>
          </cell>
        </row>
        <row r="3880">
          <cell r="A3880">
            <v>5044</v>
          </cell>
          <cell r="B3880" t="str">
            <v>POSTE DE CONCRETO CIRCULAR, 200 KG, H = 9 M (NBR 8451)</v>
          </cell>
          <cell r="C3880" t="str">
            <v xml:space="preserve">UN    </v>
          </cell>
          <cell r="D3880">
            <v>530.64</v>
          </cell>
        </row>
        <row r="3881">
          <cell r="A3881">
            <v>5055</v>
          </cell>
          <cell r="B3881" t="str">
            <v>POSTE DE CONCRETO CIRCULAR, 300 KG, H = 11 M (NBR 8451)</v>
          </cell>
          <cell r="C3881" t="str">
            <v xml:space="preserve">UN    </v>
          </cell>
          <cell r="D3881">
            <v>754.43</v>
          </cell>
        </row>
        <row r="3882">
          <cell r="A3882">
            <v>5053</v>
          </cell>
          <cell r="B3882" t="str">
            <v>POSTE DE CONCRETO CIRCULAR, 300 KG, H = 9 M (NBR 8451)</v>
          </cell>
          <cell r="C3882" t="str">
            <v xml:space="preserve">UN    </v>
          </cell>
          <cell r="D3882">
            <v>587.19000000000005</v>
          </cell>
        </row>
        <row r="3883">
          <cell r="A3883">
            <v>5035</v>
          </cell>
          <cell r="B3883" t="str">
            <v>POSTE DE CONCRETO CIRCULAR, 400 KG, H = 11 M (NBR 8451)</v>
          </cell>
          <cell r="C3883" t="str">
            <v xml:space="preserve">UN    </v>
          </cell>
          <cell r="D3883">
            <v>960.05</v>
          </cell>
        </row>
        <row r="3884">
          <cell r="A3884">
            <v>5036</v>
          </cell>
          <cell r="B3884" t="str">
            <v>POSTE DE CONCRETO CIRCULAR, 400 KG, H = 14 M (NBR 8451)</v>
          </cell>
          <cell r="C3884" t="str">
            <v xml:space="preserve">UN    </v>
          </cell>
          <cell r="D3884">
            <v>1602.64</v>
          </cell>
        </row>
        <row r="3885">
          <cell r="A3885">
            <v>5059</v>
          </cell>
          <cell r="B3885" t="str">
            <v>POSTE DE CONCRETO CIRCULAR, 400 KG, H = 9 M (NBR 8451)</v>
          </cell>
          <cell r="C3885" t="str">
            <v xml:space="preserve">UN    </v>
          </cell>
          <cell r="D3885">
            <v>750.85</v>
          </cell>
        </row>
        <row r="3886">
          <cell r="A3886">
            <v>5034</v>
          </cell>
          <cell r="B3886" t="str">
            <v>POSTE DE CONCRETO CIRCULAR, 600 KG, H = 10 M (NBR 8451)</v>
          </cell>
          <cell r="C3886" t="str">
            <v xml:space="preserve">UN    </v>
          </cell>
          <cell r="D3886">
            <v>1036.0999999999999</v>
          </cell>
        </row>
        <row r="3887">
          <cell r="A3887">
            <v>5056</v>
          </cell>
          <cell r="B3887" t="str">
            <v>POSTE DE CONCRETO DUPLO T ,TIPO B, 500 KG, H = 9 M (NBR 8451)</v>
          </cell>
          <cell r="C3887" t="str">
            <v xml:space="preserve">UN    </v>
          </cell>
          <cell r="D3887">
            <v>805.07</v>
          </cell>
        </row>
        <row r="3888">
          <cell r="A3888">
            <v>5057</v>
          </cell>
          <cell r="B3888" t="str">
            <v>POSTE DE CONCRETO DUPLO T, TIPO B, 300 KG, H = 10 M (NBR 8451)</v>
          </cell>
          <cell r="C3888" t="str">
            <v xml:space="preserve">UN    </v>
          </cell>
          <cell r="D3888">
            <v>645.66</v>
          </cell>
        </row>
        <row r="3889">
          <cell r="A3889">
            <v>5033</v>
          </cell>
          <cell r="B3889" t="str">
            <v>POSTE DE CONCRETO DUPLO T, TIPO B, 300 KG, H = 9 M (NBR 8451)</v>
          </cell>
          <cell r="C3889" t="str">
            <v xml:space="preserve">UN    </v>
          </cell>
          <cell r="D3889">
            <v>536</v>
          </cell>
        </row>
        <row r="3890">
          <cell r="A3890">
            <v>5038</v>
          </cell>
          <cell r="B3890" t="str">
            <v>POSTE DE CONCRETO DUPLO T, TIPO D, 200 KG, H = 9 M (NBR 8451)</v>
          </cell>
          <cell r="C3890" t="str">
            <v xml:space="preserve">UN    </v>
          </cell>
          <cell r="D3890">
            <v>436.84</v>
          </cell>
        </row>
        <row r="3891">
          <cell r="A3891">
            <v>12372</v>
          </cell>
          <cell r="B3891" t="str">
            <v>POSTE DE CONCRETO DUPLO T, 200 KG, H = 11 M (NBR 8451)</v>
          </cell>
          <cell r="C3891" t="str">
            <v xml:space="preserve">UN    </v>
          </cell>
          <cell r="D3891">
            <v>575.66</v>
          </cell>
        </row>
        <row r="3892">
          <cell r="A3892">
            <v>13339</v>
          </cell>
          <cell r="B3892" t="str">
            <v>POSTE DE CONCRETO DUPLO T, 300 KG, H = 12 M (NBR 8451)</v>
          </cell>
          <cell r="C3892" t="str">
            <v xml:space="preserve">UN    </v>
          </cell>
          <cell r="D3892">
            <v>855.78</v>
          </cell>
        </row>
        <row r="3893">
          <cell r="A3893">
            <v>12373</v>
          </cell>
          <cell r="B3893" t="str">
            <v>POSTE DE CONCRETO DUPLO T, 400 KG,H = 12 M (NBR 8451)</v>
          </cell>
          <cell r="C3893" t="str">
            <v xml:space="preserve">UN    </v>
          </cell>
          <cell r="D3893">
            <v>896.19</v>
          </cell>
        </row>
        <row r="3894">
          <cell r="A3894">
            <v>12388</v>
          </cell>
          <cell r="B3894" t="str">
            <v>POSTE DECORATIVO PARA JARDIM EM ACO TUBULAR, SEM LUMINARIA, H = *2,5* M</v>
          </cell>
          <cell r="C3894" t="str">
            <v xml:space="preserve">UN    </v>
          </cell>
          <cell r="D3894">
            <v>153.29</v>
          </cell>
        </row>
        <row r="3895">
          <cell r="A3895">
            <v>34695</v>
          </cell>
          <cell r="B3895" t="str">
            <v>POSTE PADRAO SUBTERRANEO 100 A, H = 2,5 M</v>
          </cell>
          <cell r="C3895" t="str">
            <v xml:space="preserve">UN    </v>
          </cell>
          <cell r="D3895">
            <v>616.4</v>
          </cell>
        </row>
        <row r="3896">
          <cell r="A3896">
            <v>34692</v>
          </cell>
          <cell r="B3896" t="str">
            <v>POSTE PADRAO SUBTERRANEO 200 A, H = 2,5 M</v>
          </cell>
          <cell r="C3896" t="str">
            <v xml:space="preserve">UN    </v>
          </cell>
          <cell r="D3896">
            <v>1479.36</v>
          </cell>
        </row>
        <row r="3897">
          <cell r="A3897">
            <v>26028</v>
          </cell>
          <cell r="B3897" t="str">
            <v>POZOLANA DE CLASSE C</v>
          </cell>
          <cell r="C3897" t="str">
            <v xml:space="preserve">T     </v>
          </cell>
          <cell r="D3897">
            <v>245.24</v>
          </cell>
        </row>
        <row r="3898">
          <cell r="A3898">
            <v>11844</v>
          </cell>
          <cell r="B3898" t="str">
            <v>PRANCHA DE MADEIRA APARELHADA *4 X 30* CM, MACARANDUBA, ANGELIM OU EQUIVALENTE DA REGIAO</v>
          </cell>
          <cell r="C3898" t="str">
            <v xml:space="preserve">M     </v>
          </cell>
          <cell r="D3898">
            <v>27.78</v>
          </cell>
        </row>
        <row r="3899">
          <cell r="A3899">
            <v>4465</v>
          </cell>
          <cell r="B3899" t="str">
            <v>PRANCHA DE MADEIRA NAO APARELHADA *6 X 25* CM, MACARANDUBA, ANGELIM OU EQUIVALENTE DA REGIAO</v>
          </cell>
          <cell r="C3899" t="str">
            <v xml:space="preserve">M     </v>
          </cell>
          <cell r="D3899">
            <v>26.63</v>
          </cell>
        </row>
        <row r="3900">
          <cell r="A3900">
            <v>35273</v>
          </cell>
          <cell r="B3900" t="str">
            <v>PRANCHA DE MADEIRA NAO APARELHADA *6 X 30* CM, MACARANDUBA, ANGELIM OU EQUIVALENTE DA REGIAO</v>
          </cell>
          <cell r="C3900" t="str">
            <v xml:space="preserve">M     </v>
          </cell>
          <cell r="D3900">
            <v>29.42</v>
          </cell>
        </row>
        <row r="3901">
          <cell r="A3901">
            <v>4470</v>
          </cell>
          <cell r="B3901" t="str">
            <v>PRANCHA DE MADEIRA NAO APARELHADA *6 X 40* CM, MACARANDUBA, ANGELIM OU EQUIVALENTE DA REGIAO</v>
          </cell>
          <cell r="C3901" t="str">
            <v xml:space="preserve">M     </v>
          </cell>
          <cell r="D3901">
            <v>43.97</v>
          </cell>
        </row>
        <row r="3902">
          <cell r="A3902">
            <v>20204</v>
          </cell>
          <cell r="B3902" t="str">
            <v>PRANCHAO DE MADEIRA APARELHADA *7,5 X 23* CM (3 X 9 ") MACARANDUBA, ANGELIM OU EQUIVALENTE DA REGIAO</v>
          </cell>
          <cell r="C3902" t="str">
            <v xml:space="preserve">M     </v>
          </cell>
          <cell r="D3902">
            <v>39.24</v>
          </cell>
        </row>
        <row r="3903">
          <cell r="A3903">
            <v>20208</v>
          </cell>
          <cell r="B3903" t="str">
            <v>PRANCHAO DE MADEIRA APARELHADA *8 X 30* CM, MACARANDUBA, ANGELIM OU EQUIVALENTE DA REGIAO</v>
          </cell>
          <cell r="C3903" t="str">
            <v xml:space="preserve">M     </v>
          </cell>
          <cell r="D3903">
            <v>46.07</v>
          </cell>
        </row>
        <row r="3904">
          <cell r="A3904">
            <v>4437</v>
          </cell>
          <cell r="B3904" t="str">
            <v>PRANCHAO DE MADEIRA NAO APARELHADA *7,5 X 23* CM (3 x 9 ") MACARANDUBA, ANGELIM OU EQUIVALENTE DA REGIAO</v>
          </cell>
          <cell r="C3904" t="str">
            <v xml:space="preserve">M     </v>
          </cell>
          <cell r="D3904">
            <v>31.84</v>
          </cell>
        </row>
        <row r="3905">
          <cell r="A3905">
            <v>14580</v>
          </cell>
          <cell r="B3905" t="str">
            <v>PRANCHAO DE MADEIRA NAO APARELHADA *8 X 30* CM, MACARANDUBA, ANGELIM OU EQUIVALENTE DA REGIAO</v>
          </cell>
          <cell r="C3905" t="str">
            <v xml:space="preserve">M     </v>
          </cell>
          <cell r="D3905">
            <v>34.67</v>
          </cell>
        </row>
        <row r="3906">
          <cell r="A3906">
            <v>40304</v>
          </cell>
          <cell r="B3906" t="str">
            <v>PREGO DE ACO POLIDO COM CABECA DUPLA 17 X 27 (2 1/2 X 11)</v>
          </cell>
          <cell r="C3906" t="str">
            <v xml:space="preserve">KG    </v>
          </cell>
          <cell r="D3906">
            <v>13.68</v>
          </cell>
        </row>
        <row r="3907">
          <cell r="A3907">
            <v>5065</v>
          </cell>
          <cell r="B3907" t="str">
            <v>PREGO DE ACO POLIDO COM CABECA 10 X 10 (7/8 X 17)</v>
          </cell>
          <cell r="C3907" t="str">
            <v xml:space="preserve">KG    </v>
          </cell>
          <cell r="D3907">
            <v>21.09</v>
          </cell>
        </row>
        <row r="3908">
          <cell r="A3908">
            <v>5072</v>
          </cell>
          <cell r="B3908" t="str">
            <v>PREGO DE ACO POLIDO COM CABECA 10 X 11 (1 X 17)</v>
          </cell>
          <cell r="C3908" t="str">
            <v xml:space="preserve">KG    </v>
          </cell>
          <cell r="D3908">
            <v>19.510000000000002</v>
          </cell>
        </row>
        <row r="3909">
          <cell r="A3909">
            <v>5066</v>
          </cell>
          <cell r="B3909" t="str">
            <v>PREGO DE ACO POLIDO COM CABECA 12 X 12</v>
          </cell>
          <cell r="C3909" t="str">
            <v xml:space="preserve">KG    </v>
          </cell>
          <cell r="D3909">
            <v>14.61</v>
          </cell>
        </row>
        <row r="3910">
          <cell r="A3910">
            <v>5063</v>
          </cell>
          <cell r="B3910" t="str">
            <v>PREGO DE ACO POLIDO COM CABECA 14 X 18 (1 1/2 X 14)</v>
          </cell>
          <cell r="C3910" t="str">
            <v xml:space="preserve">KG    </v>
          </cell>
          <cell r="D3910">
            <v>13.23</v>
          </cell>
        </row>
        <row r="3911">
          <cell r="A3911">
            <v>20247</v>
          </cell>
          <cell r="B3911" t="str">
            <v>PREGO DE ACO POLIDO COM CABECA 15 X 15 (1 1/4 X 13)</v>
          </cell>
          <cell r="C3911" t="str">
            <v xml:space="preserve">KG    </v>
          </cell>
          <cell r="D3911">
            <v>12.27</v>
          </cell>
        </row>
        <row r="3912">
          <cell r="A3912">
            <v>5074</v>
          </cell>
          <cell r="B3912" t="str">
            <v>PREGO DE ACO POLIDO COM CABECA 15 X 18 (1 1/2 X 13)</v>
          </cell>
          <cell r="C3912" t="str">
            <v xml:space="preserve">KG    </v>
          </cell>
          <cell r="D3912">
            <v>12.42</v>
          </cell>
        </row>
        <row r="3913">
          <cell r="A3913">
            <v>5067</v>
          </cell>
          <cell r="B3913" t="str">
            <v>PREGO DE ACO POLIDO COM CABECA 16 X 24 (2 1/4 X 12)</v>
          </cell>
          <cell r="C3913" t="str">
            <v xml:space="preserve">KG    </v>
          </cell>
          <cell r="D3913">
            <v>11.81</v>
          </cell>
        </row>
        <row r="3914">
          <cell r="A3914">
            <v>5078</v>
          </cell>
          <cell r="B3914" t="str">
            <v>PREGO DE ACO POLIDO COM CABECA 16 X 27 (2 1/2 X 12)</v>
          </cell>
          <cell r="C3914" t="str">
            <v xml:space="preserve">KG    </v>
          </cell>
          <cell r="D3914">
            <v>11.68</v>
          </cell>
        </row>
        <row r="3915">
          <cell r="A3915">
            <v>5068</v>
          </cell>
          <cell r="B3915" t="str">
            <v>PREGO DE ACO POLIDO COM CABECA 17 X 21 (2 X 11)</v>
          </cell>
          <cell r="C3915" t="str">
            <v xml:space="preserve">KG    </v>
          </cell>
          <cell r="D3915">
            <v>11.09</v>
          </cell>
        </row>
        <row r="3916">
          <cell r="A3916">
            <v>5073</v>
          </cell>
          <cell r="B3916" t="str">
            <v>PREGO DE ACO POLIDO COM CABECA 17 X 24 (2 1/4 X 11)</v>
          </cell>
          <cell r="C3916" t="str">
            <v xml:space="preserve">KG    </v>
          </cell>
          <cell r="D3916">
            <v>11.3</v>
          </cell>
        </row>
        <row r="3917">
          <cell r="A3917">
            <v>5069</v>
          </cell>
          <cell r="B3917" t="str">
            <v>PREGO DE ACO POLIDO COM CABECA 17 X 27 (2 1/2 X 11)</v>
          </cell>
          <cell r="C3917" t="str">
            <v xml:space="preserve">KG    </v>
          </cell>
          <cell r="D3917">
            <v>11.3</v>
          </cell>
        </row>
        <row r="3918">
          <cell r="A3918">
            <v>5070</v>
          </cell>
          <cell r="B3918" t="str">
            <v>PREGO DE ACO POLIDO COM CABECA 17 X 30 (2 3/4 X 11)</v>
          </cell>
          <cell r="C3918" t="str">
            <v xml:space="preserve">KG    </v>
          </cell>
          <cell r="D3918">
            <v>11.42</v>
          </cell>
        </row>
        <row r="3919">
          <cell r="A3919">
            <v>5071</v>
          </cell>
          <cell r="B3919" t="str">
            <v>PREGO DE ACO POLIDO COM CABECA 18 X 24 (2 1/4 X 10)</v>
          </cell>
          <cell r="C3919" t="str">
            <v xml:space="preserve">KG    </v>
          </cell>
          <cell r="D3919">
            <v>11.09</v>
          </cell>
        </row>
        <row r="3920">
          <cell r="A3920">
            <v>5061</v>
          </cell>
          <cell r="B3920" t="str">
            <v>PREGO DE ACO POLIDO COM CABECA 18 X 27 (2 1/2 X 10)</v>
          </cell>
          <cell r="C3920" t="str">
            <v xml:space="preserve">KG    </v>
          </cell>
          <cell r="D3920">
            <v>10.9</v>
          </cell>
        </row>
        <row r="3921">
          <cell r="A3921">
            <v>5075</v>
          </cell>
          <cell r="B3921" t="str">
            <v>PREGO DE ACO POLIDO COM CABECA 18 X 30 (2 3/4 X 10)</v>
          </cell>
          <cell r="C3921" t="str">
            <v xml:space="preserve">KG    </v>
          </cell>
          <cell r="D3921">
            <v>11.09</v>
          </cell>
        </row>
        <row r="3922">
          <cell r="A3922">
            <v>39027</v>
          </cell>
          <cell r="B3922" t="str">
            <v>PREGO DE ACO POLIDO COM CABECA 19  X 36 (3 1/4  X  9)</v>
          </cell>
          <cell r="C3922" t="str">
            <v xml:space="preserve">KG    </v>
          </cell>
          <cell r="D3922">
            <v>11.07</v>
          </cell>
        </row>
        <row r="3923">
          <cell r="A3923">
            <v>5062</v>
          </cell>
          <cell r="B3923" t="str">
            <v>PREGO DE ACO POLIDO COM CABECA 19 X 33 (3 X 9)</v>
          </cell>
          <cell r="C3923" t="str">
            <v xml:space="preserve">KG    </v>
          </cell>
          <cell r="D3923">
            <v>11.23</v>
          </cell>
        </row>
        <row r="3924">
          <cell r="A3924">
            <v>40568</v>
          </cell>
          <cell r="B3924" t="str">
            <v>PREGO DE ACO POLIDO COM CABECA 22 X 48 (4 1/4 X 5)</v>
          </cell>
          <cell r="C3924" t="str">
            <v xml:space="preserve">KG    </v>
          </cell>
          <cell r="D3924">
            <v>11.17</v>
          </cell>
        </row>
        <row r="3925">
          <cell r="A3925">
            <v>39026</v>
          </cell>
          <cell r="B3925" t="str">
            <v>PREGO DE ACO POLIDO SEM CABECA 15 X 15 (1 1/4 X 13)</v>
          </cell>
          <cell r="C3925" t="str">
            <v xml:space="preserve">KG    </v>
          </cell>
          <cell r="D3925">
            <v>12.46</v>
          </cell>
        </row>
        <row r="3926">
          <cell r="A3926">
            <v>11572</v>
          </cell>
          <cell r="B3926" t="str">
            <v>PRENDEDOR / TRAVA DE PORTA, MONTAGEM PISO / PORTA, EM LATAO / ZAMAC, CROMADO</v>
          </cell>
          <cell r="C3926" t="str">
            <v xml:space="preserve">UN    </v>
          </cell>
          <cell r="D3926">
            <v>16.13</v>
          </cell>
        </row>
        <row r="3927">
          <cell r="A3927">
            <v>42431</v>
          </cell>
          <cell r="B3927" t="str">
            <v>PRESSAO DE PERNAS TRIPLO, EM TUBO DE ACO CARBONO, PINTURA NO PROCESSO ELETROSTATICO - EQUIPAMENTO DE GINASTICA PARA ACADEMIA AO AR LIVRE / ACADEMIA DA TERCEIRA IDADE - ATI</v>
          </cell>
          <cell r="C3927" t="str">
            <v xml:space="preserve">UN    </v>
          </cell>
          <cell r="D3927">
            <v>2248.1799999999998</v>
          </cell>
        </row>
        <row r="3928">
          <cell r="A3928">
            <v>11149</v>
          </cell>
          <cell r="B3928" t="str">
            <v>PRIMER EPOXI</v>
          </cell>
          <cell r="C3928" t="str">
            <v xml:space="preserve">GL    </v>
          </cell>
          <cell r="D3928">
            <v>165.52</v>
          </cell>
        </row>
        <row r="3929">
          <cell r="A3929">
            <v>511</v>
          </cell>
          <cell r="B3929" t="str">
            <v>PRIMER PARA MANTA ASFALTICA A BASE DE ASFALTO MODIFICADO DILUIDO EM SOLVENTE, APLICACAO A FRIO</v>
          </cell>
          <cell r="C3929" t="str">
            <v xml:space="preserve">L     </v>
          </cell>
          <cell r="D3929">
            <v>14.63</v>
          </cell>
        </row>
        <row r="3930">
          <cell r="A3930">
            <v>11174</v>
          </cell>
          <cell r="B3930" t="str">
            <v>PRIMER UNIVERSAL, FUNDO ANTICORROSIVO TIPO ZARCAO</v>
          </cell>
          <cell r="C3930" t="str">
            <v xml:space="preserve">18L   </v>
          </cell>
          <cell r="D3930">
            <v>469.95</v>
          </cell>
        </row>
        <row r="3931">
          <cell r="A3931">
            <v>37540</v>
          </cell>
          <cell r="B3931" t="str">
            <v>PROJETOR DE ARGAMASSA, CAPACIDADE DE PROJECAO 1,5 M3/H, ALCANCE DA PROJECAO 30 ATE 60 M, MOTOR ELETRICO TRIFASICO</v>
          </cell>
          <cell r="C3931" t="str">
            <v xml:space="preserve">UN    </v>
          </cell>
          <cell r="D3931">
            <v>60900.44</v>
          </cell>
        </row>
        <row r="3932">
          <cell r="A3932">
            <v>37548</v>
          </cell>
          <cell r="B3932" t="str">
            <v>PROJETOR DE ARGAMASSA, CAPACIDADE DE PROJECAO 2,0 M3/H, ALCANCE DA PROJECAO ATE 50 M, MOTOR ELETRICO TRIFASICO</v>
          </cell>
          <cell r="C3932" t="str">
            <v xml:space="preserve">UN    </v>
          </cell>
          <cell r="D3932">
            <v>80723.23</v>
          </cell>
        </row>
        <row r="3933">
          <cell r="A3933">
            <v>39828</v>
          </cell>
          <cell r="B3933" t="str">
            <v>PROJETOR PNEUMATICO DE ARGAMASSA PARA CHAPISCO E REBOCO COM RECIPIENTE ACOPLADO, TIPO CANEQUNHA, COM VOLUME DE 1,50 L, SEM COMPRESSOR</v>
          </cell>
          <cell r="C3933" t="str">
            <v xml:space="preserve">UN    </v>
          </cell>
          <cell r="D3933">
            <v>484.26</v>
          </cell>
        </row>
        <row r="3934">
          <cell r="A3934">
            <v>12273</v>
          </cell>
          <cell r="B3934" t="str">
            <v>PROJETOR RETANGULAR FECHADO PARA LAMPADA VAPOR DE MERCURIO/SODIO 250 W A 500 W, CABECEIRAS EM ALUMINIO FUNDIDO, CORPO EM ALUMINIO ANODIZADO, PARA LAMPADA E40 FECHAMENTO EM VIDRO TEMPERADO.</v>
          </cell>
          <cell r="C3934" t="str">
            <v xml:space="preserve">UN    </v>
          </cell>
          <cell r="D3934">
            <v>52.55</v>
          </cell>
        </row>
        <row r="3935">
          <cell r="A3935">
            <v>38392</v>
          </cell>
          <cell r="B3935" t="str">
            <v>PROLONGADOR/EXTENSOR PARA ROLO DE PINTURA 3 M</v>
          </cell>
          <cell r="C3935" t="str">
            <v xml:space="preserve">UN    </v>
          </cell>
          <cell r="D3935">
            <v>45.3</v>
          </cell>
        </row>
        <row r="3936">
          <cell r="A3936">
            <v>11735</v>
          </cell>
          <cell r="B3936" t="str">
            <v>PROLONGAMENTO PVC PARA CAIXA SIFONADA  100 MM X 200 MM (NBR 5688)</v>
          </cell>
          <cell r="C3936" t="str">
            <v xml:space="preserve">UN    </v>
          </cell>
          <cell r="D3936">
            <v>3.98</v>
          </cell>
        </row>
        <row r="3937">
          <cell r="A3937">
            <v>11733</v>
          </cell>
          <cell r="B3937" t="str">
            <v>PROLONGAMENTO PVC PARA CAIXA SIFONADA 100 MM X 100 MM (NBR 5688)</v>
          </cell>
          <cell r="C3937" t="str">
            <v xml:space="preserve">UN    </v>
          </cell>
          <cell r="D3937">
            <v>1.95</v>
          </cell>
        </row>
        <row r="3938">
          <cell r="A3938">
            <v>11734</v>
          </cell>
          <cell r="B3938" t="str">
            <v>PROLONGAMENTO PVC PARA CAIXA SIFONADA, 100 MM X 150 MM (NBR 5688)</v>
          </cell>
          <cell r="C3938" t="str">
            <v xml:space="preserve">UN    </v>
          </cell>
          <cell r="D3938">
            <v>3</v>
          </cell>
        </row>
        <row r="3939">
          <cell r="A3939">
            <v>11737</v>
          </cell>
          <cell r="B3939" t="str">
            <v>PROLONGAMENTO PVC PARA CAIXA SIFONADA, 150 MM X 150 MM (NBR 5688)</v>
          </cell>
          <cell r="C3939" t="str">
            <v xml:space="preserve">UN    </v>
          </cell>
          <cell r="D3939">
            <v>5.32</v>
          </cell>
        </row>
        <row r="3940">
          <cell r="A3940">
            <v>11738</v>
          </cell>
          <cell r="B3940" t="str">
            <v>PROLONGAMENTO PVC PARA CAIXA SIFONADA, 150 MM X 200 MM (NBR 5688)</v>
          </cell>
          <cell r="C3940" t="str">
            <v xml:space="preserve">UN    </v>
          </cell>
          <cell r="D3940">
            <v>8.64</v>
          </cell>
        </row>
        <row r="3941">
          <cell r="A3941">
            <v>36143</v>
          </cell>
          <cell r="B3941" t="str">
            <v>PROTETOR AUDITIVO TIPO CONCHA COM ABAFADOR DE RUIDOS, ATENUACAO ACIMA DE 22 DB</v>
          </cell>
          <cell r="C3941" t="str">
            <v xml:space="preserve">UN    </v>
          </cell>
          <cell r="D3941">
            <v>23.06</v>
          </cell>
        </row>
        <row r="3942">
          <cell r="A3942">
            <v>36142</v>
          </cell>
          <cell r="B3942" t="str">
            <v>PROTETOR AUDITIVO TIPO PLUG DE INSERCAO COM CORDAO, ATENUACAO SUPERIOR A 15 DB</v>
          </cell>
          <cell r="C3942" t="str">
            <v xml:space="preserve">UN    </v>
          </cell>
          <cell r="D3942">
            <v>1.68</v>
          </cell>
        </row>
        <row r="3943">
          <cell r="A3943">
            <v>36146</v>
          </cell>
          <cell r="B3943" t="str">
            <v>PROTETOR SOLAR FPS 30, EMBALAGEM 2 LITROS</v>
          </cell>
          <cell r="C3943" t="str">
            <v xml:space="preserve">UN    </v>
          </cell>
          <cell r="D3943">
            <v>191.25</v>
          </cell>
        </row>
        <row r="3944">
          <cell r="A3944">
            <v>39015</v>
          </cell>
          <cell r="B3944" t="str">
            <v>PROTETOR/PONTEIRA PLASTICA PARA PONTA DE VERGALHAO DE ATE 1", TIPO PROTETOR DE ESPERA</v>
          </cell>
          <cell r="C3944" t="str">
            <v xml:space="preserve">UN    </v>
          </cell>
          <cell r="D3944">
            <v>0.64</v>
          </cell>
        </row>
        <row r="3945">
          <cell r="A3945">
            <v>38377</v>
          </cell>
          <cell r="B3945" t="str">
            <v>PRUMO DE CENTRO EM ACO *400* G</v>
          </cell>
          <cell r="C3945" t="str">
            <v xml:space="preserve">UN    </v>
          </cell>
          <cell r="D3945">
            <v>24.1</v>
          </cell>
        </row>
        <row r="3946">
          <cell r="A3946">
            <v>38376</v>
          </cell>
          <cell r="B3946" t="str">
            <v>PRUMO DE PAREDE EM ACO 700 A 750 G</v>
          </cell>
          <cell r="C3946" t="str">
            <v xml:space="preserve">UN    </v>
          </cell>
          <cell r="D3946">
            <v>27.48</v>
          </cell>
        </row>
        <row r="3947">
          <cell r="A3947">
            <v>38116</v>
          </cell>
          <cell r="B3947" t="str">
            <v>PULSADOR CAMPAINHA 10A, 250V (APENAS MODULO)</v>
          </cell>
          <cell r="C3947" t="str">
            <v xml:space="preserve">UN    </v>
          </cell>
          <cell r="D3947">
            <v>4.38</v>
          </cell>
        </row>
        <row r="3948">
          <cell r="A3948">
            <v>38066</v>
          </cell>
          <cell r="B3948" t="str">
            <v>PULSADOR CAMPAINHA 10A, 250V, CONJUNTO MONTADO PARA EMBUTIR 4" X 2" (PLACA + SUPORTE + MODULO)</v>
          </cell>
          <cell r="C3948" t="str">
            <v xml:space="preserve">UN    </v>
          </cell>
          <cell r="D3948">
            <v>7.23</v>
          </cell>
        </row>
        <row r="3949">
          <cell r="A3949">
            <v>38117</v>
          </cell>
          <cell r="B3949" t="str">
            <v>PULSADOR MINUTERIA 10A, 250V (APENAS MODULO)</v>
          </cell>
          <cell r="C3949" t="str">
            <v xml:space="preserve">UN    </v>
          </cell>
          <cell r="D3949">
            <v>7.45</v>
          </cell>
        </row>
        <row r="3950">
          <cell r="A3950">
            <v>38067</v>
          </cell>
          <cell r="B3950" t="str">
            <v>PULSADOR MINUTERIA 10A, 250V, CONJUNTO MONTADO PARA EMBUTIR 4" X 2" (PLACA + SUPORTE + MODULO)</v>
          </cell>
          <cell r="C3950" t="str">
            <v xml:space="preserve">UN    </v>
          </cell>
          <cell r="D3950">
            <v>10.18</v>
          </cell>
        </row>
        <row r="3951">
          <cell r="A3951">
            <v>41757</v>
          </cell>
          <cell r="B3951" t="str">
            <v>PULVERIZADOR DE TINTA ELETRICO / MAQUINA DE PINTURA AIRLESS, VAZAO *2* L/MIN (COLETADO CAIXA)</v>
          </cell>
          <cell r="C3951" t="str">
            <v xml:space="preserve">UN    </v>
          </cell>
          <cell r="D3951">
            <v>6889.35</v>
          </cell>
        </row>
        <row r="3952">
          <cell r="A3952">
            <v>5080</v>
          </cell>
          <cell r="B3952" t="str">
            <v>PUXADOR CENTRAL, TIPO ALCA, EM ZAMAC CROMADO, COM ROSETAS, COMPRIMENTO *100* MM, PARA PORTA / JANELA EM MADEIRA OU METALICA - INCLUI PARAFUSOS</v>
          </cell>
          <cell r="C3952" t="str">
            <v xml:space="preserve">UN    </v>
          </cell>
          <cell r="D3952">
            <v>11.43</v>
          </cell>
        </row>
        <row r="3953">
          <cell r="A3953">
            <v>11522</v>
          </cell>
          <cell r="B3953" t="str">
            <v>PUXADOR CONCHA DE EMBUTIR PARA JANELA / PORTA DE CORRER, EM LATAO CROMADO, COM FURO CENTRAL PARA CHAVE E FUROS PARA PARAFUSOS, *40 X 100* MM  (LARGURA X ALTURA) - SEM FECHADURA</v>
          </cell>
          <cell r="C3953" t="str">
            <v xml:space="preserve">UN    </v>
          </cell>
          <cell r="D3953">
            <v>14.29</v>
          </cell>
        </row>
        <row r="3954">
          <cell r="A3954">
            <v>11523</v>
          </cell>
          <cell r="B3954" t="str">
            <v>PUXADOR CONCHA DE EMBUTIR, EM LATAO CROMADO, PARA PORTA / JANELA DE CORRER, LISO, SEM FURO PARA CHAVE, COM FUROS PARA FIXAR PARAFUSOS, *30 X 90* MM (LARGURA X ALTURA)</v>
          </cell>
          <cell r="C3954" t="str">
            <v xml:space="preserve">UN    </v>
          </cell>
          <cell r="D3954">
            <v>13.37</v>
          </cell>
        </row>
        <row r="3955">
          <cell r="A3955">
            <v>11524</v>
          </cell>
          <cell r="B3955" t="str">
            <v>PUXADOR TIPO PUNHO REDONDO, CENTRAL, EM LATAO CROMADO, COMPRIMENTO DE *110* MM, PARA JANELAS / PORTAS DE CORRER - INCLUI PARAFUSOS</v>
          </cell>
          <cell r="C3955" t="str">
            <v xml:space="preserve">UN    </v>
          </cell>
          <cell r="D3955">
            <v>27.54</v>
          </cell>
        </row>
        <row r="3956">
          <cell r="A3956">
            <v>38168</v>
          </cell>
          <cell r="B3956" t="str">
            <v>PUXADOR TUBULAR RETO, DUPLO, EM ALUMINIO POLIDO, DIAMETRO APROX.DE 1", COMPRIMENTO APROX. DE 400 MM, PARA PORTAS DE MADEIRA OU VIDRO</v>
          </cell>
          <cell r="C3956" t="str">
            <v xml:space="preserve">UN    </v>
          </cell>
          <cell r="D3956">
            <v>132.91999999999999</v>
          </cell>
        </row>
        <row r="3957">
          <cell r="A3957">
            <v>13393</v>
          </cell>
          <cell r="B3957" t="str">
            <v>QUADRO DE DISTRIBUICAO COM BARRAMENTO TRIFASICO, DE EMBUTIR, EM CHAPA DE ACO GALVANIZADO, PARA 12 DISJUNTORES DIN, 100 A</v>
          </cell>
          <cell r="C3957" t="str">
            <v xml:space="preserve">UN    </v>
          </cell>
          <cell r="D3957">
            <v>216.06</v>
          </cell>
        </row>
        <row r="3958">
          <cell r="A3958">
            <v>13395</v>
          </cell>
          <cell r="B3958" t="str">
            <v>QUADRO DE DISTRIBUICAO COM BARRAMENTO TRIFASICO, DE EMBUTIR, EM CHAPA DE ACO GALVANIZADO, PARA 18 DISJUNTORES DIN, 100 A</v>
          </cell>
          <cell r="C3958" t="str">
            <v xml:space="preserve">UN    </v>
          </cell>
          <cell r="D3958">
            <v>259.08</v>
          </cell>
        </row>
        <row r="3959">
          <cell r="A3959">
            <v>12039</v>
          </cell>
          <cell r="B3959" t="str">
            <v>QUADRO DE DISTRIBUICAO COM BARRAMENTO TRIFASICO, DE EMBUTIR, EM CHAPA DE ACO GALVANIZADO, PARA 24 DISJUNTORES DIN, 100 A</v>
          </cell>
          <cell r="C3959" t="str">
            <v xml:space="preserve">UN    </v>
          </cell>
          <cell r="D3959">
            <v>346.67</v>
          </cell>
        </row>
        <row r="3960">
          <cell r="A3960">
            <v>13396</v>
          </cell>
          <cell r="B3960" t="str">
            <v>QUADRO DE DISTRIBUICAO COM BARRAMENTO TRIFASICO, DE EMBUTIR, EM CHAPA DE ACO GALVANIZADO, PARA 28 DISJUNTORES DIN, 100 A</v>
          </cell>
          <cell r="C3960" t="str">
            <v xml:space="preserve">UN    </v>
          </cell>
          <cell r="D3960">
            <v>554.48</v>
          </cell>
        </row>
        <row r="3961">
          <cell r="A3961">
            <v>13397</v>
          </cell>
          <cell r="B3961" t="str">
            <v>QUADRO DE DISTRIBUICAO COM BARRAMENTO TRIFASICO, DE EMBUTIR, EM CHAPA DE ACO GALVANIZADO, PARA 30 DISJUNTORES DIN, 100 A</v>
          </cell>
          <cell r="C3961" t="str">
            <v xml:space="preserve">UN    </v>
          </cell>
          <cell r="D3961">
            <v>560.42999999999995</v>
          </cell>
        </row>
        <row r="3962">
          <cell r="A3962">
            <v>12041</v>
          </cell>
          <cell r="B3962" t="str">
            <v>QUADRO DE DISTRIBUICAO COM BARRAMENTO TRIFASICO, DE EMBUTIR, EM CHAPA DE ACO GALVANIZADO, PARA 30 DISJUNTORES DIN, 150 A</v>
          </cell>
          <cell r="C3962" t="str">
            <v xml:space="preserve">UN    </v>
          </cell>
          <cell r="D3962">
            <v>758.43</v>
          </cell>
        </row>
        <row r="3963">
          <cell r="A3963">
            <v>12043</v>
          </cell>
          <cell r="B3963" t="str">
            <v>QUADRO DE DISTRIBUICAO COM BARRAMENTO TRIFASICO, DE EMBUTIR, EM CHAPA DE ACO GALVANIZADO, PARA 30 DISJUNTORES DIN, 225 A</v>
          </cell>
          <cell r="C3963" t="str">
            <v xml:space="preserve">UN    </v>
          </cell>
          <cell r="D3963">
            <v>874.54</v>
          </cell>
        </row>
        <row r="3964">
          <cell r="A3964">
            <v>39762</v>
          </cell>
          <cell r="B3964" t="str">
            <v>QUADRO DE DISTRIBUICAO COM BARRAMENTO TRIFASICO, DE EMBUTIR, EM CHAPA DE ACO GALVANIZADO, PARA 36 DISJUNTORES DIN, 100 A</v>
          </cell>
          <cell r="C3964" t="str">
            <v xml:space="preserve">UN    </v>
          </cell>
          <cell r="D3964">
            <v>590.85</v>
          </cell>
        </row>
        <row r="3965">
          <cell r="A3965">
            <v>12042</v>
          </cell>
          <cell r="B3965" t="str">
            <v>QUADRO DE DISTRIBUICAO COM BARRAMENTO TRIFASICO, DE EMBUTIR, EM CHAPA DE ACO GALVANIZADO, PARA 40 DISJUNTORES DIN, 100 A</v>
          </cell>
          <cell r="C3965" t="str">
            <v xml:space="preserve">UN    </v>
          </cell>
          <cell r="D3965">
            <v>591</v>
          </cell>
        </row>
        <row r="3966">
          <cell r="A3966">
            <v>39763</v>
          </cell>
          <cell r="B3966" t="str">
            <v>QUADRO DE DISTRIBUICAO COM BARRAMENTO TRIFASICO, DE EMBUTIR, EM CHAPA DE ACO GALVANIZADO, PARA 48 DISJUNTORES DIN, 100 A</v>
          </cell>
          <cell r="C3966" t="str">
            <v xml:space="preserve">UN    </v>
          </cell>
          <cell r="D3966">
            <v>891.71</v>
          </cell>
        </row>
        <row r="3967">
          <cell r="A3967">
            <v>39756</v>
          </cell>
          <cell r="B3967" t="str">
            <v>QUADRO DE DISTRIBUICAO COM BARRAMENTO TRIFASICO, DE SOBREPOR, EM CHAPA DE ACO GALVANIZADO, PARA 12 DISJUNTORES DIN, 100 A</v>
          </cell>
          <cell r="C3967" t="str">
            <v xml:space="preserve">UN    </v>
          </cell>
          <cell r="D3967">
            <v>270.35000000000002</v>
          </cell>
        </row>
        <row r="3968">
          <cell r="A3968">
            <v>12038</v>
          </cell>
          <cell r="B3968" t="str">
            <v>QUADRO DE DISTRIBUICAO COM BARRAMENTO TRIFASICO, DE SOBREPOR, EM CHAPA DE ACO GALVANIZADO, PARA 18 DISJUNTORES DIN, 100 A</v>
          </cell>
          <cell r="C3968" t="str">
            <v xml:space="preserve">UN    </v>
          </cell>
          <cell r="D3968">
            <v>301.82</v>
          </cell>
        </row>
        <row r="3969">
          <cell r="A3969">
            <v>12040</v>
          </cell>
          <cell r="B3969" t="str">
            <v>QUADRO DE DISTRIBUICAO COM BARRAMENTO TRIFASICO, DE SOBREPOR, EM CHAPA DE ACO GALVANIZADO, PARA 24 DISJUNTORES DIN, 100 A</v>
          </cell>
          <cell r="C3969" t="str">
            <v xml:space="preserve">UN    </v>
          </cell>
          <cell r="D3969">
            <v>385.64</v>
          </cell>
        </row>
        <row r="3970">
          <cell r="A3970">
            <v>39757</v>
          </cell>
          <cell r="B3970" t="str">
            <v>QUADRO DE DISTRIBUICAO COM BARRAMENTO TRIFASICO, DE SOBREPOR, EM CHAPA DE ACO GALVANIZADO, PARA 28 DISJUNTORES DIN, 100 A</v>
          </cell>
          <cell r="C3970" t="str">
            <v xml:space="preserve">UN    </v>
          </cell>
          <cell r="D3970">
            <v>412.36</v>
          </cell>
        </row>
        <row r="3971">
          <cell r="A3971">
            <v>39758</v>
          </cell>
          <cell r="B3971" t="str">
            <v>QUADRO DE DISTRIBUICAO COM BARRAMENTO TRIFASICO, DE SOBREPOR, EM CHAPA DE ACO GALVANIZADO, PARA 30 DISJUNTORES DIN, 100 A</v>
          </cell>
          <cell r="C3971" t="str">
            <v xml:space="preserve">UN    </v>
          </cell>
          <cell r="D3971">
            <v>535.27</v>
          </cell>
        </row>
        <row r="3972">
          <cell r="A3972">
            <v>39759</v>
          </cell>
          <cell r="B3972" t="str">
            <v>QUADRO DE DISTRIBUICAO COM BARRAMENTO TRIFASICO, DE SOBREPOR, EM CHAPA DE ACO GALVANIZADO, PARA 36 DISJUNTORES DIN, 100 A</v>
          </cell>
          <cell r="C3972" t="str">
            <v xml:space="preserve">UN    </v>
          </cell>
          <cell r="D3972">
            <v>731.33</v>
          </cell>
        </row>
        <row r="3973">
          <cell r="A3973">
            <v>39760</v>
          </cell>
          <cell r="B3973" t="str">
            <v>QUADRO DE DISTRIBUICAO COM BARRAMENTO TRIFASICO, DE SOBREPOR, EM CHAPA DE ACO GALVANIZADO, PARA 40 DISJUNTORES DIN, 100 A</v>
          </cell>
          <cell r="C3973" t="str">
            <v xml:space="preserve">UN    </v>
          </cell>
          <cell r="D3973">
            <v>734.69</v>
          </cell>
        </row>
        <row r="3974">
          <cell r="A3974">
            <v>39761</v>
          </cell>
          <cell r="B3974" t="str">
            <v>QUADRO DE DISTRIBUICAO COM BARRAMENTO TRIFASICO, DE SOBREPOR, EM CHAPA DE ACO GALVANIZADO, PARA 48 DISJUNTORES DIN, 100 A</v>
          </cell>
          <cell r="C3974" t="str">
            <v xml:space="preserve">UN    </v>
          </cell>
          <cell r="D3974">
            <v>940.29</v>
          </cell>
        </row>
        <row r="3975">
          <cell r="A3975">
            <v>39765</v>
          </cell>
          <cell r="B3975" t="str">
            <v>QUADRO DE DISTRIBUICAO SEM BARRAMENTO, COM PORTA, DE EMBUTIR, EM CHAPA DE ACO GALVANIZADO, PARA 12 DISJUNTORES NEMA</v>
          </cell>
          <cell r="C3975" t="str">
            <v xml:space="preserve">UN    </v>
          </cell>
          <cell r="D3975">
            <v>41.75</v>
          </cell>
        </row>
        <row r="3976">
          <cell r="A3976">
            <v>13399</v>
          </cell>
          <cell r="B3976" t="str">
            <v>QUADRO DE DISTRIBUICAO SEM BARRAMENTO, COM PORTA, DE EMBUTIR, EM CHAPA DE ACO GALVANIZADO, PARA 3 DISJUNTORES NEMA</v>
          </cell>
          <cell r="C3976" t="str">
            <v xml:space="preserve">UN    </v>
          </cell>
          <cell r="D3976">
            <v>23.74</v>
          </cell>
        </row>
        <row r="3977">
          <cell r="A3977">
            <v>39764</v>
          </cell>
          <cell r="B3977" t="str">
            <v>QUADRO DE DISTRIBUICAO SEM BARRAMENTO, COM PORTA, DE EMBUTIR, EM CHAPA DE ACO GALVANIZADO, PARA 6 DISJUNTORES NEMA</v>
          </cell>
          <cell r="C3977" t="str">
            <v xml:space="preserve">UN    </v>
          </cell>
          <cell r="D3977">
            <v>32.65</v>
          </cell>
        </row>
        <row r="3978">
          <cell r="A3978">
            <v>39805</v>
          </cell>
          <cell r="B3978" t="str">
            <v>QUADRO DE DISTRIBUICAO, COM BARRAMENTO TERRA / NEUTRO, DE EMBUTIR, PARA 16 DISJUNTORES DIN</v>
          </cell>
          <cell r="C3978" t="str">
            <v xml:space="preserve">UN    </v>
          </cell>
          <cell r="D3978">
            <v>115.07</v>
          </cell>
        </row>
        <row r="3979">
          <cell r="A3979">
            <v>39806</v>
          </cell>
          <cell r="B3979" t="str">
            <v>QUADRO DE DISTRIBUICAO, COM BARRAMENTO TERRA / NEUTRO, DE EMBUTIR, PARA 24 DISJUNTORES DIN</v>
          </cell>
          <cell r="C3979" t="str">
            <v xml:space="preserve">UN    </v>
          </cell>
          <cell r="D3979">
            <v>217.3</v>
          </cell>
        </row>
        <row r="3980">
          <cell r="A3980">
            <v>39807</v>
          </cell>
          <cell r="B3980" t="str">
            <v>QUADRO DE DISTRIBUICAO, COM BARRAMENTO TERRA / NEUTRO, DE EMBUTIR, PARA 36 DISJUNTORES DIN</v>
          </cell>
          <cell r="C3980" t="str">
            <v xml:space="preserve">UN    </v>
          </cell>
          <cell r="D3980">
            <v>306.33</v>
          </cell>
        </row>
        <row r="3981">
          <cell r="A3981">
            <v>39804</v>
          </cell>
          <cell r="B3981" t="str">
            <v>QUADRO DE DISTRIBUICAO, COM BARRAMENTO TERRA / NEUTRO, DE EMBUTIR, PARA 8 DISJUNTORES DIN</v>
          </cell>
          <cell r="C3981" t="str">
            <v xml:space="preserve">UN    </v>
          </cell>
          <cell r="D3981">
            <v>64.61</v>
          </cell>
        </row>
        <row r="3982">
          <cell r="A3982">
            <v>39796</v>
          </cell>
          <cell r="B3982" t="str">
            <v>QUADRO DE DISTRIBUICAO, SEM BARRAMENTO, EM PVC, DE EMBUTIR, PARA 16 DISJUNTORES DIN</v>
          </cell>
          <cell r="C3982" t="str">
            <v xml:space="preserve">UN    </v>
          </cell>
          <cell r="D3982">
            <v>65.84</v>
          </cell>
        </row>
        <row r="3983">
          <cell r="A3983">
            <v>39797</v>
          </cell>
          <cell r="B3983" t="str">
            <v>QUADRO DE DISTRIBUICAO, SEM BARRAMENTO, EM PVC, DE EMBUTIR, PARA 24 DISJUNTORES DIN</v>
          </cell>
          <cell r="C3983" t="str">
            <v xml:space="preserve">UN    </v>
          </cell>
          <cell r="D3983">
            <v>87.43</v>
          </cell>
        </row>
        <row r="3984">
          <cell r="A3984">
            <v>39798</v>
          </cell>
          <cell r="B3984" t="str">
            <v>QUADRO DE DISTRIBUICAO, SEM BARRAMENTO, EM PVC, DE EMBUTIR, PARA 36 DISJUNTORES DIN</v>
          </cell>
          <cell r="C3984" t="str">
            <v xml:space="preserve">UN    </v>
          </cell>
          <cell r="D3984">
            <v>145.75</v>
          </cell>
        </row>
        <row r="3985">
          <cell r="A3985">
            <v>39794</v>
          </cell>
          <cell r="B3985" t="str">
            <v>QUADRO DE DISTRIBUICAO, SEM BARRAMENTO, EM PVC, DE EMBUTIR, PARA 4 DISJUNTORES DIN</v>
          </cell>
          <cell r="C3985" t="str">
            <v xml:space="preserve">UN    </v>
          </cell>
          <cell r="D3985">
            <v>20.72</v>
          </cell>
        </row>
        <row r="3986">
          <cell r="A3986">
            <v>39795</v>
          </cell>
          <cell r="B3986" t="str">
            <v>QUADRO DE DISTRIBUICAO, SEM BARRAMENTO, EM PVC, DE EMBUTIR, PARA 8 DISJUNTORES DIN</v>
          </cell>
          <cell r="C3986" t="str">
            <v xml:space="preserve">UN    </v>
          </cell>
          <cell r="D3986">
            <v>29.01</v>
          </cell>
        </row>
        <row r="3987">
          <cell r="A3987">
            <v>39801</v>
          </cell>
          <cell r="B3987" t="str">
            <v>QUADRO DE DISTRIBUICAO, SEM BARRAMENTO, EM PVC, DE SOBREPOR, PARA 16 DISJUNTORES DIN</v>
          </cell>
          <cell r="C3987" t="str">
            <v xml:space="preserve">UN    </v>
          </cell>
          <cell r="D3987">
            <v>74.22</v>
          </cell>
        </row>
        <row r="3988">
          <cell r="A3988">
            <v>39802</v>
          </cell>
          <cell r="B3988" t="str">
            <v>QUADRO DE DISTRIBUICAO, SEM BARRAMENTO, EM PVC, DE SOBREPOR, PARA 24 DISJUNTORES DIN</v>
          </cell>
          <cell r="C3988" t="str">
            <v xml:space="preserve">UN    </v>
          </cell>
          <cell r="D3988">
            <v>123.27</v>
          </cell>
        </row>
        <row r="3989">
          <cell r="A3989">
            <v>39803</v>
          </cell>
          <cell r="B3989" t="str">
            <v>QUADRO DE DISTRIBUICAO, SEM BARRAMENTO, EM PVC, DE SOBREPOR, PARA 36 DISJUNTORES DIN</v>
          </cell>
          <cell r="C3989" t="str">
            <v xml:space="preserve">UN    </v>
          </cell>
          <cell r="D3989">
            <v>170.81</v>
          </cell>
        </row>
        <row r="3990">
          <cell r="A3990">
            <v>39799</v>
          </cell>
          <cell r="B3990" t="str">
            <v>QUADRO DE DISTRIBUICAO, SEM BARRAMENTO, EM PVC, DE SOBREPOR, PARA 4 DISJUNTORES DIN</v>
          </cell>
          <cell r="C3990" t="str">
            <v xml:space="preserve">UN    </v>
          </cell>
          <cell r="D3990">
            <v>28.06</v>
          </cell>
        </row>
        <row r="3991">
          <cell r="A3991">
            <v>39800</v>
          </cell>
          <cell r="B3991" t="str">
            <v>QUADRO DE DISTRIBUICAO, SEM BARRAMENTO, EM PVC, DE SOBREPOR, PARA 8 DISJUNTORES DIN</v>
          </cell>
          <cell r="C3991" t="str">
            <v xml:space="preserve">UN    </v>
          </cell>
          <cell r="D3991">
            <v>47.22</v>
          </cell>
        </row>
        <row r="3992">
          <cell r="A3992">
            <v>4224</v>
          </cell>
          <cell r="B3992" t="str">
            <v>QUEROSENE</v>
          </cell>
          <cell r="C3992" t="str">
            <v xml:space="preserve">L     </v>
          </cell>
          <cell r="D3992">
            <v>12.31</v>
          </cell>
        </row>
        <row r="3993">
          <cell r="A3993">
            <v>21059</v>
          </cell>
          <cell r="B3993" t="str">
            <v>RALO FOFO COM REQUADRO, QUADRADO 150 X 150 MM</v>
          </cell>
          <cell r="C3993" t="str">
            <v xml:space="preserve">UN    </v>
          </cell>
          <cell r="D3993">
            <v>31.02</v>
          </cell>
        </row>
        <row r="3994">
          <cell r="A3994">
            <v>11234</v>
          </cell>
          <cell r="B3994" t="str">
            <v>RALO FOFO COM REQUADRO, QUADRADO 200 X 200 MM</v>
          </cell>
          <cell r="C3994" t="str">
            <v xml:space="preserve">UN    </v>
          </cell>
          <cell r="D3994">
            <v>46.75</v>
          </cell>
        </row>
        <row r="3995">
          <cell r="A3995">
            <v>21060</v>
          </cell>
          <cell r="B3995" t="str">
            <v>RALO FOFO COM REQUADRO, QUADRADO 250 X 250 MM</v>
          </cell>
          <cell r="C3995" t="str">
            <v xml:space="preserve">UN    </v>
          </cell>
          <cell r="D3995">
            <v>57.55</v>
          </cell>
        </row>
        <row r="3996">
          <cell r="A3996">
            <v>21061</v>
          </cell>
          <cell r="B3996" t="str">
            <v>RALO FOFO COM REQUADRO, QUADRADO 300 X 300 MM</v>
          </cell>
          <cell r="C3996" t="str">
            <v xml:space="preserve">UN    </v>
          </cell>
          <cell r="D3996">
            <v>71.930000000000007</v>
          </cell>
        </row>
        <row r="3997">
          <cell r="A3997">
            <v>21062</v>
          </cell>
          <cell r="B3997" t="str">
            <v>RALO FOFO COM REQUADRO, QUADRADO 400 X 400 MM</v>
          </cell>
          <cell r="C3997" t="str">
            <v xml:space="preserve">UN    </v>
          </cell>
          <cell r="D3997">
            <v>113.3</v>
          </cell>
        </row>
        <row r="3998">
          <cell r="A3998">
            <v>11708</v>
          </cell>
          <cell r="B3998" t="str">
            <v>RALO FOFO SEMIESFERICO, 100 MM, PARA LAJES/ CALHAS</v>
          </cell>
          <cell r="C3998" t="str">
            <v xml:space="preserve">UN    </v>
          </cell>
          <cell r="D3998">
            <v>12.36</v>
          </cell>
        </row>
        <row r="3999">
          <cell r="A3999">
            <v>11709</v>
          </cell>
          <cell r="B3999" t="str">
            <v>RALO FOFO SEMIESFERICO, 150 MM, PARA LAJES/ CALHAS</v>
          </cell>
          <cell r="C3999" t="str">
            <v xml:space="preserve">UN    </v>
          </cell>
          <cell r="D3999">
            <v>29.04</v>
          </cell>
        </row>
        <row r="4000">
          <cell r="A4000">
            <v>11710</v>
          </cell>
          <cell r="B4000" t="str">
            <v>RALO FOFO SEMIESFERICO, 200 MM, PARA LAJES/ CALHAS</v>
          </cell>
          <cell r="C4000" t="str">
            <v xml:space="preserve">UN    </v>
          </cell>
          <cell r="D4000">
            <v>66.760000000000005</v>
          </cell>
        </row>
        <row r="4001">
          <cell r="A4001">
            <v>11707</v>
          </cell>
          <cell r="B4001" t="str">
            <v>RALO FOFO SEMIESFERICO, 75 MM, PARA LAJES/ CALHAS</v>
          </cell>
          <cell r="C4001" t="str">
            <v xml:space="preserve">UN    </v>
          </cell>
          <cell r="D4001">
            <v>9.26</v>
          </cell>
        </row>
        <row r="4002">
          <cell r="A4002">
            <v>11739</v>
          </cell>
          <cell r="B4002" t="str">
            <v>RALO SECO PVC CONICO, 100 X 40 MM,  COM GRELHA REDONDA BRANCA</v>
          </cell>
          <cell r="C4002" t="str">
            <v xml:space="preserve">UN    </v>
          </cell>
          <cell r="D4002">
            <v>5.79</v>
          </cell>
        </row>
        <row r="4003">
          <cell r="A4003">
            <v>11711</v>
          </cell>
          <cell r="B4003" t="str">
            <v>RALO SECO PVC CONICO, 100 X 40 MM, COM GRELHA QUADRADA</v>
          </cell>
          <cell r="C4003" t="str">
            <v xml:space="preserve">UN    </v>
          </cell>
          <cell r="D4003">
            <v>8.48</v>
          </cell>
        </row>
        <row r="4004">
          <cell r="A4004">
            <v>5102</v>
          </cell>
          <cell r="B4004" t="str">
            <v>RALO SECO PVC QUADRADO, 100 X 100 X 53 MM, SAIDA 40 MM, COM GRELHA BRANCA</v>
          </cell>
          <cell r="C4004" t="str">
            <v xml:space="preserve">UN    </v>
          </cell>
          <cell r="D4004">
            <v>8.1999999999999993</v>
          </cell>
        </row>
        <row r="4005">
          <cell r="A4005">
            <v>11741</v>
          </cell>
          <cell r="B4005" t="str">
            <v>RALO SIFONADO PVC CILINDRICO, 100 X 40 MM,  COM GRELHA REDONDA BRANCA</v>
          </cell>
          <cell r="C4005" t="str">
            <v xml:space="preserve">UN    </v>
          </cell>
          <cell r="D4005">
            <v>5.97</v>
          </cell>
        </row>
        <row r="4006">
          <cell r="A4006">
            <v>11743</v>
          </cell>
          <cell r="B4006" t="str">
            <v>RALO SIFONADO PVC REDONDO CONICO, 100 X 40 MM, COM GRELHA  BRANCA REDONDA</v>
          </cell>
          <cell r="C4006" t="str">
            <v xml:space="preserve">UN    </v>
          </cell>
          <cell r="D4006">
            <v>5.42</v>
          </cell>
        </row>
        <row r="4007">
          <cell r="A4007">
            <v>11745</v>
          </cell>
          <cell r="B4007" t="str">
            <v>RALO SIFONADO PVC, QUADRADO, 100 X 100 X 53 MM, SAIDA 40 MM, COM GRELHA BRANCA</v>
          </cell>
          <cell r="C4007" t="str">
            <v xml:space="preserve">UN    </v>
          </cell>
          <cell r="D4007">
            <v>7.71</v>
          </cell>
        </row>
        <row r="4008">
          <cell r="A4008">
            <v>25961</v>
          </cell>
          <cell r="B4008" t="str">
            <v>RASTELEIRO</v>
          </cell>
          <cell r="C4008" t="str">
            <v xml:space="preserve">H     </v>
          </cell>
          <cell r="D4008">
            <v>9.3800000000000008</v>
          </cell>
        </row>
        <row r="4009">
          <cell r="A4009">
            <v>40985</v>
          </cell>
          <cell r="B4009" t="str">
            <v>RASTELEIRO (MENSALISTA)</v>
          </cell>
          <cell r="C4009" t="str">
            <v xml:space="preserve">MES   </v>
          </cell>
          <cell r="D4009">
            <v>1662.8</v>
          </cell>
        </row>
        <row r="4010">
          <cell r="A4010">
            <v>1088</v>
          </cell>
          <cell r="B4010" t="str">
            <v>REATOR ELETRONICO BIVOLT PARA 1 LAMPADA FLUORESCENTE DE 18/20 W</v>
          </cell>
          <cell r="C4010" t="str">
            <v xml:space="preserve">UN    </v>
          </cell>
          <cell r="D4010">
            <v>13.96</v>
          </cell>
        </row>
        <row r="4011">
          <cell r="A4011">
            <v>1087</v>
          </cell>
          <cell r="B4011" t="str">
            <v>REATOR ELETRONICO BIVOLT PARA 1 LAMPADA FLUORESCENTE DE 36/40 W</v>
          </cell>
          <cell r="C4011" t="str">
            <v xml:space="preserve">UN    </v>
          </cell>
          <cell r="D4011">
            <v>17.440000000000001</v>
          </cell>
        </row>
        <row r="4012">
          <cell r="A4012">
            <v>38777</v>
          </cell>
          <cell r="B4012" t="str">
            <v>REATOR ELETRONICO BIVOLT PARA 2 LAMPADAS FLUORESCENTES DE 14 W</v>
          </cell>
          <cell r="C4012" t="str">
            <v xml:space="preserve">UN    </v>
          </cell>
          <cell r="D4012">
            <v>34.729999999999997</v>
          </cell>
        </row>
        <row r="4013">
          <cell r="A4013">
            <v>1086</v>
          </cell>
          <cell r="B4013" t="str">
            <v>REATOR ELETRONICO BIVOLT PARA 2 LAMPADAS FLUORESCENTES DE 18/20 W</v>
          </cell>
          <cell r="C4013" t="str">
            <v xml:space="preserve">UN    </v>
          </cell>
          <cell r="D4013">
            <v>18.329999999999998</v>
          </cell>
        </row>
        <row r="4014">
          <cell r="A4014">
            <v>1079</v>
          </cell>
          <cell r="B4014" t="str">
            <v>REATOR ELETRONICO BIVOLT PARA 2 LAMPADAS FLUORESCENTES DE 36/40 W</v>
          </cell>
          <cell r="C4014" t="str">
            <v xml:space="preserve">UN    </v>
          </cell>
          <cell r="D4014">
            <v>18.940000000000001</v>
          </cell>
        </row>
        <row r="4015">
          <cell r="A4015">
            <v>39374</v>
          </cell>
          <cell r="B4015" t="str">
            <v>REATOR INTERNO/INTEGRADO PARA LAMPADA VAPOR METALICO 400 W, ALTO FATOR DE POTENCIA</v>
          </cell>
          <cell r="C4015" t="str">
            <v xml:space="preserve">UN    </v>
          </cell>
          <cell r="D4015">
            <v>96.66</v>
          </cell>
        </row>
        <row r="4016">
          <cell r="A4016">
            <v>1082</v>
          </cell>
          <cell r="B4016" t="str">
            <v>REATOR P/ LAMPADA VAPOR DE SODIO 250W USO EXT</v>
          </cell>
          <cell r="C4016" t="str">
            <v xml:space="preserve">UN    </v>
          </cell>
          <cell r="D4016">
            <v>119.11</v>
          </cell>
        </row>
        <row r="4017">
          <cell r="A4017">
            <v>12316</v>
          </cell>
          <cell r="B4017" t="str">
            <v>REATOR P/ 1 LAMPADA VAPOR DE MERCURIO 125W USO EXT</v>
          </cell>
          <cell r="C4017" t="str">
            <v xml:space="preserve">UN    </v>
          </cell>
          <cell r="D4017">
            <v>54.59</v>
          </cell>
        </row>
        <row r="4018">
          <cell r="A4018">
            <v>12317</v>
          </cell>
          <cell r="B4018" t="str">
            <v>REATOR P/ 1 LAMPADA VAPOR DE MERCURIO 250W USO EXT</v>
          </cell>
          <cell r="C4018" t="str">
            <v xml:space="preserve">UN    </v>
          </cell>
          <cell r="D4018">
            <v>65.099999999999994</v>
          </cell>
        </row>
        <row r="4019">
          <cell r="A4019">
            <v>12318</v>
          </cell>
          <cell r="B4019" t="str">
            <v>REATOR P/ 1 LAMPADA VAPOR DE MERCURIO 400W USO EXT</v>
          </cell>
          <cell r="C4019" t="str">
            <v xml:space="preserve">UN    </v>
          </cell>
          <cell r="D4019">
            <v>75</v>
          </cell>
        </row>
        <row r="4020">
          <cell r="A4020">
            <v>5104</v>
          </cell>
          <cell r="B4020" t="str">
            <v>REBITE DE ALUMINIO VAZADO DE REPUXO, 3,2 X 8 MM (1KG = 1025 UNIDADES)</v>
          </cell>
          <cell r="C4020" t="str">
            <v xml:space="preserve">KG    </v>
          </cell>
          <cell r="D4020">
            <v>45.64</v>
          </cell>
        </row>
        <row r="4021">
          <cell r="A4021">
            <v>26023</v>
          </cell>
          <cell r="B4021" t="str">
            <v>REBOLO ABRASIVO RETO DE USO GERAL GRAO 36, DE 6 X 1 " (DIAMETRO X ALTURA)</v>
          </cell>
          <cell r="C4021" t="str">
            <v xml:space="preserve">UN    </v>
          </cell>
          <cell r="D4021">
            <v>62.4</v>
          </cell>
        </row>
        <row r="4022">
          <cell r="A4022">
            <v>2710</v>
          </cell>
          <cell r="B4022" t="str">
            <v>REBOLO ABRASIVO RETO DE USO GERAL GRAO 36, DE 6 X 3/4 " (DIAMETRO X ALTURA)</v>
          </cell>
          <cell r="C4022" t="str">
            <v xml:space="preserve">UN    </v>
          </cell>
          <cell r="D4022">
            <v>49.83</v>
          </cell>
        </row>
        <row r="4023">
          <cell r="A4023">
            <v>14575</v>
          </cell>
          <cell r="B4023" t="str">
            <v>RECICLADORA DE ASFALTO A FRIO SOBRE RODAS, LARG. FRESAGEM 2,00 M, POT. 315 KW/422 HP</v>
          </cell>
          <cell r="C4023" t="str">
            <v xml:space="preserve">UN    </v>
          </cell>
          <cell r="D4023">
            <v>3773436.41</v>
          </cell>
        </row>
        <row r="4024">
          <cell r="A4024">
            <v>20034</v>
          </cell>
          <cell r="B4024" t="str">
            <v>REDUCAO EXCENTRICA PVC NBR 10569 P/REDE COLET ESG PB JE 150 X 100MM</v>
          </cell>
          <cell r="C4024" t="str">
            <v xml:space="preserve">UN    </v>
          </cell>
          <cell r="D4024">
            <v>62.25</v>
          </cell>
        </row>
        <row r="4025">
          <cell r="A4025">
            <v>20036</v>
          </cell>
          <cell r="B4025" t="str">
            <v>REDUCAO EXCENTRICA PVC NBR 10569 P/REDE COLET ESG PB JE 200 X 150MM</v>
          </cell>
          <cell r="C4025" t="str">
            <v xml:space="preserve">UN    </v>
          </cell>
          <cell r="D4025">
            <v>119.75</v>
          </cell>
        </row>
        <row r="4026">
          <cell r="A4026">
            <v>20037</v>
          </cell>
          <cell r="B4026" t="str">
            <v>REDUCAO EXCENTRICA PVC NBR 10569 P/REDE COLET ESG PB JE 250 X 200MM</v>
          </cell>
          <cell r="C4026" t="str">
            <v xml:space="preserve">UN    </v>
          </cell>
          <cell r="D4026">
            <v>225.88</v>
          </cell>
        </row>
        <row r="4027">
          <cell r="A4027">
            <v>20043</v>
          </cell>
          <cell r="B4027" t="str">
            <v>REDUCAO EXCENTRICA PVC P/ ESG PREDIAL DN 100 X 50MM</v>
          </cell>
          <cell r="C4027" t="str">
            <v xml:space="preserve">UN    </v>
          </cell>
          <cell r="D4027">
            <v>4.22</v>
          </cell>
        </row>
        <row r="4028">
          <cell r="A4028">
            <v>20044</v>
          </cell>
          <cell r="B4028" t="str">
            <v>REDUCAO EXCENTRICA PVC P/ ESG PREDIAL DN 100 X 75MM</v>
          </cell>
          <cell r="C4028" t="str">
            <v xml:space="preserve">UN    </v>
          </cell>
          <cell r="D4028">
            <v>4.93</v>
          </cell>
        </row>
        <row r="4029">
          <cell r="A4029">
            <v>20042</v>
          </cell>
          <cell r="B4029" t="str">
            <v>REDUCAO EXCENTRICA PVC P/ ESG PREDIAL DN 75 X 50MM</v>
          </cell>
          <cell r="C4029" t="str">
            <v xml:space="preserve">UN    </v>
          </cell>
          <cell r="D4029">
            <v>3.57</v>
          </cell>
        </row>
        <row r="4030">
          <cell r="A4030">
            <v>20046</v>
          </cell>
          <cell r="B4030" t="str">
            <v>REDUCAO EXCENTRICA PVC, SERIE R, DN 100 X 75 MM, PARA ESGOTO PREDIAL</v>
          </cell>
          <cell r="C4030" t="str">
            <v xml:space="preserve">UN    </v>
          </cell>
          <cell r="D4030">
            <v>10.46</v>
          </cell>
        </row>
        <row r="4031">
          <cell r="A4031">
            <v>20047</v>
          </cell>
          <cell r="B4031" t="str">
            <v>REDUCAO EXCENTRICA PVC, SERIE R, DN 150 X 100 MM, PARA ESGOTO PREDIAL</v>
          </cell>
          <cell r="C4031" t="str">
            <v xml:space="preserve">UN    </v>
          </cell>
          <cell r="D4031">
            <v>28.58</v>
          </cell>
        </row>
        <row r="4032">
          <cell r="A4032">
            <v>20045</v>
          </cell>
          <cell r="B4032" t="str">
            <v>REDUCAO EXCENTRICA PVC, SERIE R, DN 75 X 50 MM, PARA ESGOTO PREDIAL</v>
          </cell>
          <cell r="C4032" t="str">
            <v xml:space="preserve">UN    </v>
          </cell>
          <cell r="D4032">
            <v>4.3</v>
          </cell>
        </row>
        <row r="4033">
          <cell r="A4033">
            <v>20972</v>
          </cell>
          <cell r="B4033" t="str">
            <v>REDUCAO FIXA TIPO STORZ, ENGATE RAPIDO 2.1/2" X 1.1/2", EM LATAO, PARA INSTALACAO PREDIAL COMBATE A INCENDIO PREDIAL</v>
          </cell>
          <cell r="C4033" t="str">
            <v xml:space="preserve">UN    </v>
          </cell>
          <cell r="D4033">
            <v>72.849999999999994</v>
          </cell>
        </row>
        <row r="4034">
          <cell r="A4034">
            <v>20032</v>
          </cell>
          <cell r="B4034" t="str">
            <v>REDUCAO PVC PBA, JE, BB, DN 75 X 50 / DE 85 X 60 MM, PARA REDE DE AGUA</v>
          </cell>
          <cell r="C4034" t="str">
            <v xml:space="preserve">UN    </v>
          </cell>
          <cell r="D4034">
            <v>49.1</v>
          </cell>
        </row>
        <row r="4035">
          <cell r="A4035">
            <v>11321</v>
          </cell>
          <cell r="B4035" t="str">
            <v>REDUCAO PVC PBA, JE, PB, DN 100 X 50 / DE 110 X 60 MM, PARA REDE DE AGUA</v>
          </cell>
          <cell r="C4035" t="str">
            <v xml:space="preserve">UN    </v>
          </cell>
          <cell r="D4035">
            <v>22.38</v>
          </cell>
        </row>
        <row r="4036">
          <cell r="A4036">
            <v>11323</v>
          </cell>
          <cell r="B4036" t="str">
            <v>REDUCAO PVC PBA, JE, PB, DN 100 X 75 / DE 110 X 85 MM, PARA REDE DE AGUA</v>
          </cell>
          <cell r="C4036" t="str">
            <v xml:space="preserve">UN    </v>
          </cell>
          <cell r="D4036">
            <v>25.74</v>
          </cell>
        </row>
        <row r="4037">
          <cell r="A4037">
            <v>20327</v>
          </cell>
          <cell r="B4037" t="str">
            <v>REDUCAO PVC PBA, JE, PB, DN 75 X 50 / DE 85 X 60 MM, PARA REDE DE AGUA</v>
          </cell>
          <cell r="C4037" t="str">
            <v xml:space="preserve">UN    </v>
          </cell>
          <cell r="D4037">
            <v>14.61</v>
          </cell>
        </row>
        <row r="4038">
          <cell r="A4038">
            <v>25966</v>
          </cell>
          <cell r="B4038" t="str">
            <v>REDUTOR TIPO THINNER PARA ACABAMENTO</v>
          </cell>
          <cell r="C4038" t="str">
            <v xml:space="preserve">L     </v>
          </cell>
          <cell r="D4038">
            <v>15.73</v>
          </cell>
        </row>
        <row r="4039">
          <cell r="A4039">
            <v>13390</v>
          </cell>
          <cell r="B4039" t="str">
            <v>REFLETOR REDONDO EM ALUMINIO ANODIZADO PARA LAMPADA VAPOR DE MERCURIO/SODIO, CORPO EM ALUMINIO COM PINTURA EPOXI, PARA LAMPADA E-27 DE 300 W, COM SUPORTE REDONDO E ALCA REGULAVEL PARA FIXACAO.</v>
          </cell>
          <cell r="C4039" t="str">
            <v xml:space="preserve">UN    </v>
          </cell>
          <cell r="D4039">
            <v>68.900000000000006</v>
          </cell>
        </row>
        <row r="4040">
          <cell r="A4040">
            <v>6034</v>
          </cell>
          <cell r="B4040" t="str">
            <v>REGISTRO DE ESFERA DE PASSEIO, PVC PARA POLIETILENO, 20 MM</v>
          </cell>
          <cell r="C4040" t="str">
            <v xml:space="preserve">UN    </v>
          </cell>
          <cell r="D4040">
            <v>4.2</v>
          </cell>
        </row>
        <row r="4041">
          <cell r="A4041">
            <v>6036</v>
          </cell>
          <cell r="B4041" t="str">
            <v>REGISTRO DE ESFERA PVC, COM BORBOLETA, COM ROSCA EXTERNA, DE 1/2"</v>
          </cell>
          <cell r="C4041" t="str">
            <v xml:space="preserve">UN    </v>
          </cell>
          <cell r="D4041">
            <v>5.72</v>
          </cell>
        </row>
        <row r="4042">
          <cell r="A4042">
            <v>6031</v>
          </cell>
          <cell r="B4042" t="str">
            <v>REGISTRO DE ESFERA PVC, COM BORBOLETA, COM ROSCA EXTERNA, DE 3/4"</v>
          </cell>
          <cell r="C4042" t="str">
            <v xml:space="preserve">UN    </v>
          </cell>
          <cell r="D4042">
            <v>6.73</v>
          </cell>
        </row>
        <row r="4043">
          <cell r="A4043">
            <v>6029</v>
          </cell>
          <cell r="B4043" t="str">
            <v>REGISTRO DE ESFERA PVC, COM CABECA QUADRADA, COM ROSCA EXTERNA, 1/2"</v>
          </cell>
          <cell r="C4043" t="str">
            <v xml:space="preserve">UN    </v>
          </cell>
          <cell r="D4043">
            <v>6.8</v>
          </cell>
        </row>
        <row r="4044">
          <cell r="A4044">
            <v>6033</v>
          </cell>
          <cell r="B4044" t="str">
            <v>REGISTRO DE ESFERA PVC, COM CABECA QUADRADA, COM ROSCA EXTERNA, 3/4"</v>
          </cell>
          <cell r="C4044" t="str">
            <v xml:space="preserve">UN    </v>
          </cell>
          <cell r="D4044">
            <v>8.9600000000000009</v>
          </cell>
        </row>
        <row r="4045">
          <cell r="A4045">
            <v>11672</v>
          </cell>
          <cell r="B4045" t="str">
            <v>REGISTRO DE ESFERA, PVC, COM VOLANTE, VS, ROSCAVEL, DN 1 1/2", COM CORPO DIVIDIDO</v>
          </cell>
          <cell r="C4045" t="str">
            <v xml:space="preserve">UN    </v>
          </cell>
          <cell r="D4045">
            <v>19.5</v>
          </cell>
        </row>
        <row r="4046">
          <cell r="A4046">
            <v>11669</v>
          </cell>
          <cell r="B4046" t="str">
            <v>REGISTRO DE ESFERA, PVC, COM VOLANTE, VS, ROSCAVEL, DN 1 1/4", COM CORPO DIVIDIDO</v>
          </cell>
          <cell r="C4046" t="str">
            <v xml:space="preserve">UN    </v>
          </cell>
          <cell r="D4046">
            <v>18.57</v>
          </cell>
        </row>
        <row r="4047">
          <cell r="A4047">
            <v>11670</v>
          </cell>
          <cell r="B4047" t="str">
            <v>REGISTRO DE ESFERA, PVC, COM VOLANTE, VS, ROSCAVEL, DN 1/2", COM CORPO DIVIDIDO</v>
          </cell>
          <cell r="C4047" t="str">
            <v xml:space="preserve">UN    </v>
          </cell>
          <cell r="D4047">
            <v>7.11</v>
          </cell>
        </row>
        <row r="4048">
          <cell r="A4048">
            <v>20055</v>
          </cell>
          <cell r="B4048" t="str">
            <v>REGISTRO DE ESFERA, PVC, COM VOLANTE, VS, ROSCAVEL, DN 1", COM CORPO DIVIDIDO</v>
          </cell>
          <cell r="C4048" t="str">
            <v xml:space="preserve">UN    </v>
          </cell>
          <cell r="D4048">
            <v>13.9</v>
          </cell>
        </row>
        <row r="4049">
          <cell r="A4049">
            <v>11671</v>
          </cell>
          <cell r="B4049" t="str">
            <v>REGISTRO DE ESFERA, PVC, COM VOLANTE, VS, ROSCAVEL, DN 2", COM CORPO DIVIDIDO</v>
          </cell>
          <cell r="C4049" t="str">
            <v xml:space="preserve">UN    </v>
          </cell>
          <cell r="D4049">
            <v>29.84</v>
          </cell>
        </row>
        <row r="4050">
          <cell r="A4050">
            <v>6032</v>
          </cell>
          <cell r="B4050" t="str">
            <v>REGISTRO DE ESFERA, PVC, COM VOLANTE, VS, ROSCAVEL, DN 3/4", COM CORPO DIVIDIDO</v>
          </cell>
          <cell r="C4050" t="str">
            <v xml:space="preserve">UN    </v>
          </cell>
          <cell r="D4050">
            <v>8.52</v>
          </cell>
        </row>
        <row r="4051">
          <cell r="A4051">
            <v>11673</v>
          </cell>
          <cell r="B4051" t="str">
            <v>REGISTRO DE ESFERA, PVC, COM VOLANTE, VS, SOLDAVEL, DN 20 MM, COM CORPO DIVIDIDO</v>
          </cell>
          <cell r="C4051" t="str">
            <v xml:space="preserve">UN    </v>
          </cell>
          <cell r="D4051">
            <v>6.71</v>
          </cell>
        </row>
        <row r="4052">
          <cell r="A4052">
            <v>11674</v>
          </cell>
          <cell r="B4052" t="str">
            <v>REGISTRO DE ESFERA, PVC, COM VOLANTE, VS, SOLDAVEL, DN 25 MM, COM CORPO DIVIDIDO</v>
          </cell>
          <cell r="C4052" t="str">
            <v xml:space="preserve">UN    </v>
          </cell>
          <cell r="D4052">
            <v>8.64</v>
          </cell>
        </row>
        <row r="4053">
          <cell r="A4053">
            <v>11675</v>
          </cell>
          <cell r="B4053" t="str">
            <v>REGISTRO DE ESFERA, PVC, COM VOLANTE, VS, SOLDAVEL, DN 32 MM, COM CORPO DIVIDIDO</v>
          </cell>
          <cell r="C4053" t="str">
            <v xml:space="preserve">UN    </v>
          </cell>
          <cell r="D4053">
            <v>13.72</v>
          </cell>
        </row>
        <row r="4054">
          <cell r="A4054">
            <v>11676</v>
          </cell>
          <cell r="B4054" t="str">
            <v>REGISTRO DE ESFERA, PVC, COM VOLANTE, VS, SOLDAVEL, DN 40 MM, COM CORPO DIVIDIDO</v>
          </cell>
          <cell r="C4054" t="str">
            <v xml:space="preserve">UN    </v>
          </cell>
          <cell r="D4054">
            <v>18.350000000000001</v>
          </cell>
        </row>
        <row r="4055">
          <cell r="A4055">
            <v>11677</v>
          </cell>
          <cell r="B4055" t="str">
            <v>REGISTRO DE ESFERA, PVC, COM VOLANTE, VS, SOLDAVEL, DN 50 MM, COM CORPO DIVIDIDO</v>
          </cell>
          <cell r="C4055" t="str">
            <v xml:space="preserve">UN    </v>
          </cell>
          <cell r="D4055">
            <v>18.95</v>
          </cell>
        </row>
        <row r="4056">
          <cell r="A4056">
            <v>11678</v>
          </cell>
          <cell r="B4056" t="str">
            <v>REGISTRO DE ESFERA, PVC, COM VOLANTE, VS, SOLDAVEL, DN 60 MM, COM CORPO DIVIDIDO</v>
          </cell>
          <cell r="C4056" t="str">
            <v xml:space="preserve">UN    </v>
          </cell>
          <cell r="D4056">
            <v>34.71</v>
          </cell>
        </row>
        <row r="4057">
          <cell r="A4057">
            <v>6038</v>
          </cell>
          <cell r="B4057" t="str">
            <v>REGISTRO DE PRESSAO PVC, ROSCAVEL, VOLANTE SIMPLES, DE 1/2"</v>
          </cell>
          <cell r="C4057" t="str">
            <v xml:space="preserve">UN    </v>
          </cell>
          <cell r="D4057">
            <v>2.2000000000000002</v>
          </cell>
        </row>
        <row r="4058">
          <cell r="A4058">
            <v>11718</v>
          </cell>
          <cell r="B4058" t="str">
            <v>REGISTRO DE PRESSAO PVC, ROSCAVEL, VOLANTE SIMPLES, DE 3/4"</v>
          </cell>
          <cell r="C4058" t="str">
            <v xml:space="preserve">UN    </v>
          </cell>
          <cell r="D4058">
            <v>6.28</v>
          </cell>
        </row>
        <row r="4059">
          <cell r="A4059">
            <v>6037</v>
          </cell>
          <cell r="B4059" t="str">
            <v>REGISTRO DE PRESSAO PVC, SOLDAVEL, VOLANTE SIMPLES, DE 20 MM</v>
          </cell>
          <cell r="C4059" t="str">
            <v xml:space="preserve">UN    </v>
          </cell>
          <cell r="D4059">
            <v>4.58</v>
          </cell>
        </row>
        <row r="4060">
          <cell r="A4060">
            <v>11719</v>
          </cell>
          <cell r="B4060" t="str">
            <v>REGISTRO DE PRESSAO PVC, SOLDAVEL, VOLANTE SIMPLES, DE 25 MM</v>
          </cell>
          <cell r="C4060" t="str">
            <v xml:space="preserve">UN    </v>
          </cell>
          <cell r="D4060">
            <v>5.09</v>
          </cell>
        </row>
        <row r="4061">
          <cell r="A4061">
            <v>6019</v>
          </cell>
          <cell r="B4061" t="str">
            <v>REGISTRO GAVETA BRUTO EM LATAO FORJADO, BITOLA 1 " (REF 1509)</v>
          </cell>
          <cell r="C4061" t="str">
            <v xml:space="preserve">UN    </v>
          </cell>
          <cell r="D4061">
            <v>32.92</v>
          </cell>
        </row>
        <row r="4062">
          <cell r="A4062">
            <v>6010</v>
          </cell>
          <cell r="B4062" t="str">
            <v>REGISTRO GAVETA BRUTO EM LATAO FORJADO, BITOLA 1 1/2 " (REF 1509)</v>
          </cell>
          <cell r="C4062" t="str">
            <v xml:space="preserve">UN    </v>
          </cell>
          <cell r="D4062">
            <v>56.64</v>
          </cell>
        </row>
        <row r="4063">
          <cell r="A4063">
            <v>6017</v>
          </cell>
          <cell r="B4063" t="str">
            <v>REGISTRO GAVETA BRUTO EM LATAO FORJADO, BITOLA 1 1/4 " (REF 1509)</v>
          </cell>
          <cell r="C4063" t="str">
            <v xml:space="preserve">UN    </v>
          </cell>
          <cell r="D4063">
            <v>44.86</v>
          </cell>
        </row>
        <row r="4064">
          <cell r="A4064">
            <v>6020</v>
          </cell>
          <cell r="B4064" t="str">
            <v>REGISTRO GAVETA BRUTO EM LATAO FORJADO, BITOLA 1/2 " (REF 1509)</v>
          </cell>
          <cell r="C4064" t="str">
            <v xml:space="preserve">UN    </v>
          </cell>
          <cell r="D4064">
            <v>19.77</v>
          </cell>
        </row>
        <row r="4065">
          <cell r="A4065">
            <v>6028</v>
          </cell>
          <cell r="B4065" t="str">
            <v>REGISTRO GAVETA BRUTO EM LATAO FORJADO, BITOLA 2 " (REF 1509)</v>
          </cell>
          <cell r="C4065" t="str">
            <v xml:space="preserve">UN    </v>
          </cell>
          <cell r="D4065">
            <v>78.89</v>
          </cell>
        </row>
        <row r="4066">
          <cell r="A4066">
            <v>6011</v>
          </cell>
          <cell r="B4066" t="str">
            <v>REGISTRO GAVETA BRUTO EM LATAO FORJADO, BITOLA 2 1/2 " (REF 1509)</v>
          </cell>
          <cell r="C4066" t="str">
            <v xml:space="preserve">UN    </v>
          </cell>
          <cell r="D4066">
            <v>163.62</v>
          </cell>
        </row>
        <row r="4067">
          <cell r="A4067">
            <v>6012</v>
          </cell>
          <cell r="B4067" t="str">
            <v>REGISTRO GAVETA BRUTO EM LATAO FORJADO, BITOLA 3 " (REF 1509)</v>
          </cell>
          <cell r="C4067" t="str">
            <v xml:space="preserve">UN    </v>
          </cell>
          <cell r="D4067">
            <v>198.09</v>
          </cell>
        </row>
        <row r="4068">
          <cell r="A4068">
            <v>6016</v>
          </cell>
          <cell r="B4068" t="str">
            <v>REGISTRO GAVETA BRUTO EM LATAO FORJADO, BITOLA 3/4 " (REF 1509)</v>
          </cell>
          <cell r="C4068" t="str">
            <v xml:space="preserve">UN    </v>
          </cell>
          <cell r="D4068">
            <v>20.85</v>
          </cell>
        </row>
        <row r="4069">
          <cell r="A4069">
            <v>6027</v>
          </cell>
          <cell r="B4069" t="str">
            <v>REGISTRO GAVETA BRUTO EM LATAO FORJADO, BITOLA 4 " (REF 1509)</v>
          </cell>
          <cell r="C4069" t="str">
            <v xml:space="preserve">UN    </v>
          </cell>
          <cell r="D4069">
            <v>412.76</v>
          </cell>
        </row>
        <row r="4070">
          <cell r="A4070">
            <v>6013</v>
          </cell>
          <cell r="B4070" t="str">
            <v>REGISTRO GAVETA COM ACABAMENTO E CANOPLA CROMADOS, SIMPLES, BITOLA 1 " (REF 1509)</v>
          </cell>
          <cell r="C4070" t="str">
            <v xml:space="preserve">UN    </v>
          </cell>
          <cell r="D4070">
            <v>62.28</v>
          </cell>
        </row>
        <row r="4071">
          <cell r="A4071">
            <v>6015</v>
          </cell>
          <cell r="B4071" t="str">
            <v>REGISTRO GAVETA COM ACABAMENTO E CANOPLA CROMADOS, SIMPLES, BITOLA 1 1/2 " (REF 1509)</v>
          </cell>
          <cell r="C4071" t="str">
            <v xml:space="preserve">UN    </v>
          </cell>
          <cell r="D4071">
            <v>90.57</v>
          </cell>
        </row>
        <row r="4072">
          <cell r="A4072">
            <v>6014</v>
          </cell>
          <cell r="B4072" t="str">
            <v>REGISTRO GAVETA COM ACABAMENTO E CANOPLA CROMADOS, SIMPLES, BITOLA 1 1/4 " (REF 1509)</v>
          </cell>
          <cell r="C4072" t="str">
            <v xml:space="preserve">UN    </v>
          </cell>
          <cell r="D4072">
            <v>86.59</v>
          </cell>
        </row>
        <row r="4073">
          <cell r="A4073">
            <v>6006</v>
          </cell>
          <cell r="B4073" t="str">
            <v>REGISTRO GAVETA COM ACABAMENTO E CANOPLA CROMADOS, SIMPLES, BITOLA 1/2 " (REF 1509)</v>
          </cell>
          <cell r="C4073" t="str">
            <v xml:space="preserve">UN    </v>
          </cell>
          <cell r="D4073">
            <v>45.1</v>
          </cell>
        </row>
        <row r="4074">
          <cell r="A4074">
            <v>6005</v>
          </cell>
          <cell r="B4074" t="str">
            <v>REGISTRO GAVETA COM ACABAMENTO E CANOPLA CROMADOS, SIMPLES, BITOLA 3/4 " (REF 1509)</v>
          </cell>
          <cell r="C4074" t="str">
            <v xml:space="preserve">UN    </v>
          </cell>
          <cell r="D4074">
            <v>50.88</v>
          </cell>
        </row>
        <row r="4075">
          <cell r="A4075">
            <v>11756</v>
          </cell>
          <cell r="B4075" t="str">
            <v>REGISTRO OU REGULADOR DE GAS COZINHA, VAZAO DE 2 KG/H, 2,8 KPA</v>
          </cell>
          <cell r="C4075" t="str">
            <v xml:space="preserve">UN    </v>
          </cell>
          <cell r="D4075">
            <v>24.3</v>
          </cell>
        </row>
        <row r="4076">
          <cell r="A4076">
            <v>10904</v>
          </cell>
          <cell r="B4076" t="str">
            <v>REGISTRO OU VALVULA GLOBO ANGULAR EM LATAO, PARA HIDRANTES EM INSTALACAO PREDIAL DE INCENDIO, 45 GRAUS, DIAMETRO DE 2 1/2", COM VOLANTE, CLASSE DE PRESSAO DE ATE 200 PSI</v>
          </cell>
          <cell r="C4076" t="str">
            <v xml:space="preserve">UN    </v>
          </cell>
          <cell r="D4076">
            <v>102</v>
          </cell>
        </row>
        <row r="4077">
          <cell r="A4077">
            <v>11752</v>
          </cell>
          <cell r="B4077" t="str">
            <v>REGISTRO PRESSAO BRUTO EM LATAO FORJADO, BITOLA 1/2 " (REF 1400)</v>
          </cell>
          <cell r="C4077" t="str">
            <v xml:space="preserve">UN    </v>
          </cell>
          <cell r="D4077">
            <v>14.01</v>
          </cell>
        </row>
        <row r="4078">
          <cell r="A4078">
            <v>11753</v>
          </cell>
          <cell r="B4078" t="str">
            <v>REGISTRO PRESSAO BRUTO EM LATAO FORJADO, BITOLA 3/4 " (REF 1400)</v>
          </cell>
          <cell r="C4078" t="str">
            <v xml:space="preserve">UN    </v>
          </cell>
          <cell r="D4078">
            <v>16.73</v>
          </cell>
        </row>
        <row r="4079">
          <cell r="A4079">
            <v>6021</v>
          </cell>
          <cell r="B4079" t="str">
            <v>REGISTRO PRESSAO COM ACABAMENTO E CANOPLA CROMADA, SIMPLES, BITOLA 1/2 " (REF 1416)</v>
          </cell>
          <cell r="C4079" t="str">
            <v xml:space="preserve">UN    </v>
          </cell>
          <cell r="D4079">
            <v>46.42</v>
          </cell>
        </row>
        <row r="4080">
          <cell r="A4080">
            <v>6024</v>
          </cell>
          <cell r="B4080" t="str">
            <v>REGISTRO PRESSAO COM ACABAMENTO E CANOPLA CROMADA, SIMPLES, BITOLA 3/4 " (REF 1416)</v>
          </cell>
          <cell r="C4080" t="str">
            <v xml:space="preserve">UN    </v>
          </cell>
          <cell r="D4080">
            <v>47.99</v>
          </cell>
        </row>
        <row r="4081">
          <cell r="A4081">
            <v>38379</v>
          </cell>
          <cell r="B4081" t="str">
            <v>REGUA DE ALUMINIO PARA PEDREIRO 2 X 1 "</v>
          </cell>
          <cell r="C4081" t="str">
            <v xml:space="preserve">M     </v>
          </cell>
          <cell r="D4081">
            <v>32.24</v>
          </cell>
        </row>
        <row r="4082">
          <cell r="A4082">
            <v>13897</v>
          </cell>
          <cell r="B4082" t="str">
            <v>REGUA VIBRADORA DUPLA PARA CONCRETO A GASOLINA 5,5 HP, PESO DE 60 KG, COMPRIMENTO 4 M</v>
          </cell>
          <cell r="C4082" t="str">
            <v xml:space="preserve">UN    </v>
          </cell>
          <cell r="D4082">
            <v>5116.99</v>
          </cell>
        </row>
        <row r="4083">
          <cell r="A4083">
            <v>10640</v>
          </cell>
          <cell r="B4083" t="str">
            <v>REGUA VIBRATORIA DE CONCRETO TRELICADA, EQUIPADA COM MOTOR A GASOLINA DE 9 HP</v>
          </cell>
          <cell r="C4083" t="str">
            <v xml:space="preserve">UN    </v>
          </cell>
          <cell r="D4083">
            <v>11082.33</v>
          </cell>
        </row>
        <row r="4084">
          <cell r="A4084">
            <v>11086</v>
          </cell>
          <cell r="B4084" t="str">
            <v>REJEITO DE MINERIO DE FERRO PARA PAVIMENTACAO (POSTO PEDREIRA/FORNECEDOR, SEM FRETE)</v>
          </cell>
          <cell r="C4084" t="str">
            <v xml:space="preserve">M3    </v>
          </cell>
          <cell r="D4084">
            <v>60.44</v>
          </cell>
        </row>
        <row r="4085">
          <cell r="A4085">
            <v>34356</v>
          </cell>
          <cell r="B4085" t="str">
            <v>REJUNTE BRANCO, CIMENTICIO</v>
          </cell>
          <cell r="C4085" t="str">
            <v xml:space="preserve">KG    </v>
          </cell>
          <cell r="D4085">
            <v>3.38</v>
          </cell>
        </row>
        <row r="4086">
          <cell r="A4086">
            <v>34357</v>
          </cell>
          <cell r="B4086" t="str">
            <v>REJUNTE COLORIDO, CIMENTICIO</v>
          </cell>
          <cell r="C4086" t="str">
            <v xml:space="preserve">KG    </v>
          </cell>
          <cell r="D4086">
            <v>3.75</v>
          </cell>
        </row>
        <row r="4087">
          <cell r="A4087">
            <v>37329</v>
          </cell>
          <cell r="B4087" t="str">
            <v>REJUNTE EPOXI BRANCO</v>
          </cell>
          <cell r="C4087" t="str">
            <v xml:space="preserve">KG    </v>
          </cell>
          <cell r="D4087">
            <v>52.28</v>
          </cell>
        </row>
        <row r="4088">
          <cell r="A4088">
            <v>37398</v>
          </cell>
          <cell r="B4088" t="str">
            <v>REJUNTE EPOXI COR</v>
          </cell>
          <cell r="C4088" t="str">
            <v xml:space="preserve">KG    </v>
          </cell>
          <cell r="D4088">
            <v>66.91</v>
          </cell>
        </row>
        <row r="4089">
          <cell r="A4089">
            <v>2510</v>
          </cell>
          <cell r="B4089" t="str">
            <v>RELE FOTOELETRICO INTERNO E EXTERNO BIVOLT 1000 W, DE CONECTOR, SEM BASE</v>
          </cell>
          <cell r="C4089" t="str">
            <v xml:space="preserve">UN    </v>
          </cell>
          <cell r="D4089">
            <v>17.25</v>
          </cell>
        </row>
        <row r="4090">
          <cell r="A4090">
            <v>12359</v>
          </cell>
          <cell r="B4090" t="str">
            <v>RELE TERMICO BIMETAL PARA USO EM MOTORES TRIFASICOS, TENSAO 380 V, POTENCIA ATE 15 CV, CORRENTE NOMINAL MAXIMA 22 A</v>
          </cell>
          <cell r="C4090" t="str">
            <v xml:space="preserve">UN    </v>
          </cell>
          <cell r="D4090">
            <v>105.38</v>
          </cell>
        </row>
        <row r="4091">
          <cell r="A4091">
            <v>5320</v>
          </cell>
          <cell r="B4091" t="str">
            <v>REMOVEDOR DE TINTA OLEO/ESMALTE VERNIZ</v>
          </cell>
          <cell r="C4091" t="str">
            <v xml:space="preserve">L     </v>
          </cell>
          <cell r="D4091">
            <v>31.46</v>
          </cell>
        </row>
        <row r="4092">
          <cell r="A4092">
            <v>7353</v>
          </cell>
          <cell r="B4092" t="str">
            <v>RESINA ACRILICA BASE AGUA - COR BRANCA</v>
          </cell>
          <cell r="C4092" t="str">
            <v xml:space="preserve">L     </v>
          </cell>
          <cell r="D4092">
            <v>21.58</v>
          </cell>
        </row>
        <row r="4093">
          <cell r="A4093">
            <v>36144</v>
          </cell>
          <cell r="B4093" t="str">
            <v>RESPIRADOR DESCARTAVEL SEM VALVULA DE EXALACAO, PFF 1</v>
          </cell>
          <cell r="C4093" t="str">
            <v xml:space="preserve">UN    </v>
          </cell>
          <cell r="D4093">
            <v>1.26</v>
          </cell>
        </row>
        <row r="4094">
          <cell r="A4094">
            <v>10518</v>
          </cell>
          <cell r="B4094" t="str">
            <v>RETARDO PARA CORDEL DETONANTE</v>
          </cell>
          <cell r="C4094" t="str">
            <v xml:space="preserve">UN    </v>
          </cell>
          <cell r="D4094">
            <v>57.99</v>
          </cell>
        </row>
        <row r="4095">
          <cell r="A4095">
            <v>36530</v>
          </cell>
          <cell r="B4095" t="str">
            <v>RETROESCAVADEIRA SOBRE RODAS COM CARREGADEIRA, TRACAO 4 X 2, POTENCIA LIQUIDA 79 HP, PESO OPERACIONAL MINIMO DE 6570 KG, CAPACIDADE DA CARREGADEIRA DE 1,00 M3 E DA  RETROESCAVADEIRA MINIMA DE 0,20 M3, PROFUNDIDADE DE ESCAVACAO MAXIMA DE 4,37 M</v>
          </cell>
          <cell r="C4095" t="str">
            <v xml:space="preserve">UN    </v>
          </cell>
          <cell r="D4095">
            <v>216658.53</v>
          </cell>
        </row>
        <row r="4096">
          <cell r="A4096">
            <v>6046</v>
          </cell>
          <cell r="B4096" t="str">
            <v>RETROESCAVADEIRA SOBRE RODAS COM CARREGADEIRA, TRACAO 4 X 4, POTENCIA LIQUIDA 72 HP, PESO OPERACIONAL MINIMO DE 7140 KG, CAPACIDADE MINIMA DA CARREGADEIRA DE 0,79 M3 E DA RETROESCAVADEIRA MINIMA DE 0,18 M3, PROFUNDIDADE DE ESCAVACAO MAXIMA DE 4,50 M</v>
          </cell>
          <cell r="C4096" t="str">
            <v xml:space="preserve">UN    </v>
          </cell>
          <cell r="D4096">
            <v>235000</v>
          </cell>
        </row>
        <row r="4097">
          <cell r="A4097">
            <v>36531</v>
          </cell>
          <cell r="B4097" t="str">
            <v>RETROESCAVADEIRA SOBRE RODAS COM CARREGADEIRA, TRACAO 4 X 4, POTENCIA LIQUIDA 88 HP, PESO OPERACIONAL MINIMO DE 6674 KG, CAPACIDADE DA CARREGADEIRA DE 1,00 M3 E DA  RETROESCAVADEIRA MINIMA DE 0,26 M3, PROFUNDIDADE DE ESCAVACAO MAXIMA DE 4,37 M</v>
          </cell>
          <cell r="C4097" t="str">
            <v xml:space="preserve">UN    </v>
          </cell>
          <cell r="D4097">
            <v>243597.54</v>
          </cell>
        </row>
        <row r="4098">
          <cell r="A4098">
            <v>34684</v>
          </cell>
          <cell r="B4098" t="str">
            <v>REVESTIMENTO DE PAREDE EM GRANILITE, MARMORITE OU GRANITINA - ESP = 5 MM (INCLUSO EXECUCAO)</v>
          </cell>
          <cell r="C4098" t="str">
            <v xml:space="preserve">M2    </v>
          </cell>
          <cell r="D4098">
            <v>177.39</v>
          </cell>
        </row>
        <row r="4099">
          <cell r="A4099">
            <v>34683</v>
          </cell>
          <cell r="B4099" t="str">
            <v>REVESTIMENTO DE PAREDE EM GRANILITE, MARMORITE OU GRANITINA COLORIDO - ESP = 5 MM (INCLUSO EXECUCAO)</v>
          </cell>
          <cell r="C4099" t="str">
            <v xml:space="preserve">M2    </v>
          </cell>
          <cell r="D4099">
            <v>110.86</v>
          </cell>
        </row>
        <row r="4100">
          <cell r="A4100">
            <v>533</v>
          </cell>
          <cell r="B4100" t="str">
            <v>REVESTIMENTO EM CERAMICA ESMALTADA COMERCIAL, PEI MENOR OU IGUAL A 3, FORMATO MENOR OU IGUAL A 2025 CM2</v>
          </cell>
          <cell r="C4100" t="str">
            <v xml:space="preserve">M2    </v>
          </cell>
          <cell r="D4100">
            <v>10.38</v>
          </cell>
        </row>
        <row r="4101">
          <cell r="A4101">
            <v>10515</v>
          </cell>
          <cell r="B4101" t="str">
            <v>REVESTIMENTO EM CERAMICA ESMALTADA EXTRA, PEI MAIOR OU IGUAL 4, FORMATO MAIOR A 2025 CM2</v>
          </cell>
          <cell r="C4101" t="str">
            <v xml:space="preserve">M2    </v>
          </cell>
          <cell r="D4101">
            <v>26.77</v>
          </cell>
        </row>
        <row r="4102">
          <cell r="A4102">
            <v>536</v>
          </cell>
          <cell r="B4102" t="str">
            <v>REVESTIMENTO EM CERAMICA ESMALTADA EXTRA, PEI MENOR OU IGUAL A 3, FORMATO MENOR OU IGUAL A 2025 CM2</v>
          </cell>
          <cell r="C4102" t="str">
            <v xml:space="preserve">M2    </v>
          </cell>
          <cell r="D4102">
            <v>17.59</v>
          </cell>
        </row>
        <row r="4103">
          <cell r="A4103">
            <v>153</v>
          </cell>
          <cell r="B4103" t="str">
            <v>REVESTIMENTO EPOXI DE ALTA RESISTENCIA QUIMICA, ISENTO DE SOLVENTES, BICOMPONENTE</v>
          </cell>
          <cell r="C4103" t="str">
            <v xml:space="preserve">L     </v>
          </cell>
          <cell r="D4103">
            <v>83.18</v>
          </cell>
        </row>
        <row r="4104">
          <cell r="A4104">
            <v>34682</v>
          </cell>
          <cell r="B4104" t="str">
            <v>REVESTIMENTO PARA ESCADA EM GRANILITE, MARMORITE OU GRANITINA ESP = 8 MM (INCLUSO EXECUCAO)</v>
          </cell>
          <cell r="C4104" t="str">
            <v xml:space="preserve">M2    </v>
          </cell>
          <cell r="D4104">
            <v>84.78</v>
          </cell>
        </row>
        <row r="4105">
          <cell r="A4105">
            <v>20205</v>
          </cell>
          <cell r="B4105" t="str">
            <v>RIPA DE MADEIRA APARELHADA *1,5 X 5* CM, MACARANDUBA, ANGELIM OU EQUIVALENTE DA REGIAO</v>
          </cell>
          <cell r="C4105" t="str">
            <v xml:space="preserve">M     </v>
          </cell>
          <cell r="D4105">
            <v>1.41</v>
          </cell>
        </row>
        <row r="4106">
          <cell r="A4106">
            <v>4412</v>
          </cell>
          <cell r="B4106" t="str">
            <v>RIPA DE MADEIRA NAO APARELHADA *1 X 3* CM, MACARANDUBA, ANGELIM OU EQUIVALENTE DA REGIAO</v>
          </cell>
          <cell r="C4106" t="str">
            <v xml:space="preserve">M     </v>
          </cell>
          <cell r="D4106">
            <v>0.89</v>
          </cell>
        </row>
        <row r="4107">
          <cell r="A4107">
            <v>4408</v>
          </cell>
          <cell r="B4107" t="str">
            <v>RIPA DE MADEIRA NAO APARELHADA *1,5 X 5* CM, MACARANDUBA, ANGELIM OU EQUIVALENTE DA REGIAO</v>
          </cell>
          <cell r="C4107" t="str">
            <v xml:space="preserve">M     </v>
          </cell>
          <cell r="D4107">
            <v>1.21</v>
          </cell>
        </row>
        <row r="4108">
          <cell r="A4108">
            <v>4505</v>
          </cell>
          <cell r="B4108" t="str">
            <v>RIPA DE MADEIRA NAO APARELHADA *2 X 7* CM, PINUS, MISTA OU EQUIVALENTE DA REGIAO</v>
          </cell>
          <cell r="C4108" t="str">
            <v xml:space="preserve">M     </v>
          </cell>
          <cell r="D4108">
            <v>2.4300000000000002</v>
          </cell>
        </row>
        <row r="4109">
          <cell r="A4109">
            <v>10559</v>
          </cell>
          <cell r="B4109" t="str">
            <v>ROCADEIRA COSTAL COM MOTOR A GASOLINA DE *32* CC</v>
          </cell>
          <cell r="C4109" t="str">
            <v xml:space="preserve">UN    </v>
          </cell>
          <cell r="D4109">
            <v>2364</v>
          </cell>
        </row>
        <row r="4110">
          <cell r="A4110">
            <v>10664</v>
          </cell>
          <cell r="B4110" t="str">
            <v>ROCADEIRA DESLOCAVEL, LARGURA DE TRABALHO DE 1,3 M</v>
          </cell>
          <cell r="C4110" t="str">
            <v xml:space="preserve">UN    </v>
          </cell>
          <cell r="D4110">
            <v>6424.84</v>
          </cell>
        </row>
        <row r="4111">
          <cell r="A4111">
            <v>36250</v>
          </cell>
          <cell r="B4111" t="str">
            <v>RODAFORRO EM PVC, PARA FORRO DE PVC, COMPRIMENTO 6 M</v>
          </cell>
          <cell r="C4111" t="str">
            <v xml:space="preserve">M     </v>
          </cell>
          <cell r="D4111">
            <v>2.57</v>
          </cell>
        </row>
        <row r="4112">
          <cell r="A4112">
            <v>10857</v>
          </cell>
          <cell r="B4112" t="str">
            <v>RODAPE ARDOSIA, CINZA, 10 CM, E= *1CM</v>
          </cell>
          <cell r="C4112" t="str">
            <v xml:space="preserve">M     </v>
          </cell>
          <cell r="D4112">
            <v>9.66</v>
          </cell>
        </row>
        <row r="4113">
          <cell r="A4113">
            <v>4803</v>
          </cell>
          <cell r="B4113" t="str">
            <v>RODAPE DE BORRACHA LISO, H = 70 MM, E = *2* MM, PARA ARGAMASSA, PRETO</v>
          </cell>
          <cell r="C4113" t="str">
            <v xml:space="preserve">M     </v>
          </cell>
          <cell r="D4113">
            <v>20.56</v>
          </cell>
        </row>
        <row r="4114">
          <cell r="A4114">
            <v>6186</v>
          </cell>
          <cell r="B4114" t="str">
            <v>RODAPE DE MADEIRA MACICA CUMARU/IPE CHAMPANHE OU EQUIVALENTE DA REGIAO, *1,5 X 7 CM</v>
          </cell>
          <cell r="C4114" t="str">
            <v xml:space="preserve">M     </v>
          </cell>
          <cell r="D4114">
            <v>9.8000000000000007</v>
          </cell>
        </row>
        <row r="4115">
          <cell r="A4115">
            <v>4829</v>
          </cell>
          <cell r="B4115" t="str">
            <v>RODAPE EM MARMORE, POLIDO, BRANCO COMUM, L= *7* CM, E=  *2* CM, CORTE RETO</v>
          </cell>
          <cell r="C4115" t="str">
            <v xml:space="preserve">M     </v>
          </cell>
          <cell r="D4115">
            <v>31.55</v>
          </cell>
        </row>
        <row r="4116">
          <cell r="A4116">
            <v>39829</v>
          </cell>
          <cell r="B4116" t="str">
            <v>RODAPE EM POLIESTIRENO, BRANCO, H = *5* CM, E = *1,5* CM</v>
          </cell>
          <cell r="C4116" t="str">
            <v xml:space="preserve">M     </v>
          </cell>
          <cell r="D4116">
            <v>19.78</v>
          </cell>
        </row>
        <row r="4117">
          <cell r="A4117">
            <v>20231</v>
          </cell>
          <cell r="B4117" t="str">
            <v>RODAPE OU RODABANCADA EM GRANITO, POLIDO, TIPO ANDORINHA/ QUARTZ/ CASTELO/ CORUMBA OU OUTROS EQUIVALENTES DA REGIAO, H= 10 CM, E=  *2,0* CM</v>
          </cell>
          <cell r="C4117" t="str">
            <v xml:space="preserve">M     </v>
          </cell>
          <cell r="D4117">
            <v>43.01</v>
          </cell>
        </row>
        <row r="4118">
          <cell r="A4118">
            <v>4804</v>
          </cell>
          <cell r="B4118" t="str">
            <v>RODAPE PLANO PARA PISO VINILICO, H = 5 CM</v>
          </cell>
          <cell r="C4118" t="str">
            <v xml:space="preserve">M     </v>
          </cell>
          <cell r="D4118">
            <v>15.78</v>
          </cell>
        </row>
        <row r="4119">
          <cell r="A4119">
            <v>34680</v>
          </cell>
          <cell r="B4119" t="str">
            <v>RODAPE PRE-MOLDADO DE GRANILITE, MARMORITE OU GRANITINA L = 10 CM</v>
          </cell>
          <cell r="C4119" t="str">
            <v xml:space="preserve">M     </v>
          </cell>
          <cell r="D4119">
            <v>26.08</v>
          </cell>
        </row>
        <row r="4120">
          <cell r="A4120">
            <v>11573</v>
          </cell>
          <cell r="B4120" t="str">
            <v>RODIZIO PARA TRILHO (TIPO NAPOLEAO),  EM LATAO, COM ROLAMENTO EM ACO, 6 MM, PARA JANELA DE CORRER</v>
          </cell>
          <cell r="C4120" t="str">
            <v xml:space="preserve">UN    </v>
          </cell>
          <cell r="D4120">
            <v>6.46</v>
          </cell>
        </row>
        <row r="4121">
          <cell r="A4121">
            <v>38401</v>
          </cell>
          <cell r="B4121" t="str">
            <v>RODO PARA CHAO 40 CM COM CABO</v>
          </cell>
          <cell r="C4121" t="str">
            <v xml:space="preserve">UN    </v>
          </cell>
          <cell r="D4121">
            <v>10.210000000000001</v>
          </cell>
        </row>
        <row r="4122">
          <cell r="A4122">
            <v>38179</v>
          </cell>
          <cell r="B4122" t="str">
            <v>ROLDANA CONCOVA DUPLA, EM CHAPA DE ACO, ROLAMENTO INTERNO BLINDADO DE ACO REVESTIDO EM NYLON, PARA PORTA DE CORRER</v>
          </cell>
          <cell r="C4122" t="str">
            <v xml:space="preserve">UN    </v>
          </cell>
          <cell r="D4122">
            <v>28.35</v>
          </cell>
        </row>
        <row r="4123">
          <cell r="A4123">
            <v>11575</v>
          </cell>
          <cell r="B4123" t="str">
            <v>ROLDANA DUPLA, EM ZAMAC COM CHAPA DE LATAO, ROLAMENTOS EM ACO, PARA PORTA E JANELA DE CORRER</v>
          </cell>
          <cell r="C4123" t="str">
            <v xml:space="preserve">UN    </v>
          </cell>
          <cell r="D4123">
            <v>30.59</v>
          </cell>
        </row>
        <row r="4124">
          <cell r="A4124">
            <v>20256</v>
          </cell>
          <cell r="B4124" t="str">
            <v>ROLDANA PLASTICA COM PREGO, TAMANHO 30 X 30 MM, PARA INSTALACAO ELETRICA APARENTE</v>
          </cell>
          <cell r="C4124" t="str">
            <v xml:space="preserve">UN    </v>
          </cell>
          <cell r="D4124">
            <v>0.32</v>
          </cell>
        </row>
        <row r="4125">
          <cell r="A4125">
            <v>14511</v>
          </cell>
          <cell r="B4125" t="str">
            <v>ROLO COMPACTADOR DE PNEUS, ESTATICO, PRESSAO VARIAVEL, POTENCIA 110 HP, PESO SEM/COM LASTRO 10,8/27 T, LARGURA DE ROLAGEM 2,30 M</v>
          </cell>
          <cell r="C4125" t="str">
            <v xml:space="preserve">UN    </v>
          </cell>
          <cell r="D4125">
            <v>460698.11</v>
          </cell>
        </row>
        <row r="4126">
          <cell r="A4126">
            <v>10642</v>
          </cell>
          <cell r="B4126" t="str">
            <v>ROLO COMPACTADOR DE PNEUS, ESTATICO, PRESSAO VARIAVEL, POTENCIA 111 HP, PESO SEM/COM LASTRO 9,5/26,0 T, LARGURA DE ROLAGEM 1,90 M</v>
          </cell>
          <cell r="C4126" t="str">
            <v xml:space="preserve">UN    </v>
          </cell>
          <cell r="D4126">
            <v>434000</v>
          </cell>
        </row>
        <row r="4127">
          <cell r="A4127">
            <v>14489</v>
          </cell>
          <cell r="B4127" t="str">
            <v>ROLO COMPACTADOR PE DE CARNEIRO VIBRATORIO, POTENCIA 125 HP, PESO OPERACIONAL SEM/COM LASTRO 11,95/13,30 T, IMPACTO DINAMICO 38,5/22,5 T, LARGURA DE TRABALHO 2,15 M</v>
          </cell>
          <cell r="C4127" t="str">
            <v xml:space="preserve">UN    </v>
          </cell>
          <cell r="D4127">
            <v>384949.92</v>
          </cell>
        </row>
        <row r="4128">
          <cell r="A4128">
            <v>14513</v>
          </cell>
          <cell r="B4128" t="str">
            <v>ROLO COMPACTADOR PE DE CARNEIRO VIBRATORIO, POTENCIA 80 HP, PESO OPERACIONAL SEM/COM LASTRO 7,4/8,8 T, LARGURA DE TRABALHO 1,68 M</v>
          </cell>
          <cell r="C4128" t="str">
            <v xml:space="preserve">UN    </v>
          </cell>
          <cell r="D4128">
            <v>288721.58</v>
          </cell>
        </row>
        <row r="4129">
          <cell r="A4129">
            <v>13600</v>
          </cell>
          <cell r="B4129" t="str">
            <v>ROLO COMPACTADOR VIBRATORIO DE UM CILINDRO LISO DE ACO, POTENCIA 125 HP, PESO SEM/COM LASTRO 10,75/12,92 T, IMPACTO DINAMICO 31,5/18,5 T, LARGURA TRABALHO 2,15 M</v>
          </cell>
          <cell r="C4129" t="str">
            <v xml:space="preserve">UN    </v>
          </cell>
          <cell r="D4129">
            <v>372532.14</v>
          </cell>
        </row>
        <row r="4130">
          <cell r="A4130">
            <v>10646</v>
          </cell>
          <cell r="B4130" t="str">
            <v>ROLO COMPACTADOR VIBRATORIO DE UM CILINDRO, ACO LISO, POTENCIA 80 HP, PESO OPERACIONAL MAXIMO 8,1 T, IMPACTO DINAMICO 16,15/9,5 T, LARGURA TRABALHO 1,68 M</v>
          </cell>
          <cell r="C4130" t="str">
            <v xml:space="preserve">UN    </v>
          </cell>
          <cell r="D4130">
            <v>277697.89</v>
          </cell>
        </row>
        <row r="4131">
          <cell r="A4131">
            <v>6070</v>
          </cell>
          <cell r="B4131" t="str">
            <v>ROLO COMPACTADOR VIBRATORIO PE DE CARNEIRO, COM CONTROLE REMOTO POR RADIO, POTENCIA  12,5 KW, PESO OPERACIONAL DE 1,675 T, LARGURA DE TRABALHO 0,85 M</v>
          </cell>
          <cell r="C4131" t="str">
            <v xml:space="preserve">UN    </v>
          </cell>
          <cell r="D4131">
            <v>379439.99</v>
          </cell>
        </row>
        <row r="4132">
          <cell r="A4132">
            <v>6069</v>
          </cell>
          <cell r="B4132" t="str">
            <v>ROLO COMPACTADOR VIBRATORIO REBOCAVEL, CILINDRO DE ACO LISO, POTENCIA DE TRACAO DE 65 CV, PESO DE 4,7 T, IMPACTO DINAMICO TOTAL DE 18,3 T, LARGURA DO ROLO 1,67 M</v>
          </cell>
          <cell r="C4132" t="str">
            <v xml:space="preserve">UN    </v>
          </cell>
          <cell r="D4132">
            <v>83824.009999999995</v>
          </cell>
        </row>
        <row r="4133">
          <cell r="A4133">
            <v>14626</v>
          </cell>
          <cell r="B4133" t="str">
            <v>ROLO COMPACTADOR VIBRATORIO TANDEM, ACO LISO, POTENCIA 125 HP, PESO SEM/COM LASTRO 10,20/11,65 T, LARGURA DE TRABALHO 1,73 M</v>
          </cell>
          <cell r="C4133" t="str">
            <v xml:space="preserve">UN    </v>
          </cell>
          <cell r="D4133">
            <v>415400.01</v>
          </cell>
        </row>
        <row r="4134">
          <cell r="A4134">
            <v>6067</v>
          </cell>
          <cell r="B4134" t="str">
            <v>ROLO COMPACTADOR VIBRATORIO TANDEM, ACO LISO, POTENCIA 58 CV, PESO SEM/COM LASTRO 6,5/9,4 T, LARGURA DE TRABALHO 1,20 M</v>
          </cell>
          <cell r="C4134" t="str">
            <v xml:space="preserve">UN    </v>
          </cell>
          <cell r="D4134">
            <v>341000</v>
          </cell>
        </row>
        <row r="4135">
          <cell r="A4135">
            <v>38393</v>
          </cell>
          <cell r="B4135" t="str">
            <v>ROLO DE ESPUMA POLIESTER 23 CM (SEM CABO)</v>
          </cell>
          <cell r="C4135" t="str">
            <v xml:space="preserve">UN    </v>
          </cell>
          <cell r="D4135">
            <v>12.69</v>
          </cell>
        </row>
        <row r="4136">
          <cell r="A4136">
            <v>38390</v>
          </cell>
          <cell r="B4136" t="str">
            <v>ROLO DE LA DE CARNEIRO 23 CM (SEM CABO)</v>
          </cell>
          <cell r="C4136" t="str">
            <v xml:space="preserve">UN    </v>
          </cell>
          <cell r="D4136">
            <v>28.14</v>
          </cell>
        </row>
        <row r="4137">
          <cell r="A4137">
            <v>36532</v>
          </cell>
          <cell r="B4137" t="str">
            <v>ROMPEDOR ELETRICO PESO 26 KG, POTENCIA OPERACIONAL DE 2,5 KW</v>
          </cell>
          <cell r="C4137" t="str">
            <v xml:space="preserve">UN    </v>
          </cell>
          <cell r="D4137">
            <v>19595.259999999998</v>
          </cell>
        </row>
        <row r="4138">
          <cell r="A4138">
            <v>11578</v>
          </cell>
          <cell r="B4138" t="str">
            <v>ROSETA QUADRADA, SEM FUROS, EM ACO INOX POLIDO, LARGURA APROXIMADA DE 50 MM, PARA FECHADURA DE PORTA - PARAFUSOS INCLUIDOS</v>
          </cell>
          <cell r="C4138" t="str">
            <v xml:space="preserve">UN    </v>
          </cell>
          <cell r="D4138">
            <v>9.82</v>
          </cell>
        </row>
        <row r="4139">
          <cell r="A4139">
            <v>11577</v>
          </cell>
          <cell r="B4139" t="str">
            <v>ROSETA REDONDA DE SOBREPOR, SEM FUROS, EM ACO INOX POLIDO, DIAMETRO APROXIMADO DE 50 MM, PARA FECHADURA DE PORTA - PARAFUSOS INCLUIDOS</v>
          </cell>
          <cell r="C4139" t="str">
            <v xml:space="preserve">UN    </v>
          </cell>
          <cell r="D4139">
            <v>9.3800000000000008</v>
          </cell>
        </row>
        <row r="4140">
          <cell r="A4140">
            <v>42432</v>
          </cell>
          <cell r="B4140" t="str">
            <v>ROTACAO DIAGONAL DUPLA, APARELHO TRIPLO, EM TUBO DE ACO CARBONO, PINTURA NO PROCESSO ELETROSTATICO - EQUIPAMENTO DE GINASTICA PARA ACADEMIA AO AR LIVRE / ACADEMIA DA TERCEIRA IDADE - ATI</v>
          </cell>
          <cell r="C4140" t="str">
            <v xml:space="preserve">UN    </v>
          </cell>
          <cell r="D4140">
            <v>1377.27</v>
          </cell>
        </row>
        <row r="4141">
          <cell r="A4141">
            <v>42437</v>
          </cell>
          <cell r="B4141" t="str">
            <v>ROTACAO VERTICAL DUPLO, EM TUBO DE ACO CARBONO, PINTURA NO PROCESSO ELETROSTATICO - EQUIPAMENTO DE GINASTICA PARA ACADEMIA AO AR LIVRE / ACADEMIA DA TERCEIRA IDADE - ATI</v>
          </cell>
          <cell r="C4141" t="str">
            <v xml:space="preserve">UN    </v>
          </cell>
          <cell r="D4141">
            <v>1047.0899999999999</v>
          </cell>
        </row>
        <row r="4142">
          <cell r="A4142">
            <v>1116</v>
          </cell>
          <cell r="B4142" t="str">
            <v>RUFO EXTERNO DE CHAPA DE ACO GALVANIZADA NUM 26, CORTE 25 CM</v>
          </cell>
          <cell r="C4142" t="str">
            <v xml:space="preserve">M     </v>
          </cell>
          <cell r="D4142">
            <v>17.989999999999998</v>
          </cell>
        </row>
        <row r="4143">
          <cell r="A4143">
            <v>1115</v>
          </cell>
          <cell r="B4143" t="str">
            <v>RUFO EXTERNO DE CHAPA DE ACO GALVANIZADA NUM 26, CORTE 28 CM</v>
          </cell>
          <cell r="C4143" t="str">
            <v xml:space="preserve">M     </v>
          </cell>
          <cell r="D4143">
            <v>21.87</v>
          </cell>
        </row>
        <row r="4144">
          <cell r="A4144">
            <v>1113</v>
          </cell>
          <cell r="B4144" t="str">
            <v>RUFO EXTERNO/INTERNO DE CHAPA DE ACO GALVANIZADA NUM 26, CORTE 33 CM</v>
          </cell>
          <cell r="C4144" t="str">
            <v xml:space="preserve">M     </v>
          </cell>
          <cell r="D4144">
            <v>23.99</v>
          </cell>
        </row>
        <row r="4145">
          <cell r="A4145">
            <v>1114</v>
          </cell>
          <cell r="B4145" t="str">
            <v>RUFO INTERNO DE CHAPA DE ACO GALVANIZADA NUM 26, CORTE 50 CM</v>
          </cell>
          <cell r="C4145" t="str">
            <v xml:space="preserve">M     </v>
          </cell>
          <cell r="D4145">
            <v>35.979999999999997</v>
          </cell>
        </row>
        <row r="4146">
          <cell r="A4146">
            <v>40872</v>
          </cell>
          <cell r="B4146" t="str">
            <v>RUFO INTERNO/EXTERNO DE CHAPA DE ACO GALVANIZADA NUM 24, CORTE 25 CM (COLETADO CAIXA)</v>
          </cell>
          <cell r="C4146" t="str">
            <v xml:space="preserve">M     </v>
          </cell>
          <cell r="D4146">
            <v>20.5</v>
          </cell>
        </row>
        <row r="4147">
          <cell r="A4147">
            <v>20214</v>
          </cell>
          <cell r="B4147" t="str">
            <v>RUFO PARA TELHA ESTRUTURAL DE FIBROCIMENTO 1 ABA (SEM AMIANTO)</v>
          </cell>
          <cell r="C4147" t="str">
            <v xml:space="preserve">UN    </v>
          </cell>
          <cell r="D4147">
            <v>29.4</v>
          </cell>
        </row>
        <row r="4148">
          <cell r="A4148">
            <v>11064</v>
          </cell>
          <cell r="B4148" t="str">
            <v>RUFO PARA TELHA ESTRUTURAL DE FIBROCIMENTO 2 ABAS, COMPRIMENTO DE 1031 MM (SEM AMIANTO)</v>
          </cell>
          <cell r="C4148" t="str">
            <v xml:space="preserve">UN    </v>
          </cell>
          <cell r="D4148">
            <v>12.46</v>
          </cell>
        </row>
        <row r="4149">
          <cell r="A4149">
            <v>7237</v>
          </cell>
          <cell r="B4149" t="str">
            <v>RUFO PARA TELHA ONDULADA DE FIBROCIMENTO, E = 6 MM, ABA *260* MM, COMPRIMENTO 1100 MM (SEM AMIANTO)</v>
          </cell>
          <cell r="C4149" t="str">
            <v xml:space="preserve">UN    </v>
          </cell>
          <cell r="D4149">
            <v>17</v>
          </cell>
        </row>
        <row r="4150">
          <cell r="A4150">
            <v>16</v>
          </cell>
          <cell r="B4150" t="str">
            <v>SABAO EM PO</v>
          </cell>
          <cell r="C4150" t="str">
            <v xml:space="preserve">KG    </v>
          </cell>
          <cell r="D4150">
            <v>6.56</v>
          </cell>
        </row>
        <row r="4151">
          <cell r="A4151">
            <v>11757</v>
          </cell>
          <cell r="B4151" t="str">
            <v>SABONETEIRA DE PAREDE EM METAL CROMADO</v>
          </cell>
          <cell r="C4151" t="str">
            <v xml:space="preserve">UN    </v>
          </cell>
          <cell r="D4151">
            <v>36.450000000000003</v>
          </cell>
        </row>
        <row r="4152">
          <cell r="A4152">
            <v>11758</v>
          </cell>
          <cell r="B4152" t="str">
            <v>SABONETEIRA PLASTICA TIPO DISPENSER PARA SABONETE LIQUIDO COM RESERVATORIO 800 A 1500 ML</v>
          </cell>
          <cell r="C4152" t="str">
            <v xml:space="preserve">UN    </v>
          </cell>
          <cell r="D4152">
            <v>43.9</v>
          </cell>
        </row>
        <row r="4153">
          <cell r="A4153">
            <v>37526</v>
          </cell>
          <cell r="B4153" t="str">
            <v>SACO DE RAFIA PARA ENTULHO, NOVO, LISO (SEM CLICHE), *60 x 90* CM</v>
          </cell>
          <cell r="C4153" t="str">
            <v xml:space="preserve">UN    </v>
          </cell>
          <cell r="D4153">
            <v>2.4</v>
          </cell>
        </row>
        <row r="4154">
          <cell r="A4154">
            <v>6076</v>
          </cell>
          <cell r="B4154" t="str">
            <v>SAIBRO PARA ARGAMASSA (COLETADO NO COMERCIO)</v>
          </cell>
          <cell r="C4154" t="str">
            <v xml:space="preserve">M3    </v>
          </cell>
          <cell r="D4154">
            <v>53.38</v>
          </cell>
        </row>
        <row r="4155">
          <cell r="A4155">
            <v>13109</v>
          </cell>
          <cell r="B4155" t="str">
            <v>SAPATA DE PVC ADITIVADO NERVURADO D = 6"</v>
          </cell>
          <cell r="C4155" t="str">
            <v xml:space="preserve">UN    </v>
          </cell>
          <cell r="D4155">
            <v>179.7</v>
          </cell>
        </row>
        <row r="4156">
          <cell r="A4156">
            <v>13110</v>
          </cell>
          <cell r="B4156" t="str">
            <v>SAPATA DE PVC ADITIVADO NERVURADO D = 8"</v>
          </cell>
          <cell r="C4156" t="str">
            <v xml:space="preserve">UN    </v>
          </cell>
          <cell r="D4156">
            <v>236.5</v>
          </cell>
        </row>
        <row r="4157">
          <cell r="A4157">
            <v>7581</v>
          </cell>
          <cell r="B4157" t="str">
            <v>SAPATILHA EM ACO GALVANIZADO PARA CABOS COM DIAMETRO NOMINAL ATE 5/8"</v>
          </cell>
          <cell r="C4157" t="str">
            <v xml:space="preserve">UN    </v>
          </cell>
          <cell r="D4157">
            <v>2.5</v>
          </cell>
        </row>
        <row r="4158">
          <cell r="A4158">
            <v>20206</v>
          </cell>
          <cell r="B4158" t="str">
            <v>SARRAFO DE MADEIRA APARELHADA *2 X 10* CM, MACARANDUBA, ANGELIM OU EQUIVALENTE DA REGIAO</v>
          </cell>
          <cell r="C4158" t="str">
            <v xml:space="preserve">M     </v>
          </cell>
          <cell r="D4158">
            <v>4.1900000000000004</v>
          </cell>
        </row>
        <row r="4159">
          <cell r="A4159">
            <v>4460</v>
          </cell>
          <cell r="B4159" t="str">
            <v>SARRAFO DE MADEIRA NAO APARELHADA *2,5 X 10 CM, MACARANDUBA, ANGELIM OU EQUIVALENTE DA REGIAO</v>
          </cell>
          <cell r="C4159" t="str">
            <v xml:space="preserve">M     </v>
          </cell>
          <cell r="D4159">
            <v>5.03</v>
          </cell>
        </row>
        <row r="4160">
          <cell r="A4160">
            <v>6204</v>
          </cell>
          <cell r="B4160" t="str">
            <v>SARRAFO DE MADEIRA NAO APARELHADA *2,5 X 15* CM, MACARANDUBA, ANGELIM OU EQUIVALENTE DA REGIAO</v>
          </cell>
          <cell r="C4160" t="str">
            <v xml:space="preserve">M     </v>
          </cell>
          <cell r="D4160">
            <v>7.52</v>
          </cell>
        </row>
        <row r="4161">
          <cell r="A4161">
            <v>4417</v>
          </cell>
          <cell r="B4161" t="str">
            <v>SARRAFO DE MADEIRA NAO APARELHADA *2,5 X 7* CM, MACARANDUBA, ANGELIM OU EQUIVALENTE DA REGIAO</v>
          </cell>
          <cell r="C4161" t="str">
            <v xml:space="preserve">M     </v>
          </cell>
          <cell r="D4161">
            <v>2.89</v>
          </cell>
        </row>
        <row r="4162">
          <cell r="A4162">
            <v>4517</v>
          </cell>
          <cell r="B4162" t="str">
            <v>SARRAFO DE MADEIRA NAO APARELHADA *2,5 X 7,5* CM (1 X 3 ") PINUS, MISTA OU EQUIVALENTE DA REGIAO</v>
          </cell>
          <cell r="C4162" t="str">
            <v xml:space="preserve">M     </v>
          </cell>
          <cell r="D4162">
            <v>1.96</v>
          </cell>
        </row>
        <row r="4163">
          <cell r="A4163">
            <v>4512</v>
          </cell>
          <cell r="B4163" t="str">
            <v>SARRAFO DE MADEIRA NAO APARELHADA 2,5 X 5 CM (1 X 2 ") PINUS, MISTA OU EQUIVALENTE DA REGIAO</v>
          </cell>
          <cell r="C4163" t="str">
            <v xml:space="preserve">M     </v>
          </cell>
          <cell r="D4163">
            <v>1.42</v>
          </cell>
        </row>
        <row r="4164">
          <cell r="A4164">
            <v>4415</v>
          </cell>
          <cell r="B4164" t="str">
            <v>SARRAFO DE MADEIRA NAO APARELHADA 2,5 X 5 CM, MACARANDUBA, ANGELIM OU EQUIVALENTE DA REGIAO</v>
          </cell>
          <cell r="C4164" t="str">
            <v xml:space="preserve">M     </v>
          </cell>
          <cell r="D4164">
            <v>2.4300000000000002</v>
          </cell>
        </row>
        <row r="4165">
          <cell r="A4165">
            <v>37373</v>
          </cell>
          <cell r="B4165" t="str">
            <v>SEGURO - HORISTA (COLETADO CAIXA)</v>
          </cell>
          <cell r="C4165" t="str">
            <v xml:space="preserve">H     </v>
          </cell>
          <cell r="D4165">
            <v>0.04</v>
          </cell>
        </row>
        <row r="4166">
          <cell r="A4166">
            <v>40864</v>
          </cell>
          <cell r="B4166" t="str">
            <v>SEGURO - MENSALISTA (COLETADO CAIXA)</v>
          </cell>
          <cell r="C4166" t="str">
            <v xml:space="preserve">MES   </v>
          </cell>
          <cell r="D4166">
            <v>9.76</v>
          </cell>
        </row>
        <row r="4167">
          <cell r="A4167">
            <v>4734</v>
          </cell>
          <cell r="B4167" t="str">
            <v>SEIXO ROLADO PARA APLICACAO EM CONCRETO (POSTO PEDREIRA/FORNECEDOR, SEM FRETE)</v>
          </cell>
          <cell r="C4167" t="str">
            <v xml:space="preserve">M3    </v>
          </cell>
          <cell r="D4167">
            <v>86.02</v>
          </cell>
        </row>
        <row r="4168">
          <cell r="A4168">
            <v>6085</v>
          </cell>
          <cell r="B4168" t="str">
            <v>SELADOR ACRILICO PAREDES INTERNAS/EXTERNAS</v>
          </cell>
          <cell r="C4168" t="str">
            <v xml:space="preserve">L     </v>
          </cell>
          <cell r="D4168">
            <v>3.89</v>
          </cell>
        </row>
        <row r="4169">
          <cell r="A4169">
            <v>38396</v>
          </cell>
          <cell r="B4169" t="str">
            <v>SELADOR HORIZONTAL PARA FITA DE ACO 1 "</v>
          </cell>
          <cell r="C4169" t="str">
            <v xml:space="preserve">UN    </v>
          </cell>
          <cell r="D4169">
            <v>530.77</v>
          </cell>
        </row>
        <row r="4170">
          <cell r="A4170">
            <v>6090</v>
          </cell>
          <cell r="B4170" t="str">
            <v>SELADOR PVA PAREDES INTERNAS</v>
          </cell>
          <cell r="C4170" t="str">
            <v xml:space="preserve">L     </v>
          </cell>
          <cell r="D4170">
            <v>7.39</v>
          </cell>
        </row>
        <row r="4171">
          <cell r="A4171">
            <v>11622</v>
          </cell>
          <cell r="B4171" t="str">
            <v>SELANTE A BASE DE ALCATRAO E POLIURETANO PARA JUNTAS HORIZONTAIS</v>
          </cell>
          <cell r="C4171" t="str">
            <v xml:space="preserve">KG    </v>
          </cell>
          <cell r="D4171">
            <v>53.8</v>
          </cell>
        </row>
        <row r="4172">
          <cell r="A4172">
            <v>6094</v>
          </cell>
          <cell r="B4172" t="str">
            <v>SELANTE A BASE DE RESINAS ACRILICAS PARA TRINCAS</v>
          </cell>
          <cell r="C4172" t="str">
            <v xml:space="preserve">KG    </v>
          </cell>
          <cell r="D4172">
            <v>12.49</v>
          </cell>
        </row>
        <row r="4173">
          <cell r="A4173">
            <v>7317</v>
          </cell>
          <cell r="B4173" t="str">
            <v>SELANTE DE BASE ASFALTICA PARA VEDACAO</v>
          </cell>
          <cell r="C4173" t="str">
            <v xml:space="preserve">KG    </v>
          </cell>
          <cell r="D4173">
            <v>22.89</v>
          </cell>
        </row>
        <row r="4174">
          <cell r="A4174">
            <v>142</v>
          </cell>
          <cell r="B4174" t="str">
            <v>SELANTE ELASTICO MONOCOMPONENTE A BASE DE POLIURETANO PARA JUNTAS DIVERSAS</v>
          </cell>
          <cell r="C4174" t="str">
            <v xml:space="preserve">310ML </v>
          </cell>
          <cell r="D4174">
            <v>28.24</v>
          </cell>
        </row>
        <row r="4175">
          <cell r="A4175">
            <v>38123</v>
          </cell>
          <cell r="B4175" t="str">
            <v>SELANTE TIPO VEDA CALHA PARA METAL E FIBROCIMENTO</v>
          </cell>
          <cell r="C4175" t="str">
            <v xml:space="preserve">KG    </v>
          </cell>
          <cell r="D4175">
            <v>59.73</v>
          </cell>
        </row>
        <row r="4176">
          <cell r="A4176">
            <v>42701</v>
          </cell>
          <cell r="B4176" t="str">
            <v>SELIM COMPACTO EM PVC, SEM TRAVA,  DN 150 X 100 MM, PARA REDE COLETORA ESGOTO (NBR 10569)</v>
          </cell>
          <cell r="C4176" t="str">
            <v xml:space="preserve">UN    </v>
          </cell>
          <cell r="D4176">
            <v>28.95</v>
          </cell>
        </row>
        <row r="4177">
          <cell r="A4177">
            <v>42702</v>
          </cell>
          <cell r="B4177" t="str">
            <v>SELIM COMPACTO EM PVC, SEM TRAVA,  DN 200 X 100 MM, PARA REDE COLETORA ESGOTO (NBR 10569)</v>
          </cell>
          <cell r="C4177" t="str">
            <v xml:space="preserve">UN    </v>
          </cell>
          <cell r="D4177">
            <v>51.44</v>
          </cell>
        </row>
        <row r="4178">
          <cell r="A4178">
            <v>37955</v>
          </cell>
          <cell r="B4178" t="str">
            <v>SELIM COMPACTO EM PVC, SEM TRAVAS,  DN 300 X 100 MM, PARA REDE COLETORA ESGOTO (NBR 10569)</v>
          </cell>
          <cell r="C4178" t="str">
            <v xml:space="preserve">UN    </v>
          </cell>
          <cell r="D4178">
            <v>66.67</v>
          </cell>
        </row>
        <row r="4179">
          <cell r="A4179">
            <v>42699</v>
          </cell>
          <cell r="B4179" t="str">
            <v>SELIM PVC, COM TRAVA, JE, 90 GRAUS,  DN 125 X 100 MM OU 150 X 100 MM, PARA REDE COLETORA ESGOTO (NBR 10569)</v>
          </cell>
          <cell r="C4179" t="str">
            <v xml:space="preserve">UN    </v>
          </cell>
          <cell r="D4179">
            <v>17.68</v>
          </cell>
        </row>
        <row r="4180">
          <cell r="A4180">
            <v>42700</v>
          </cell>
          <cell r="B4180" t="str">
            <v>SELIM PVC, SOLDAVEL, SEM TRAVA, JE, 90 GRAUS,  DN 200 X 100 MM, PARA REDE COLETORA ESGOTO (NBR 10569)</v>
          </cell>
          <cell r="C4180" t="str">
            <v xml:space="preserve">UN    </v>
          </cell>
          <cell r="D4180">
            <v>50.42</v>
          </cell>
        </row>
        <row r="4181">
          <cell r="A4181">
            <v>37743</v>
          </cell>
          <cell r="B4181" t="str">
            <v>SEMIRREBOQUE COM DOIS EIXOS EM TANDEM TIPO BASCULANTE COM CACAMBA METALICA 14 M3  (INCLUI MONTAGEM, NAO INCLUI CAVALO MECANICO)</v>
          </cell>
          <cell r="C4181" t="str">
            <v xml:space="preserve">UN    </v>
          </cell>
          <cell r="D4181">
            <v>118650.34</v>
          </cell>
        </row>
        <row r="4182">
          <cell r="A4182">
            <v>37744</v>
          </cell>
          <cell r="B4182" t="str">
            <v>SEMIRREBOQUE COM TRES EIXOS EM TANDEM TIPO BASCULANTE COM CACAMBA METALICA 18 M3 (INCLUI MONTAGEM, NAO INCLUI CAVALO MECANICO)</v>
          </cell>
          <cell r="C4182" t="str">
            <v xml:space="preserve">UN    </v>
          </cell>
          <cell r="D4182">
            <v>139510.48000000001</v>
          </cell>
        </row>
        <row r="4183">
          <cell r="A4183">
            <v>37741</v>
          </cell>
          <cell r="B4183" t="str">
            <v>SEMIRREBOQUE COM TRES EIXOS, PARA TRANSPORTE DE CARGA SECA, DIMENSOES APROXIMADAS 2,60 X 12,50 X 0,50 M (NAO INCLUI CAVALO MECANICO)</v>
          </cell>
          <cell r="C4183" t="str">
            <v xml:space="preserve">UN    </v>
          </cell>
          <cell r="D4183">
            <v>107888.11</v>
          </cell>
        </row>
        <row r="4184">
          <cell r="A4184">
            <v>39396</v>
          </cell>
          <cell r="B4184" t="str">
            <v>SENSOR DE PRESENCA BIVOLT COM FOTOCELULA PARA QUALQUER TIPO DE LAMPADA, POTENCIA MAXIMA *1000* W, USO EXTERNO</v>
          </cell>
          <cell r="C4184" t="str">
            <v xml:space="preserve">UN    </v>
          </cell>
          <cell r="D4184">
            <v>33.79</v>
          </cell>
        </row>
        <row r="4185">
          <cell r="A4185">
            <v>39392</v>
          </cell>
          <cell r="B4185" t="str">
            <v>SENSOR DE PRESENCA BIVOLT DE PAREDE COM FOTOCELULA PARA QUALQUER TIPO DE LAMPADA POTENCIA MAXIMA *1000* W, USO INTERNO</v>
          </cell>
          <cell r="C4185" t="str">
            <v xml:space="preserve">UN    </v>
          </cell>
          <cell r="D4185">
            <v>38.11</v>
          </cell>
        </row>
        <row r="4186">
          <cell r="A4186">
            <v>39393</v>
          </cell>
          <cell r="B4186" t="str">
            <v>SENSOR DE PRESENCA BIVOLT DE PAREDE SEM FOTOCELULA PARA QUALQUER TIPO DE LAMPADA POTENCIA MAXIMA *1000* W, USO INTERNO</v>
          </cell>
          <cell r="C4186" t="str">
            <v xml:space="preserve">UN    </v>
          </cell>
          <cell r="D4186">
            <v>23.57</v>
          </cell>
        </row>
        <row r="4187">
          <cell r="A4187">
            <v>39394</v>
          </cell>
          <cell r="B4187" t="str">
            <v>SENSOR DE PRESENCA BIVOLT DE TETO COM FOTOCELULA PARA QUALQUER TIPO DE LAMPADA POTENCIA MAXIMA *1000* W, USO INTERNO</v>
          </cell>
          <cell r="C4187" t="str">
            <v xml:space="preserve">UN    </v>
          </cell>
          <cell r="D4187">
            <v>26.53</v>
          </cell>
        </row>
        <row r="4188">
          <cell r="A4188">
            <v>39395</v>
          </cell>
          <cell r="B4188" t="str">
            <v>SENSOR DE PRESENCA BIVOLT DE TETO SEM FOTOCELULA PARA QUALQUER TIPO DE LAMPADA POTENCIA MAXIMA *900* W, USO INTERNO</v>
          </cell>
          <cell r="C4188" t="str">
            <v xml:space="preserve">UN    </v>
          </cell>
          <cell r="D4188">
            <v>24.67</v>
          </cell>
        </row>
        <row r="4189">
          <cell r="A4189">
            <v>14618</v>
          </cell>
          <cell r="B4189" t="str">
            <v>SERRA CIRCULAR DE BANCADA COM MOTOR ELETRICO, POTENCIA DE *1600* W, PARA DISCO DE DIAMETRO DE 10" (250 MM)</v>
          </cell>
          <cell r="C4189" t="str">
            <v xml:space="preserve">UN    </v>
          </cell>
          <cell r="D4189">
            <v>1419.62</v>
          </cell>
        </row>
        <row r="4190">
          <cell r="A4190">
            <v>40269</v>
          </cell>
          <cell r="B4190" t="str">
            <v>SERRA CIRCULAR DE BANCADA, MODELO PICA-PAU, DIAMETRO DE 350 MM. CARACTERISTICAS DO MOTOR: TRIFASICO, POTENCIA DE 5 HP, FREQUENCIA DE 60 HZ</v>
          </cell>
          <cell r="C4190" t="str">
            <v xml:space="preserve">UN    </v>
          </cell>
          <cell r="D4190">
            <v>5719.54</v>
          </cell>
        </row>
        <row r="4191">
          <cell r="A4191">
            <v>6110</v>
          </cell>
          <cell r="B4191" t="str">
            <v>SERRALHEIRO</v>
          </cell>
          <cell r="C4191" t="str">
            <v xml:space="preserve">H     </v>
          </cell>
          <cell r="D4191">
            <v>14.99</v>
          </cell>
        </row>
        <row r="4192">
          <cell r="A4192">
            <v>40910</v>
          </cell>
          <cell r="B4192" t="str">
            <v>SERRALHEIRO (MENSALISTA)</v>
          </cell>
          <cell r="C4192" t="str">
            <v xml:space="preserve">MES   </v>
          </cell>
          <cell r="D4192">
            <v>2652.5</v>
          </cell>
        </row>
        <row r="4193">
          <cell r="A4193">
            <v>6111</v>
          </cell>
          <cell r="B4193" t="str">
            <v>SERVENTE DE OBRAS</v>
          </cell>
          <cell r="C4193" t="str">
            <v xml:space="preserve">H     </v>
          </cell>
          <cell r="D4193">
            <v>11.15</v>
          </cell>
        </row>
        <row r="4194">
          <cell r="A4194">
            <v>41084</v>
          </cell>
          <cell r="B4194" t="str">
            <v>SERVENTE DE OBRAS (MENSALISTA)</v>
          </cell>
          <cell r="C4194" t="str">
            <v xml:space="preserve">MES   </v>
          </cell>
          <cell r="D4194">
            <v>1973.16</v>
          </cell>
        </row>
        <row r="4195">
          <cell r="A4195">
            <v>25950</v>
          </cell>
          <cell r="B4195" t="str">
            <v>SERVICO DE BOMBEAMENTO DE CONCRETO COM CONSUMO MINIMO DE 40 M3</v>
          </cell>
          <cell r="C4195" t="str">
            <v xml:space="preserve">M3    </v>
          </cell>
          <cell r="D4195">
            <v>38.97</v>
          </cell>
        </row>
        <row r="4196">
          <cell r="A4196">
            <v>38637</v>
          </cell>
          <cell r="B4196" t="str">
            <v>SIFAO EM METAL CROMADO PARA PIA AMERICANA, 1.1/2 X 1.1/2 "</v>
          </cell>
          <cell r="C4196" t="str">
            <v xml:space="preserve">UN    </v>
          </cell>
          <cell r="D4196">
            <v>172.36</v>
          </cell>
        </row>
        <row r="4197">
          <cell r="A4197">
            <v>6150</v>
          </cell>
          <cell r="B4197" t="str">
            <v>SIFAO EM METAL CROMADO PARA PIA AMERICANA, 1.1/2 X 2 "</v>
          </cell>
          <cell r="C4197" t="str">
            <v xml:space="preserve">UN    </v>
          </cell>
          <cell r="D4197">
            <v>174.46</v>
          </cell>
        </row>
        <row r="4198">
          <cell r="A4198">
            <v>6136</v>
          </cell>
          <cell r="B4198" t="str">
            <v>SIFAO EM METAL CROMADO PARA PIA OU LAVATORIO, 1 X 1.1/2 "</v>
          </cell>
          <cell r="C4198" t="str">
            <v xml:space="preserve">UN    </v>
          </cell>
          <cell r="D4198">
            <v>137.13999999999999</v>
          </cell>
        </row>
        <row r="4199">
          <cell r="A4199">
            <v>38638</v>
          </cell>
          <cell r="B4199" t="str">
            <v>SIFAO EM METAL CROMADO PARA TANQUE, 1.1/4 X 1.1/2 "</v>
          </cell>
          <cell r="C4199" t="str">
            <v xml:space="preserve">UN    </v>
          </cell>
          <cell r="D4199">
            <v>145.24</v>
          </cell>
        </row>
        <row r="4200">
          <cell r="A4200">
            <v>20262</v>
          </cell>
          <cell r="B4200" t="str">
            <v>SIFAO PLASTICO EXTENSIVEL UNIVERSAL, TIPO COPO</v>
          </cell>
          <cell r="C4200" t="str">
            <v xml:space="preserve">UN    </v>
          </cell>
          <cell r="D4200">
            <v>13.65</v>
          </cell>
        </row>
        <row r="4201">
          <cell r="A4201">
            <v>6148</v>
          </cell>
          <cell r="B4201" t="str">
            <v>SIFAO PLASTICO FLEXIVEL SAIDA VERTICAL PARA COLUNA LAVATORIO, 1 X 1.1/2 "</v>
          </cell>
          <cell r="C4201" t="str">
            <v xml:space="preserve">UN    </v>
          </cell>
          <cell r="D4201">
            <v>8.4499999999999993</v>
          </cell>
        </row>
        <row r="4202">
          <cell r="A4202">
            <v>6145</v>
          </cell>
          <cell r="B4202" t="str">
            <v>SIFAO PLASTICO TIPO COPO PARA PIA AMERICANA 1.1/2 X 1.1/2 "</v>
          </cell>
          <cell r="C4202" t="str">
            <v xml:space="preserve">UN    </v>
          </cell>
          <cell r="D4202">
            <v>15.15</v>
          </cell>
        </row>
        <row r="4203">
          <cell r="A4203">
            <v>6149</v>
          </cell>
          <cell r="B4203" t="str">
            <v>SIFAO PLASTICO TIPO COPO PARA PIA OU LAVATORIO, 1 X 1.1/2 "</v>
          </cell>
          <cell r="C4203" t="str">
            <v xml:space="preserve">UN    </v>
          </cell>
          <cell r="D4203">
            <v>14.28</v>
          </cell>
        </row>
        <row r="4204">
          <cell r="A4204">
            <v>6146</v>
          </cell>
          <cell r="B4204" t="str">
            <v>SIFAO PLASTICO TIPO COPO PARA TANQUE, 1.1/4 X 1.1/2 "</v>
          </cell>
          <cell r="C4204" t="str">
            <v xml:space="preserve">UN    </v>
          </cell>
          <cell r="D4204">
            <v>15.16</v>
          </cell>
        </row>
        <row r="4205">
          <cell r="A4205">
            <v>26026</v>
          </cell>
          <cell r="B4205" t="str">
            <v>SILICA ATIVA PARA ADICAO EM CONCRETO E ARGAMASSA</v>
          </cell>
          <cell r="C4205" t="str">
            <v xml:space="preserve">KG    </v>
          </cell>
          <cell r="D4205">
            <v>2.31</v>
          </cell>
        </row>
        <row r="4206">
          <cell r="A4206">
            <v>39961</v>
          </cell>
          <cell r="B4206" t="str">
            <v>SILICONE ACETICO USO GERAL INCOLOR 280 G</v>
          </cell>
          <cell r="C4206" t="str">
            <v xml:space="preserve">UN    </v>
          </cell>
          <cell r="D4206">
            <v>10.11</v>
          </cell>
        </row>
        <row r="4207">
          <cell r="A4207">
            <v>42433</v>
          </cell>
          <cell r="B4207" t="str">
            <v>SIMULADOR DE CAMINHADA TRIPLO, EM TUBO DE ACO CARBONO, PINTURA NO PROCESSO ELETROSTATICO - EQUIPAMENTO DE GINASTICA PARA ACADEMIA AO AR LIVRE / ACADEMIA DA TERCEIRA IDADE - ATI</v>
          </cell>
          <cell r="C4207" t="str">
            <v xml:space="preserve">UN    </v>
          </cell>
          <cell r="D4207">
            <v>2720.4</v>
          </cell>
        </row>
        <row r="4208">
          <cell r="A4208">
            <v>42434</v>
          </cell>
          <cell r="B4208" t="str">
            <v>SIMULADOR DE CAVALGADA TRIPLO, EM TUBO DE ACO CARBONO, PINTURA NO PROCESSO ELETROSTATICO - EQUIPAMENTO DE GINASTICA PARA ACADEMIA AO AR LIVRE / ACADEMIA DA TERCEIRA IDADE - ATI</v>
          </cell>
          <cell r="C4208" t="str">
            <v xml:space="preserve">UN    </v>
          </cell>
          <cell r="D4208">
            <v>2939.79</v>
          </cell>
        </row>
        <row r="4209">
          <cell r="A4209">
            <v>42435</v>
          </cell>
          <cell r="B4209" t="str">
            <v>SIMULADOR DE REMO INDIVIDUAL, EM TUBO DE ACO CARBONO, PINTURA NO PROCESSO ELETROSTATICO - EQUIPAMENTO DE GINASTICA PARA ACADEMIA AO AR LIVRE / ACADEMIA DA TERCEIRA IDADE - ATI</v>
          </cell>
          <cell r="C4209" t="str">
            <v xml:space="preserve">UN    </v>
          </cell>
          <cell r="D4209">
            <v>1465.96</v>
          </cell>
        </row>
        <row r="4210">
          <cell r="A4210">
            <v>38061</v>
          </cell>
          <cell r="B4210" t="str">
            <v>SINALIZADOR NOTURNO SIMPLES PARA PARA-RAIOS, SEM RELE FOTOELETRICO</v>
          </cell>
          <cell r="C4210" t="str">
            <v xml:space="preserve">UN    </v>
          </cell>
          <cell r="D4210">
            <v>53.63</v>
          </cell>
        </row>
        <row r="4211">
          <cell r="A4211">
            <v>20250</v>
          </cell>
          <cell r="B4211" t="str">
            <v>SISAL EM FIBRA</v>
          </cell>
          <cell r="C4211" t="str">
            <v xml:space="preserve">KG    </v>
          </cell>
          <cell r="D4211">
            <v>10.84</v>
          </cell>
        </row>
        <row r="4212">
          <cell r="A4212">
            <v>39965</v>
          </cell>
          <cell r="B4212" t="str">
            <v>SISTEMA DE FORMAS MANUSEAVEIS DE ALUMINIO, PARA BLOCO RESID. COM PAREDES DE CONCRETO MOLDADAS IN LOCO, BLOCO COM 4 PAV. E 4 UNIDADES POR PAV., UNIDADE HABITACIONALCOM 48 M2 E 2 QUARTOS; TELHA DE FIBROCIMENTO (COLETADO CAIXA)</v>
          </cell>
          <cell r="C4212" t="str">
            <v xml:space="preserve">M2    </v>
          </cell>
          <cell r="D4212">
            <v>1325.85</v>
          </cell>
        </row>
        <row r="4213">
          <cell r="A4213">
            <v>39964</v>
          </cell>
          <cell r="B4213" t="str">
            <v>SISTEMA DE FORMAS MANUSEAVEIS DE ALUMINIO, PARA EDIF. RESID. UNIFAMILIAR COM PAREDES DE CONCRETO MOLDADAS IN LOCO, UNIDADE HABITACIONAL TERREA COM 38 M2, COM SALA, CIRCULACAO, 2 QUARTOS, BANHEIRO, COZINHA E TANQUE EXTERNO (SEM COBERTURA) (COLETADO CAIXA)</v>
          </cell>
          <cell r="C4213" t="str">
            <v xml:space="preserve">M2    </v>
          </cell>
          <cell r="D4213">
            <v>1126.1600000000001</v>
          </cell>
        </row>
        <row r="4214">
          <cell r="A4214">
            <v>7</v>
          </cell>
          <cell r="B4214" t="str">
            <v>SODA CAUSTICA EM ESCAMAS</v>
          </cell>
          <cell r="C4214" t="str">
            <v xml:space="preserve">KG    </v>
          </cell>
          <cell r="D4214">
            <v>10.89</v>
          </cell>
        </row>
        <row r="4215">
          <cell r="A4215">
            <v>13388</v>
          </cell>
          <cell r="B4215" t="str">
            <v>SOLDA EM BARRA DE ESTANHO-CHUMBO 50/50</v>
          </cell>
          <cell r="C4215" t="str">
            <v xml:space="preserve">KG    </v>
          </cell>
          <cell r="D4215">
            <v>62.43</v>
          </cell>
        </row>
        <row r="4216">
          <cell r="A4216">
            <v>39914</v>
          </cell>
          <cell r="B4216" t="str">
            <v>SOLDA EM VARETA FOSCOPER, D = *2,5* MM  X COMPRIMENTO 500 MM</v>
          </cell>
          <cell r="C4216" t="str">
            <v xml:space="preserve">KG    </v>
          </cell>
          <cell r="D4216">
            <v>143.38999999999999</v>
          </cell>
        </row>
        <row r="4217">
          <cell r="A4217">
            <v>12732</v>
          </cell>
          <cell r="B4217" t="str">
            <v>SOLDA ESTANHO/COBRE PARA CONEXOES DE COBRE, FIO 2,5 MM, CARRETEL 500 GR (SEM CHUMBO)</v>
          </cell>
          <cell r="C4217" t="str">
            <v xml:space="preserve">UN    </v>
          </cell>
          <cell r="D4217">
            <v>165.45</v>
          </cell>
        </row>
        <row r="4218">
          <cell r="A4218">
            <v>6160</v>
          </cell>
          <cell r="B4218" t="str">
            <v>SOLDADOR</v>
          </cell>
          <cell r="C4218" t="str">
            <v xml:space="preserve">H     </v>
          </cell>
          <cell r="D4218">
            <v>14.49</v>
          </cell>
        </row>
        <row r="4219">
          <cell r="A4219">
            <v>41087</v>
          </cell>
          <cell r="B4219" t="str">
            <v>SOLDADOR (MENSALISTA)</v>
          </cell>
          <cell r="C4219" t="str">
            <v xml:space="preserve">MES   </v>
          </cell>
          <cell r="D4219">
            <v>2564.7199999999998</v>
          </cell>
        </row>
        <row r="4220">
          <cell r="A4220">
            <v>6166</v>
          </cell>
          <cell r="B4220" t="str">
            <v>SOLDADOR ELETRICO (PARA SOLDA A SER TESTADA COM RAIOS "X")</v>
          </cell>
          <cell r="C4220" t="str">
            <v xml:space="preserve">H     </v>
          </cell>
          <cell r="D4220">
            <v>19.41</v>
          </cell>
        </row>
        <row r="4221">
          <cell r="A4221">
            <v>41088</v>
          </cell>
          <cell r="B4221" t="str">
            <v>SOLDADOR ELETRICO (PARA SOLDA A SER TESTADA COM RAIOS "X") (MENSALISTA)</v>
          </cell>
          <cell r="C4221" t="str">
            <v xml:space="preserve">MES   </v>
          </cell>
          <cell r="D4221">
            <v>3438.26</v>
          </cell>
        </row>
        <row r="4222">
          <cell r="A4222">
            <v>20232</v>
          </cell>
          <cell r="B4222" t="str">
            <v>SOLEIRA EM GRANITO, POLIDO, TIPO ANDORINHA/ QUARTZ/ CASTELO/ CORUMBA OU OUTROS EQUIVALENTES DA REGIAO, L= *15* CM, E=  *2,0* CM</v>
          </cell>
          <cell r="C4222" t="str">
            <v xml:space="preserve">M     </v>
          </cell>
          <cell r="D4222">
            <v>60.88</v>
          </cell>
        </row>
        <row r="4223">
          <cell r="A4223">
            <v>10856</v>
          </cell>
          <cell r="B4223" t="str">
            <v>SOLEIRA PRE-MOLDADA EM GRANILITE, MARMORITE OU GRANITINA, L = *15 CM</v>
          </cell>
          <cell r="C4223" t="str">
            <v xml:space="preserve">M     </v>
          </cell>
          <cell r="D4223">
            <v>71.73</v>
          </cell>
        </row>
        <row r="4224">
          <cell r="A4224">
            <v>4828</v>
          </cell>
          <cell r="B4224" t="str">
            <v>SOLEIRA/ PEITORIL EM MARMORE, POLIDO, BRANCO COMUM, L= *15* CM, E=  *2* CM,  CORTE RETO</v>
          </cell>
          <cell r="C4224" t="str">
            <v xml:space="preserve">M     </v>
          </cell>
          <cell r="D4224">
            <v>47.09</v>
          </cell>
        </row>
        <row r="4225">
          <cell r="A4225">
            <v>20249</v>
          </cell>
          <cell r="B4225" t="str">
            <v>SOLEIRA/ TABEIRA EM MARMORE, POLIDO, BRANCO COMUM, L= 5 CM, E=  *2,0* CM</v>
          </cell>
          <cell r="C4225" t="str">
            <v xml:space="preserve">M     </v>
          </cell>
          <cell r="D4225">
            <v>25.78</v>
          </cell>
        </row>
        <row r="4226">
          <cell r="A4226">
            <v>11609</v>
          </cell>
          <cell r="B4226" t="str">
            <v>SOLUCAO ASFALTICA ELASTOMERICA PARA IMPRIMACAO, APLICACAO A FRIO</v>
          </cell>
          <cell r="C4226" t="str">
            <v xml:space="preserve">L     </v>
          </cell>
          <cell r="D4226">
            <v>9.32</v>
          </cell>
        </row>
        <row r="4227">
          <cell r="A4227">
            <v>20083</v>
          </cell>
          <cell r="B4227" t="str">
            <v>SOLUCAO LIMPADORA PARA PVC, FRASCO COM 1000 CM3</v>
          </cell>
          <cell r="C4227" t="str">
            <v xml:space="preserve">UN    </v>
          </cell>
          <cell r="D4227">
            <v>56.48</v>
          </cell>
        </row>
        <row r="4228">
          <cell r="A4228">
            <v>20082</v>
          </cell>
          <cell r="B4228" t="str">
            <v>SOLUCAO LIMPADORA PARA PVC, FRASCO COM 200 CM3</v>
          </cell>
          <cell r="C4228" t="str">
            <v xml:space="preserve">UN    </v>
          </cell>
          <cell r="D4228">
            <v>22</v>
          </cell>
        </row>
        <row r="4229">
          <cell r="A4229">
            <v>5318</v>
          </cell>
          <cell r="B4229" t="str">
            <v>SOLVENTE DILUENTE A BASE DE AGUARRAS</v>
          </cell>
          <cell r="C4229" t="str">
            <v xml:space="preserve">L     </v>
          </cell>
          <cell r="D4229">
            <v>11.7</v>
          </cell>
        </row>
        <row r="4230">
          <cell r="A4230">
            <v>10691</v>
          </cell>
          <cell r="B4230" t="str">
            <v>SOLVENTE PARA COLA (PARA LAMINADO MELAMINICO) A BASE DE RESINA SINTETICA</v>
          </cell>
          <cell r="C4230" t="str">
            <v xml:space="preserve">L     </v>
          </cell>
          <cell r="D4230">
            <v>35.75</v>
          </cell>
        </row>
        <row r="4231">
          <cell r="A4231">
            <v>12295</v>
          </cell>
          <cell r="B4231" t="str">
            <v>SOQUETE DE BAQUELITE BASE E27, PARA LAMPADAS</v>
          </cell>
          <cell r="C4231" t="str">
            <v xml:space="preserve">UN    </v>
          </cell>
          <cell r="D4231">
            <v>2.72</v>
          </cell>
        </row>
        <row r="4232">
          <cell r="A4232">
            <v>12296</v>
          </cell>
          <cell r="B4232" t="str">
            <v>SOQUETE DE PORCELANA BASE E27, FIXO DE TETO, PARA LAMPADAS</v>
          </cell>
          <cell r="C4232" t="str">
            <v xml:space="preserve">UN    </v>
          </cell>
          <cell r="D4232">
            <v>3.52</v>
          </cell>
        </row>
        <row r="4233">
          <cell r="A4233">
            <v>12294</v>
          </cell>
          <cell r="B4233" t="str">
            <v>SOQUETE DE PORCELANA BASE E27, PARA USO AO TEMPO, PARA LAMPADAS</v>
          </cell>
          <cell r="C4233" t="str">
            <v xml:space="preserve">UN    </v>
          </cell>
          <cell r="D4233">
            <v>8.4499999999999993</v>
          </cell>
        </row>
        <row r="4234">
          <cell r="A4234">
            <v>14543</v>
          </cell>
          <cell r="B4234" t="str">
            <v>SOQUETE DE PVC / TERMOPLASTICO BASE E27, COM CHAVE, PARA LAMPADAS</v>
          </cell>
          <cell r="C4234" t="str">
            <v xml:space="preserve">UN    </v>
          </cell>
          <cell r="D4234">
            <v>6.03</v>
          </cell>
        </row>
        <row r="4235">
          <cell r="A4235">
            <v>13329</v>
          </cell>
          <cell r="B4235" t="str">
            <v>SOQUETE DE PVC / TERMOPLASTICO BASE E27, COM RABICHO, PARA LAMPADAS</v>
          </cell>
          <cell r="C4235" t="str">
            <v xml:space="preserve">UN    </v>
          </cell>
          <cell r="D4235">
            <v>3.54</v>
          </cell>
        </row>
        <row r="4236">
          <cell r="A4236">
            <v>21044</v>
          </cell>
          <cell r="B4236" t="str">
            <v>SPRINKLER TIPO PENDENTE, 68 GRAUS CELSIUS (BULBO VERMELHO), ACABAMENTO CROMADO, 1/2" - 15 MM</v>
          </cell>
          <cell r="C4236" t="str">
            <v xml:space="preserve">UN    </v>
          </cell>
          <cell r="D4236">
            <v>22.33</v>
          </cell>
        </row>
        <row r="4237">
          <cell r="A4237">
            <v>21045</v>
          </cell>
          <cell r="B4237" t="str">
            <v>SPRINKLER TIPO PENDENTE, 68 GRAUS CELSIUS (BULBO VERMELHO), ACABAMENTO CROMADO, 3/4" - 20 MM</v>
          </cell>
          <cell r="C4237" t="str">
            <v xml:space="preserve">UN    </v>
          </cell>
          <cell r="D4237">
            <v>30.58</v>
          </cell>
        </row>
        <row r="4238">
          <cell r="A4238">
            <v>21040</v>
          </cell>
          <cell r="B4238" t="str">
            <v>SPRINKLER TIPO PENDENTE, 68 GRAUS CELSIUS (BULBO VERMELHO), ACABAMENTO NATURAL, 1/2" - 15 MM</v>
          </cell>
          <cell r="C4238" t="str">
            <v xml:space="preserve">UN    </v>
          </cell>
          <cell r="D4238">
            <v>21.85</v>
          </cell>
        </row>
        <row r="4239">
          <cell r="A4239">
            <v>21041</v>
          </cell>
          <cell r="B4239" t="str">
            <v>SPRINKLER TIPO PENDENTE, 68 GRAUS CELSIUS (BULBO VERMELHO), ACABAMENTO NATURAL, 3/4" - 20 MM</v>
          </cell>
          <cell r="C4239" t="str">
            <v xml:space="preserve">UN    </v>
          </cell>
          <cell r="D4239">
            <v>26.37</v>
          </cell>
        </row>
        <row r="4240">
          <cell r="A4240">
            <v>21047</v>
          </cell>
          <cell r="B4240" t="str">
            <v>SPRINKLER TIPO PENDENTE, 79 GRAUS CELSIUS (BULBO AMARELO), ACABAMENTO CROMADO, 3/4" - 20 MM</v>
          </cell>
          <cell r="C4240" t="str">
            <v xml:space="preserve">UN    </v>
          </cell>
          <cell r="D4240">
            <v>32.92</v>
          </cell>
        </row>
        <row r="4241">
          <cell r="A4241">
            <v>21043</v>
          </cell>
          <cell r="B4241" t="str">
            <v>SPRINKLER TIPO PENDENTE, 79 GRAUS CELSIUS (BULBO AMARELO), ACABAMENTO NATURAL, 3/4" - 20 MM</v>
          </cell>
          <cell r="C4241" t="str">
            <v xml:space="preserve">UN    </v>
          </cell>
          <cell r="D4241">
            <v>32.049999999999997</v>
          </cell>
        </row>
        <row r="4242">
          <cell r="A4242">
            <v>21042</v>
          </cell>
          <cell r="B4242" t="str">
            <v>SPRINKLER TIPO PENDENTE, 79 GRAUS CELSIUS (BULBO AMARELO,) ACABAMENTO NATURAL OU CROMADO, 1/2" - 15 MM</v>
          </cell>
          <cell r="C4242" t="str">
            <v xml:space="preserve">UN    </v>
          </cell>
          <cell r="D4242">
            <v>25.37</v>
          </cell>
        </row>
        <row r="4243">
          <cell r="A4243">
            <v>11895</v>
          </cell>
          <cell r="B4243" t="str">
            <v>SUMIDOURO CONCRETO PRE MOLDADO, COMPLETO, PARA 10 CONTRIBUINTES</v>
          </cell>
          <cell r="C4243" t="str">
            <v xml:space="preserve">UN    </v>
          </cell>
          <cell r="D4243">
            <v>973.76</v>
          </cell>
        </row>
        <row r="4244">
          <cell r="A4244">
            <v>11896</v>
          </cell>
          <cell r="B4244" t="str">
            <v>SUMIDOURO CONCRETO PRE MOLDADO, COMPLETO, PARA 100 CONTRIBUINTES</v>
          </cell>
          <cell r="C4244" t="str">
            <v xml:space="preserve">UN    </v>
          </cell>
          <cell r="D4244">
            <v>5103.8500000000004</v>
          </cell>
        </row>
        <row r="4245">
          <cell r="A4245">
            <v>11897</v>
          </cell>
          <cell r="B4245" t="str">
            <v>SUMIDOURO CONCRETO PRE MOLDADO, COMPLETO, PARA 150 CONTRIBUINTES</v>
          </cell>
          <cell r="C4245" t="str">
            <v xml:space="preserve">UN    </v>
          </cell>
          <cell r="D4245">
            <v>6659.63</v>
          </cell>
        </row>
        <row r="4246">
          <cell r="A4246">
            <v>11898</v>
          </cell>
          <cell r="B4246" t="str">
            <v>SUMIDOURO CONCRETO PRE MOLDADO, COMPLETO, PARA 200 CONTRIBUINTES</v>
          </cell>
          <cell r="C4246" t="str">
            <v xml:space="preserve">UN    </v>
          </cell>
          <cell r="D4246">
            <v>6995.41</v>
          </cell>
        </row>
        <row r="4247">
          <cell r="A4247">
            <v>3282</v>
          </cell>
          <cell r="B4247" t="str">
            <v>SUMIDOURO CONCRETO PRE MOLDADO, COMPLETO, PARA 5 CONTRIBUINTES</v>
          </cell>
          <cell r="C4247" t="str">
            <v xml:space="preserve">UN    </v>
          </cell>
          <cell r="D4247">
            <v>707.93</v>
          </cell>
        </row>
        <row r="4248">
          <cell r="A4248">
            <v>11899</v>
          </cell>
          <cell r="B4248" t="str">
            <v>SUMIDOURO CONCRETO PRE MOLDADO, COMPLETO, PARA 50 CONTRIBUINTES</v>
          </cell>
          <cell r="C4248" t="str">
            <v xml:space="preserve">UN    </v>
          </cell>
          <cell r="D4248">
            <v>3452.93</v>
          </cell>
        </row>
        <row r="4249">
          <cell r="A4249">
            <v>11900</v>
          </cell>
          <cell r="B4249" t="str">
            <v>SUMIDOURO CONCRETO PRE MOLDADO, COMPLETO, PARA 75 CONTRIBUINTES</v>
          </cell>
          <cell r="C4249" t="str">
            <v xml:space="preserve">UN    </v>
          </cell>
          <cell r="D4249">
            <v>4734.49</v>
          </cell>
        </row>
        <row r="4250">
          <cell r="A4250">
            <v>14149</v>
          </cell>
          <cell r="B4250" t="str">
            <v>SUPORTE "Y" PARA FITA PERFURADA</v>
          </cell>
          <cell r="C4250" t="str">
            <v xml:space="preserve">CENTO </v>
          </cell>
          <cell r="D4250">
            <v>125.45</v>
          </cell>
        </row>
        <row r="4251">
          <cell r="A4251">
            <v>38099</v>
          </cell>
          <cell r="B4251" t="str">
            <v>SUPORTE DE FIXACAO PARA ESPELHO / PLACA 4" X 2", PARA 3 MODULOS, PARA INSTALACAO DE TOMADAS E INTERRUPTORES (SOMENTE SUPORTE)</v>
          </cell>
          <cell r="C4251" t="str">
            <v xml:space="preserve">UN    </v>
          </cell>
          <cell r="D4251">
            <v>1.1499999999999999</v>
          </cell>
        </row>
        <row r="4252">
          <cell r="A4252">
            <v>38100</v>
          </cell>
          <cell r="B4252" t="str">
            <v>SUPORTE DE FIXACAO PARA ESPELHO / PLACA 4" X 4", PARA 6 MODULOS, PARA INSTALACAO DE TOMADAS E INTERRUPTORES (SOMENTE SUPORTE)</v>
          </cell>
          <cell r="C4252" t="str">
            <v xml:space="preserve">UN    </v>
          </cell>
          <cell r="D4252">
            <v>1.88</v>
          </cell>
        </row>
        <row r="4253">
          <cell r="A4253">
            <v>20061</v>
          </cell>
          <cell r="B4253" t="str">
            <v>SUPORTE DE PVC PARA CALHA PLUVIAL, DIAMETRO ENTRE 119 E 170 MM, PARA DRENAGEM PREDIAL</v>
          </cell>
          <cell r="C4253" t="str">
            <v xml:space="preserve">UN    </v>
          </cell>
          <cell r="D4253">
            <v>2.94</v>
          </cell>
        </row>
        <row r="4254">
          <cell r="A4254">
            <v>7576</v>
          </cell>
          <cell r="B4254" t="str">
            <v>SUPORTE EM ACO GALVANIZADO PARA TRANSFORMADOR PARA POSTE DUPLO T 185 X 95 MM, CHAPA DE 5/16"</v>
          </cell>
          <cell r="C4254" t="str">
            <v xml:space="preserve">UN    </v>
          </cell>
          <cell r="D4254">
            <v>102.68</v>
          </cell>
        </row>
        <row r="4255">
          <cell r="A4255">
            <v>3384</v>
          </cell>
          <cell r="B4255" t="str">
            <v>SUPORTE GUIA SIMPLES COM ROLDANA EM POLIPROPILENO PARA CHUMBAR, H = 20 CM</v>
          </cell>
          <cell r="C4255" t="str">
            <v xml:space="preserve">UN    </v>
          </cell>
          <cell r="D4255">
            <v>3.85</v>
          </cell>
        </row>
        <row r="4256">
          <cell r="A4256">
            <v>7572</v>
          </cell>
          <cell r="B4256" t="str">
            <v>SUPORTE ISOLADOR REFORCADO DIAMETRO NOMINAL 5/16", COM ROSCA SOBERBA E BUCHA</v>
          </cell>
          <cell r="C4256" t="str">
            <v xml:space="preserve">UN    </v>
          </cell>
          <cell r="D4256">
            <v>8.57</v>
          </cell>
        </row>
        <row r="4257">
          <cell r="A4257">
            <v>3396</v>
          </cell>
          <cell r="B4257" t="str">
            <v>SUPORTE ISOLADOR SIMPLES DIAMETRO NOMINAL 5/16", COM ROSCA SOBERBA E BUCHA</v>
          </cell>
          <cell r="C4257" t="str">
            <v xml:space="preserve">UN    </v>
          </cell>
          <cell r="D4257">
            <v>6.07</v>
          </cell>
        </row>
        <row r="4258">
          <cell r="A4258">
            <v>37590</v>
          </cell>
          <cell r="B4258" t="str">
            <v>SUPORTE MAO-FRANCESA EM ACO, ABAS IGUAIS 30 CM, CAPACIDADE MINIMA 60 KG, BRANCO</v>
          </cell>
          <cell r="C4258" t="str">
            <v xml:space="preserve">UN    </v>
          </cell>
          <cell r="D4258">
            <v>25.27</v>
          </cell>
        </row>
        <row r="4259">
          <cell r="A4259">
            <v>37591</v>
          </cell>
          <cell r="B4259" t="str">
            <v>SUPORTE MAO-FRANCESA EM ACO, ABAS IGUAIS 40 CM, CAPACIDADE MINIMA 70 KG, BRANCO</v>
          </cell>
          <cell r="C4259" t="str">
            <v xml:space="preserve">UN    </v>
          </cell>
          <cell r="D4259">
            <v>35.17</v>
          </cell>
        </row>
        <row r="4260">
          <cell r="A4260">
            <v>12626</v>
          </cell>
          <cell r="B4260" t="str">
            <v>SUPORTE METALICO PARA CALHA PLUVIAL,  ZINCADO, DOBRADO, DIAMETRO ENTRE 119 E 170 MM, PARA DRENAGEM PREDIAL</v>
          </cell>
          <cell r="C4260" t="str">
            <v xml:space="preserve">UN    </v>
          </cell>
          <cell r="D4260">
            <v>14.1</v>
          </cell>
        </row>
        <row r="4261">
          <cell r="A4261">
            <v>11033</v>
          </cell>
          <cell r="B4261" t="str">
            <v>SUPORTE PARA CALHA DE 150 MM EM FERRO GALVANIZADO</v>
          </cell>
          <cell r="C4261" t="str">
            <v xml:space="preserve">UN    </v>
          </cell>
          <cell r="D4261">
            <v>4.29</v>
          </cell>
        </row>
        <row r="4262">
          <cell r="A4262">
            <v>390</v>
          </cell>
          <cell r="B4262" t="str">
            <v>SUPORTE PARA TUBO DIAMETRO NOMINAL 2", COM ROSCA MECANICA</v>
          </cell>
          <cell r="C4262" t="str">
            <v xml:space="preserve">UN    </v>
          </cell>
          <cell r="D4262">
            <v>12.2</v>
          </cell>
        </row>
        <row r="4263">
          <cell r="A4263">
            <v>42436</v>
          </cell>
          <cell r="B4263" t="str">
            <v>SURF DUPLO, EM TUBO DE ACO CARBONO, PINTURA NO PROCESSO ELETROSTATICO - EQUIPAMENTO DE GINASTICA PARA ACADEMIA AO AR LIVRE / ACADEMIA DA TERCEIRA IDADE - ATI</v>
          </cell>
          <cell r="C4263" t="str">
            <v xml:space="preserve">UN    </v>
          </cell>
          <cell r="D4263">
            <v>1534.45</v>
          </cell>
        </row>
        <row r="4264">
          <cell r="A4264">
            <v>6178</v>
          </cell>
          <cell r="B4264" t="str">
            <v>TABUA DE  MADEIRA PARA PISO, CUMARU/IPE CHAMPANHE OU EQUIVALENTE DA REGIAO, ENCAIXE MACHO/FEMEA, *10 X 2* CM</v>
          </cell>
          <cell r="C4264" t="str">
            <v xml:space="preserve">M2    </v>
          </cell>
          <cell r="D4264">
            <v>163.54</v>
          </cell>
        </row>
        <row r="4265">
          <cell r="A4265">
            <v>6180</v>
          </cell>
          <cell r="B4265" t="str">
            <v>TABUA DE  MADEIRA PARA PISO, CUMARU/IPE CHAMPANHE OU EQUIVALENTE DA REGIAO, ENCAIXE MACHO/FEMEA, *15 X 2* CM</v>
          </cell>
          <cell r="C4265" t="str">
            <v xml:space="preserve">M2    </v>
          </cell>
          <cell r="D4265">
            <v>176.5</v>
          </cell>
        </row>
        <row r="4266">
          <cell r="A4266">
            <v>6182</v>
          </cell>
          <cell r="B4266" t="str">
            <v>TABUA DE  MADEIRA PARA PISO, IPE (CERNE) OU EQUIVALENTE DA REGIAO, ENCAIXE MACHO/FEMEA, *20 X 2* CM</v>
          </cell>
          <cell r="C4266" t="str">
            <v xml:space="preserve">M2    </v>
          </cell>
          <cell r="D4266">
            <v>219.08</v>
          </cell>
        </row>
        <row r="4267">
          <cell r="A4267">
            <v>3993</v>
          </cell>
          <cell r="B4267" t="str">
            <v>TABUA DE MADEIRA APARELHADA *2,5 X 15* CM, MACARANDUBA, ANGELIM OU EQUIVALENTE DA REGIAO</v>
          </cell>
          <cell r="C4267" t="str">
            <v xml:space="preserve">M2    </v>
          </cell>
          <cell r="D4267">
            <v>54.4</v>
          </cell>
        </row>
        <row r="4268">
          <cell r="A4268">
            <v>3990</v>
          </cell>
          <cell r="B4268" t="str">
            <v>TABUA DE MADEIRA APARELHADA *2,5 X 25* CM, MACARANDUBA, ANGELIM OU EQUIVALENTE DA REGIAO</v>
          </cell>
          <cell r="C4268" t="str">
            <v xml:space="preserve">M     </v>
          </cell>
          <cell r="D4268">
            <v>12.02</v>
          </cell>
        </row>
        <row r="4269">
          <cell r="A4269">
            <v>3992</v>
          </cell>
          <cell r="B4269" t="str">
            <v>TABUA DE MADEIRA APARELHADA *2,5 X 30* CM, MACARANDUBA, ANGELIM OU EQUIVALENTE DA REGIAO</v>
          </cell>
          <cell r="C4269" t="str">
            <v xml:space="preserve">M     </v>
          </cell>
          <cell r="D4269">
            <v>14.76</v>
          </cell>
        </row>
        <row r="4270">
          <cell r="A4270">
            <v>4509</v>
          </cell>
          <cell r="B4270" t="str">
            <v>TABUA DE MADEIRA NAO APARELHADA *2,5 X 10 CM (1 X 4 ") PINUS, MISTA OU EQUIVALENTE DA REGIAO</v>
          </cell>
          <cell r="C4270" t="str">
            <v xml:space="preserve">M     </v>
          </cell>
          <cell r="D4270">
            <v>2.99</v>
          </cell>
        </row>
        <row r="4271">
          <cell r="A4271">
            <v>6194</v>
          </cell>
          <cell r="B4271" t="str">
            <v>TABUA DE MADEIRA NAO APARELHADA *2,5 X 15 CM (1 X 6 ") PINUS, MISTA OU EQUIVALENTE DA REGIAO</v>
          </cell>
          <cell r="C4271" t="str">
            <v xml:space="preserve">M     </v>
          </cell>
          <cell r="D4271">
            <v>4.0599999999999996</v>
          </cell>
        </row>
        <row r="4272">
          <cell r="A4272">
            <v>6193</v>
          </cell>
          <cell r="B4272" t="str">
            <v>TABUA DE MADEIRA NAO APARELHADA *2,5 X 20* CM, CEDRINHO OU EQUIVALENTE DA REGIAO</v>
          </cell>
          <cell r="C4272" t="str">
            <v xml:space="preserve">M     </v>
          </cell>
          <cell r="D4272">
            <v>5.73</v>
          </cell>
        </row>
        <row r="4273">
          <cell r="A4273">
            <v>10567</v>
          </cell>
          <cell r="B4273" t="str">
            <v>TABUA DE MADEIRA NAO APARELHADA *2,5 X 23* CM (1 x 9 ") PINUS, MISTA OU EQUIVALENTE DA REGIAO</v>
          </cell>
          <cell r="C4273" t="str">
            <v xml:space="preserve">M     </v>
          </cell>
          <cell r="D4273">
            <v>6.73</v>
          </cell>
        </row>
        <row r="4274">
          <cell r="A4274">
            <v>6188</v>
          </cell>
          <cell r="B4274" t="str">
            <v>TABUA DE MADEIRA NAO APARELHADA *2,5 X 30 CM (1 X 12 ") PINUS, MISTA OU EQUIVALENTE DA REGIAO</v>
          </cell>
          <cell r="C4274" t="str">
            <v xml:space="preserve">M2    </v>
          </cell>
          <cell r="D4274">
            <v>36.76</v>
          </cell>
        </row>
        <row r="4275">
          <cell r="A4275">
            <v>6212</v>
          </cell>
          <cell r="B4275" t="str">
            <v>TABUA DE MADEIRA NAO APARELHADA *2,5 X 30 CM (1 X 12 ") PINUS, MISTA OU EQUIVALENTE DA REGIAO</v>
          </cell>
          <cell r="C4275" t="str">
            <v xml:space="preserve">M     </v>
          </cell>
          <cell r="D4275">
            <v>11.03</v>
          </cell>
        </row>
        <row r="4276">
          <cell r="A4276">
            <v>6189</v>
          </cell>
          <cell r="B4276" t="str">
            <v>TABUA DE MADEIRA NAO APARELHADA *2,5 X 30* CM, CEDRINHO OU EQUIVALENTE DA REGIAO</v>
          </cell>
          <cell r="C4276" t="str">
            <v xml:space="preserve">M     </v>
          </cell>
          <cell r="D4276">
            <v>8.3800000000000008</v>
          </cell>
        </row>
        <row r="4277">
          <cell r="A4277">
            <v>6214</v>
          </cell>
          <cell r="B4277" t="str">
            <v>TACO DE MADEIRA PARA PISO, IPE (CERNE) OU EQUIVALENTE DA REGIAO, 7 X 42 CM, E = 2 CM</v>
          </cell>
          <cell r="C4277" t="str">
            <v xml:space="preserve">M2    </v>
          </cell>
          <cell r="D4277">
            <v>102.44</v>
          </cell>
        </row>
        <row r="4278">
          <cell r="A4278">
            <v>36153</v>
          </cell>
          <cell r="B4278" t="str">
            <v>TALABARTE DE SEGURANCA, 2 MOSQUETOES TRAVA DUPLA *53* MM DE ABERTURA, COM ABSORVEDOR DE ENERGIA</v>
          </cell>
          <cell r="C4278" t="str">
            <v xml:space="preserve">UN    </v>
          </cell>
          <cell r="D4278">
            <v>150.46</v>
          </cell>
        </row>
        <row r="4279">
          <cell r="A4279">
            <v>10740</v>
          </cell>
          <cell r="B4279" t="str">
            <v>TALHA ELETRICA 3 T, VELOCIDADE  2,1 M / MIN, POTENCIA 1,3 KW</v>
          </cell>
          <cell r="C4279" t="str">
            <v xml:space="preserve">UN    </v>
          </cell>
          <cell r="D4279">
            <v>9754.19</v>
          </cell>
        </row>
        <row r="4280">
          <cell r="A4280">
            <v>13914</v>
          </cell>
          <cell r="B4280" t="str">
            <v>TALHA MANUAL DE CORRENTE, CAPACIDADE DE 1 T COM ELEVACAO DE 3 M</v>
          </cell>
          <cell r="C4280" t="str">
            <v xml:space="preserve">UN    </v>
          </cell>
          <cell r="D4280">
            <v>705.75</v>
          </cell>
        </row>
        <row r="4281">
          <cell r="A4281">
            <v>10742</v>
          </cell>
          <cell r="B4281" t="str">
            <v>TALHA MANUAL DE CORRENTE, CAPACIDADE DE 2 T COM ELEVACAO DE 3 M</v>
          </cell>
          <cell r="C4281" t="str">
            <v xml:space="preserve">UN    </v>
          </cell>
          <cell r="D4281">
            <v>1029.3499999999999</v>
          </cell>
        </row>
        <row r="4282">
          <cell r="A4282">
            <v>38465</v>
          </cell>
          <cell r="B4282" t="str">
            <v>TALHADEIRA COM PUNHO DE PROTECAO *20 X 250* MM</v>
          </cell>
          <cell r="C4282" t="str">
            <v xml:space="preserve">UN    </v>
          </cell>
          <cell r="D4282">
            <v>32.049999999999997</v>
          </cell>
        </row>
        <row r="4283">
          <cell r="A4283">
            <v>7543</v>
          </cell>
          <cell r="B4283" t="str">
            <v>TAMPA CEGA EM PVC PARA CONDULETE 4 X 2"</v>
          </cell>
          <cell r="C4283" t="str">
            <v xml:space="preserve">UN    </v>
          </cell>
          <cell r="D4283">
            <v>3.78</v>
          </cell>
        </row>
        <row r="4284">
          <cell r="A4284">
            <v>13255</v>
          </cell>
          <cell r="B4284" t="str">
            <v>TAMPA DE CONCRETO PARA PV OU CAIXA DE INSPECAO, DIMENSOES 600 X 600 X 50 MM</v>
          </cell>
          <cell r="C4284" t="str">
            <v xml:space="preserve">UN    </v>
          </cell>
          <cell r="D4284">
            <v>60.36</v>
          </cell>
        </row>
        <row r="4285">
          <cell r="A4285">
            <v>39352</v>
          </cell>
          <cell r="B4285" t="str">
            <v>TAMPA PARA CONDULETE, EM PVC, PARA TOMADA HEXAGONAL</v>
          </cell>
          <cell r="C4285" t="str">
            <v xml:space="preserve">UN    </v>
          </cell>
          <cell r="D4285">
            <v>2.33</v>
          </cell>
        </row>
        <row r="4286">
          <cell r="A4286">
            <v>39346</v>
          </cell>
          <cell r="B4286" t="str">
            <v>TAMPA PARA CONDULETE, EM PVC, PARA 1 INTERRUPTOR</v>
          </cell>
          <cell r="C4286" t="str">
            <v xml:space="preserve">UN    </v>
          </cell>
          <cell r="D4286">
            <v>2.33</v>
          </cell>
        </row>
        <row r="4287">
          <cell r="A4287">
            <v>39350</v>
          </cell>
          <cell r="B4287" t="str">
            <v>TAMPA PARA CONDULETE, EM PVC, PARA 1 MODULO RJ</v>
          </cell>
          <cell r="C4287" t="str">
            <v xml:space="preserve">UN    </v>
          </cell>
          <cell r="D4287">
            <v>2.5099999999999998</v>
          </cell>
        </row>
        <row r="4288">
          <cell r="A4288">
            <v>39351</v>
          </cell>
          <cell r="B4288" t="str">
            <v>TAMPA PARA CONDULETE, EM PVC, PARA 2 MODULOS RJ</v>
          </cell>
          <cell r="C4288" t="str">
            <v xml:space="preserve">UN    </v>
          </cell>
          <cell r="D4288">
            <v>2.91</v>
          </cell>
        </row>
        <row r="4289">
          <cell r="A4289">
            <v>38952</v>
          </cell>
          <cell r="B4289" t="str">
            <v>TAMPAO / CAP, ROSCA FEMEA, METALICO, PARA TUBO PEX, DN 1/2"</v>
          </cell>
          <cell r="C4289" t="str">
            <v xml:space="preserve">UN    </v>
          </cell>
          <cell r="D4289">
            <v>2.52</v>
          </cell>
        </row>
        <row r="4290">
          <cell r="A4290">
            <v>38953</v>
          </cell>
          <cell r="B4290" t="str">
            <v>TAMPAO / CAP, ROSCA FEMEA, METALICO, PARA TUBO PEX, DN 3/4"</v>
          </cell>
          <cell r="C4290" t="str">
            <v xml:space="preserve">UN    </v>
          </cell>
          <cell r="D4290">
            <v>3.98</v>
          </cell>
        </row>
        <row r="4291">
          <cell r="A4291">
            <v>38835</v>
          </cell>
          <cell r="B4291" t="str">
            <v>TAMPAO / CAP, ROSCA MACHO, PARA TUBO PEX, DN 1/2"</v>
          </cell>
          <cell r="C4291" t="str">
            <v xml:space="preserve">UN    </v>
          </cell>
          <cell r="D4291">
            <v>3.57</v>
          </cell>
        </row>
        <row r="4292">
          <cell r="A4292">
            <v>38837</v>
          </cell>
          <cell r="B4292" t="str">
            <v>TAMPAO / CAP, ROSCA MACHO, PARA TUBO PEX, DN 1"</v>
          </cell>
          <cell r="C4292" t="str">
            <v xml:space="preserve">UN    </v>
          </cell>
          <cell r="D4292">
            <v>9.2899999999999991</v>
          </cell>
        </row>
        <row r="4293">
          <cell r="A4293">
            <v>38836</v>
          </cell>
          <cell r="B4293" t="str">
            <v>TAMPAO / CAP, ROSCA MACHO, PARA TUBO PEX, DN 3/4"</v>
          </cell>
          <cell r="C4293" t="str">
            <v xml:space="preserve">UN    </v>
          </cell>
          <cell r="D4293">
            <v>5.14</v>
          </cell>
        </row>
        <row r="4294">
          <cell r="A4294">
            <v>2666</v>
          </cell>
          <cell r="B4294" t="str">
            <v>TAMPAO / TERMINAL / PLUG, D = 1 1/4" , PARA DUTO CORRUGADO PEAD (CABEAMENTO SUBTERRANEO)</v>
          </cell>
          <cell r="C4294" t="str">
            <v xml:space="preserve">UN    </v>
          </cell>
          <cell r="D4294">
            <v>5.24</v>
          </cell>
        </row>
        <row r="4295">
          <cell r="A4295">
            <v>2668</v>
          </cell>
          <cell r="B4295" t="str">
            <v>TAMPAO / TERMINAL / PLUG, D = 2" , PARA DUTO CORRUGADO PEAD (CABEAMENTO SUBTERRANEO)</v>
          </cell>
          <cell r="C4295" t="str">
            <v xml:space="preserve">UN    </v>
          </cell>
          <cell r="D4295">
            <v>5.98</v>
          </cell>
        </row>
        <row r="4296">
          <cell r="A4296">
            <v>2664</v>
          </cell>
          <cell r="B4296" t="str">
            <v>TAMPAO / TERMINAL / PLUG, D = 3" , PARA DUTO CORRUGADO PEAD (CABEAMENTO SUBTERRANEO)</v>
          </cell>
          <cell r="C4296" t="str">
            <v xml:space="preserve">UN    </v>
          </cell>
          <cell r="D4296">
            <v>8.82</v>
          </cell>
        </row>
        <row r="4297">
          <cell r="A4297">
            <v>2662</v>
          </cell>
          <cell r="B4297" t="str">
            <v>TAMPAO / TERMINAL / PLUG, D = 4" , PARA DUTO CORRUGADO PEAD (CABEAMENTO SUBTERRANEO)</v>
          </cell>
          <cell r="C4297" t="str">
            <v xml:space="preserve">UN    </v>
          </cell>
          <cell r="D4297">
            <v>10.82</v>
          </cell>
        </row>
        <row r="4298">
          <cell r="A4298">
            <v>20964</v>
          </cell>
          <cell r="B4298" t="str">
            <v>TAMPAO COM CORRENTE, EM LATAO, ENGATE RAPIDO 1 1/2", PARA INSTALACAO PREDIAL DE COMBATE A INCENDIO</v>
          </cell>
          <cell r="C4298" t="str">
            <v xml:space="preserve">UN    </v>
          </cell>
          <cell r="D4298">
            <v>39.82</v>
          </cell>
        </row>
        <row r="4299">
          <cell r="A4299">
            <v>10905</v>
          </cell>
          <cell r="B4299" t="str">
            <v>TAMPAO COM CORRENTE, EM LATAO, ENGATE RAPIDO 2 1/2", PARA INSTALACAO PREDIAL DE COMBATE A INCENDIO</v>
          </cell>
          <cell r="C4299" t="str">
            <v xml:space="preserve">UN    </v>
          </cell>
          <cell r="D4299">
            <v>53.42</v>
          </cell>
        </row>
        <row r="4300">
          <cell r="A4300">
            <v>42703</v>
          </cell>
          <cell r="B4300" t="str">
            <v>TAMPAO COMPLETO PARA TIL, EM PVC, OCRE, DN 100 MM, PARA REDE COLETORA DE ESGOTO</v>
          </cell>
          <cell r="C4300" t="str">
            <v xml:space="preserve">UN    </v>
          </cell>
          <cell r="D4300">
            <v>56.65</v>
          </cell>
        </row>
        <row r="4301">
          <cell r="A4301">
            <v>42704</v>
          </cell>
          <cell r="B4301" t="str">
            <v>TAMPAO COMPLETO PARA TIL, EM PVC, OCRE, DN 150 MM, PARA REDE COLETORA DE ESGOTO</v>
          </cell>
          <cell r="C4301" t="str">
            <v xml:space="preserve">UN    </v>
          </cell>
          <cell r="D4301">
            <v>86.97</v>
          </cell>
        </row>
        <row r="4302">
          <cell r="A4302">
            <v>42705</v>
          </cell>
          <cell r="B4302" t="str">
            <v>TAMPAO COMPLETO PARA TIL, EM PVC, OCRE, DN 200 MM, PARA REDE COLETORA DE ESGOTO</v>
          </cell>
          <cell r="C4302" t="str">
            <v xml:space="preserve">UN    </v>
          </cell>
          <cell r="D4302">
            <v>110.97</v>
          </cell>
        </row>
        <row r="4303">
          <cell r="A4303">
            <v>42706</v>
          </cell>
          <cell r="B4303" t="str">
            <v>TAMPAO COMPLETO PARA TIL, EM PVC, OCRE, DN 250 MM, PARA REDE COLETORA DE ESGOTO</v>
          </cell>
          <cell r="C4303" t="str">
            <v xml:space="preserve">UN    </v>
          </cell>
          <cell r="D4303">
            <v>137.43</v>
          </cell>
        </row>
        <row r="4304">
          <cell r="A4304">
            <v>11289</v>
          </cell>
          <cell r="B4304" t="str">
            <v>TAMPAO FOFO ARTICULADO P/ REGISTRO, CLASSE A15 CARGA MAX 1,5 T, *200 X 200* MM</v>
          </cell>
          <cell r="C4304" t="str">
            <v xml:space="preserve">UN    </v>
          </cell>
          <cell r="D4304">
            <v>50.35</v>
          </cell>
        </row>
        <row r="4305">
          <cell r="A4305">
            <v>11241</v>
          </cell>
          <cell r="B4305" t="str">
            <v>TAMPAO FOFO ARTICULADO P/ REGISTRO, CLASSE A15 CARGA MAXIMA 1,5 T, *400 X 400* MM</v>
          </cell>
          <cell r="C4305" t="str">
            <v xml:space="preserve">UN    </v>
          </cell>
          <cell r="D4305">
            <v>125.89</v>
          </cell>
        </row>
        <row r="4306">
          <cell r="A4306">
            <v>11301</v>
          </cell>
          <cell r="B4306" t="str">
            <v>TAMPAO FOFO ARTICULADO, CLASSE B125 CARGA MAX 12,5 T, REDONDO TAMPA 600 MM, REDE PLUVIAL/ESGOTO</v>
          </cell>
          <cell r="C4306" t="str">
            <v xml:space="preserve">UN    </v>
          </cell>
          <cell r="D4306">
            <v>319.22000000000003</v>
          </cell>
        </row>
        <row r="4307">
          <cell r="A4307">
            <v>21090</v>
          </cell>
          <cell r="B4307" t="str">
            <v>TAMPAO FOFO ARTICULADO, CLASSE D400 CARGA MAX 40 T, REDONDO TAMPA *600 MM, REDE PLUVIAL/ESGOTO</v>
          </cell>
          <cell r="C4307" t="str">
            <v xml:space="preserve">UN    </v>
          </cell>
          <cell r="D4307">
            <v>391.16</v>
          </cell>
        </row>
        <row r="4308">
          <cell r="A4308">
            <v>14112</v>
          </cell>
          <cell r="B4308" t="str">
            <v>TAMPAO FOFO SIMPLES COM BASE, CLASSE A15 CARGA MAX 1,5 T, *400 X 600* MM, REDE TELEFONE</v>
          </cell>
          <cell r="C4308" t="str">
            <v xml:space="preserve">UN    </v>
          </cell>
          <cell r="D4308">
            <v>163.19999999999999</v>
          </cell>
        </row>
        <row r="4309">
          <cell r="A4309">
            <v>11315</v>
          </cell>
          <cell r="B4309" t="str">
            <v>TAMPAO FOFO SIMPLES COM BASE, CLASSE A15 CARGA MAX 1,5 T, 300 X 300 MM, REDE PLUVIAL/ESGOTO</v>
          </cell>
          <cell r="C4309" t="str">
            <v xml:space="preserve">UN    </v>
          </cell>
          <cell r="D4309">
            <v>76.430000000000007</v>
          </cell>
        </row>
        <row r="4310">
          <cell r="A4310">
            <v>11292</v>
          </cell>
          <cell r="B4310" t="str">
            <v>TAMPAO FOFO SIMPLES COM BASE, CLASSE A15 CARGA MAX 1,5 T, 300 X 400 MM</v>
          </cell>
          <cell r="C4310" t="str">
            <v xml:space="preserve">UN    </v>
          </cell>
          <cell r="D4310">
            <v>178.94</v>
          </cell>
        </row>
        <row r="4311">
          <cell r="A4311">
            <v>21071</v>
          </cell>
          <cell r="B4311" t="str">
            <v>TAMPAO FOFO SIMPLES COM BASE, CLASSE A15 CARGA MAX 1,5 T, 400 X 400 MM, REDE PLUVIAL/ESGOTO/ELETRICA</v>
          </cell>
          <cell r="C4311" t="str">
            <v xml:space="preserve">UN    </v>
          </cell>
          <cell r="D4311">
            <v>116.89</v>
          </cell>
        </row>
        <row r="4312">
          <cell r="A4312">
            <v>11293</v>
          </cell>
          <cell r="B4312" t="str">
            <v>TAMPAO FOFO SIMPLES COM BASE, CLASSE A15 CARGA MAX 1,5 T, 400 X 500 MM, COM INSCRICAO INCENDIO</v>
          </cell>
          <cell r="C4312" t="str">
            <v xml:space="preserve">UN    </v>
          </cell>
          <cell r="D4312">
            <v>197.82</v>
          </cell>
        </row>
        <row r="4313">
          <cell r="A4313">
            <v>11316</v>
          </cell>
          <cell r="B4313" t="str">
            <v>TAMPAO FOFO SIMPLES COM BASE, CLASSE B125 CARGA MAX 12,5 T, REDONDO TAMPA 500 MM, REDE PLUVIAL/ESGOTO</v>
          </cell>
          <cell r="C4313" t="str">
            <v xml:space="preserve">UN    </v>
          </cell>
          <cell r="D4313">
            <v>251.78</v>
          </cell>
        </row>
        <row r="4314">
          <cell r="A4314">
            <v>6243</v>
          </cell>
          <cell r="B4314" t="str">
            <v>TAMPAO FOFO SIMPLES COM BASE, CLASSE B125 CARGA MAX 12,5 T, REDONDO TAMPA 600 MM, REDE PLUVIAL/ESGOTO</v>
          </cell>
          <cell r="C4314" t="str">
            <v xml:space="preserve">UN    </v>
          </cell>
          <cell r="D4314">
            <v>290</v>
          </cell>
        </row>
        <row r="4315">
          <cell r="A4315">
            <v>21079</v>
          </cell>
          <cell r="B4315" t="str">
            <v>TAMPAO FOFO SIMPLES COM BASE, CLASSE D400 CARGA MAX 40 T, REDONDO TAMPA 500 MM, REDE PLUVIAL/ESGOTO</v>
          </cell>
          <cell r="C4315" t="str">
            <v xml:space="preserve">UN    </v>
          </cell>
          <cell r="D4315">
            <v>345.75</v>
          </cell>
        </row>
        <row r="4316">
          <cell r="A4316">
            <v>6240</v>
          </cell>
          <cell r="B4316" t="str">
            <v>TAMPAO FOFO SIMPLES COM BASE, CLASSE D400 CARGA MAX 40 T, REDONDO TAMPA 600 MM, REDE PLUVIAL/ESGOTO</v>
          </cell>
          <cell r="C4316" t="str">
            <v xml:space="preserve">UN    </v>
          </cell>
          <cell r="D4316">
            <v>383.96</v>
          </cell>
        </row>
        <row r="4317">
          <cell r="A4317">
            <v>11296</v>
          </cell>
          <cell r="B4317" t="str">
            <v>TAMPAO FOFO SIMPLES COM BASE, CLASSE D400 CARGA MAX 40 T, REDONDO TAMPA 900 MM, REDE PLUVIAL/ESGOTO</v>
          </cell>
          <cell r="C4317" t="str">
            <v xml:space="preserve">UN    </v>
          </cell>
          <cell r="D4317">
            <v>1223.3900000000001</v>
          </cell>
        </row>
        <row r="4318">
          <cell r="A4318">
            <v>11299</v>
          </cell>
          <cell r="B4318" t="str">
            <v>TAMPAO FOFO SIMPLES, CLASSE A15 CARGA MAX 1,5 T, *550 X 1100* MM, REDE TELEFONE</v>
          </cell>
          <cell r="C4318" t="str">
            <v xml:space="preserve">UN    </v>
          </cell>
          <cell r="D4318">
            <v>414.09</v>
          </cell>
        </row>
        <row r="4319">
          <cell r="A4319">
            <v>11066</v>
          </cell>
          <cell r="B4319" t="str">
            <v>TAMPAO PARA TELHA ESTRUTURAL DE FIBROCIMENTO 1 ABA, DE 370 X 155 X 76 MM (SEM AMIANTO)</v>
          </cell>
          <cell r="C4319" t="str">
            <v xml:space="preserve">UN    </v>
          </cell>
          <cell r="D4319">
            <v>10.34</v>
          </cell>
        </row>
        <row r="4320">
          <cell r="A4320">
            <v>11065</v>
          </cell>
          <cell r="B4320" t="str">
            <v>TAMPAO PARA TELHA ESTRUTURAL DE FIBROCIMENTO 2 ABAS, DE 787 X 215 X 60 MM (SEM AMIANTO)</v>
          </cell>
          <cell r="C4320" t="str">
            <v xml:space="preserve">UN    </v>
          </cell>
          <cell r="D4320">
            <v>11.86</v>
          </cell>
        </row>
        <row r="4321">
          <cell r="A4321">
            <v>11688</v>
          </cell>
          <cell r="B4321" t="str">
            <v>TANQUE ACO INOXIDAVEL (ACO 304) COM ESFREGADOR E VALVULA, DE *50 X 40 X 22* CM</v>
          </cell>
          <cell r="C4321" t="str">
            <v xml:space="preserve">UN    </v>
          </cell>
          <cell r="D4321">
            <v>348.63</v>
          </cell>
        </row>
        <row r="4322">
          <cell r="A4322">
            <v>37736</v>
          </cell>
          <cell r="B4322" t="str">
            <v>TANQUE DE ACO CARBONO NAO REVESTIDO, PARA TRANSPORTE DE AGUA COM CAPACIDADE DE 10 M3, COM BOMBA CENTRIFUGA POR TOMADA DE FORCA, VAZAO MAXIMA *75* M3/H (INCLUI MONTAGEM, NAO INCLUI CAMINHAO)</v>
          </cell>
          <cell r="C4322" t="str">
            <v xml:space="preserve">UN    </v>
          </cell>
          <cell r="D4322">
            <v>48000</v>
          </cell>
        </row>
        <row r="4323">
          <cell r="A4323">
            <v>37739</v>
          </cell>
          <cell r="B4323" t="str">
            <v>TANQUE DE ACO PARA TRANSPORTE DE AGUA COM CAPACIDADE DE 14 M3 (INCLUI MONTAGEM, NAO INCLUI CAMINHAO)</v>
          </cell>
          <cell r="C4323" t="str">
            <v xml:space="preserve">UN    </v>
          </cell>
          <cell r="D4323">
            <v>59076.92</v>
          </cell>
        </row>
        <row r="4324">
          <cell r="A4324">
            <v>37740</v>
          </cell>
          <cell r="B4324" t="str">
            <v>TANQUE DE ACO PARA TRANSPORTE DE AGUA COM CAPACIDADE DE 4 M3 (INCLUI MONTAGEM, NAO INCLUI CAMINHAO)</v>
          </cell>
          <cell r="C4324" t="str">
            <v xml:space="preserve">UN    </v>
          </cell>
          <cell r="D4324">
            <v>33712.370000000003</v>
          </cell>
        </row>
        <row r="4325">
          <cell r="A4325">
            <v>37738</v>
          </cell>
          <cell r="B4325" t="str">
            <v>TANQUE DE ACO PARA TRANSPORTE DE AGUA COM CAPACIDADE DE 6 M3 (INCLUI MONTAGEM, NAO INCLUI CAMINHAO)</v>
          </cell>
          <cell r="C4325" t="str">
            <v xml:space="preserve">UN    </v>
          </cell>
          <cell r="D4325">
            <v>40053.51</v>
          </cell>
        </row>
        <row r="4326">
          <cell r="A4326">
            <v>37737</v>
          </cell>
          <cell r="B4326" t="str">
            <v>TANQUE DE ACO PARA TRANSPORTE DE AGUA COM CAPACIDADE DE 8 M3 (INCLUI MONTAGEM, NAO INCLUI CAMINHAO)</v>
          </cell>
          <cell r="C4326" t="str">
            <v xml:space="preserve">UN    </v>
          </cell>
          <cell r="D4326">
            <v>31866.22</v>
          </cell>
        </row>
        <row r="4327">
          <cell r="A4327">
            <v>25014</v>
          </cell>
          <cell r="B4327" t="str">
            <v>TANQUE DE ASFALTO ESTACIONARIO COM MACARICO, CAPACIDADE 20.000 L</v>
          </cell>
          <cell r="C4327" t="str">
            <v xml:space="preserve">UN    </v>
          </cell>
          <cell r="D4327">
            <v>66742.47</v>
          </cell>
        </row>
        <row r="4328">
          <cell r="A4328">
            <v>25013</v>
          </cell>
          <cell r="B4328" t="str">
            <v>TANQUE DE ASFALTO ESTACIONARIO COM SERPENTINA, CAPACIDADE 20.000 L</v>
          </cell>
          <cell r="C4328" t="str">
            <v xml:space="preserve">UN    </v>
          </cell>
          <cell r="D4328">
            <v>69953.17</v>
          </cell>
        </row>
        <row r="4329">
          <cell r="A4329">
            <v>14405</v>
          </cell>
          <cell r="B4329" t="str">
            <v>TANQUE DE ASFALTO ESTACIONARIO COM SERPENTINA, CAPACIDADE 30.000 L</v>
          </cell>
          <cell r="C4329" t="str">
            <v xml:space="preserve">UN    </v>
          </cell>
          <cell r="D4329">
            <v>82113.710000000006</v>
          </cell>
        </row>
        <row r="4330">
          <cell r="A4330">
            <v>6253</v>
          </cell>
          <cell r="B4330" t="str">
            <v>TANQUE DE LAVAR ROUPAS EM CONCRETO PRE-MOLDADO, 1 BOCA, COM APOIO/PES, DE *60 X 65 X 80* CM (L X P X A)</v>
          </cell>
          <cell r="C4330" t="str">
            <v xml:space="preserve">UN    </v>
          </cell>
          <cell r="D4330">
            <v>68.900000000000006</v>
          </cell>
        </row>
        <row r="4331">
          <cell r="A4331">
            <v>36790</v>
          </cell>
          <cell r="B4331" t="str">
            <v>TANQUE DUPLO EM MARMORE SINTETICO COM CUBA LISA E ESFREGADOR, *110 X 60* CM</v>
          </cell>
          <cell r="C4331" t="str">
            <v xml:space="preserve">UN    </v>
          </cell>
          <cell r="D4331">
            <v>187.01</v>
          </cell>
        </row>
        <row r="4332">
          <cell r="A4332">
            <v>20271</v>
          </cell>
          <cell r="B4332" t="str">
            <v>TANQUE LOUCA BRANCA COM COLUNA *30* L</v>
          </cell>
          <cell r="C4332" t="str">
            <v xml:space="preserve">UN    </v>
          </cell>
          <cell r="D4332">
            <v>475.91</v>
          </cell>
        </row>
        <row r="4333">
          <cell r="A4333">
            <v>10423</v>
          </cell>
          <cell r="B4333" t="str">
            <v>TANQUE LOUCA BRANCA SUSPENSO *20* L</v>
          </cell>
          <cell r="C4333" t="str">
            <v xml:space="preserve">UN    </v>
          </cell>
          <cell r="D4333">
            <v>295.17</v>
          </cell>
        </row>
        <row r="4334">
          <cell r="A4334">
            <v>37589</v>
          </cell>
          <cell r="B4334" t="str">
            <v>TANQUE SIMPLES EM MARMORE SINTETICO COM COLUNA, CAPACIDADE *22* L, *60 X 46* CM</v>
          </cell>
          <cell r="C4334" t="str">
            <v xml:space="preserve">UN    </v>
          </cell>
          <cell r="D4334">
            <v>229.14</v>
          </cell>
        </row>
        <row r="4335">
          <cell r="A4335">
            <v>11690</v>
          </cell>
          <cell r="B4335" t="str">
            <v>TANQUE SIMPLES EM MARMORE SINTETICO DE FIXAR NA PAREDE, CAPACIDADE *22* L, *60 X 46* CM</v>
          </cell>
          <cell r="C4335" t="str">
            <v xml:space="preserve">UN    </v>
          </cell>
          <cell r="D4335">
            <v>121.72</v>
          </cell>
        </row>
        <row r="4336">
          <cell r="A4336">
            <v>20234</v>
          </cell>
          <cell r="B4336" t="str">
            <v>TANQUE SIMPLES EM MARMORE SINTETICO SUSPENSO, CAPACIDADE *38* L, *60 X 60* CM</v>
          </cell>
          <cell r="C4336" t="str">
            <v xml:space="preserve">UN    </v>
          </cell>
          <cell r="D4336">
            <v>154.04</v>
          </cell>
        </row>
        <row r="4337">
          <cell r="A4337">
            <v>4763</v>
          </cell>
          <cell r="B4337" t="str">
            <v>TAQUEADOR OU TAQUEIRO</v>
          </cell>
          <cell r="C4337" t="str">
            <v xml:space="preserve">H     </v>
          </cell>
          <cell r="D4337">
            <v>18.37</v>
          </cell>
        </row>
        <row r="4338">
          <cell r="A4338">
            <v>41070</v>
          </cell>
          <cell r="B4338" t="str">
            <v>TAQUEADOR OU TAQUEIRO (MENSALISTA)</v>
          </cell>
          <cell r="C4338" t="str">
            <v xml:space="preserve">MES   </v>
          </cell>
          <cell r="D4338">
            <v>3255</v>
          </cell>
        </row>
        <row r="4339">
          <cell r="A4339">
            <v>14583</v>
          </cell>
          <cell r="B4339" t="str">
            <v>TARIFA "A" ENTRE  0 E 20M3 FORNECIMENTO D'AGUA</v>
          </cell>
          <cell r="C4339" t="str">
            <v xml:space="preserve">M3    </v>
          </cell>
          <cell r="D4339">
            <v>11.35</v>
          </cell>
        </row>
        <row r="4340">
          <cell r="A4340">
            <v>11457</v>
          </cell>
          <cell r="B4340" t="str">
            <v>TARJETA TIPO LIVRE / OCUPADO, CROMADA, PARA PORTA DE BANHEIRO</v>
          </cell>
          <cell r="C4340" t="str">
            <v xml:space="preserve">UN    </v>
          </cell>
          <cell r="D4340">
            <v>26.14</v>
          </cell>
        </row>
        <row r="4341">
          <cell r="A4341">
            <v>21121</v>
          </cell>
          <cell r="B4341" t="str">
            <v>TE CPVC, SOLDAVEL, 90 GRAUS, 15 MM, PARA AGUA QUENTE PREDIAL</v>
          </cell>
          <cell r="C4341" t="str">
            <v xml:space="preserve">UN    </v>
          </cell>
          <cell r="D4341">
            <v>3.65</v>
          </cell>
        </row>
        <row r="4342">
          <cell r="A4342">
            <v>38010</v>
          </cell>
          <cell r="B4342" t="str">
            <v>TE CPVC, SOLDAVEL, 90 GRAUS, 22 MM, PARA AGUA QUENTE PREDIAL</v>
          </cell>
          <cell r="C4342" t="str">
            <v xml:space="preserve">UN    </v>
          </cell>
          <cell r="D4342">
            <v>5.97</v>
          </cell>
        </row>
        <row r="4343">
          <cell r="A4343">
            <v>38011</v>
          </cell>
          <cell r="B4343" t="str">
            <v>TE CPVC, SOLDAVEL, 90 GRAUS, 28 MM, PARA AGUA QUENTE PREDIAL</v>
          </cell>
          <cell r="C4343" t="str">
            <v xml:space="preserve">UN    </v>
          </cell>
          <cell r="D4343">
            <v>11.02</v>
          </cell>
        </row>
        <row r="4344">
          <cell r="A4344">
            <v>38012</v>
          </cell>
          <cell r="B4344" t="str">
            <v>TE CPVC, SOLDAVEL, 90 GRAUS, 35 MM, PARA AGUA QUENTE PREDIAL</v>
          </cell>
          <cell r="C4344" t="str">
            <v xml:space="preserve">UN    </v>
          </cell>
          <cell r="D4344">
            <v>37.65</v>
          </cell>
        </row>
        <row r="4345">
          <cell r="A4345">
            <v>38013</v>
          </cell>
          <cell r="B4345" t="str">
            <v>TE CPVC, SOLDAVEL, 90 GRAUS, 42 MM, PARA AGUA QUENTE PREDIAL</v>
          </cell>
          <cell r="C4345" t="str">
            <v xml:space="preserve">UN    </v>
          </cell>
          <cell r="D4345">
            <v>48.88</v>
          </cell>
        </row>
        <row r="4346">
          <cell r="A4346">
            <v>38014</v>
          </cell>
          <cell r="B4346" t="str">
            <v>TE CPVC, SOLDAVEL, 90 GRAUS, 54 MM, PARA AGUA QUENTE PREDIAL</v>
          </cell>
          <cell r="C4346" t="str">
            <v xml:space="preserve">UN    </v>
          </cell>
          <cell r="D4346">
            <v>79.540000000000006</v>
          </cell>
        </row>
        <row r="4347">
          <cell r="A4347">
            <v>38015</v>
          </cell>
          <cell r="B4347" t="str">
            <v>TE CPVC, SOLDAVEL, 90 GRAUS, 73 MM, PARA AGUA QUENTE PREDIAL</v>
          </cell>
          <cell r="C4347" t="str">
            <v xml:space="preserve">UN    </v>
          </cell>
          <cell r="D4347">
            <v>192.06</v>
          </cell>
        </row>
        <row r="4348">
          <cell r="A4348">
            <v>38016</v>
          </cell>
          <cell r="B4348" t="str">
            <v>TE CPVC, SOLDAVEL, 90 GRAUS, 89 MM, PARA AGUA QUENTE PREDIAL</v>
          </cell>
          <cell r="C4348" t="str">
            <v xml:space="preserve">UN    </v>
          </cell>
          <cell r="D4348">
            <v>233.69</v>
          </cell>
        </row>
        <row r="4349">
          <cell r="A4349">
            <v>12741</v>
          </cell>
          <cell r="B4349" t="str">
            <v>TE DE COBRE (REF 611) SEM ANEL DE SOLDA, BOLSA X BOLSA X BOLSA, 104 MM</v>
          </cell>
          <cell r="C4349" t="str">
            <v xml:space="preserve">UN    </v>
          </cell>
          <cell r="D4349">
            <v>794.47</v>
          </cell>
        </row>
        <row r="4350">
          <cell r="A4350">
            <v>12733</v>
          </cell>
          <cell r="B4350" t="str">
            <v>TE DE COBRE (REF 611) SEM ANEL DE SOLDA, BOLSA X BOLSA X BOLSA, 15 MM</v>
          </cell>
          <cell r="C4350" t="str">
            <v xml:space="preserve">UN    </v>
          </cell>
          <cell r="D4350">
            <v>3.99</v>
          </cell>
        </row>
        <row r="4351">
          <cell r="A4351">
            <v>12734</v>
          </cell>
          <cell r="B4351" t="str">
            <v>TE DE COBRE (REF 611) SEM ANEL DE SOLDA, BOLSA X BOLSA X BOLSA, 22 MM</v>
          </cell>
          <cell r="C4351" t="str">
            <v xml:space="preserve">UN    </v>
          </cell>
          <cell r="D4351">
            <v>8.52</v>
          </cell>
        </row>
        <row r="4352">
          <cell r="A4352">
            <v>12735</v>
          </cell>
          <cell r="B4352" t="str">
            <v>TE DE COBRE (REF 611) SEM ANEL DE SOLDA, BOLSA X BOLSA X BOLSA, 28 MM</v>
          </cell>
          <cell r="C4352" t="str">
            <v xml:space="preserve">UN    </v>
          </cell>
          <cell r="D4352">
            <v>14.01</v>
          </cell>
        </row>
        <row r="4353">
          <cell r="A4353">
            <v>12736</v>
          </cell>
          <cell r="B4353" t="str">
            <v>TE DE COBRE (REF 611) SEM ANEL DE SOLDA, BOLSA X BOLSA X BOLSA, 35 MM</v>
          </cell>
          <cell r="C4353" t="str">
            <v xml:space="preserve">UN    </v>
          </cell>
          <cell r="D4353">
            <v>32.04</v>
          </cell>
        </row>
        <row r="4354">
          <cell r="A4354">
            <v>12737</v>
          </cell>
          <cell r="B4354" t="str">
            <v>TE DE COBRE (REF 611) SEM ANEL DE SOLDA, BOLSA X BOLSA X BOLSA, 42 MM</v>
          </cell>
          <cell r="C4354" t="str">
            <v xml:space="preserve">UN    </v>
          </cell>
          <cell r="D4354">
            <v>41.28</v>
          </cell>
        </row>
        <row r="4355">
          <cell r="A4355">
            <v>12738</v>
          </cell>
          <cell r="B4355" t="str">
            <v>TE DE COBRE (REF 611) SEM ANEL DE SOLDA, BOLSA X BOLSA X BOLSA, 54 MM</v>
          </cell>
          <cell r="C4355" t="str">
            <v xml:space="preserve">UN    </v>
          </cell>
          <cell r="D4355">
            <v>81.58</v>
          </cell>
        </row>
        <row r="4356">
          <cell r="A4356">
            <v>12739</v>
          </cell>
          <cell r="B4356" t="str">
            <v>TE DE COBRE (REF 611) SEM ANEL DE SOLDA, BOLSA X BOLSA X BOLSA, 66 MM</v>
          </cell>
          <cell r="C4356" t="str">
            <v xml:space="preserve">UN    </v>
          </cell>
          <cell r="D4356">
            <v>232.24</v>
          </cell>
        </row>
        <row r="4357">
          <cell r="A4357">
            <v>12740</v>
          </cell>
          <cell r="B4357" t="str">
            <v>TE DE COBRE (REF 611) SEM ANEL DE SOLDA, BOLSA X BOLSA X BOLSA, 79 MM</v>
          </cell>
          <cell r="C4357" t="str">
            <v xml:space="preserve">UN    </v>
          </cell>
          <cell r="D4357">
            <v>363.36</v>
          </cell>
        </row>
        <row r="4358">
          <cell r="A4358">
            <v>6297</v>
          </cell>
          <cell r="B4358" t="str">
            <v>TE DE FERRO GALVANIZADO, DE 1 1/2"</v>
          </cell>
          <cell r="C4358" t="str">
            <v xml:space="preserve">UN    </v>
          </cell>
          <cell r="D4358">
            <v>19.25</v>
          </cell>
        </row>
        <row r="4359">
          <cell r="A4359">
            <v>6296</v>
          </cell>
          <cell r="B4359" t="str">
            <v>TE DE FERRO GALVANIZADO, DE 1 1/4"</v>
          </cell>
          <cell r="C4359" t="str">
            <v xml:space="preserve">UN    </v>
          </cell>
          <cell r="D4359">
            <v>15.19</v>
          </cell>
        </row>
        <row r="4360">
          <cell r="A4360">
            <v>6294</v>
          </cell>
          <cell r="B4360" t="str">
            <v>TE DE FERRO GALVANIZADO, DE 1/2"</v>
          </cell>
          <cell r="C4360" t="str">
            <v xml:space="preserve">UN    </v>
          </cell>
          <cell r="D4360">
            <v>4.33</v>
          </cell>
        </row>
        <row r="4361">
          <cell r="A4361">
            <v>6323</v>
          </cell>
          <cell r="B4361" t="str">
            <v>TE DE FERRO GALVANIZADO, DE 1"</v>
          </cell>
          <cell r="C4361" t="str">
            <v xml:space="preserve">UN    </v>
          </cell>
          <cell r="D4361">
            <v>9.93</v>
          </cell>
        </row>
        <row r="4362">
          <cell r="A4362">
            <v>6299</v>
          </cell>
          <cell r="B4362" t="str">
            <v>TE DE FERRO GALVANIZADO, DE 2 1/2"</v>
          </cell>
          <cell r="C4362" t="str">
            <v xml:space="preserve">UN    </v>
          </cell>
          <cell r="D4362">
            <v>57.91</v>
          </cell>
        </row>
        <row r="4363">
          <cell r="A4363">
            <v>6298</v>
          </cell>
          <cell r="B4363" t="str">
            <v>TE DE FERRO GALVANIZADO, DE 2"</v>
          </cell>
          <cell r="C4363" t="str">
            <v xml:space="preserve">UN    </v>
          </cell>
          <cell r="D4363">
            <v>30.49</v>
          </cell>
        </row>
        <row r="4364">
          <cell r="A4364">
            <v>6295</v>
          </cell>
          <cell r="B4364" t="str">
            <v>TE DE FERRO GALVANIZADO, DE 3/4"</v>
          </cell>
          <cell r="C4364" t="str">
            <v xml:space="preserve">UN    </v>
          </cell>
          <cell r="D4364">
            <v>6.17</v>
          </cell>
        </row>
        <row r="4365">
          <cell r="A4365">
            <v>6322</v>
          </cell>
          <cell r="B4365" t="str">
            <v>TE DE FERRO GALVANIZADO, DE 3"</v>
          </cell>
          <cell r="C4365" t="str">
            <v xml:space="preserve">UN    </v>
          </cell>
          <cell r="D4365">
            <v>77.56</v>
          </cell>
        </row>
        <row r="4366">
          <cell r="A4366">
            <v>6300</v>
          </cell>
          <cell r="B4366" t="str">
            <v>TE DE FERRO GALVANIZADO, DE 4"</v>
          </cell>
          <cell r="C4366" t="str">
            <v xml:space="preserve">UN    </v>
          </cell>
          <cell r="D4366">
            <v>142.99</v>
          </cell>
        </row>
        <row r="4367">
          <cell r="A4367">
            <v>6321</v>
          </cell>
          <cell r="B4367" t="str">
            <v>TE DE FERRO GALVANIZADO, DE 5"</v>
          </cell>
          <cell r="C4367" t="str">
            <v xml:space="preserve">UN    </v>
          </cell>
          <cell r="D4367">
            <v>204.26</v>
          </cell>
        </row>
        <row r="4368">
          <cell r="A4368">
            <v>6301</v>
          </cell>
          <cell r="B4368" t="str">
            <v>TE DE FERRO GALVANIZADO, DE 6"</v>
          </cell>
          <cell r="C4368" t="str">
            <v xml:space="preserve">UN    </v>
          </cell>
          <cell r="D4368">
            <v>478.76</v>
          </cell>
        </row>
        <row r="4369">
          <cell r="A4369">
            <v>7105</v>
          </cell>
          <cell r="B4369" t="str">
            <v>TE DE INSPECAO, PVC,  100 X 75 MM, SERIE NORMAL PARA ESGOTO PREDIAL</v>
          </cell>
          <cell r="C4369" t="str">
            <v xml:space="preserve">UN    </v>
          </cell>
          <cell r="D4369">
            <v>22.75</v>
          </cell>
        </row>
        <row r="4370">
          <cell r="A4370">
            <v>20183</v>
          </cell>
          <cell r="B4370" t="str">
            <v>TE DE INSPECAO, PVC, SERIE R, 100 X 75 MM, PARA ESGOTO PREDIAL</v>
          </cell>
          <cell r="C4370" t="str">
            <v xml:space="preserve">UN    </v>
          </cell>
          <cell r="D4370">
            <v>29.95</v>
          </cell>
        </row>
        <row r="4371">
          <cell r="A4371">
            <v>38448</v>
          </cell>
          <cell r="B4371" t="str">
            <v>TE DE INSPECAO, PVC, SERIE R, 150 X 100 MM, PARA ESGOTO PREDIAL</v>
          </cell>
          <cell r="C4371" t="str">
            <v xml:space="preserve">UN    </v>
          </cell>
          <cell r="D4371">
            <v>140.72999999999999</v>
          </cell>
        </row>
        <row r="4372">
          <cell r="A4372">
            <v>20182</v>
          </cell>
          <cell r="B4372" t="str">
            <v>TE DE INSPECAO, PVC, SERIE R, 75 X 75 MM, PARA ESGOTO PREDIAL</v>
          </cell>
          <cell r="C4372" t="str">
            <v xml:space="preserve">UN    </v>
          </cell>
          <cell r="D4372">
            <v>17.09</v>
          </cell>
        </row>
        <row r="4373">
          <cell r="A4373">
            <v>7119</v>
          </cell>
          <cell r="B4373" t="str">
            <v>TE DE REDUCAO COM ROSCA, PVC, 90 GRAUS, 1 X 3/4", PARA AGUA FRIA PREDIAL</v>
          </cell>
          <cell r="C4373" t="str">
            <v xml:space="preserve">UN    </v>
          </cell>
          <cell r="D4373">
            <v>6.45</v>
          </cell>
        </row>
        <row r="4374">
          <cell r="A4374">
            <v>7120</v>
          </cell>
          <cell r="B4374" t="str">
            <v>TE DE REDUCAO COM ROSCA, PVC, 90 GRAUS, 3/4 X 1/2", PARA AGUA FRIA PREDIAL</v>
          </cell>
          <cell r="C4374" t="str">
            <v xml:space="preserve">UN    </v>
          </cell>
          <cell r="D4374">
            <v>4.42</v>
          </cell>
        </row>
        <row r="4375">
          <cell r="A4375">
            <v>6319</v>
          </cell>
          <cell r="B4375" t="str">
            <v>TE DE REDUCAO DE FERRO GALVANIZADO, COM ROSCA BSP, DE 1 1/2" X 1"</v>
          </cell>
          <cell r="C4375" t="str">
            <v xml:space="preserve">UN    </v>
          </cell>
          <cell r="D4375">
            <v>22.62</v>
          </cell>
        </row>
        <row r="4376">
          <cell r="A4376">
            <v>6304</v>
          </cell>
          <cell r="B4376" t="str">
            <v>TE DE REDUCAO DE FERRO GALVANIZADO, COM ROSCA BSP, DE 1 1/2" X 3/4"</v>
          </cell>
          <cell r="C4376" t="str">
            <v xml:space="preserve">UN    </v>
          </cell>
          <cell r="D4376">
            <v>22.62</v>
          </cell>
        </row>
        <row r="4377">
          <cell r="A4377">
            <v>21116</v>
          </cell>
          <cell r="B4377" t="str">
            <v>TE DE REDUCAO DE FERRO GALVANIZADO, COM ROSCA BSP, DE 1 1/4" X 3/4"</v>
          </cell>
          <cell r="C4377" t="str">
            <v xml:space="preserve">UN    </v>
          </cell>
          <cell r="D4377">
            <v>17.13</v>
          </cell>
        </row>
        <row r="4378">
          <cell r="A4378">
            <v>6320</v>
          </cell>
          <cell r="B4378" t="str">
            <v>TE DE REDUCAO DE FERRO GALVANIZADO, COM ROSCA BSP, DE 1" X 1/2"</v>
          </cell>
          <cell r="C4378" t="str">
            <v xml:space="preserve">UN    </v>
          </cell>
          <cell r="D4378">
            <v>11.65</v>
          </cell>
        </row>
        <row r="4379">
          <cell r="A4379">
            <v>6303</v>
          </cell>
          <cell r="B4379" t="str">
            <v>TE DE REDUCAO DE FERRO GALVANIZADO, COM ROSCA BSP, DE 1" X 3/4"</v>
          </cell>
          <cell r="C4379" t="str">
            <v xml:space="preserve">UN    </v>
          </cell>
          <cell r="D4379">
            <v>11.65</v>
          </cell>
        </row>
        <row r="4380">
          <cell r="A4380">
            <v>6308</v>
          </cell>
          <cell r="B4380" t="str">
            <v>TE DE REDUCAO DE FERRO GALVANIZADO, COM ROSCA BSP, DE 2 1/2" X 1 1/2"</v>
          </cell>
          <cell r="C4380" t="str">
            <v xml:space="preserve">UN    </v>
          </cell>
          <cell r="D4380">
            <v>62.59</v>
          </cell>
        </row>
        <row r="4381">
          <cell r="A4381">
            <v>6317</v>
          </cell>
          <cell r="B4381" t="str">
            <v>TE DE REDUCAO DE FERRO GALVANIZADO, COM ROSCA BSP, DE 2 1/2" X 1 1/4"</v>
          </cell>
          <cell r="C4381" t="str">
            <v xml:space="preserve">UN    </v>
          </cell>
          <cell r="D4381">
            <v>62.59</v>
          </cell>
        </row>
        <row r="4382">
          <cell r="A4382">
            <v>6307</v>
          </cell>
          <cell r="B4382" t="str">
            <v>TE DE REDUCAO DE FERRO GALVANIZADO, COM ROSCA BSP, DE 2 1/2" X 1"</v>
          </cell>
          <cell r="C4382" t="str">
            <v xml:space="preserve">UN    </v>
          </cell>
          <cell r="D4382">
            <v>62.59</v>
          </cell>
        </row>
        <row r="4383">
          <cell r="A4383">
            <v>6309</v>
          </cell>
          <cell r="B4383" t="str">
            <v>TE DE REDUCAO DE FERRO GALVANIZADO, COM ROSCA BSP, DE 2 1/2" X 2"</v>
          </cell>
          <cell r="C4383" t="str">
            <v xml:space="preserve">UN    </v>
          </cell>
          <cell r="D4383">
            <v>64.41</v>
          </cell>
        </row>
        <row r="4384">
          <cell r="A4384">
            <v>6318</v>
          </cell>
          <cell r="B4384" t="str">
            <v>TE DE REDUCAO DE FERRO GALVANIZADO, COM ROSCA BSP, DE 2" X 1 1/2"</v>
          </cell>
          <cell r="C4384" t="str">
            <v xml:space="preserve">UN    </v>
          </cell>
          <cell r="D4384">
            <v>33.76</v>
          </cell>
        </row>
        <row r="4385">
          <cell r="A4385">
            <v>6306</v>
          </cell>
          <cell r="B4385" t="str">
            <v>TE DE REDUCAO DE FERRO GALVANIZADO, COM ROSCA BSP, DE 2" X 1 1/4"</v>
          </cell>
          <cell r="C4385" t="str">
            <v xml:space="preserve">UN    </v>
          </cell>
          <cell r="D4385">
            <v>33.76</v>
          </cell>
        </row>
        <row r="4386">
          <cell r="A4386">
            <v>6305</v>
          </cell>
          <cell r="B4386" t="str">
            <v>TE DE REDUCAO DE FERRO GALVANIZADO, COM ROSCA BSP, DE 2" X 1"</v>
          </cell>
          <cell r="C4386" t="str">
            <v xml:space="preserve">UN    </v>
          </cell>
          <cell r="D4386">
            <v>33.76</v>
          </cell>
        </row>
        <row r="4387">
          <cell r="A4387">
            <v>6302</v>
          </cell>
          <cell r="B4387" t="str">
            <v>TE DE REDUCAO DE FERRO GALVANIZADO, COM ROSCA BSP, DE 3/4" X 1/2"</v>
          </cell>
          <cell r="C4387" t="str">
            <v xml:space="preserve">UN    </v>
          </cell>
          <cell r="D4387">
            <v>7.16</v>
          </cell>
        </row>
        <row r="4388">
          <cell r="A4388">
            <v>6312</v>
          </cell>
          <cell r="B4388" t="str">
            <v>TE DE REDUCAO DE FERRO GALVANIZADO, COM ROSCA BSP, DE 3" X 1 1/2"</v>
          </cell>
          <cell r="C4388" t="str">
            <v xml:space="preserve">UN    </v>
          </cell>
          <cell r="D4388">
            <v>90.03</v>
          </cell>
        </row>
        <row r="4389">
          <cell r="A4389">
            <v>6311</v>
          </cell>
          <cell r="B4389" t="str">
            <v>TE DE REDUCAO DE FERRO GALVANIZADO, COM ROSCA BSP, DE 3" X 1 1/4"</v>
          </cell>
          <cell r="C4389" t="str">
            <v xml:space="preserve">UN    </v>
          </cell>
          <cell r="D4389">
            <v>90.03</v>
          </cell>
        </row>
        <row r="4390">
          <cell r="A4390">
            <v>6310</v>
          </cell>
          <cell r="B4390" t="str">
            <v>TE DE REDUCAO DE FERRO GALVANIZADO, COM ROSCA BSP, DE 3" X 1"</v>
          </cell>
          <cell r="C4390" t="str">
            <v xml:space="preserve">UN    </v>
          </cell>
          <cell r="D4390">
            <v>90.03</v>
          </cell>
        </row>
        <row r="4391">
          <cell r="A4391">
            <v>6314</v>
          </cell>
          <cell r="B4391" t="str">
            <v>TE DE REDUCAO DE FERRO GALVANIZADO, COM ROSCA BSP, DE 3" X 2 1/2"</v>
          </cell>
          <cell r="C4391" t="str">
            <v xml:space="preserve">UN    </v>
          </cell>
          <cell r="D4391">
            <v>90.03</v>
          </cell>
        </row>
        <row r="4392">
          <cell r="A4392">
            <v>6313</v>
          </cell>
          <cell r="B4392" t="str">
            <v>TE DE REDUCAO DE FERRO GALVANIZADO, COM ROSCA BSP, DE 3" X 2"</v>
          </cell>
          <cell r="C4392" t="str">
            <v xml:space="preserve">UN    </v>
          </cell>
          <cell r="D4392">
            <v>90.03</v>
          </cell>
        </row>
        <row r="4393">
          <cell r="A4393">
            <v>6315</v>
          </cell>
          <cell r="B4393" t="str">
            <v>TE DE REDUCAO DE FERRO GALVANIZADO, COM ROSCA BSP, DE 4" X 2"</v>
          </cell>
          <cell r="C4393" t="str">
            <v xml:space="preserve">UN    </v>
          </cell>
          <cell r="D4393">
            <v>170.47</v>
          </cell>
        </row>
        <row r="4394">
          <cell r="A4394">
            <v>6316</v>
          </cell>
          <cell r="B4394" t="str">
            <v>TE DE REDUCAO DE FERRO GALVANIZADO, COM ROSCA BSP, DE 4" X 3"</v>
          </cell>
          <cell r="C4394" t="str">
            <v xml:space="preserve">UN    </v>
          </cell>
          <cell r="D4394">
            <v>170.47</v>
          </cell>
        </row>
        <row r="4395">
          <cell r="A4395">
            <v>38878</v>
          </cell>
          <cell r="B4395" t="str">
            <v>TE DE REDUCAO METALICO, PARA CONEXAO COM ANEL DESLIZANTE EM TUBO PEX, DN 16 X 20 X 16 MM</v>
          </cell>
          <cell r="C4395" t="str">
            <v xml:space="preserve">UN    </v>
          </cell>
          <cell r="D4395">
            <v>13.07</v>
          </cell>
        </row>
        <row r="4396">
          <cell r="A4396">
            <v>38879</v>
          </cell>
          <cell r="B4396" t="str">
            <v>TE DE REDUCAO METALICO, PARA CONEXAO COM ANEL DESLIZANTE EM TUBO PEX, DN 16 X 25 X 16 MM</v>
          </cell>
          <cell r="C4396" t="str">
            <v xml:space="preserve">UN    </v>
          </cell>
          <cell r="D4396">
            <v>24.51</v>
          </cell>
        </row>
        <row r="4397">
          <cell r="A4397">
            <v>38881</v>
          </cell>
          <cell r="B4397" t="str">
            <v>TE DE REDUCAO METALICO, PARA CONEXAO COM ANEL DESLIZANTE EM TUBO PEX, DN 20 X 16 X 16 MM</v>
          </cell>
          <cell r="C4397" t="str">
            <v xml:space="preserve">UN    </v>
          </cell>
          <cell r="D4397">
            <v>12.82</v>
          </cell>
        </row>
        <row r="4398">
          <cell r="A4398">
            <v>38880</v>
          </cell>
          <cell r="B4398" t="str">
            <v>TE DE REDUCAO METALICO, PARA CONEXAO COM ANEL DESLIZANTE EM TUBO PEX, DN 20 X 16 X 20 MM</v>
          </cell>
          <cell r="C4398" t="str">
            <v xml:space="preserve">UN    </v>
          </cell>
          <cell r="D4398">
            <v>13.44</v>
          </cell>
        </row>
        <row r="4399">
          <cell r="A4399">
            <v>38882</v>
          </cell>
          <cell r="B4399" t="str">
            <v>TE DE REDUCAO METALICO, PARA CONEXAO COM ANEL DESLIZANTE EM TUBO PEX, DN 20 X 20 X 16 MM</v>
          </cell>
          <cell r="C4399" t="str">
            <v xml:space="preserve">UN    </v>
          </cell>
          <cell r="D4399">
            <v>13.92</v>
          </cell>
        </row>
        <row r="4400">
          <cell r="A4400">
            <v>38883</v>
          </cell>
          <cell r="B4400" t="str">
            <v>TE DE REDUCAO METALICO, PARA CONEXAO COM ANEL DESLIZANTE EM TUBO PEX, DN 20 X 25 X 20 MM</v>
          </cell>
          <cell r="C4400" t="str">
            <v xml:space="preserve">UN    </v>
          </cell>
          <cell r="D4400">
            <v>20.58</v>
          </cell>
        </row>
        <row r="4401">
          <cell r="A4401">
            <v>38884</v>
          </cell>
          <cell r="B4401" t="str">
            <v>TE DE REDUCAO METALICO, PARA CONEXAO COM ANEL DESLIZANTE EM TUBO PEX, DN 25 X 16 X 16 MM</v>
          </cell>
          <cell r="C4401" t="str">
            <v xml:space="preserve">UN    </v>
          </cell>
          <cell r="D4401">
            <v>22.35</v>
          </cell>
        </row>
        <row r="4402">
          <cell r="A4402">
            <v>38885</v>
          </cell>
          <cell r="B4402" t="str">
            <v>TE DE REDUCAO METALICO, PARA CONEXAO COM ANEL DESLIZANTE EM TUBO PEX, DN 25 X 16 X 20 MM</v>
          </cell>
          <cell r="C4402" t="str">
            <v xml:space="preserve">UN    </v>
          </cell>
          <cell r="D4402">
            <v>21.62</v>
          </cell>
        </row>
        <row r="4403">
          <cell r="A4403">
            <v>38886</v>
          </cell>
          <cell r="B4403" t="str">
            <v>TE DE REDUCAO METALICO, PARA CONEXAO COM ANEL DESLIZANTE EM TUBO PEX, DN 25 X 16 X 25 MM</v>
          </cell>
          <cell r="C4403" t="str">
            <v xml:space="preserve">UN    </v>
          </cell>
          <cell r="D4403">
            <v>23.33</v>
          </cell>
        </row>
        <row r="4404">
          <cell r="A4404">
            <v>38887</v>
          </cell>
          <cell r="B4404" t="str">
            <v>TE DE REDUCAO METALICO, PARA CONEXAO COM ANEL DESLIZANTE EM TUBO PEX, DN 25 X 20 X 20 MM</v>
          </cell>
          <cell r="C4404" t="str">
            <v xml:space="preserve">UN    </v>
          </cell>
          <cell r="D4404">
            <v>20.95</v>
          </cell>
        </row>
        <row r="4405">
          <cell r="A4405">
            <v>38888</v>
          </cell>
          <cell r="B4405" t="str">
            <v>TE DE REDUCAO METALICO, PARA CONEXAO COM ANEL DESLIZANTE EM TUBO PEX, DN 25 X 20 X 25 MM</v>
          </cell>
          <cell r="C4405" t="str">
            <v xml:space="preserve">UN    </v>
          </cell>
          <cell r="D4405">
            <v>24.91</v>
          </cell>
        </row>
        <row r="4406">
          <cell r="A4406">
            <v>38890</v>
          </cell>
          <cell r="B4406" t="str">
            <v>TE DE REDUCAO METALICO, PARA CONEXAO COM ANEL DESLIZANTE EM TUBO PEX, DN 25 X 32 X 25 MM</v>
          </cell>
          <cell r="C4406" t="str">
            <v xml:space="preserve">UN    </v>
          </cell>
          <cell r="D4406">
            <v>37.03</v>
          </cell>
        </row>
        <row r="4407">
          <cell r="A4407">
            <v>38893</v>
          </cell>
          <cell r="B4407" t="str">
            <v>TE DE REDUCAO METALICO, PARA CONEXAO COM ANEL DESLIZANTE EM TUBO PEX, DN 32 X 20 X 32 MM</v>
          </cell>
          <cell r="C4407" t="str">
            <v xml:space="preserve">UN    </v>
          </cell>
          <cell r="D4407">
            <v>29.78</v>
          </cell>
        </row>
        <row r="4408">
          <cell r="A4408">
            <v>38894</v>
          </cell>
          <cell r="B4408" t="str">
            <v>TE DE REDUCAO METALICO, PARA CONEXAO COM ANEL DESLIZANTE EM TUBO PEX, DN 32 X 25 X 25 MM</v>
          </cell>
          <cell r="C4408" t="str">
            <v xml:space="preserve">UN    </v>
          </cell>
          <cell r="D4408">
            <v>37.82</v>
          </cell>
        </row>
        <row r="4409">
          <cell r="A4409">
            <v>38896</v>
          </cell>
          <cell r="B4409" t="str">
            <v>TE DE REDUCAO METALICO, PARA CONEXAO COM ANEL DESLIZANTE EM TUBO PEX, DN 32 X 25 X 32 MM</v>
          </cell>
          <cell r="C4409" t="str">
            <v xml:space="preserve">UN    </v>
          </cell>
          <cell r="D4409">
            <v>38.56</v>
          </cell>
        </row>
        <row r="4410">
          <cell r="A4410">
            <v>39324</v>
          </cell>
          <cell r="B4410" t="str">
            <v>TE DE REDUCAO, CPVC, 22 X 15 MM, PARA AGUA QUENTE PREDIAL</v>
          </cell>
          <cell r="C4410" t="str">
            <v xml:space="preserve">UN    </v>
          </cell>
          <cell r="D4410">
            <v>8.09</v>
          </cell>
        </row>
        <row r="4411">
          <cell r="A4411">
            <v>39325</v>
          </cell>
          <cell r="B4411" t="str">
            <v>TE DE REDUCAO, CPVC, 28 X 22 MM, PARA AGUA QUENTE PREDIAL</v>
          </cell>
          <cell r="C4411" t="str">
            <v xml:space="preserve">UN    </v>
          </cell>
          <cell r="D4411">
            <v>12.25</v>
          </cell>
        </row>
        <row r="4412">
          <cell r="A4412">
            <v>39326</v>
          </cell>
          <cell r="B4412" t="str">
            <v>TE DE REDUCAO, CPVC, 35 X 28 MM, PARA AGUA QUENTE PREDIAL</v>
          </cell>
          <cell r="C4412" t="str">
            <v xml:space="preserve">UN    </v>
          </cell>
          <cell r="D4412">
            <v>31.55</v>
          </cell>
        </row>
        <row r="4413">
          <cell r="A4413">
            <v>39327</v>
          </cell>
          <cell r="B4413" t="str">
            <v>TE DE REDUCAO, CPVC, 42 X 35 MM, PARA AGUA QUENTE PREDIAL</v>
          </cell>
          <cell r="C4413" t="str">
            <v xml:space="preserve">UN    </v>
          </cell>
          <cell r="D4413">
            <v>47.79</v>
          </cell>
        </row>
        <row r="4414">
          <cell r="A4414">
            <v>20176</v>
          </cell>
          <cell r="B4414" t="str">
            <v>TE DE REDUCAO, PVC LEVE, CURTO, 90 GRAUS, COM BOLSA PARA ANEL, 150 X 100 MM, PARA ESGOTO</v>
          </cell>
          <cell r="C4414" t="str">
            <v xml:space="preserve">UN    </v>
          </cell>
          <cell r="D4414">
            <v>25.81</v>
          </cell>
        </row>
        <row r="4415">
          <cell r="A4415">
            <v>11378</v>
          </cell>
          <cell r="B4415" t="str">
            <v>TE DE REDUCAO, PVC PBA, BBB, JE, DN 100 X 50 / DE 110 X 60 MM, PARA REDE AGUA (NBR 10351)</v>
          </cell>
          <cell r="C4415" t="str">
            <v xml:space="preserve">UN    </v>
          </cell>
          <cell r="D4415">
            <v>70.02</v>
          </cell>
        </row>
        <row r="4416">
          <cell r="A4416">
            <v>11379</v>
          </cell>
          <cell r="B4416" t="str">
            <v>TE DE REDUCAO, PVC PBA, BBB, JE, DN 100 X 75 / DE 110 X 85 MM, PARA REDE AGUA (NBR 10351)</v>
          </cell>
          <cell r="C4416" t="str">
            <v xml:space="preserve">UN    </v>
          </cell>
          <cell r="D4416">
            <v>59.17</v>
          </cell>
        </row>
        <row r="4417">
          <cell r="A4417">
            <v>11493</v>
          </cell>
          <cell r="B4417" t="str">
            <v>TE DE REDUCAO, PVC PBA, BBB, JE, DN 75 X 50 / DE 85 X 60 MM, PARA REDE AGUA (NBR 10351)</v>
          </cell>
          <cell r="C4417" t="str">
            <v xml:space="preserve">UN    </v>
          </cell>
          <cell r="D4417">
            <v>34.130000000000003</v>
          </cell>
        </row>
        <row r="4418">
          <cell r="A4418">
            <v>42717</v>
          </cell>
          <cell r="B4418" t="str">
            <v>TE DE REDUCAO, PVC, BBB, JE, 90 GRAUS, DN 200 X 150 MM, PARA TUBO CORRUGADO E/OU LISO, REDE COLETORA ESGOTO (NBR 10569)</v>
          </cell>
          <cell r="C4418" t="str">
            <v xml:space="preserve">UN    </v>
          </cell>
          <cell r="D4418">
            <v>337.17</v>
          </cell>
        </row>
        <row r="4419">
          <cell r="A4419">
            <v>42718</v>
          </cell>
          <cell r="B4419" t="str">
            <v>TE DE REDUCAO, PVC, BBB, JE, 90 GRAUS, DN 250 X 150 MM, PARA TUBO CORRUGADO E/OU LISO, REDE COLETORA ESGOTO (NBR 10569)</v>
          </cell>
          <cell r="C4419" t="str">
            <v xml:space="preserve">UN    </v>
          </cell>
          <cell r="D4419">
            <v>374.32</v>
          </cell>
        </row>
        <row r="4420">
          <cell r="A4420">
            <v>7106</v>
          </cell>
          <cell r="B4420" t="str">
            <v>TE DE REDUCAO, PVC, SOLDAVEL, 90 GRAUS, 110 MM X 60 MM, PARA AGUA FRIA PREDIAL</v>
          </cell>
          <cell r="C4420" t="str">
            <v xml:space="preserve">UN    </v>
          </cell>
          <cell r="D4420">
            <v>104.89</v>
          </cell>
        </row>
        <row r="4421">
          <cell r="A4421">
            <v>7104</v>
          </cell>
          <cell r="B4421" t="str">
            <v>TE DE REDUCAO, PVC, SOLDAVEL, 90 GRAUS, 25 MM X 20 MM, PARA AGUA FRIA PREDIAL</v>
          </cell>
          <cell r="C4421" t="str">
            <v xml:space="preserve">UN    </v>
          </cell>
          <cell r="D4421">
            <v>2.1800000000000002</v>
          </cell>
        </row>
        <row r="4422">
          <cell r="A4422">
            <v>7136</v>
          </cell>
          <cell r="B4422" t="str">
            <v>TE DE REDUCAO, PVC, SOLDAVEL, 90 GRAUS, 32 MM X 25 MM, PARA AGUA FRIA PREDIAL</v>
          </cell>
          <cell r="C4422" t="str">
            <v xml:space="preserve">UN    </v>
          </cell>
          <cell r="D4422">
            <v>4.1100000000000003</v>
          </cell>
        </row>
        <row r="4423">
          <cell r="A4423">
            <v>7128</v>
          </cell>
          <cell r="B4423" t="str">
            <v>TE DE REDUCAO, PVC, SOLDAVEL, 90 GRAUS, 40 MM X 32 MM, PARA AGUA FRIA PREDIAL</v>
          </cell>
          <cell r="C4423" t="str">
            <v xml:space="preserve">UN    </v>
          </cell>
          <cell r="D4423">
            <v>6.73</v>
          </cell>
        </row>
        <row r="4424">
          <cell r="A4424">
            <v>7108</v>
          </cell>
          <cell r="B4424" t="str">
            <v>TE DE REDUCAO, PVC, SOLDAVEL, 90 GRAUS, 50 MM X 20 MM, PARA AGUA FRIA PREDIAL</v>
          </cell>
          <cell r="C4424" t="str">
            <v xml:space="preserve">UN    </v>
          </cell>
          <cell r="D4424">
            <v>7.21</v>
          </cell>
        </row>
        <row r="4425">
          <cell r="A4425">
            <v>7129</v>
          </cell>
          <cell r="B4425" t="str">
            <v>TE DE REDUCAO, PVC, SOLDAVEL, 90 GRAUS, 50 MM X 25 MM, PARA AGUA FRIA PREDIAL</v>
          </cell>
          <cell r="C4425" t="str">
            <v xml:space="preserve">UN    </v>
          </cell>
          <cell r="D4425">
            <v>5.99</v>
          </cell>
        </row>
        <row r="4426">
          <cell r="A4426">
            <v>7130</v>
          </cell>
          <cell r="B4426" t="str">
            <v>TE DE REDUCAO, PVC, SOLDAVEL, 90 GRAUS, 50 MM X 32 MM, PARA AGUA FRIA PREDIAL</v>
          </cell>
          <cell r="C4426" t="str">
            <v xml:space="preserve">UN    </v>
          </cell>
          <cell r="D4426">
            <v>9.77</v>
          </cell>
        </row>
        <row r="4427">
          <cell r="A4427">
            <v>7131</v>
          </cell>
          <cell r="B4427" t="str">
            <v>TE DE REDUCAO, PVC, SOLDAVEL, 90 GRAUS, 50 MM X 40 MM, PARA AGUA FRIA PREDIAL</v>
          </cell>
          <cell r="C4427" t="str">
            <v xml:space="preserve">UN    </v>
          </cell>
          <cell r="D4427">
            <v>11.99</v>
          </cell>
        </row>
        <row r="4428">
          <cell r="A4428">
            <v>7132</v>
          </cell>
          <cell r="B4428" t="str">
            <v>TE DE REDUCAO, PVC, SOLDAVEL, 90 GRAUS, 75 MM X 50 MM, PARA AGUA FRIA PREDIAL</v>
          </cell>
          <cell r="C4428" t="str">
            <v xml:space="preserve">UN    </v>
          </cell>
          <cell r="D4428">
            <v>33.28</v>
          </cell>
        </row>
        <row r="4429">
          <cell r="A4429">
            <v>7133</v>
          </cell>
          <cell r="B4429" t="str">
            <v>TE DE REDUCAO, PVC, SOLDAVEL, 90 GRAUS, 85 MM X 60 MM, PARA AGUA FRIA PREDIAL</v>
          </cell>
          <cell r="C4429" t="str">
            <v xml:space="preserve">UN    </v>
          </cell>
          <cell r="D4429">
            <v>51.7</v>
          </cell>
        </row>
        <row r="4430">
          <cell r="A4430">
            <v>37420</v>
          </cell>
          <cell r="B4430" t="str">
            <v>TE DE SERVICO INTEGRADO, EM POLIPROPILENO (PP), PARA TUBOS EM PEAD/PVC, 60 X 20 MM - LIGACAO PREDIAL DE AGUA</v>
          </cell>
          <cell r="C4430" t="str">
            <v xml:space="preserve">UN    </v>
          </cell>
          <cell r="D4430">
            <v>28.81</v>
          </cell>
        </row>
        <row r="4431">
          <cell r="A4431">
            <v>37421</v>
          </cell>
          <cell r="B4431" t="str">
            <v>TE DE SERVICO INTEGRADO, EM POLIPROPILENO (PP), PARA TUBOS EM PEAD/PVC, 60 X 32 MM - LIGACAO PREDIAL DE AGUA</v>
          </cell>
          <cell r="C4431" t="str">
            <v xml:space="preserve">UN    </v>
          </cell>
          <cell r="D4431">
            <v>39.369999999999997</v>
          </cell>
        </row>
        <row r="4432">
          <cell r="A4432">
            <v>37422</v>
          </cell>
          <cell r="B4432" t="str">
            <v>TE DE SERVICO INTEGRADO, EM POLIPROPILENO (PP), PARA TUBOS EM PEAD, 63 X 20 MM - LIGACAO PREDIAL DE AGUA</v>
          </cell>
          <cell r="C4432" t="str">
            <v xml:space="preserve">UN    </v>
          </cell>
          <cell r="D4432">
            <v>36.85</v>
          </cell>
        </row>
        <row r="4433">
          <cell r="A4433">
            <v>37443</v>
          </cell>
          <cell r="B4433" t="str">
            <v>TE DE SERVICO, PEAD PE 100, DE 125 X 20 MM, PARA ELETROFUSAO</v>
          </cell>
          <cell r="C4433" t="str">
            <v xml:space="preserve">UN    </v>
          </cell>
          <cell r="D4433">
            <v>122.94</v>
          </cell>
        </row>
        <row r="4434">
          <cell r="A4434">
            <v>37444</v>
          </cell>
          <cell r="B4434" t="str">
            <v>TE DE SERVICO, PEAD PE 100, DE 125 X 32 MM, PARA ELETROFUSAO</v>
          </cell>
          <cell r="C4434" t="str">
            <v xml:space="preserve">UN    </v>
          </cell>
          <cell r="D4434">
            <v>125.03</v>
          </cell>
        </row>
        <row r="4435">
          <cell r="A4435">
            <v>37445</v>
          </cell>
          <cell r="B4435" t="str">
            <v>TE DE SERVICO, PEAD PE 100, DE 125 X 63 MM, PARA ELETROFUSAO</v>
          </cell>
          <cell r="C4435" t="str">
            <v xml:space="preserve">UN    </v>
          </cell>
          <cell r="D4435">
            <v>189.51</v>
          </cell>
        </row>
        <row r="4436">
          <cell r="A4436">
            <v>37446</v>
          </cell>
          <cell r="B4436" t="str">
            <v>TE DE SERVICO, PEAD PE 100, DE 200 X 20 MM, PARA ELETROFUSAO</v>
          </cell>
          <cell r="C4436" t="str">
            <v xml:space="preserve">UN    </v>
          </cell>
          <cell r="D4436">
            <v>206.59</v>
          </cell>
        </row>
        <row r="4437">
          <cell r="A4437">
            <v>37447</v>
          </cell>
          <cell r="B4437" t="str">
            <v>TE DE SERVICO, PEAD PE 100, DE 200 X 32 MM, PARA ELETROFUSAO</v>
          </cell>
          <cell r="C4437" t="str">
            <v xml:space="preserve">UN    </v>
          </cell>
          <cell r="D4437">
            <v>209.83</v>
          </cell>
        </row>
        <row r="4438">
          <cell r="A4438">
            <v>37448</v>
          </cell>
          <cell r="B4438" t="str">
            <v>TE DE SERVICO, PEAD PE 100, DE 200 X 63 MM, PARA ELETROFUSAO</v>
          </cell>
          <cell r="C4438" t="str">
            <v xml:space="preserve">UN    </v>
          </cell>
          <cell r="D4438">
            <v>287.81</v>
          </cell>
        </row>
        <row r="4439">
          <cell r="A4439">
            <v>37440</v>
          </cell>
          <cell r="B4439" t="str">
            <v>TE DE SERVICO, PEAD PE 100, DE 63 X 20 MM, PARA ELETROFUSAO</v>
          </cell>
          <cell r="C4439" t="str">
            <v xml:space="preserve">UN    </v>
          </cell>
          <cell r="D4439">
            <v>97.58</v>
          </cell>
        </row>
        <row r="4440">
          <cell r="A4440">
            <v>37441</v>
          </cell>
          <cell r="B4440" t="str">
            <v>TE DE SERVICO, PEAD PE 100, DE 63 X 32 MM, PARA ELETROFUSAO</v>
          </cell>
          <cell r="C4440" t="str">
            <v xml:space="preserve">UN    </v>
          </cell>
          <cell r="D4440">
            <v>97.58</v>
          </cell>
        </row>
        <row r="4441">
          <cell r="A4441">
            <v>37442</v>
          </cell>
          <cell r="B4441" t="str">
            <v>TE DE SERVICO, PEAD PE 100, DE 63 X 63 MM, PARA ELETROFUSAO</v>
          </cell>
          <cell r="C4441" t="str">
            <v xml:space="preserve">UN    </v>
          </cell>
          <cell r="D4441">
            <v>117.53</v>
          </cell>
        </row>
        <row r="4442">
          <cell r="A4442">
            <v>38017</v>
          </cell>
          <cell r="B4442" t="str">
            <v>TE DE TRANSICAO, CPVC, SOLDAVEL, 15 MM X 1/2", PARA AGUA QUENTE</v>
          </cell>
          <cell r="C4442" t="str">
            <v xml:space="preserve">UN    </v>
          </cell>
          <cell r="D4442">
            <v>11.51</v>
          </cell>
        </row>
        <row r="4443">
          <cell r="A4443">
            <v>38018</v>
          </cell>
          <cell r="B4443" t="str">
            <v>TE DE TRANSICAO, CPVC, SOLDAVEL, 22 MM X 1/2", PARA AGUA QUENTE</v>
          </cell>
          <cell r="C4443" t="str">
            <v xml:space="preserve">UN    </v>
          </cell>
          <cell r="D4443">
            <v>12.7</v>
          </cell>
        </row>
        <row r="4444">
          <cell r="A4444">
            <v>39895</v>
          </cell>
          <cell r="B4444" t="str">
            <v>TE DUPLA CURVA BRONZE/LATAO (REF 764) SEM ANEL DE SOLDA, ROSCA F X BOLSA X ROSCA F, 1/2" X 15 X 1/2"</v>
          </cell>
          <cell r="C4444" t="str">
            <v xml:space="preserve">UN    </v>
          </cell>
          <cell r="D4444">
            <v>28.86</v>
          </cell>
        </row>
        <row r="4445">
          <cell r="A4445">
            <v>39896</v>
          </cell>
          <cell r="B4445" t="str">
            <v>TE DUPLA CURVA BRONZE/LATAO (REF 764) SEM ANEL DE SOLDA, ROSCA F X BOLSA X ROSCA F, 3/4" X 22 X 3/4"</v>
          </cell>
          <cell r="C4445" t="str">
            <v xml:space="preserve">UN    </v>
          </cell>
          <cell r="D4445">
            <v>42.3</v>
          </cell>
        </row>
        <row r="4446">
          <cell r="A4446">
            <v>38873</v>
          </cell>
          <cell r="B4446" t="str">
            <v>TE METALICO, PARA CONEXAO COM ANEL DESLIZANTE EM TUBO PEX, DN 16 MM</v>
          </cell>
          <cell r="C4446" t="str">
            <v xml:space="preserve">UN    </v>
          </cell>
          <cell r="D4446">
            <v>11.6</v>
          </cell>
        </row>
        <row r="4447">
          <cell r="A4447">
            <v>38874</v>
          </cell>
          <cell r="B4447" t="str">
            <v>TE METALICO, PARA CONEXAO COM ANEL DESLIZANTE EM TUBO PEX, DN 20 MM</v>
          </cell>
          <cell r="C4447" t="str">
            <v xml:space="preserve">UN    </v>
          </cell>
          <cell r="D4447">
            <v>14.1</v>
          </cell>
        </row>
        <row r="4448">
          <cell r="A4448">
            <v>38875</v>
          </cell>
          <cell r="B4448" t="str">
            <v>TE METALICO, PARA CONEXAO COM ANEL DESLIZANTE EM TUBO PEX, DN 25 MM</v>
          </cell>
          <cell r="C4448" t="str">
            <v xml:space="preserve">UN    </v>
          </cell>
          <cell r="D4448">
            <v>24.92</v>
          </cell>
        </row>
        <row r="4449">
          <cell r="A4449">
            <v>38876</v>
          </cell>
          <cell r="B4449" t="str">
            <v>TE METALICO, PARA CONEXAO COM ANEL DESLIZANTE EM TUBO PEX, DN 32 MM</v>
          </cell>
          <cell r="C4449" t="str">
            <v xml:space="preserve">UN    </v>
          </cell>
          <cell r="D4449">
            <v>33.53</v>
          </cell>
        </row>
        <row r="4450">
          <cell r="A4450">
            <v>39000</v>
          </cell>
          <cell r="B4450" t="str">
            <v>TE MISTURADOR COM INSERTO METALICO, FEMEA, PPR, DN 25 MM X 3/4", PARA AGUA QUENTE E FRIA PREDIAL</v>
          </cell>
          <cell r="C4450" t="str">
            <v xml:space="preserve">UN    </v>
          </cell>
          <cell r="D4450">
            <v>22.9</v>
          </cell>
        </row>
        <row r="4451">
          <cell r="A4451">
            <v>38674</v>
          </cell>
          <cell r="B4451" t="str">
            <v>TE MISTURADOR DE TRANSICAO, CPVC, COM ROSCA, 22 MM X 3/4", PARA AGUA QUENTE</v>
          </cell>
          <cell r="C4451" t="str">
            <v xml:space="preserve">UN    </v>
          </cell>
          <cell r="D4451">
            <v>40.03</v>
          </cell>
        </row>
        <row r="4452">
          <cell r="A4452">
            <v>38911</v>
          </cell>
          <cell r="B4452" t="str">
            <v>TE MISTURADOR METALICO, PARA CONEXAO COM ANEL DESLIZANTE EM TUBO PEX, DN 16 MM X 1/2"</v>
          </cell>
          <cell r="C4452" t="str">
            <v xml:space="preserve">UN    </v>
          </cell>
          <cell r="D4452">
            <v>41.58</v>
          </cell>
        </row>
        <row r="4453">
          <cell r="A4453">
            <v>38912</v>
          </cell>
          <cell r="B4453" t="str">
            <v>TE MISTURADOR METALICO, PARA CONEXAO COM ANEL DESLIZANTE EM TUBO PEX, DN 20 MM X 3/4"</v>
          </cell>
          <cell r="C4453" t="str">
            <v xml:space="preserve">UN    </v>
          </cell>
          <cell r="D4453">
            <v>52.85</v>
          </cell>
        </row>
        <row r="4454">
          <cell r="A4454">
            <v>38019</v>
          </cell>
          <cell r="B4454" t="str">
            <v>TE MISTURADOR, CPVC, SOLDAVEL, 15 MM, PARA AGUA QUENTE</v>
          </cell>
          <cell r="C4454" t="str">
            <v xml:space="preserve">UN    </v>
          </cell>
          <cell r="D4454">
            <v>10.029999999999999</v>
          </cell>
        </row>
        <row r="4455">
          <cell r="A4455">
            <v>38020</v>
          </cell>
          <cell r="B4455" t="str">
            <v>TE MISTURADOR, CPVC, SOLDAVEL, 22 MM, PARA AGUA QUENTE</v>
          </cell>
          <cell r="C4455" t="str">
            <v xml:space="preserve">UN    </v>
          </cell>
          <cell r="D4455">
            <v>12.7</v>
          </cell>
        </row>
        <row r="4456">
          <cell r="A4456">
            <v>38454</v>
          </cell>
          <cell r="B4456" t="str">
            <v>TE MISTURADOR, PPR, F M M, DN 20 X 20 MM, PARA AGUA QUENTE PREDIAL</v>
          </cell>
          <cell r="C4456" t="str">
            <v xml:space="preserve">UN    </v>
          </cell>
          <cell r="D4456">
            <v>4.18</v>
          </cell>
        </row>
        <row r="4457">
          <cell r="A4457">
            <v>38455</v>
          </cell>
          <cell r="B4457" t="str">
            <v>TE MISTURADOR, PPR, F M M, DN 25 X 25 MM, PARA AGUA QUENTE PREDIAL</v>
          </cell>
          <cell r="C4457" t="str">
            <v xml:space="preserve">UN    </v>
          </cell>
          <cell r="D4457">
            <v>3.82</v>
          </cell>
        </row>
        <row r="4458">
          <cell r="A4458">
            <v>38462</v>
          </cell>
          <cell r="B4458" t="str">
            <v>TE NORMAL, PPR, SOLDAVEL, 90 GRAUS, DN 110 X 110 X 110 MM, PARA AGUA QUENTE PREDIAL</v>
          </cell>
          <cell r="C4458" t="str">
            <v xml:space="preserve">UN    </v>
          </cell>
          <cell r="D4458">
            <v>107.98</v>
          </cell>
        </row>
        <row r="4459">
          <cell r="A4459">
            <v>36362</v>
          </cell>
          <cell r="B4459" t="str">
            <v>TE NORMAL, PPR, SOLDAVEL, 90 GRAUS, DN 20 X 20 X 20 MM, PARA AGUA QUENTE PREDIAL</v>
          </cell>
          <cell r="C4459" t="str">
            <v xml:space="preserve">UN    </v>
          </cell>
          <cell r="D4459">
            <v>1.64</v>
          </cell>
        </row>
        <row r="4460">
          <cell r="A4460">
            <v>36298</v>
          </cell>
          <cell r="B4460" t="str">
            <v>TE NORMAL, PPR, SOLDAVEL, 90 GRAUS, DN 25 X 25 X 25 MM, PARA AGUA QUENTE PREDIAL</v>
          </cell>
          <cell r="C4460" t="str">
            <v xml:space="preserve">UN    </v>
          </cell>
          <cell r="D4460">
            <v>2.4300000000000002</v>
          </cell>
        </row>
        <row r="4461">
          <cell r="A4461">
            <v>38456</v>
          </cell>
          <cell r="B4461" t="str">
            <v>TE NORMAL, PPR, SOLDAVEL, 90 GRAUS, DN 32 X 32 X 32 MM, PARA AGUA QUENTE PREDIAL</v>
          </cell>
          <cell r="C4461" t="str">
            <v xml:space="preserve">UN    </v>
          </cell>
          <cell r="D4461">
            <v>3.97</v>
          </cell>
        </row>
        <row r="4462">
          <cell r="A4462">
            <v>38457</v>
          </cell>
          <cell r="B4462" t="str">
            <v>TE NORMAL, PPR, SOLDAVEL, 90 GRAUS, DN 40 X 40 X 40 MM, PARA AGUA QUENTE PREDIAL</v>
          </cell>
          <cell r="C4462" t="str">
            <v xml:space="preserve">UN    </v>
          </cell>
          <cell r="D4462">
            <v>8.9499999999999993</v>
          </cell>
        </row>
        <row r="4463">
          <cell r="A4463">
            <v>38458</v>
          </cell>
          <cell r="B4463" t="str">
            <v>TE NORMAL, PPR, SOLDAVEL, 90 GRAUS, DN 50 X 50 X 50 MM, PARA AGUA QUENTE PREDIAL</v>
          </cell>
          <cell r="C4463" t="str">
            <v xml:space="preserve">UN    </v>
          </cell>
          <cell r="D4463">
            <v>12</v>
          </cell>
        </row>
        <row r="4464">
          <cell r="A4464">
            <v>38459</v>
          </cell>
          <cell r="B4464" t="str">
            <v>TE NORMAL, PPR, SOLDAVEL, 90 GRAUS, DN 63 X 63 X 63 MM, PARA AGUA QUENTE PREDIAL</v>
          </cell>
          <cell r="C4464" t="str">
            <v xml:space="preserve">UN    </v>
          </cell>
          <cell r="D4464">
            <v>21.18</v>
          </cell>
        </row>
        <row r="4465">
          <cell r="A4465">
            <v>38460</v>
          </cell>
          <cell r="B4465" t="str">
            <v>TE NORMAL, PPR, SOLDAVEL, 90 GRAUS, DN 75 X 75 X 75 MM, PARA AGUA QUENTE PREDIAL</v>
          </cell>
          <cell r="C4465" t="str">
            <v xml:space="preserve">UN    </v>
          </cell>
          <cell r="D4465">
            <v>44.23</v>
          </cell>
        </row>
        <row r="4466">
          <cell r="A4466">
            <v>38461</v>
          </cell>
          <cell r="B4466" t="str">
            <v>TE NORMAL, PPR, SOLDAVEL, 90 GRAUS, DN 90 X 90 X 90 MM, PARA AGUA QUENTE PREDIAL</v>
          </cell>
          <cell r="C4466" t="str">
            <v xml:space="preserve">UN    </v>
          </cell>
          <cell r="D4466">
            <v>67.47</v>
          </cell>
        </row>
        <row r="4467">
          <cell r="A4467">
            <v>7094</v>
          </cell>
          <cell r="B4467" t="str">
            <v>TE PVC ROSCAVEL 90 GRAUS, 1", PARA  AGUA FRIA PREDIAL</v>
          </cell>
          <cell r="C4467" t="str">
            <v xml:space="preserve">UN    </v>
          </cell>
          <cell r="D4467">
            <v>7.55</v>
          </cell>
        </row>
        <row r="4468">
          <cell r="A4468">
            <v>7116</v>
          </cell>
          <cell r="B4468" t="str">
            <v>TE PVC SOLDAVEL, BBB, 90 GRAUS, DN 40 MM, PARA ESGOTO SECUNDARIO PREDIAL</v>
          </cell>
          <cell r="C4468" t="str">
            <v xml:space="preserve">UN    </v>
          </cell>
          <cell r="D4468">
            <v>1.93</v>
          </cell>
        </row>
        <row r="4469">
          <cell r="A4469">
            <v>7118</v>
          </cell>
          <cell r="B4469" t="str">
            <v>TE PVC, ROSCAVEL, 90 GRAUS, 1 1/2", AGUA FRIA PREDIAL</v>
          </cell>
          <cell r="C4469" t="str">
            <v xml:space="preserve">UN    </v>
          </cell>
          <cell r="D4469">
            <v>16.68</v>
          </cell>
        </row>
        <row r="4470">
          <cell r="A4470">
            <v>7117</v>
          </cell>
          <cell r="B4470" t="str">
            <v>TE PVC, ROSCAVEL, 90 GRAUS, 1 1/4", AGUA FRIA PREDIAL</v>
          </cell>
          <cell r="C4470" t="str">
            <v xml:space="preserve">UN    </v>
          </cell>
          <cell r="D4470">
            <v>14.83</v>
          </cell>
        </row>
        <row r="4471">
          <cell r="A4471">
            <v>7098</v>
          </cell>
          <cell r="B4471" t="str">
            <v>TE PVC, ROSCAVEL, 90 GRAUS, 1/2",  AGUA FRIA PREDIAL</v>
          </cell>
          <cell r="C4471" t="str">
            <v xml:space="preserve">UN    </v>
          </cell>
          <cell r="D4471">
            <v>2.06</v>
          </cell>
        </row>
        <row r="4472">
          <cell r="A4472">
            <v>7110</v>
          </cell>
          <cell r="B4472" t="str">
            <v>TE PVC, ROSCAVEL, 90 GRAUS, 2",  AGUA FRIA PREDIAL</v>
          </cell>
          <cell r="C4472" t="str">
            <v xml:space="preserve">UN    </v>
          </cell>
          <cell r="D4472">
            <v>36.270000000000003</v>
          </cell>
        </row>
        <row r="4473">
          <cell r="A4473">
            <v>7123</v>
          </cell>
          <cell r="B4473" t="str">
            <v>TE PVC, ROSCAVEL, 90 GRAUS, 3/4", AGUA FRIA PREDIAL</v>
          </cell>
          <cell r="C4473" t="str">
            <v xml:space="preserve">UN    </v>
          </cell>
          <cell r="D4473">
            <v>2.66</v>
          </cell>
        </row>
        <row r="4474">
          <cell r="A4474">
            <v>7121</v>
          </cell>
          <cell r="B4474" t="str">
            <v>TE PVC, SOLDAVEL, COM BUCHA DE LATAO NA BOLSA CENTRAL, 90 GRAUS, 20 MM X 1/2", PARA AGUA FRIA PREDIAL</v>
          </cell>
          <cell r="C4474" t="str">
            <v xml:space="preserve">UN    </v>
          </cell>
          <cell r="D4474">
            <v>6.55</v>
          </cell>
        </row>
        <row r="4475">
          <cell r="A4475">
            <v>7137</v>
          </cell>
          <cell r="B4475" t="str">
            <v>TE PVC, SOLDAVEL, COM BUCHA DE LATAO NA BOLSA CENTRAL, 90 GRAUS, 25 MM X 1/2", PARA AGUA FRIA PREDIAL</v>
          </cell>
          <cell r="C4475" t="str">
            <v xml:space="preserve">UN    </v>
          </cell>
          <cell r="D4475">
            <v>5.9</v>
          </cell>
        </row>
        <row r="4476">
          <cell r="A4476">
            <v>7122</v>
          </cell>
          <cell r="B4476" t="str">
            <v>TE PVC, SOLDAVEL, COM BUCHA DE LATAO NA BOLSA CENTRAL, 90 GRAUS, 25 MM X 3/4", PARA AGUA FRIA PREDIAL</v>
          </cell>
          <cell r="C4476" t="str">
            <v xml:space="preserve">UN    </v>
          </cell>
          <cell r="D4476">
            <v>7.37</v>
          </cell>
        </row>
        <row r="4477">
          <cell r="A4477">
            <v>7114</v>
          </cell>
          <cell r="B4477" t="str">
            <v>TE PVC, SOLDAVEL, COM BUCHA DE LATAO NA BOLSA CENTRAL, 90 GRAUS, 32 MM X 3/4", PARA AGUA FRIA PREDIAL</v>
          </cell>
          <cell r="C4477" t="str">
            <v xml:space="preserve">UN    </v>
          </cell>
          <cell r="D4477">
            <v>11.36</v>
          </cell>
        </row>
        <row r="4478">
          <cell r="A4478">
            <v>7109</v>
          </cell>
          <cell r="B4478" t="str">
            <v>TE PVC, SOLDAVEL, COM ROSCA NA BOLSA CENTRAL, 90 GRAUS, 20 MM X 1/2", PARA AGUA FRIA PREDIAL</v>
          </cell>
          <cell r="C4478" t="str">
            <v xml:space="preserve">UN    </v>
          </cell>
          <cell r="D4478">
            <v>1.99</v>
          </cell>
        </row>
        <row r="4479">
          <cell r="A4479">
            <v>7135</v>
          </cell>
          <cell r="B4479" t="str">
            <v>TE PVC, SOLDAVEL, COM ROSCA NA BOLSA CENTRAL, 90 GRAUS, 25 MM X 1/2", PARA AGUA FRIA PREDIAL</v>
          </cell>
          <cell r="C4479" t="str">
            <v xml:space="preserve">UN    </v>
          </cell>
          <cell r="D4479">
            <v>3.1</v>
          </cell>
        </row>
        <row r="4480">
          <cell r="A4480">
            <v>37947</v>
          </cell>
          <cell r="B4480" t="str">
            <v>TE PVC, SOLDAVEL, COM ROSCA NA BOLSA CENTRAL, 90 GRAUS, 25 MM X 3/4", PARA AGUA FRIA PREDIAL</v>
          </cell>
          <cell r="C4480" t="str">
            <v xml:space="preserve">UN    </v>
          </cell>
          <cell r="D4480">
            <v>3.14</v>
          </cell>
        </row>
        <row r="4481">
          <cell r="A4481">
            <v>7103</v>
          </cell>
          <cell r="B4481" t="str">
            <v>TE PVC, SOLDAVEL, COM ROSCA NA BOLSA CENTRAL, 90 GRAUS, 32 MM X 3/4", PARA AGUA FRIA PREDIAL</v>
          </cell>
          <cell r="C4481" t="str">
            <v xml:space="preserve">UN    </v>
          </cell>
          <cell r="D4481">
            <v>7.21</v>
          </cell>
        </row>
        <row r="4482">
          <cell r="A4482">
            <v>40419</v>
          </cell>
          <cell r="B4482" t="str">
            <v>TE RANHURADO EM FERRO FUNDIDO, DN 50 (2")</v>
          </cell>
          <cell r="C4482" t="str">
            <v xml:space="preserve">UN    </v>
          </cell>
          <cell r="D4482">
            <v>21.15</v>
          </cell>
        </row>
        <row r="4483">
          <cell r="A4483">
            <v>40420</v>
          </cell>
          <cell r="B4483" t="str">
            <v>TE RANHURADO EM FERRO FUNDIDO, DN 65 (2 1/2")</v>
          </cell>
          <cell r="C4483" t="str">
            <v xml:space="preserve">UN    </v>
          </cell>
          <cell r="D4483">
            <v>30.86</v>
          </cell>
        </row>
        <row r="4484">
          <cell r="A4484">
            <v>40421</v>
          </cell>
          <cell r="B4484" t="str">
            <v>TE RANHURADO EM FERRO FUNDIDO, DN 80 (3")</v>
          </cell>
          <cell r="C4484" t="str">
            <v xml:space="preserve">UN    </v>
          </cell>
          <cell r="D4484">
            <v>32.85</v>
          </cell>
        </row>
        <row r="4485">
          <cell r="A4485">
            <v>7126</v>
          </cell>
          <cell r="B4485" t="str">
            <v>TE REDUCAO PVC, ROSCAVEL, 90 GRAUS,  1.1/2" X 3/4",  AGUA FRIA PREDIAL</v>
          </cell>
          <cell r="C4485" t="str">
            <v xml:space="preserve">UN    </v>
          </cell>
          <cell r="D4485">
            <v>15.13</v>
          </cell>
        </row>
        <row r="4486">
          <cell r="A4486">
            <v>38905</v>
          </cell>
          <cell r="B4486" t="str">
            <v>TE ROSCA FEMEA, METALICO, PARA CONEXAO COM ANEL DESLIZANTE EM TUBO PEX, DN 16 MM X 1/2"</v>
          </cell>
          <cell r="C4486" t="str">
            <v xml:space="preserve">UN    </v>
          </cell>
          <cell r="D4486">
            <v>13.03</v>
          </cell>
        </row>
        <row r="4487">
          <cell r="A4487">
            <v>38907</v>
          </cell>
          <cell r="B4487" t="str">
            <v>TE ROSCA FEMEA, METALICO, PARA CONEXAO COM ANEL DESLIZANTE EM TUBO PEX, DN 20 MM X 1/2"</v>
          </cell>
          <cell r="C4487" t="str">
            <v xml:space="preserve">UN    </v>
          </cell>
          <cell r="D4487">
            <v>13.86</v>
          </cell>
        </row>
        <row r="4488">
          <cell r="A4488">
            <v>38908</v>
          </cell>
          <cell r="B4488" t="str">
            <v>TE ROSCA FEMEA, METALICO, PARA CONEXAO COM ANEL DESLIZANTE EM TUBO PEX, DN 20 MM X 3/4"</v>
          </cell>
          <cell r="C4488" t="str">
            <v xml:space="preserve">UN    </v>
          </cell>
          <cell r="D4488">
            <v>15.6</v>
          </cell>
        </row>
        <row r="4489">
          <cell r="A4489">
            <v>38909</v>
          </cell>
          <cell r="B4489" t="str">
            <v>TE ROSCA FEMEA, METALICO, PARA CONEXAO COM ANEL DESLIZANTE EM TUBO PEX, DN 25 MM X 1/2"</v>
          </cell>
          <cell r="C4489" t="str">
            <v xml:space="preserve">UN    </v>
          </cell>
          <cell r="D4489">
            <v>22.43</v>
          </cell>
        </row>
        <row r="4490">
          <cell r="A4490">
            <v>38910</v>
          </cell>
          <cell r="B4490" t="str">
            <v>TE ROSCA FEMEA, METALICO, PARA CONEXAO COM ANEL DESLIZANTE EM TUBO PEX, DN 25 MM X 3/4"</v>
          </cell>
          <cell r="C4490" t="str">
            <v xml:space="preserve">UN    </v>
          </cell>
          <cell r="D4490">
            <v>24.22</v>
          </cell>
        </row>
        <row r="4491">
          <cell r="A4491">
            <v>38897</v>
          </cell>
          <cell r="B4491" t="str">
            <v>TE ROSCA MACHO, METALICO, PARA CONEXAO COM ANEL DESLIZANTE EM TUBO PEX, DN 16 MM X 1/2"</v>
          </cell>
          <cell r="C4491" t="str">
            <v xml:space="preserve">UN    </v>
          </cell>
          <cell r="D4491">
            <v>13.08</v>
          </cell>
        </row>
        <row r="4492">
          <cell r="A4492">
            <v>38899</v>
          </cell>
          <cell r="B4492" t="str">
            <v>TE ROSCA MACHO, METALICO, PARA CONEXAO COM ANEL DESLIZANTE EM TUBO PEX, DN 20 MM X 1/2"</v>
          </cell>
          <cell r="C4492" t="str">
            <v xml:space="preserve">UN    </v>
          </cell>
          <cell r="D4492">
            <v>14.72</v>
          </cell>
        </row>
        <row r="4493">
          <cell r="A4493">
            <v>38900</v>
          </cell>
          <cell r="B4493" t="str">
            <v>TE ROSCA MACHO, METALICO, PARA CONEXAO COM ANEL DESLIZANTE EM TUBO PEX, DN 20 MM X 3/4"</v>
          </cell>
          <cell r="C4493" t="str">
            <v xml:space="preserve">UN    </v>
          </cell>
          <cell r="D4493">
            <v>15.34</v>
          </cell>
        </row>
        <row r="4494">
          <cell r="A4494">
            <v>38901</v>
          </cell>
          <cell r="B4494" t="str">
            <v>TE ROSCA MACHO, METALICO, PARA CONEXAO COM ANEL DESLIZANTE EM TUBO PEX, DN 25 MM X 3/4"</v>
          </cell>
          <cell r="C4494" t="str">
            <v xml:space="preserve">UN    </v>
          </cell>
          <cell r="D4494">
            <v>25.1</v>
          </cell>
        </row>
        <row r="4495">
          <cell r="A4495">
            <v>38904</v>
          </cell>
          <cell r="B4495" t="str">
            <v>TE ROSCA MACHO, METALICO, PARA CONEXAO COM ANEL DESLIZANTE EM TUBO PEX, DN 32 MM X 1"</v>
          </cell>
          <cell r="C4495" t="str">
            <v xml:space="preserve">UN    </v>
          </cell>
          <cell r="D4495">
            <v>40.78</v>
          </cell>
        </row>
        <row r="4496">
          <cell r="A4496">
            <v>38903</v>
          </cell>
          <cell r="B4496" t="str">
            <v>TE ROSCA MACHO, METALICO, PARA CONEXAO COM ANEL DESLIZANTE EM TUBO PEX, DN 32 MM X 3/4"</v>
          </cell>
          <cell r="C4496" t="str">
            <v xml:space="preserve">UN    </v>
          </cell>
          <cell r="D4496">
            <v>40.53</v>
          </cell>
        </row>
        <row r="4497">
          <cell r="A4497">
            <v>7091</v>
          </cell>
          <cell r="B4497" t="str">
            <v>TE SANITARIO, PVC, DN 100 X 100 MM, SERIE NORMAL, PARA ESGOTO PREDIAL</v>
          </cell>
          <cell r="C4497" t="str">
            <v xml:space="preserve">UN    </v>
          </cell>
          <cell r="D4497">
            <v>9.08</v>
          </cell>
        </row>
        <row r="4498">
          <cell r="A4498">
            <v>11655</v>
          </cell>
          <cell r="B4498" t="str">
            <v>TE SANITARIO, PVC, DN 100 X 50 MM, SERIE NORMAL, PARA ESGOTO PREDIAL</v>
          </cell>
          <cell r="C4498" t="str">
            <v xml:space="preserve">UN    </v>
          </cell>
          <cell r="D4498">
            <v>8.68</v>
          </cell>
        </row>
        <row r="4499">
          <cell r="A4499">
            <v>11656</v>
          </cell>
          <cell r="B4499" t="str">
            <v>TE SANITARIO, PVC, DN 100 X 75 MM, SERIE NORMAL PARA ESGOTO PREDIAL</v>
          </cell>
          <cell r="C4499" t="str">
            <v xml:space="preserve">UN    </v>
          </cell>
          <cell r="D4499">
            <v>9.07</v>
          </cell>
        </row>
        <row r="4500">
          <cell r="A4500">
            <v>37948</v>
          </cell>
          <cell r="B4500" t="str">
            <v>TE SANITARIO, PVC, DN 40 X 40 MM, SERIE NORMAL, PARA ESGOTO PREDIAL</v>
          </cell>
          <cell r="C4500" t="str">
            <v xml:space="preserve">UN    </v>
          </cell>
          <cell r="D4500">
            <v>1.84</v>
          </cell>
        </row>
        <row r="4501">
          <cell r="A4501">
            <v>7097</v>
          </cell>
          <cell r="B4501" t="str">
            <v>TE SANITARIO, PVC, DN 50 X 50 MM, SERIE NORMAL, PARA ESGOTO PREDIAL</v>
          </cell>
          <cell r="C4501" t="str">
            <v xml:space="preserve">UN    </v>
          </cell>
          <cell r="D4501">
            <v>4.03</v>
          </cell>
        </row>
        <row r="4502">
          <cell r="A4502">
            <v>11657</v>
          </cell>
          <cell r="B4502" t="str">
            <v>TE SANITARIO, PVC, DN 75 X 50 MM, SERIE NORMAL PARA ESGOTO PREDIAL</v>
          </cell>
          <cell r="C4502" t="str">
            <v xml:space="preserve">UN    </v>
          </cell>
          <cell r="D4502">
            <v>7.91</v>
          </cell>
        </row>
        <row r="4503">
          <cell r="A4503">
            <v>11658</v>
          </cell>
          <cell r="B4503" t="str">
            <v>TE SANITARIO, PVC, DN 75 X 75 MM, SERIE NORMAL PARA ESGOTO PREDIAL</v>
          </cell>
          <cell r="C4503" t="str">
            <v xml:space="preserve">UN    </v>
          </cell>
          <cell r="D4503">
            <v>8.06</v>
          </cell>
        </row>
        <row r="4504">
          <cell r="A4504">
            <v>7146</v>
          </cell>
          <cell r="B4504" t="str">
            <v>TE SOLDAVEL, PVC, 90 GRAUS, 110 MM, PARA AGUA FRIA PREDIAL (NBR 5648)</v>
          </cell>
          <cell r="C4504" t="str">
            <v xml:space="preserve">UN    </v>
          </cell>
          <cell r="D4504">
            <v>112.33</v>
          </cell>
        </row>
        <row r="4505">
          <cell r="A4505">
            <v>7138</v>
          </cell>
          <cell r="B4505" t="str">
            <v>TE SOLDAVEL, PVC, 90 GRAUS, 20 MM, PARA AGUA FRIA PREDIAL (NBR 5648)</v>
          </cell>
          <cell r="C4505" t="str">
            <v xml:space="preserve">UN    </v>
          </cell>
          <cell r="D4505">
            <v>0.63</v>
          </cell>
        </row>
        <row r="4506">
          <cell r="A4506">
            <v>7139</v>
          </cell>
          <cell r="B4506" t="str">
            <v>TE SOLDAVEL, PVC, 90 GRAUS, 25 MM, PARA AGUA FRIA PREDIAL (NBR 5648)</v>
          </cell>
          <cell r="C4506" t="str">
            <v xml:space="preserve">UN    </v>
          </cell>
          <cell r="D4506">
            <v>0.83</v>
          </cell>
        </row>
        <row r="4507">
          <cell r="A4507">
            <v>7140</v>
          </cell>
          <cell r="B4507" t="str">
            <v>TE SOLDAVEL, PVC, 90 GRAUS, 32 MM, PARA AGUA FRIA PREDIAL (NBR 5648)</v>
          </cell>
          <cell r="C4507" t="str">
            <v xml:space="preserve">UN    </v>
          </cell>
          <cell r="D4507">
            <v>2.77</v>
          </cell>
        </row>
        <row r="4508">
          <cell r="A4508">
            <v>7141</v>
          </cell>
          <cell r="B4508" t="str">
            <v>TE SOLDAVEL, PVC, 90 GRAUS, 40 MM, PARA AGUA FRIA PREDIAL (NBR 5648)</v>
          </cell>
          <cell r="C4508" t="str">
            <v xml:space="preserve">UN    </v>
          </cell>
          <cell r="D4508">
            <v>6.06</v>
          </cell>
        </row>
        <row r="4509">
          <cell r="A4509">
            <v>7143</v>
          </cell>
          <cell r="B4509" t="str">
            <v>TE SOLDAVEL, PVC, 90 GRAUS, 60 MM, PARA AGUA FRIA PREDIAL (NBR 5648)</v>
          </cell>
          <cell r="C4509" t="str">
            <v xml:space="preserve">UN    </v>
          </cell>
          <cell r="D4509">
            <v>20.190000000000001</v>
          </cell>
        </row>
        <row r="4510">
          <cell r="A4510">
            <v>7144</v>
          </cell>
          <cell r="B4510" t="str">
            <v>TE SOLDAVEL, PVC, 90 GRAUS, 75 MM, PARA AGUA FRIA PREDIAL (NBR 5648)</v>
          </cell>
          <cell r="C4510" t="str">
            <v xml:space="preserve">UN    </v>
          </cell>
          <cell r="D4510">
            <v>40.380000000000003</v>
          </cell>
        </row>
        <row r="4511">
          <cell r="A4511">
            <v>7145</v>
          </cell>
          <cell r="B4511" t="str">
            <v>TE SOLDAVEL, PVC, 90 GRAUS, 85 MM, PARA AGUA FRIA PREDIAL (NBR 5648)</v>
          </cell>
          <cell r="C4511" t="str">
            <v xml:space="preserve">UN    </v>
          </cell>
          <cell r="D4511">
            <v>66.23</v>
          </cell>
        </row>
        <row r="4512">
          <cell r="A4512">
            <v>7142</v>
          </cell>
          <cell r="B4512" t="str">
            <v>TE SOLDAVEL, PVC, 90 GRAUS,50 MM, PARA AGUA FRIA PREDIAL (NBR 5648)</v>
          </cell>
          <cell r="C4512" t="str">
            <v xml:space="preserve">UN    </v>
          </cell>
          <cell r="D4512">
            <v>6.77</v>
          </cell>
        </row>
        <row r="4513">
          <cell r="A4513">
            <v>3593</v>
          </cell>
          <cell r="B4513" t="str">
            <v>TE 45 GRAUS DE FERRO GALVANIZADO, COM ROSCA BSP, DE 1 1/2"</v>
          </cell>
          <cell r="C4513" t="str">
            <v xml:space="preserve">UN    </v>
          </cell>
          <cell r="D4513">
            <v>41.78</v>
          </cell>
        </row>
        <row r="4514">
          <cell r="A4514">
            <v>3588</v>
          </cell>
          <cell r="B4514" t="str">
            <v>TE 45 GRAUS DE FERRO GALVANIZADO, COM ROSCA BSP, DE 1 1/4"</v>
          </cell>
          <cell r="C4514" t="str">
            <v xml:space="preserve">UN    </v>
          </cell>
          <cell r="D4514">
            <v>32.21</v>
          </cell>
        </row>
        <row r="4515">
          <cell r="A4515">
            <v>3585</v>
          </cell>
          <cell r="B4515" t="str">
            <v>TE 45 GRAUS DE FERRO GALVANIZADO, COM ROSCA BSP, DE 1/2"</v>
          </cell>
          <cell r="C4515" t="str">
            <v xml:space="preserve">UN    </v>
          </cell>
          <cell r="D4515">
            <v>9.94</v>
          </cell>
        </row>
        <row r="4516">
          <cell r="A4516">
            <v>3587</v>
          </cell>
          <cell r="B4516" t="str">
            <v>TE 45 GRAUS DE FERRO GALVANIZADO, COM ROSCA BSP, DE 1"</v>
          </cell>
          <cell r="C4516" t="str">
            <v xml:space="preserve">UN    </v>
          </cell>
          <cell r="D4516">
            <v>19.98</v>
          </cell>
        </row>
        <row r="4517">
          <cell r="A4517">
            <v>3590</v>
          </cell>
          <cell r="B4517" t="str">
            <v>TE 45 GRAUS DE FERRO GALVANIZADO, COM ROSCA BSP, DE 2 1/2"</v>
          </cell>
          <cell r="C4517" t="str">
            <v xml:space="preserve">UN    </v>
          </cell>
          <cell r="D4517">
            <v>118.64</v>
          </cell>
        </row>
        <row r="4518">
          <cell r="A4518">
            <v>3589</v>
          </cell>
          <cell r="B4518" t="str">
            <v>TE 45 GRAUS DE FERRO GALVANIZADO, COM ROSCA BSP, DE 2"</v>
          </cell>
          <cell r="C4518" t="str">
            <v xml:space="preserve">UN    </v>
          </cell>
          <cell r="D4518">
            <v>63.68</v>
          </cell>
        </row>
        <row r="4519">
          <cell r="A4519">
            <v>3586</v>
          </cell>
          <cell r="B4519" t="str">
            <v>TE 45 GRAUS DE FERRO GALVANIZADO, COM ROSCA BSP, DE 3/4"</v>
          </cell>
          <cell r="C4519" t="str">
            <v xml:space="preserve">UN    </v>
          </cell>
          <cell r="D4519">
            <v>13.03</v>
          </cell>
        </row>
        <row r="4520">
          <cell r="A4520">
            <v>3592</v>
          </cell>
          <cell r="B4520" t="str">
            <v>TE 45 GRAUS DE FERRO GALVANIZADO, COM ROSCA BSP, DE 3"</v>
          </cell>
          <cell r="C4520" t="str">
            <v xml:space="preserve">UN    </v>
          </cell>
          <cell r="D4520">
            <v>187.54</v>
          </cell>
        </row>
        <row r="4521">
          <cell r="A4521">
            <v>3591</v>
          </cell>
          <cell r="B4521" t="str">
            <v>TE 45 GRAUS DE FERRO GALVANIZADO, COM ROSCA BSP, DE 4"</v>
          </cell>
          <cell r="C4521" t="str">
            <v xml:space="preserve">UN    </v>
          </cell>
          <cell r="D4521">
            <v>300.64</v>
          </cell>
        </row>
        <row r="4522">
          <cell r="A4522">
            <v>40396</v>
          </cell>
          <cell r="B4522" t="str">
            <v>TE 90 GRAUS EM ACO CARBONO, SOLDAVEL, PRESSAO 3.000 LBS, DN 1 1/2"</v>
          </cell>
          <cell r="C4522" t="str">
            <v xml:space="preserve">UN    </v>
          </cell>
          <cell r="D4522">
            <v>61</v>
          </cell>
        </row>
        <row r="4523">
          <cell r="A4523">
            <v>40395</v>
          </cell>
          <cell r="B4523" t="str">
            <v>TE 90 GRAUS EM ACO CARBONO, SOLDAVEL, PRESSAO 3.000 LBS, DN 1 1/4"</v>
          </cell>
          <cell r="C4523" t="str">
            <v xml:space="preserve">UN    </v>
          </cell>
          <cell r="D4523">
            <v>46.81</v>
          </cell>
        </row>
        <row r="4524">
          <cell r="A4524">
            <v>40392</v>
          </cell>
          <cell r="B4524" t="str">
            <v>TE 90 GRAUS EM ACO CARBONO, SOLDAVEL, PRESSAO 3.000 LBS, DN 1/2"</v>
          </cell>
          <cell r="C4524" t="str">
            <v xml:space="preserve">UN    </v>
          </cell>
          <cell r="D4524">
            <v>15.06</v>
          </cell>
        </row>
        <row r="4525">
          <cell r="A4525">
            <v>40394</v>
          </cell>
          <cell r="B4525" t="str">
            <v>TE 90 GRAUS EM ACO CARBONO, SOLDAVEL, PRESSAO 3.000 LBS, DN 1"</v>
          </cell>
          <cell r="C4525" t="str">
            <v xml:space="preserve">UN    </v>
          </cell>
          <cell r="D4525">
            <v>30.48</v>
          </cell>
        </row>
        <row r="4526">
          <cell r="A4526">
            <v>40398</v>
          </cell>
          <cell r="B4526" t="str">
            <v>TE 90 GRAUS EM ACO CARBONO, SOLDAVEL, PRESSAO 3.000 LBS, DN 2 1/2"</v>
          </cell>
          <cell r="C4526" t="str">
            <v xml:space="preserve">UN    </v>
          </cell>
          <cell r="D4526">
            <v>195.71</v>
          </cell>
        </row>
        <row r="4527">
          <cell r="A4527">
            <v>40397</v>
          </cell>
          <cell r="B4527" t="str">
            <v>TE 90 GRAUS EM ACO CARBONO, SOLDAVEL, PRESSAO 3.000 LBS, DN 2"</v>
          </cell>
          <cell r="C4527" t="str">
            <v xml:space="preserve">UN    </v>
          </cell>
          <cell r="D4527">
            <v>100.22</v>
          </cell>
        </row>
        <row r="4528">
          <cell r="A4528">
            <v>40393</v>
          </cell>
          <cell r="B4528" t="str">
            <v>TE 90 GRAUS EM ACO CARBONO, SOLDAVEL, PRESSAO 3.000 LBS, DN 3/4"</v>
          </cell>
          <cell r="C4528" t="str">
            <v xml:space="preserve">UN    </v>
          </cell>
          <cell r="D4528">
            <v>19.399999999999999</v>
          </cell>
        </row>
        <row r="4529">
          <cell r="A4529">
            <v>40399</v>
          </cell>
          <cell r="B4529" t="str">
            <v>TE 90 GRAUS EM ACO CARBONO, SOLDAVEL, PRESSAO 3.000 LBS, DN 3"</v>
          </cell>
          <cell r="C4529" t="str">
            <v xml:space="preserve">UN    </v>
          </cell>
          <cell r="D4529">
            <v>320.17</v>
          </cell>
        </row>
        <row r="4530">
          <cell r="A4530">
            <v>39322</v>
          </cell>
          <cell r="B4530" t="str">
            <v>TE, PLASTICO, DN 16 MM, PARA CONEXAO COM CRIMPAGEM EM TUBO PEX</v>
          </cell>
          <cell r="C4530" t="str">
            <v xml:space="preserve">UN    </v>
          </cell>
          <cell r="D4530">
            <v>15.81</v>
          </cell>
        </row>
        <row r="4531">
          <cell r="A4531">
            <v>39289</v>
          </cell>
          <cell r="B4531" t="str">
            <v>TE, PLASTICO, DN 20 MM, PARA CONEXAO COM CRIMPAGEM EM TUBO PEX</v>
          </cell>
          <cell r="C4531" t="str">
            <v xml:space="preserve">UN    </v>
          </cell>
          <cell r="D4531">
            <v>18.940000000000001</v>
          </cell>
        </row>
        <row r="4532">
          <cell r="A4532">
            <v>39290</v>
          </cell>
          <cell r="B4532" t="str">
            <v>TE, PLASTICO, DN 25 MM, PARA CONEXAO COM CRIMPAGEM EM TUBO PEX</v>
          </cell>
          <cell r="C4532" t="str">
            <v xml:space="preserve">UN    </v>
          </cell>
          <cell r="D4532">
            <v>32.14</v>
          </cell>
        </row>
        <row r="4533">
          <cell r="A4533">
            <v>39291</v>
          </cell>
          <cell r="B4533" t="str">
            <v>TE, PLASTICO, DN 32 MM, PARA CONEXAO COM CRIMPAGEM EM TUBO PEX</v>
          </cell>
          <cell r="C4533" t="str">
            <v xml:space="preserve">UN    </v>
          </cell>
          <cell r="D4533">
            <v>48.12</v>
          </cell>
        </row>
        <row r="4534">
          <cell r="A4534">
            <v>20174</v>
          </cell>
          <cell r="B4534" t="str">
            <v>TE, PVC LEVE, CURTO, 90 GRAUS, 150 MM, PARA ESGOTO</v>
          </cell>
          <cell r="C4534" t="str">
            <v xml:space="preserve">UN    </v>
          </cell>
          <cell r="D4534">
            <v>22.13</v>
          </cell>
        </row>
        <row r="4535">
          <cell r="A4535">
            <v>41892</v>
          </cell>
          <cell r="B4535" t="str">
            <v>TE, PVC PBA, BBB, 90 GRAUS, DN 100 / DE 110 MM, PARA REDE  AGUA (NBR 10351)</v>
          </cell>
          <cell r="C4535" t="str">
            <v xml:space="preserve">UN    </v>
          </cell>
          <cell r="D4535">
            <v>88.12</v>
          </cell>
        </row>
        <row r="4536">
          <cell r="A4536">
            <v>7048</v>
          </cell>
          <cell r="B4536" t="str">
            <v>TE, PVC PBA, BBB, 90 GRAUS, DN 50 / DE 60 MM, PARA REDE AGUA (NBR 10351)</v>
          </cell>
          <cell r="C4536" t="str">
            <v xml:space="preserve">UN    </v>
          </cell>
          <cell r="D4536">
            <v>19.02</v>
          </cell>
        </row>
        <row r="4537">
          <cell r="A4537">
            <v>7088</v>
          </cell>
          <cell r="B4537" t="str">
            <v>TE, PVC PBA, BBB, 90 GRAUS, DN 75 / DE 85 MM, PARA REDE AGUA (NBR 10351)</v>
          </cell>
          <cell r="C4537" t="str">
            <v xml:space="preserve">UN    </v>
          </cell>
          <cell r="D4537">
            <v>41.59</v>
          </cell>
        </row>
        <row r="4538">
          <cell r="A4538">
            <v>20179</v>
          </cell>
          <cell r="B4538" t="str">
            <v>TE, PVC, SERIE R, 100 X 100 MM, PARA ESGOTO PREDIAL</v>
          </cell>
          <cell r="C4538" t="str">
            <v xml:space="preserve">UN    </v>
          </cell>
          <cell r="D4538">
            <v>29.8</v>
          </cell>
        </row>
        <row r="4539">
          <cell r="A4539">
            <v>20178</v>
          </cell>
          <cell r="B4539" t="str">
            <v>TE, PVC, SERIE R, 100 X 75 MM, PARA ESGOTO PREDIAL</v>
          </cell>
          <cell r="C4539" t="str">
            <v xml:space="preserve">UN    </v>
          </cell>
          <cell r="D4539">
            <v>26.33</v>
          </cell>
        </row>
        <row r="4540">
          <cell r="A4540">
            <v>20180</v>
          </cell>
          <cell r="B4540" t="str">
            <v>TE, PVC, SERIE R, 150 X 100 MM, PARA ESGOTO PREDIAL</v>
          </cell>
          <cell r="C4540" t="str">
            <v xml:space="preserve">UN    </v>
          </cell>
          <cell r="D4540">
            <v>48.39</v>
          </cell>
        </row>
        <row r="4541">
          <cell r="A4541">
            <v>20181</v>
          </cell>
          <cell r="B4541" t="str">
            <v>TE, PVC, SERIE R, 150 X 150 MM, PARA ESGOTO PREDIAL</v>
          </cell>
          <cell r="C4541" t="str">
            <v xml:space="preserve">UN    </v>
          </cell>
          <cell r="D4541">
            <v>71.790000000000006</v>
          </cell>
        </row>
        <row r="4542">
          <cell r="A4542">
            <v>20177</v>
          </cell>
          <cell r="B4542" t="str">
            <v>TE, PVC, SERIE R, 75 X 75 MM, PARA ESGOTO PREDIAL</v>
          </cell>
          <cell r="C4542" t="str">
            <v xml:space="preserve">UN    </v>
          </cell>
          <cell r="D4542">
            <v>17.260000000000002</v>
          </cell>
        </row>
        <row r="4543">
          <cell r="A4543">
            <v>7082</v>
          </cell>
          <cell r="B4543" t="str">
            <v>TE, PVC, 90 GRAUS, BBB, JE, DN 100 MM, PARA REDE COLETORA ESGOTO (NBR 10569)</v>
          </cell>
          <cell r="C4543" t="str">
            <v xml:space="preserve">UN    </v>
          </cell>
          <cell r="D4543">
            <v>36.32</v>
          </cell>
        </row>
        <row r="4544">
          <cell r="A4544">
            <v>42707</v>
          </cell>
          <cell r="B4544" t="str">
            <v>TE, PVC, 90 GRAUS, BBB, JE, DN 100 MM, PARA TUBO CORRUGADO E/OU LISO, REDE COLETORA ESGOTO (NBR 10569</v>
          </cell>
          <cell r="C4544" t="str">
            <v xml:space="preserve">UN    </v>
          </cell>
          <cell r="D4544">
            <v>98.63</v>
          </cell>
        </row>
        <row r="4545">
          <cell r="A4545">
            <v>7069</v>
          </cell>
          <cell r="B4545" t="str">
            <v>TE, PVC, 90 GRAUS, BBB, JE, DN 150 MM, PARA REDE COLETORA ESGOTO (NBR 10569)</v>
          </cell>
          <cell r="C4545" t="str">
            <v xml:space="preserve">UN    </v>
          </cell>
          <cell r="D4545">
            <v>80.61</v>
          </cell>
        </row>
        <row r="4546">
          <cell r="A4546">
            <v>42708</v>
          </cell>
          <cell r="B4546" t="str">
            <v>TE, PVC, 90 GRAUS, BBB, JE, DN 150 MM, PARA TUBO CORRUGADO E/OU LISO, REDE COLETORA ESGOTO (NBR 10569)</v>
          </cell>
          <cell r="C4546" t="str">
            <v xml:space="preserve">UN    </v>
          </cell>
          <cell r="D4546">
            <v>258.89</v>
          </cell>
        </row>
        <row r="4547">
          <cell r="A4547">
            <v>7070</v>
          </cell>
          <cell r="B4547" t="str">
            <v>TE, PVC, 90 GRAUS, BBB, JE, DN 200 MM, PARA REDE COLETORA ESGOTO (NBR 10569)</v>
          </cell>
          <cell r="C4547" t="str">
            <v xml:space="preserve">UN    </v>
          </cell>
          <cell r="D4547">
            <v>115.43</v>
          </cell>
        </row>
        <row r="4548">
          <cell r="A4548">
            <v>42709</v>
          </cell>
          <cell r="B4548" t="str">
            <v>TE, PVC, 90 GRAUS, BBB, JE, DN 200 MM, PARA TUBO CORRUGADO E/OU LISO, REDE COLETORA ESGOTO (NBR 10569)</v>
          </cell>
          <cell r="C4548" t="str">
            <v xml:space="preserve">UN    </v>
          </cell>
          <cell r="D4548">
            <v>387.18</v>
          </cell>
        </row>
        <row r="4549">
          <cell r="A4549">
            <v>42710</v>
          </cell>
          <cell r="B4549" t="str">
            <v>TE, PVC, 90 GRAUS, BBB, JE, DN 250 MM, PARA TUBO CORRUGADO E/OU LISO, REDE COLETORA ESGOTO (NBR 10569)</v>
          </cell>
          <cell r="C4549" t="str">
            <v xml:space="preserve">UN    </v>
          </cell>
          <cell r="D4549">
            <v>1112.97</v>
          </cell>
        </row>
        <row r="4550">
          <cell r="A4550">
            <v>42716</v>
          </cell>
          <cell r="B4550" t="str">
            <v>TE, PVC, 90 GRAUS, BBB, JE, DN 300 MM, PARA TUBO CORRUGADO E/OU LISO, REDE COLETORA ESGOTO (NBR 10569)</v>
          </cell>
          <cell r="C4550" t="str">
            <v xml:space="preserve">UN    </v>
          </cell>
          <cell r="D4550">
            <v>1385.28</v>
          </cell>
        </row>
        <row r="4551">
          <cell r="A4551">
            <v>20172</v>
          </cell>
          <cell r="B4551" t="str">
            <v>TE, PVC, 90 GRAUS, BBP, JE, DN 100 MM, PARA REDE COLETORA ESGOTO (NBR 10569)</v>
          </cell>
          <cell r="C4551" t="str">
            <v xml:space="preserve">UN    </v>
          </cell>
          <cell r="D4551">
            <v>26.64</v>
          </cell>
        </row>
        <row r="4552">
          <cell r="A4552">
            <v>40945</v>
          </cell>
          <cell r="B4552" t="str">
            <v>TECNICO DE EDIFICACOES</v>
          </cell>
          <cell r="C4552" t="str">
            <v xml:space="preserve">H     </v>
          </cell>
          <cell r="D4552">
            <v>18.440000000000001</v>
          </cell>
        </row>
        <row r="4553">
          <cell r="A4553">
            <v>40946</v>
          </cell>
          <cell r="B4553" t="str">
            <v>TECNICO DE EDIFICACOES (MENSALISTA)</v>
          </cell>
          <cell r="C4553" t="str">
            <v xml:space="preserve">MES   </v>
          </cell>
          <cell r="D4553">
            <v>2564.7199999999998</v>
          </cell>
        </row>
        <row r="4554">
          <cell r="A4554">
            <v>7153</v>
          </cell>
          <cell r="B4554" t="str">
            <v>TECNICO EM LABORATORIO E CAMPO DE CONSTRUCAO CIVIL</v>
          </cell>
          <cell r="C4554" t="str">
            <v xml:space="preserve">H     </v>
          </cell>
          <cell r="D4554">
            <v>21.57</v>
          </cell>
        </row>
        <row r="4555">
          <cell r="A4555">
            <v>41089</v>
          </cell>
          <cell r="B4555" t="str">
            <v>TECNICO EM LABORATORIO E CAMPO DE CONSTRUCAO CIVIL (MENSALISTA)</v>
          </cell>
          <cell r="C4555" t="str">
            <v xml:space="preserve">MES   </v>
          </cell>
          <cell r="D4555">
            <v>3818.86</v>
          </cell>
        </row>
        <row r="4556">
          <cell r="A4556">
            <v>40943</v>
          </cell>
          <cell r="B4556" t="str">
            <v>TECNICO EM SEGURANCA DO TRABALHO</v>
          </cell>
          <cell r="C4556" t="str">
            <v xml:space="preserve">H     </v>
          </cell>
          <cell r="D4556">
            <v>22.71</v>
          </cell>
        </row>
        <row r="4557">
          <cell r="A4557">
            <v>40944</v>
          </cell>
          <cell r="B4557" t="str">
            <v>TECNICO EM SEGURANCA DO TRABALHO (MENSALISTA)</v>
          </cell>
          <cell r="C4557" t="str">
            <v xml:space="preserve">MES   </v>
          </cell>
          <cell r="D4557">
            <v>4021.76</v>
          </cell>
        </row>
        <row r="4558">
          <cell r="A4558">
            <v>6175</v>
          </cell>
          <cell r="B4558" t="str">
            <v>TECNICO EM SONDAGEM</v>
          </cell>
          <cell r="C4558" t="str">
            <v xml:space="preserve">H     </v>
          </cell>
          <cell r="D4558">
            <v>19.21</v>
          </cell>
        </row>
        <row r="4559">
          <cell r="A4559">
            <v>41092</v>
          </cell>
          <cell r="B4559" t="str">
            <v>TECNICO EM SONDAGEM (MENSALISTA)</v>
          </cell>
          <cell r="C4559" t="str">
            <v xml:space="preserve">MES   </v>
          </cell>
          <cell r="D4559">
            <v>3401.52</v>
          </cell>
        </row>
        <row r="4560">
          <cell r="A4560">
            <v>37712</v>
          </cell>
          <cell r="B4560" t="str">
            <v>TELA ARAME GALVANIZADO REVESTIDO COM POLIMERO, MALHA HEXAGONAL DUPLA TORCAO, 8 X 10 CM (ZN/AL REVESTIDO COM POLIMERO), FIO *2,4* MM</v>
          </cell>
          <cell r="C4560" t="str">
            <v xml:space="preserve">M2    </v>
          </cell>
          <cell r="D4560">
            <v>61.49</v>
          </cell>
        </row>
        <row r="4561">
          <cell r="A4561">
            <v>34547</v>
          </cell>
          <cell r="B4561" t="str">
            <v>TELA DE ACO SOLDADA GALVANIZADA/ZINCADA PARA ALVENARIA, FIO  D = *1,20 A 1,70* MM, MALHA 15 X 15 MM, (C X L) *50 X 12* CM</v>
          </cell>
          <cell r="C4561" t="str">
            <v xml:space="preserve">M     </v>
          </cell>
          <cell r="D4561">
            <v>2.65</v>
          </cell>
        </row>
        <row r="4562">
          <cell r="A4562">
            <v>34548</v>
          </cell>
          <cell r="B4562" t="str">
            <v>TELA DE ACO SOLDADA GALVANIZADA/ZINCADA PARA ALVENARIA, FIO  D = *1,20 A 1,70* MM, MALHA 15 X 15 MM, (C X L) *50 X 17,5* CM</v>
          </cell>
          <cell r="C4562" t="str">
            <v xml:space="preserve">M     </v>
          </cell>
          <cell r="D4562">
            <v>2.59</v>
          </cell>
        </row>
        <row r="4563">
          <cell r="A4563">
            <v>37411</v>
          </cell>
          <cell r="B4563" t="str">
            <v>TELA DE ACO SOLDADA GALVANIZADA/ZINCADA PARA ALVENARIA, FIO  D = *1,24 MM, MALHA 25 X 25 MM</v>
          </cell>
          <cell r="C4563" t="str">
            <v xml:space="preserve">M2    </v>
          </cell>
          <cell r="D4563">
            <v>13</v>
          </cell>
        </row>
        <row r="4564">
          <cell r="A4564">
            <v>34558</v>
          </cell>
          <cell r="B4564" t="str">
            <v>TELA DE ACO SOLDADA GALVANIZADA/ZINCADA PARA ALVENARIA, FIO D = *1,20 A 1,70* MM, MALHA 15 X 15 MM, (C X L) *50 X 10,5* CM</v>
          </cell>
          <cell r="C4564" t="str">
            <v xml:space="preserve">M     </v>
          </cell>
          <cell r="D4564">
            <v>1.73</v>
          </cell>
        </row>
        <row r="4565">
          <cell r="A4565">
            <v>34550</v>
          </cell>
          <cell r="B4565" t="str">
            <v>TELA DE ACO SOLDADA GALVANIZADA/ZINCADA PARA ALVENARIA, FIO D = *1,20 A 1,70* MM, MALHA 15 X 15 MM, (C X L) *50 X 6* CM</v>
          </cell>
          <cell r="C4565" t="str">
            <v xml:space="preserve">M     </v>
          </cell>
          <cell r="D4565">
            <v>0.92</v>
          </cell>
        </row>
        <row r="4566">
          <cell r="A4566">
            <v>34557</v>
          </cell>
          <cell r="B4566" t="str">
            <v>TELA DE ACO SOLDADA GALVANIZADA/ZINCADA PARA ALVENARIA, FIO D = *1,20 A 1,70* MM, MALHA 15 X 15 MM, (C X L) *50 X 7,5* CM</v>
          </cell>
          <cell r="C4566" t="str">
            <v xml:space="preserve">M     </v>
          </cell>
          <cell r="D4566">
            <v>1.62</v>
          </cell>
        </row>
        <row r="4567">
          <cell r="A4567">
            <v>7155</v>
          </cell>
          <cell r="B4567" t="str">
            <v>TELA DE ACO SOLDADA NERVURADA CA-60, Q-138, (2,20 KG/M2), DIAMETRO DO FIO = 4,2 MM, LARGURA =  2,45 X 120 M DE COMPRIMENTO, ESPACAMENTO DA MALHA = 10  X 10 CM</v>
          </cell>
          <cell r="C4567" t="str">
            <v xml:space="preserve">M2    </v>
          </cell>
          <cell r="D4567">
            <v>14.98</v>
          </cell>
        </row>
        <row r="4568">
          <cell r="A4568">
            <v>7154</v>
          </cell>
          <cell r="B4568" t="str">
            <v>TELA DE ACO SOLDADA NERVURADA CA-60, Q-138, (2,20 KG/M2), DIAMETRO DO FIO = 4,2 MM, LARGURA =  2,45 X 120 M DE COMPRIMENTO, ESPACAMENTO DA MALHA = 10 X 10 CM</v>
          </cell>
          <cell r="C4568" t="str">
            <v xml:space="preserve">KG    </v>
          </cell>
          <cell r="D4568">
            <v>6.74</v>
          </cell>
        </row>
        <row r="4569">
          <cell r="A4569">
            <v>10915</v>
          </cell>
          <cell r="B4569" t="str">
            <v>TELA DE ACO SOLDADA NERVURADA CA-60, Q-61, (0,97 KG/M2), DIAMETRO DO FIO = 3,4 MM, LARGURA =  2,45 X 120 M DE COMPRIMENTO, ESPACAMENTO DA MALHA = 15  X 15 CM</v>
          </cell>
          <cell r="C4569" t="str">
            <v xml:space="preserve">KG    </v>
          </cell>
          <cell r="D4569">
            <v>7</v>
          </cell>
        </row>
        <row r="4570">
          <cell r="A4570">
            <v>10917</v>
          </cell>
          <cell r="B4570" t="str">
            <v>TELA DE ACO SOLDADA NERVURADA CA-60, Q-61, (0,97 KG/M2), DIAMETRO DO FIO = 3,4 MM, LARGURA =  2,45 X 120 M DE COMPRIMENTO, ESPACAMENTO DA MALHA = 15 X 15 CM</v>
          </cell>
          <cell r="C4570" t="str">
            <v xml:space="preserve">M2    </v>
          </cell>
          <cell r="D4570">
            <v>6.8</v>
          </cell>
        </row>
        <row r="4571">
          <cell r="A4571">
            <v>21141</v>
          </cell>
          <cell r="B4571" t="str">
            <v>TELA DE ACO SOLDADA NERVURADA CA-60, Q-92, (1,48 KG/M2), DIAMETRO DO FIO = 4,2 MM, LARGURA =  2,45 X 60 M DE COMPRIMENTO, ESPACAMENTO DA MALHA = 15  X 15 CM</v>
          </cell>
          <cell r="C4571" t="str">
            <v xml:space="preserve">M2    </v>
          </cell>
          <cell r="D4571">
            <v>10.07</v>
          </cell>
        </row>
        <row r="4572">
          <cell r="A4572">
            <v>10916</v>
          </cell>
          <cell r="B4572" t="str">
            <v>TELA DE ACO SOLDADA NERVURADA CA-60, Q-92, (1,48 KG/M2), DIAMETRO DO FIO = 4,2 MM, LARGURA =  2,45 X 60 M DE COMPRIMENTO, ESPACAMENTO DA MALHA = 15 X 15 CM</v>
          </cell>
          <cell r="C4572" t="str">
            <v xml:space="preserve">KG    </v>
          </cell>
          <cell r="D4572">
            <v>6.8</v>
          </cell>
        </row>
        <row r="4573">
          <cell r="A4573">
            <v>39508</v>
          </cell>
          <cell r="B4573" t="str">
            <v>TELA DE ACO SOLDADA NERVURADA, CA-60, L-159, (1,69 KG/M2), DIAMETRO DO FIO = 4,5 MM, LARGURA =  2,45 M, ESPACAMENTO DA MALHA = 30 X 10 CM</v>
          </cell>
          <cell r="C4573" t="str">
            <v xml:space="preserve">M2    </v>
          </cell>
          <cell r="D4573">
            <v>11.96</v>
          </cell>
        </row>
        <row r="4574">
          <cell r="A4574">
            <v>39507</v>
          </cell>
          <cell r="B4574" t="str">
            <v>TELA DE ACO SOLDADA NERVURADA, CA-60, Q-113, (1,8 KG/M2), DIAMETRO DO FIO = 3,8 MM, LARGURA =  2,45 M, ESPACAMENTO DA MALHA = 10 X 10 CM</v>
          </cell>
          <cell r="C4574" t="str">
            <v xml:space="preserve">M2    </v>
          </cell>
          <cell r="D4574">
            <v>11.71</v>
          </cell>
        </row>
        <row r="4575">
          <cell r="A4575">
            <v>7156</v>
          </cell>
          <cell r="B4575" t="str">
            <v>TELA DE ACO SOLDADA NERVURADA, CA-60, Q-196, (3,11 KG/M2), DIAMETRO DO FIO = 5,0 MM, LARGURA =  2,45 M, ESPACAMENTO DA MALHA = 10 X 10 CM</v>
          </cell>
          <cell r="C4575" t="str">
            <v xml:space="preserve">M2    </v>
          </cell>
          <cell r="D4575">
            <v>20.25</v>
          </cell>
        </row>
        <row r="4576">
          <cell r="A4576">
            <v>39509</v>
          </cell>
          <cell r="B4576" t="str">
            <v>TELA DE ACO SOLDADA NERVURADA, CA-60, T-196, (2,11 KG/M2), DIAMETRO DO FIO = 5,0 MM, LARGURA =  2,45 M, ESPACAMENTO DA MALHA = 30 X 10 CM</v>
          </cell>
          <cell r="C4576" t="str">
            <v xml:space="preserve">M2    </v>
          </cell>
          <cell r="D4576">
            <v>9.43</v>
          </cell>
        </row>
        <row r="4577">
          <cell r="A4577">
            <v>25988</v>
          </cell>
          <cell r="B4577" t="str">
            <v>TELA DE ANIAGEM (JUTA)</v>
          </cell>
          <cell r="C4577" t="str">
            <v xml:space="preserve">M2    </v>
          </cell>
          <cell r="D4577">
            <v>9.73</v>
          </cell>
        </row>
        <row r="4578">
          <cell r="A4578">
            <v>10928</v>
          </cell>
          <cell r="B4578" t="str">
            <v>TELA DE ARAME GALV QUADRANGULAR / LOSANGULAR,  FIO 2,11 MM (14  BWG), MALHA  8 X 8 CM, H = 2 M</v>
          </cell>
          <cell r="C4578" t="str">
            <v xml:space="preserve">M2    </v>
          </cell>
          <cell r="D4578">
            <v>12.14</v>
          </cell>
        </row>
        <row r="4579">
          <cell r="A4579">
            <v>7167</v>
          </cell>
          <cell r="B4579" t="str">
            <v>TELA DE ARAME GALV QUADRANGULAR / LOSANGULAR,  FIO 2,11 MM (14 BWG), MALHA  5 X 5 CM, H = 2 M</v>
          </cell>
          <cell r="C4579" t="str">
            <v xml:space="preserve">M2    </v>
          </cell>
          <cell r="D4579">
            <v>16.59</v>
          </cell>
        </row>
        <row r="4580">
          <cell r="A4580">
            <v>10933</v>
          </cell>
          <cell r="B4580" t="str">
            <v>TELA DE ARAME GALV QUADRANGULAR / LOSANGULAR,  FIO 2,77 MM (12  BWG), MALHA  10 X 10 CM, H = 2 M</v>
          </cell>
          <cell r="C4580" t="str">
            <v xml:space="preserve">M2    </v>
          </cell>
          <cell r="D4580">
            <v>14.83</v>
          </cell>
        </row>
        <row r="4581">
          <cell r="A4581">
            <v>10927</v>
          </cell>
          <cell r="B4581" t="str">
            <v>TELA DE ARAME GALV QUADRANGULAR / LOSANGULAR,  FIO 2,77 MM (12  BWG), MALHA  8 X 8 CM, H = 2 M</v>
          </cell>
          <cell r="C4581" t="str">
            <v xml:space="preserve">M2    </v>
          </cell>
          <cell r="D4581">
            <v>17.91</v>
          </cell>
        </row>
        <row r="4582">
          <cell r="A4582">
            <v>7158</v>
          </cell>
          <cell r="B4582" t="str">
            <v>TELA DE ARAME GALV QUADRANGULAR / LOSANGULAR,  FIO 2,77 MM (12 BWG), MALHA  5 X 5 CM, H = 2 M</v>
          </cell>
          <cell r="C4582" t="str">
            <v xml:space="preserve">M2    </v>
          </cell>
          <cell r="D4582">
            <v>25</v>
          </cell>
        </row>
        <row r="4583">
          <cell r="A4583">
            <v>7162</v>
          </cell>
          <cell r="B4583" t="str">
            <v>TELA DE ARAME GALV QUADRANGULAR / LOSANGULAR,  FIO 3,4 MM (10  BWG), MALHA  5 X 5 CM, H = 2 M</v>
          </cell>
          <cell r="C4583" t="str">
            <v xml:space="preserve">M2    </v>
          </cell>
          <cell r="D4583">
            <v>37.590000000000003</v>
          </cell>
        </row>
        <row r="4584">
          <cell r="A4584">
            <v>10932</v>
          </cell>
          <cell r="B4584" t="str">
            <v>TELA DE ARAME GALV QUADRANGULAR / LOSANGULAR,  FIO 4,19 MM (8 BWG), MALHA  5 X 5 CM, H = 2 M</v>
          </cell>
          <cell r="C4584" t="str">
            <v xml:space="preserve">M2    </v>
          </cell>
          <cell r="D4584">
            <v>66.56</v>
          </cell>
        </row>
        <row r="4585">
          <cell r="A4585">
            <v>40706</v>
          </cell>
          <cell r="B4585" t="str">
            <v>TELA DE ARAME GALV REVESTIDO EM PVC, QUADRANGULAR / LOSANGULAR,  FIO 1,24 MM (18 BWG), BITOLA = *1,9* MM, MALHA  1,9 X 1,9  CM, H = 2 M</v>
          </cell>
          <cell r="C4585" t="str">
            <v xml:space="preserve">M2    </v>
          </cell>
          <cell r="D4585">
            <v>39.909999999999997</v>
          </cell>
        </row>
        <row r="4586">
          <cell r="A4586">
            <v>10937</v>
          </cell>
          <cell r="B4586" t="str">
            <v>TELA DE ARAME GALV REVESTIDO EM PVC, QUADRANGULAR / LOSANGULAR,  FIO 2,11 MM (14 BWG), BITOLA FINAL = *2,8* MM, MALHA  *8 X 8* CM, H = 2 M</v>
          </cell>
          <cell r="C4586" t="str">
            <v xml:space="preserve">M2    </v>
          </cell>
          <cell r="D4586">
            <v>26.16</v>
          </cell>
        </row>
        <row r="4587">
          <cell r="A4587">
            <v>10935</v>
          </cell>
          <cell r="B4587" t="str">
            <v>TELA DE ARAME GALV REVESTIDO EM PVC, QUADRANGULAR / LOSANGULAR,  FIO 2,77 MM (12 BWG), BITOLA FINAL = *3,8* MM, MALHA  7,5 X 7,5 CM, H = 2 M</v>
          </cell>
          <cell r="C4587" t="str">
            <v xml:space="preserve">M2    </v>
          </cell>
          <cell r="D4587">
            <v>34.450000000000003</v>
          </cell>
        </row>
        <row r="4588">
          <cell r="A4588">
            <v>40707</v>
          </cell>
          <cell r="B4588" t="str">
            <v>TELA DE ARAME GALV REVESTIDO EM PVC, QUADRANGULAR/LOSANGULAR, FIO 2,77 MM (12 BWG), MALHA 3 X 3 CM, H = 2 M</v>
          </cell>
          <cell r="C4588" t="str">
            <v xml:space="preserve">M2    </v>
          </cell>
          <cell r="D4588">
            <v>79.319999999999993</v>
          </cell>
        </row>
        <row r="4589">
          <cell r="A4589">
            <v>10931</v>
          </cell>
          <cell r="B4589" t="str">
            <v>TELA DE ARAME GALV, HEXAGONAL,  FIO 0,56 MM (24  BWG), MALHA  1/2", H = 1 M</v>
          </cell>
          <cell r="C4589" t="str">
            <v xml:space="preserve">M2    </v>
          </cell>
          <cell r="D4589">
            <v>11.09</v>
          </cell>
        </row>
        <row r="4590">
          <cell r="A4590">
            <v>7164</v>
          </cell>
          <cell r="B4590" t="str">
            <v>TELA DE ARAME ONDULADA, FIO *2,77* MM (12 BWG), MALHA 5 X 5 CM, H = 2 M</v>
          </cell>
          <cell r="C4590" t="str">
            <v xml:space="preserve">M2    </v>
          </cell>
          <cell r="D4590">
            <v>31.06</v>
          </cell>
        </row>
        <row r="4591">
          <cell r="A4591">
            <v>36887</v>
          </cell>
          <cell r="B4591" t="str">
            <v>TELA DE FIBRA DE VIDRO, ACABAMENTO ANTI-ALCALINO, MALHA 10 X 10 MM</v>
          </cell>
          <cell r="C4591" t="str">
            <v xml:space="preserve">M2    </v>
          </cell>
          <cell r="D4591">
            <v>13.36</v>
          </cell>
        </row>
        <row r="4592">
          <cell r="A4592">
            <v>34630</v>
          </cell>
          <cell r="B4592" t="str">
            <v>TELA EM MALHA HEXAGONAL DE DUPLA TORCAO 8 X 10 CM (ZN/AL REVESTIDO COM POLIMERO), FIO 2,7 MM, COM GEOMANTA OU BIOMANTA, DIMENSOES 4,0 X 2,0 X 0,6 M, COM INCLINACAO DE 70 GRAUS, PARA SOLO REFORCADO</v>
          </cell>
          <cell r="C4592" t="str">
            <v xml:space="preserve">UN    </v>
          </cell>
          <cell r="D4592">
            <v>999.44</v>
          </cell>
        </row>
        <row r="4593">
          <cell r="A4593">
            <v>7161</v>
          </cell>
          <cell r="B4593" t="str">
            <v>TELA EM METAL PARA ESTUQUE (DEPLOYE)</v>
          </cell>
          <cell r="C4593" t="str">
            <v xml:space="preserve">M2    </v>
          </cell>
          <cell r="D4593">
            <v>4.71</v>
          </cell>
        </row>
        <row r="4594">
          <cell r="A4594">
            <v>7170</v>
          </cell>
          <cell r="B4594" t="str">
            <v>TELA FACHADEIRA EM POLIETILENO, ROLO DE 3 X 100 M (L X C), COR BRANCA, SEM LOGOMARCA - PARA PROTECAO DE OBRAS</v>
          </cell>
          <cell r="C4594" t="str">
            <v xml:space="preserve">M2    </v>
          </cell>
          <cell r="D4594">
            <v>1.9</v>
          </cell>
        </row>
        <row r="4595">
          <cell r="A4595">
            <v>37524</v>
          </cell>
          <cell r="B4595" t="str">
            <v>TELA PLASTICA LARANJA, TIPO TAPUME PARA SINALIZACAO, MALHA RETANGULAR, ROLO 1.20 X 50 M (L X C)</v>
          </cell>
          <cell r="C4595" t="str">
            <v xml:space="preserve">M     </v>
          </cell>
          <cell r="D4595">
            <v>1.81</v>
          </cell>
        </row>
        <row r="4596">
          <cell r="A4596">
            <v>37525</v>
          </cell>
          <cell r="B4596" t="str">
            <v>TELA PLASTICA TECIDA LISTRADA BRANCA E LARANJA, TIPO GUARDA CORPO, EM POLIETILENO MONOFILADO, ROLO 1,20 X 50 M (L X C)</v>
          </cell>
          <cell r="C4596" t="str">
            <v xml:space="preserve">M     </v>
          </cell>
          <cell r="D4596">
            <v>2.17</v>
          </cell>
        </row>
        <row r="4597">
          <cell r="A4597">
            <v>10920</v>
          </cell>
          <cell r="B4597" t="str">
            <v>TELA SOLDADA ARAME GALVANIZADO 12 BWG (2,77MM), MALHA 15 X 5 CM</v>
          </cell>
          <cell r="C4597" t="str">
            <v xml:space="preserve">M2    </v>
          </cell>
          <cell r="D4597">
            <v>13.5</v>
          </cell>
        </row>
        <row r="4598">
          <cell r="A4598">
            <v>7238</v>
          </cell>
          <cell r="B4598" t="str">
            <v>TELHA ALUMINIO ONDULADA, ALTURA = *18* MM, E = 0,5 MM</v>
          </cell>
          <cell r="C4598" t="str">
            <v xml:space="preserve">M2    </v>
          </cell>
          <cell r="D4598">
            <v>40.33</v>
          </cell>
        </row>
        <row r="4599">
          <cell r="A4599">
            <v>7239</v>
          </cell>
          <cell r="B4599" t="str">
            <v>TELHA ALUMINIO ONDULADA, ALTURA = *18* MM, E = 0,6 MM</v>
          </cell>
          <cell r="C4599" t="str">
            <v xml:space="preserve">M2    </v>
          </cell>
          <cell r="D4599">
            <v>50.14</v>
          </cell>
        </row>
        <row r="4600">
          <cell r="A4600">
            <v>7240</v>
          </cell>
          <cell r="B4600" t="str">
            <v>TELHA ALUMINIO ONDULADA, ALTURA = *18* MM, E = 0,7 MM</v>
          </cell>
          <cell r="C4600" t="str">
            <v xml:space="preserve">M2    </v>
          </cell>
          <cell r="D4600">
            <v>57.57</v>
          </cell>
        </row>
        <row r="4601">
          <cell r="A4601">
            <v>36789</v>
          </cell>
          <cell r="B4601" t="str">
            <v>TELHA CERAMICA TIPO AMERICANA, COMPRIMENTO DE *45* CM, RENDIMENTO DE *12* TELHAS/M2</v>
          </cell>
          <cell r="C4601" t="str">
            <v xml:space="preserve">UN    </v>
          </cell>
          <cell r="D4601">
            <v>2.4</v>
          </cell>
        </row>
        <row r="4602">
          <cell r="A4602">
            <v>25007</v>
          </cell>
          <cell r="B4602" t="str">
            <v>TELHA DE ACO ZINCADO ONDULADA, A = *17* MM, E = 0,5 MM, SEM PINTURA</v>
          </cell>
          <cell r="C4602" t="str">
            <v xml:space="preserve">M2    </v>
          </cell>
          <cell r="D4602">
            <v>27.5</v>
          </cell>
        </row>
        <row r="4603">
          <cell r="A4603">
            <v>14171</v>
          </cell>
          <cell r="B4603" t="str">
            <v>TELHA DE ACO ZINCADO TRAPEZOIDAL AUTOPORTANTE, A = 120 MM, E = 0,95 MM, COM PINTURA ELETROSTATICA BRANCA EM 1 FACE</v>
          </cell>
          <cell r="C4603" t="str">
            <v xml:space="preserve">M2    </v>
          </cell>
          <cell r="D4603">
            <v>73.52</v>
          </cell>
        </row>
        <row r="4604">
          <cell r="A4604">
            <v>14170</v>
          </cell>
          <cell r="B4604" t="str">
            <v>TELHA DE ACO ZINCADO TRAPEZOIDAL AUTOPORTANTE, A = 120 MM, E = 0,95 MM, SEM PINTURA</v>
          </cell>
          <cell r="C4604" t="str">
            <v xml:space="preserve">M2    </v>
          </cell>
          <cell r="D4604">
            <v>64.97</v>
          </cell>
        </row>
        <row r="4605">
          <cell r="A4605">
            <v>14173</v>
          </cell>
          <cell r="B4605" t="str">
            <v>TELHA DE ACO ZINCADO TRAPEZOIDAL AUTOPORTANTE, A = 259 MM, E = 0,95 MM, COM PINTURA ELETROSTATICA BRANCA EM 1 FACE</v>
          </cell>
          <cell r="C4605" t="str">
            <v xml:space="preserve">M2    </v>
          </cell>
          <cell r="D4605">
            <v>85.66</v>
          </cell>
        </row>
        <row r="4606">
          <cell r="A4606">
            <v>14172</v>
          </cell>
          <cell r="B4606" t="str">
            <v>TELHA DE ACO ZINCADO TRAPEZOIDAL AUTOPORTANTE, A = 259 MM, E = 0,95 MM, SEM PINTURA</v>
          </cell>
          <cell r="C4606" t="str">
            <v xml:space="preserve">M2    </v>
          </cell>
          <cell r="D4606">
            <v>69.33</v>
          </cell>
        </row>
        <row r="4607">
          <cell r="A4607">
            <v>7243</v>
          </cell>
          <cell r="B4607" t="str">
            <v>TELHA DE ACO ZINCADO TRAPEZOIDAL, A = *40* MM, E = 0,5 MM, SEM PINTURA</v>
          </cell>
          <cell r="C4607" t="str">
            <v xml:space="preserve">M2    </v>
          </cell>
          <cell r="D4607">
            <v>27.2</v>
          </cell>
        </row>
        <row r="4608">
          <cell r="A4608">
            <v>11067</v>
          </cell>
          <cell r="B4608" t="str">
            <v>TELHA DE ALUMINIO TRAPEZOIDAL, ALTURA = 38 MM, E = 0,5 MM (LARGURA = 1056 MM E COMPRIMENTO = 5000 MM)</v>
          </cell>
          <cell r="C4608" t="str">
            <v xml:space="preserve">UN    </v>
          </cell>
          <cell r="D4608">
            <v>200.57</v>
          </cell>
        </row>
        <row r="4609">
          <cell r="A4609">
            <v>11068</v>
          </cell>
          <cell r="B4609" t="str">
            <v>TELHA DE ALUMINIO TRAPEZOIDAL, ALTURA = 38 MM, E = 0,7 MM (LARGURA = 1056 MM E COMPRIMENTO = 5000 MM)</v>
          </cell>
          <cell r="C4609" t="str">
            <v xml:space="preserve">UN    </v>
          </cell>
          <cell r="D4609">
            <v>283.27999999999997</v>
          </cell>
        </row>
        <row r="4610">
          <cell r="A4610">
            <v>7173</v>
          </cell>
          <cell r="B4610" t="str">
            <v>TELHA DE BARRO / CERAMICA, NAO ESMALTADA, TIPO COLONIAL, CANAL, PLAN, PAULISTA, COMPRIMENTO DE *44 A 50* CM, RENDIMENTO DE COBERTURA DE *26* TELHAS/M2</v>
          </cell>
          <cell r="C4610" t="str">
            <v xml:space="preserve">MIL   </v>
          </cell>
          <cell r="D4610">
            <v>1550</v>
          </cell>
        </row>
        <row r="4611">
          <cell r="A4611">
            <v>7175</v>
          </cell>
          <cell r="B4611" t="str">
            <v>TELHA DE BARRO / CERAMICA, TIPO ROMANA, AMERICANA, PORTUGUESA, FRANCESA, COMPRIMENTO DE *41* CM,  RENDIMENTO DE *16* TELHAS/M2</v>
          </cell>
          <cell r="C4611" t="str">
            <v xml:space="preserve">UN    </v>
          </cell>
          <cell r="D4611">
            <v>1.75</v>
          </cell>
        </row>
        <row r="4612">
          <cell r="A4612">
            <v>40865</v>
          </cell>
          <cell r="B4612" t="str">
            <v>TELHA DE CONCRETO TIPO CLASSICA, COR CINZA, COMPRIMENTO DE *42* CM, RENDIMENTO DE *10* TELHAS/M2 (COLETADO CAIXA)</v>
          </cell>
          <cell r="C4612" t="str">
            <v xml:space="preserve">UN    </v>
          </cell>
          <cell r="D4612">
            <v>2.0099999999999998</v>
          </cell>
        </row>
        <row r="4613">
          <cell r="A4613">
            <v>7184</v>
          </cell>
          <cell r="B4613" t="str">
            <v>TELHA DE FIBRA DE VIDRO ONDULADA INCOLOR, E = 0,6 MM, DE *0,50 X 2,44* M</v>
          </cell>
          <cell r="C4613" t="str">
            <v xml:space="preserve">M2    </v>
          </cell>
          <cell r="D4613">
            <v>29.9</v>
          </cell>
        </row>
        <row r="4614">
          <cell r="A4614">
            <v>34458</v>
          </cell>
          <cell r="B4614" t="str">
            <v>TELHA DE FIBROCIMENTO E = 6 MM, DE 3,00 X 1,06 M (SEM AMIANTO)</v>
          </cell>
          <cell r="C4614" t="str">
            <v xml:space="preserve">UN    </v>
          </cell>
          <cell r="D4614">
            <v>99.88</v>
          </cell>
        </row>
        <row r="4615">
          <cell r="A4615">
            <v>34464</v>
          </cell>
          <cell r="B4615" t="str">
            <v>TELHA DE FIBROCIMENTO E = 6 MM, DE 4,10 X 1,06 M (SEM AMIANTO)</v>
          </cell>
          <cell r="C4615" t="str">
            <v xml:space="preserve">UN    </v>
          </cell>
          <cell r="D4615">
            <v>134</v>
          </cell>
        </row>
        <row r="4616">
          <cell r="A4616">
            <v>34468</v>
          </cell>
          <cell r="B4616" t="str">
            <v>TELHA DE FIBROCIMENTO E = 6 MM, DE 4,60 X 1,06 M (SEM AMIANTO)</v>
          </cell>
          <cell r="C4616" t="str">
            <v xml:space="preserve">UN    </v>
          </cell>
          <cell r="D4616">
            <v>154.66</v>
          </cell>
        </row>
        <row r="4617">
          <cell r="A4617">
            <v>34473</v>
          </cell>
          <cell r="B4617" t="str">
            <v>TELHA DE FIBROCIMENTO E = 8 MM, DE 3,00 X 1,06 M (SEM AMIANTO)</v>
          </cell>
          <cell r="C4617" t="str">
            <v xml:space="preserve">UN    </v>
          </cell>
          <cell r="D4617">
            <v>126.48</v>
          </cell>
        </row>
        <row r="4618">
          <cell r="A4618">
            <v>34480</v>
          </cell>
          <cell r="B4618" t="str">
            <v>TELHA DE FIBROCIMENTO E = 8 MM, DE 4,10 X 1,06 M (SEM AMIANTO)</v>
          </cell>
          <cell r="C4618" t="str">
            <v xml:space="preserve">UN    </v>
          </cell>
          <cell r="D4618">
            <v>172.48</v>
          </cell>
        </row>
        <row r="4619">
          <cell r="A4619">
            <v>34486</v>
          </cell>
          <cell r="B4619" t="str">
            <v>TELHA DE FIBROCIMENTO E = 8 MM, DE 4,60 X 1,06 M (SEM AMIANTO)</v>
          </cell>
          <cell r="C4619" t="str">
            <v xml:space="preserve">UN    </v>
          </cell>
          <cell r="D4619">
            <v>193.18</v>
          </cell>
        </row>
        <row r="4620">
          <cell r="A4620">
            <v>7202</v>
          </cell>
          <cell r="B4620" t="str">
            <v>TELHA DE FIBROCIMENTO E= 8 MM, DE *3,70 X 1,06* M (SEM AMIANTO)</v>
          </cell>
          <cell r="C4620" t="str">
            <v xml:space="preserve">M2    </v>
          </cell>
          <cell r="D4620">
            <v>39.590000000000003</v>
          </cell>
        </row>
        <row r="4621">
          <cell r="A4621">
            <v>7190</v>
          </cell>
          <cell r="B4621" t="str">
            <v>TELHA DE FIBROCIMENTO ONDULADA E = 4 MM, DE 1,22 X 0,50 M (SEM AMIANTO)</v>
          </cell>
          <cell r="C4621" t="str">
            <v xml:space="preserve">UN    </v>
          </cell>
          <cell r="D4621">
            <v>6.79</v>
          </cell>
        </row>
        <row r="4622">
          <cell r="A4622">
            <v>34417</v>
          </cell>
          <cell r="B4622" t="str">
            <v>TELHA DE FIBROCIMENTO ONDULADA E = 4 MM, DE 2,13 X 0,50 M (SEM AMIANTO)</v>
          </cell>
          <cell r="C4622" t="str">
            <v xml:space="preserve">UN    </v>
          </cell>
          <cell r="D4622">
            <v>11.8</v>
          </cell>
        </row>
        <row r="4623">
          <cell r="A4623">
            <v>7191</v>
          </cell>
          <cell r="B4623" t="str">
            <v>TELHA DE FIBROCIMENTO ONDULADA E = 4 MM, DE 2,44 X 0,50 M (SEM AMIANTO)</v>
          </cell>
          <cell r="C4623" t="str">
            <v xml:space="preserve">UN    </v>
          </cell>
          <cell r="D4623">
            <v>13.68</v>
          </cell>
        </row>
        <row r="4624">
          <cell r="A4624">
            <v>7213</v>
          </cell>
          <cell r="B4624" t="str">
            <v>TELHA DE FIBROCIMENTO ONDULADA E = 4 MM, DE 2,44 X 0,50 M (SEM AMIANTO)</v>
          </cell>
          <cell r="C4624" t="str">
            <v xml:space="preserve">M2    </v>
          </cell>
          <cell r="D4624">
            <v>11.21</v>
          </cell>
        </row>
        <row r="4625">
          <cell r="A4625">
            <v>7195</v>
          </cell>
          <cell r="B4625" t="str">
            <v>TELHA DE FIBROCIMENTO ONDULADA E = 6 MM, DE 1,53 X 1,10 M (SEM AMIANTO)</v>
          </cell>
          <cell r="C4625" t="str">
            <v xml:space="preserve">UN    </v>
          </cell>
          <cell r="D4625">
            <v>32.590000000000003</v>
          </cell>
        </row>
        <row r="4626">
          <cell r="A4626">
            <v>7186</v>
          </cell>
          <cell r="B4626" t="str">
            <v>TELHA DE FIBROCIMENTO ONDULADA E = 6 MM, DE 1,83 X 1,10 M (SEM AMIANTO)</v>
          </cell>
          <cell r="C4626" t="str">
            <v xml:space="preserve">UN    </v>
          </cell>
          <cell r="D4626">
            <v>39</v>
          </cell>
        </row>
        <row r="4627">
          <cell r="A4627">
            <v>7194</v>
          </cell>
          <cell r="B4627" t="str">
            <v>TELHA DE FIBROCIMENTO ONDULADA E = 6 MM, DE 2,44 X 1,10 M (SEM AMIANTO)</v>
          </cell>
          <cell r="C4627" t="str">
            <v xml:space="preserve">M2    </v>
          </cell>
          <cell r="D4627">
            <v>19.34</v>
          </cell>
        </row>
        <row r="4628">
          <cell r="A4628">
            <v>7207</v>
          </cell>
          <cell r="B4628" t="str">
            <v>TELHA DE FIBROCIMENTO ONDULADA E = 6 MM, DE 2,44 X 1,10 M (SEM AMIANTO)</v>
          </cell>
          <cell r="C4628" t="str">
            <v xml:space="preserve">UN    </v>
          </cell>
          <cell r="D4628">
            <v>51.91</v>
          </cell>
        </row>
        <row r="4629">
          <cell r="A4629">
            <v>7197</v>
          </cell>
          <cell r="B4629" t="str">
            <v>TELHA DE FIBROCIMENTO ONDULADA E = 6 MM, DE 3,66 X 1,10 M (SEM AMIANTO)</v>
          </cell>
          <cell r="C4629" t="str">
            <v xml:space="preserve">UN    </v>
          </cell>
          <cell r="D4629">
            <v>77.98</v>
          </cell>
        </row>
        <row r="4630">
          <cell r="A4630">
            <v>7192</v>
          </cell>
          <cell r="B4630" t="str">
            <v>TELHA DE FIBROCIMENTO ONDULADA E = 8 MM, DE 1,53 X 1,10 M (SEM AMIANTO)</v>
          </cell>
          <cell r="C4630" t="str">
            <v xml:space="preserve">UN    </v>
          </cell>
          <cell r="D4630">
            <v>42.89</v>
          </cell>
        </row>
        <row r="4631">
          <cell r="A4631">
            <v>7193</v>
          </cell>
          <cell r="B4631" t="str">
            <v>TELHA DE FIBROCIMENTO ONDULADA E = 8 MM, DE 1,83 X 1,10 M (SEM AMIANTO)</v>
          </cell>
          <cell r="C4631" t="str">
            <v xml:space="preserve">UN    </v>
          </cell>
          <cell r="D4631">
            <v>51.2</v>
          </cell>
        </row>
        <row r="4632">
          <cell r="A4632">
            <v>7189</v>
          </cell>
          <cell r="B4632" t="str">
            <v>TELHA DE FIBROCIMENTO ONDULADA E = 8 MM, DE 2,44 X 1,10 M (SEM AMIANTO)</v>
          </cell>
          <cell r="C4632" t="str">
            <v xml:space="preserve">UN    </v>
          </cell>
          <cell r="D4632">
            <v>71.91</v>
          </cell>
        </row>
        <row r="4633">
          <cell r="A4633">
            <v>7198</v>
          </cell>
          <cell r="B4633" t="str">
            <v>TELHA DE FIBROCIMENTO ONDULADA E = 8 MM, DE 3,66 X 1,10 M (SEM AMIANTO)</v>
          </cell>
          <cell r="C4633" t="str">
            <v xml:space="preserve">M2    </v>
          </cell>
          <cell r="D4633">
            <v>26.77</v>
          </cell>
        </row>
        <row r="4634">
          <cell r="A4634">
            <v>34402</v>
          </cell>
          <cell r="B4634" t="str">
            <v>TELHA DE FIBROCIMENTO ONDULADA E = 8 MM, DE 3,66 X 1,10 M (SEM AMIANTO)</v>
          </cell>
          <cell r="C4634" t="str">
            <v xml:space="preserve">UN    </v>
          </cell>
          <cell r="D4634">
            <v>107.79</v>
          </cell>
        </row>
        <row r="4635">
          <cell r="A4635">
            <v>7245</v>
          </cell>
          <cell r="B4635" t="str">
            <v>TELHA DE VIDRO TIPO FRANCESA, *39 X 23* CM</v>
          </cell>
          <cell r="C4635" t="str">
            <v xml:space="preserve">UN    </v>
          </cell>
          <cell r="D4635">
            <v>36.47</v>
          </cell>
        </row>
        <row r="4636">
          <cell r="A4636">
            <v>34425</v>
          </cell>
          <cell r="B4636" t="str">
            <v>TELHA ESTRUTURAL DE FIBROCIMENTO 1 ABA, DE 0,52 X 2,00 M (SEM AMIANTO)</v>
          </cell>
          <cell r="C4636" t="str">
            <v xml:space="preserve">UN    </v>
          </cell>
          <cell r="D4636">
            <v>66.650000000000006</v>
          </cell>
        </row>
        <row r="4637">
          <cell r="A4637">
            <v>7223</v>
          </cell>
          <cell r="B4637" t="str">
            <v>TELHA ESTRUTURAL DE FIBROCIMENTO 1 ABA, DE 0,52 X 2,50 M (SEM AMIANTO)</v>
          </cell>
          <cell r="C4637" t="str">
            <v xml:space="preserve">UN    </v>
          </cell>
          <cell r="D4637">
            <v>77.680000000000007</v>
          </cell>
        </row>
        <row r="4638">
          <cell r="A4638">
            <v>7234</v>
          </cell>
          <cell r="B4638" t="str">
            <v>TELHA ESTRUTURAL DE FIBROCIMENTO 1 ABA, DE 0,52 X 3,60 M (SEM AMIANTO)</v>
          </cell>
          <cell r="C4638" t="str">
            <v xml:space="preserve">UN    </v>
          </cell>
          <cell r="D4638">
            <v>112.05</v>
          </cell>
        </row>
        <row r="4639">
          <cell r="A4639">
            <v>7224</v>
          </cell>
          <cell r="B4639" t="str">
            <v>TELHA ESTRUTURAL DE FIBROCIMENTO 1 ABA, DE 0,52 X 4,00 M (SEM AMIANTO)</v>
          </cell>
          <cell r="C4639" t="str">
            <v xml:space="preserve">UN    </v>
          </cell>
          <cell r="D4639">
            <v>123.76</v>
          </cell>
        </row>
        <row r="4640">
          <cell r="A4640">
            <v>7221</v>
          </cell>
          <cell r="B4640" t="str">
            <v>TELHA ESTRUTURAL DE FIBROCIMENTO 1 ABA, DE 0,52 X 4,50 M (SEM AMIANTO)</v>
          </cell>
          <cell r="C4640" t="str">
            <v xml:space="preserve">M2    </v>
          </cell>
          <cell r="D4640">
            <v>60.17</v>
          </cell>
        </row>
        <row r="4641">
          <cell r="A4641">
            <v>7210</v>
          </cell>
          <cell r="B4641" t="str">
            <v>TELHA ESTRUTURAL DE FIBROCIMENTO 1 ABA, DE 0,52 X 4,50 M (SEM AMIANTO)</v>
          </cell>
          <cell r="C4641" t="str">
            <v xml:space="preserve">UN    </v>
          </cell>
          <cell r="D4641">
            <v>140.81</v>
          </cell>
        </row>
        <row r="4642">
          <cell r="A4642">
            <v>7225</v>
          </cell>
          <cell r="B4642" t="str">
            <v>TELHA ESTRUTURAL DE FIBROCIMENTO 1 ABA, DE 0,52 X 5,00 M (SEM AMIANTO)</v>
          </cell>
          <cell r="C4642" t="str">
            <v xml:space="preserve">UN    </v>
          </cell>
          <cell r="D4642">
            <v>156.47</v>
          </cell>
        </row>
        <row r="4643">
          <cell r="A4643">
            <v>7226</v>
          </cell>
          <cell r="B4643" t="str">
            <v>TELHA ESTRUTURAL DE FIBROCIMENTO 1 ABA, DE 0,52 X 5,50 M (SEM AMIANTO)</v>
          </cell>
          <cell r="C4643" t="str">
            <v xml:space="preserve">UN    </v>
          </cell>
          <cell r="D4643">
            <v>172.18</v>
          </cell>
        </row>
        <row r="4644">
          <cell r="A4644">
            <v>7236</v>
          </cell>
          <cell r="B4644" t="str">
            <v>TELHA ESTRUTURAL DE FIBROCIMENTO 1 ABA, DE 0,52 X 6,00 M (SEM AMIANTO)</v>
          </cell>
          <cell r="C4644" t="str">
            <v xml:space="preserve">UN    </v>
          </cell>
          <cell r="D4644">
            <v>187.79</v>
          </cell>
        </row>
        <row r="4645">
          <cell r="A4645">
            <v>7227</v>
          </cell>
          <cell r="B4645" t="str">
            <v>TELHA ESTRUTURAL DE FIBROCIMENTO 1 ABA, DE 0,52 X 6,50 M (SEM AMIANTO)</v>
          </cell>
          <cell r="C4645" t="str">
            <v xml:space="preserve">UN    </v>
          </cell>
          <cell r="D4645">
            <v>203.44</v>
          </cell>
        </row>
        <row r="4646">
          <cell r="A4646">
            <v>7212</v>
          </cell>
          <cell r="B4646" t="str">
            <v>TELHA ESTRUTURAL DE FIBROCIMENTO 1 ABA, DE 0,52 X 7,20 M (SEM AMIANTO)</v>
          </cell>
          <cell r="C4646" t="str">
            <v xml:space="preserve">UN    </v>
          </cell>
          <cell r="D4646">
            <v>225.26</v>
          </cell>
        </row>
        <row r="4647">
          <cell r="A4647">
            <v>7229</v>
          </cell>
          <cell r="B4647" t="str">
            <v>TELHA ESTRUTURAL DE FIBROCIMENTO 2 ABAS, DE 1,00 X 3,00 M (SEM AMIANTO)</v>
          </cell>
          <cell r="C4647" t="str">
            <v xml:space="preserve">UN    </v>
          </cell>
          <cell r="D4647">
            <v>148.96</v>
          </cell>
        </row>
        <row r="4648">
          <cell r="A4648">
            <v>7230</v>
          </cell>
          <cell r="B4648" t="str">
            <v>TELHA ESTRUTURAL DE FIBROCIMENTO 2 ABAS, DE 1,00 X 4,60 M (SEM AMIANTO)</v>
          </cell>
          <cell r="C4648" t="str">
            <v xml:space="preserve">UN    </v>
          </cell>
          <cell r="D4648">
            <v>237.38</v>
          </cell>
        </row>
        <row r="4649">
          <cell r="A4649">
            <v>7231</v>
          </cell>
          <cell r="B4649" t="str">
            <v>TELHA ESTRUTURAL DE FIBROCIMENTO 2 ABAS, DE 1,00 X 6,00 M (SEM AMIANTO)</v>
          </cell>
          <cell r="C4649" t="str">
            <v xml:space="preserve">UN    </v>
          </cell>
          <cell r="D4649">
            <v>311.76</v>
          </cell>
        </row>
        <row r="4650">
          <cell r="A4650">
            <v>7220</v>
          </cell>
          <cell r="B4650" t="str">
            <v>TELHA ESTRUTURAL DE FIBROCIMENTO 2 ABAS, DE 1,00 X 7,40 M (SEM AMIANTO)</v>
          </cell>
          <cell r="C4650" t="str">
            <v xml:space="preserve">UN    </v>
          </cell>
          <cell r="D4650">
            <v>383.28</v>
          </cell>
        </row>
        <row r="4651">
          <cell r="A4651">
            <v>34447</v>
          </cell>
          <cell r="B4651" t="str">
            <v>TELHA ESTRUTURAL DE FIBROCIMENTO 2 ABAS, DE 1,00 X 8,20 M (SEM AMIANTO)</v>
          </cell>
          <cell r="C4651" t="str">
            <v xml:space="preserve">UN    </v>
          </cell>
          <cell r="D4651">
            <v>426.6</v>
          </cell>
        </row>
        <row r="4652">
          <cell r="A4652">
            <v>7233</v>
          </cell>
          <cell r="B4652" t="str">
            <v>TELHA ESTRUTURAL DE FIBROCIMENTO 2 ABAS, DE 1,00 X 9,20 M (SEM AMIANTO)</v>
          </cell>
          <cell r="C4652" t="str">
            <v xml:space="preserve">UN    </v>
          </cell>
          <cell r="D4652">
            <v>477.6</v>
          </cell>
        </row>
        <row r="4653">
          <cell r="A4653">
            <v>42172</v>
          </cell>
          <cell r="B4653" t="str">
            <v>TELHA GALVALUME COM ISOLAMENTO TERMOACUSTICO EM ESPUMA RIGIDA DE POLIURETANO (PU) INJETADO, ESPESSURA DE 30 MM, DENSIDADE DE 35 KG/M3, COM DUAS FACES TRAPEZOIDAIS, ACABAMENTO NATURAL (NAO INCLUI ACESSORIOS DE FIXACAO) (COLETADO CAIXA)</v>
          </cell>
          <cell r="C4653" t="str">
            <v xml:space="preserve">M2    </v>
          </cell>
          <cell r="D4653">
            <v>139.55000000000001</v>
          </cell>
        </row>
        <row r="4654">
          <cell r="A4654">
            <v>39520</v>
          </cell>
          <cell r="B4654" t="str">
            <v>TELHA ISOLANTE COM NUCLEO EM POLIESTIRENO (EPS), E = 30 MM, REVESTIDA EM ACO ZINCADO *0,5* MM COM PRE-PINTURA NAS DUAS FACES, FACE SUPERIOR EM TELHA TRAPEZOIDAL E FACE INFERIOR EM CHAPA PLANA (NAO INCLUI ACESSORIOS DE FIXACAO)</v>
          </cell>
          <cell r="C4654" t="str">
            <v xml:space="preserve">M2    </v>
          </cell>
          <cell r="D4654">
            <v>109.78</v>
          </cell>
        </row>
        <row r="4655">
          <cell r="A4655">
            <v>39521</v>
          </cell>
          <cell r="B4655" t="str">
            <v>TELHA ISOLANTE COM NUCLEO EM POLIESTIRENO (EPS), E = 50 MM, REVESTIDA EM ACO ZINCADO *0,5* MM COM PRE-PINTURA NAS DUAS FACES, FACE SUPERIOR EM TELHA TRAPEZOIDAL E FACE INFERIOR EM CHAPA PLANA (NAO INCLUI ACESSORIOS DE FIXACAO)</v>
          </cell>
          <cell r="C4655" t="str">
            <v xml:space="preserve">M2    </v>
          </cell>
          <cell r="D4655">
            <v>117.59</v>
          </cell>
        </row>
        <row r="4656">
          <cell r="A4656">
            <v>39522</v>
          </cell>
          <cell r="B4656" t="str">
            <v>TELHA ISOLANTE COM NUCLEO EM POLIESTIRENO (EPS), E = 50 MM, REVESTIDA EM TELHA TRAPEZOIDAL DE ACO ZINCADO *0,5* MM COM PRE-PINTURA NAS DUAS FACES (NAO INCLUI ACESSORIOS DE FIXACAO)</v>
          </cell>
          <cell r="C4656" t="str">
            <v xml:space="preserve">M2    </v>
          </cell>
          <cell r="D4656">
            <v>94.02</v>
          </cell>
        </row>
        <row r="4657">
          <cell r="A4657">
            <v>7246</v>
          </cell>
          <cell r="B4657" t="str">
            <v>TELHA VIDRO TIPO CANAL OU COLONIAL, C = 46 A 50 CM</v>
          </cell>
          <cell r="C4657" t="str">
            <v xml:space="preserve">UN    </v>
          </cell>
          <cell r="D4657">
            <v>33.93</v>
          </cell>
        </row>
        <row r="4658">
          <cell r="A4658">
            <v>12869</v>
          </cell>
          <cell r="B4658" t="str">
            <v>TELHADOR</v>
          </cell>
          <cell r="C4658" t="str">
            <v xml:space="preserve">H     </v>
          </cell>
          <cell r="D4658">
            <v>16.350000000000001</v>
          </cell>
        </row>
        <row r="4659">
          <cell r="A4659">
            <v>41097</v>
          </cell>
          <cell r="B4659" t="str">
            <v>TELHADOR ( MENSALISTA )</v>
          </cell>
          <cell r="C4659" t="str">
            <v xml:space="preserve">MES   </v>
          </cell>
          <cell r="D4659">
            <v>2896.31</v>
          </cell>
        </row>
        <row r="4660">
          <cell r="A4660">
            <v>1574</v>
          </cell>
          <cell r="B4660" t="str">
            <v>TERMINAL A COMPRESSAO EM COBRE ESTANHADO PARA CABO 10 MM2, 1 FURO E 1 COMPRESSAO, PARA PARAFUSO DE FIXACAO M6</v>
          </cell>
          <cell r="C4660" t="str">
            <v xml:space="preserve">UN    </v>
          </cell>
          <cell r="D4660">
            <v>1.0900000000000001</v>
          </cell>
        </row>
        <row r="4661">
          <cell r="A4661">
            <v>1581</v>
          </cell>
          <cell r="B4661" t="str">
            <v>TERMINAL A COMPRESSAO EM COBRE ESTANHADO PARA CABO 120 MM2, 1 FURO E 1 COMPRESSAO, PARA PARAFUSO DE FIXACAO M12</v>
          </cell>
          <cell r="C4661" t="str">
            <v xml:space="preserve">UN    </v>
          </cell>
          <cell r="D4661">
            <v>7.56</v>
          </cell>
        </row>
        <row r="4662">
          <cell r="A4662">
            <v>1575</v>
          </cell>
          <cell r="B4662" t="str">
            <v>TERMINAL A COMPRESSAO EM COBRE ESTANHADO PARA CABO 16 MM2, 1 FURO E 1 COMPRESSAO, PARA PARAFUSO DE FIXACAO M6</v>
          </cell>
          <cell r="C4662" t="str">
            <v xml:space="preserve">UN    </v>
          </cell>
          <cell r="D4662">
            <v>1.29</v>
          </cell>
        </row>
        <row r="4663">
          <cell r="A4663">
            <v>1570</v>
          </cell>
          <cell r="B4663" t="str">
            <v>TERMINAL A COMPRESSAO EM COBRE ESTANHADO PARA CABO 2,5 MM2, 1 FURO E 1 COMPRESSAO, PARA PARAFUSO DE FIXACAO M5</v>
          </cell>
          <cell r="C4663" t="str">
            <v xml:space="preserve">UN    </v>
          </cell>
          <cell r="D4663">
            <v>0.65</v>
          </cell>
        </row>
        <row r="4664">
          <cell r="A4664">
            <v>1576</v>
          </cell>
          <cell r="B4664" t="str">
            <v>TERMINAL A COMPRESSAO EM COBRE ESTANHADO PARA CABO 25 MM2, 1 FURO E 1 COMPRESSAO, PARA PARAFUSO DE FIXACAO M8</v>
          </cell>
          <cell r="C4664" t="str">
            <v xml:space="preserve">UN    </v>
          </cell>
          <cell r="D4664">
            <v>1.79</v>
          </cell>
        </row>
        <row r="4665">
          <cell r="A4665">
            <v>1577</v>
          </cell>
          <cell r="B4665" t="str">
            <v>TERMINAL A COMPRESSAO EM COBRE ESTANHADO PARA CABO 35 MM2, 1 FURO E 1 COMPRESSAO, PARA PARAFUSO DE FIXACAO M8</v>
          </cell>
          <cell r="C4665" t="str">
            <v xml:space="preserve">UN    </v>
          </cell>
          <cell r="D4665">
            <v>2.02</v>
          </cell>
        </row>
        <row r="4666">
          <cell r="A4666">
            <v>1571</v>
          </cell>
          <cell r="B4666" t="str">
            <v>TERMINAL A COMPRESSAO EM COBRE ESTANHADO PARA CABO 4 MM2, 1 FURO E 1 COMPRESSAO, PARA PARAFUSO DE FIXACAO M5</v>
          </cell>
          <cell r="C4666" t="str">
            <v xml:space="preserve">UN    </v>
          </cell>
          <cell r="D4666">
            <v>0.84</v>
          </cell>
        </row>
        <row r="4667">
          <cell r="A4667">
            <v>1578</v>
          </cell>
          <cell r="B4667" t="str">
            <v>TERMINAL A COMPRESSAO EM COBRE ESTANHADO PARA CABO 50 MM2, 1 FURO E 1 COMPRESSAO, PARA PARAFUSO DE FIXACAO M8</v>
          </cell>
          <cell r="C4667" t="str">
            <v xml:space="preserve">UN    </v>
          </cell>
          <cell r="D4667">
            <v>3.5</v>
          </cell>
        </row>
        <row r="4668">
          <cell r="A4668">
            <v>1573</v>
          </cell>
          <cell r="B4668" t="str">
            <v>TERMINAL A COMPRESSAO EM COBRE ESTANHADO PARA CABO 6 MM2, 1 FURO E 1 COMPRESSAO, PARA PARAFUSO DE FIXACAO M6</v>
          </cell>
          <cell r="C4668" t="str">
            <v xml:space="preserve">UN    </v>
          </cell>
          <cell r="D4668">
            <v>1.01</v>
          </cell>
        </row>
        <row r="4669">
          <cell r="A4669">
            <v>1579</v>
          </cell>
          <cell r="B4669" t="str">
            <v>TERMINAL A COMPRESSAO EM COBRE ESTANHADO PARA CABO 70 MM2, 1 FURO E 1 COMPRESSAO, PARA PARAFUSO DE FIXACAO M10</v>
          </cell>
          <cell r="C4669" t="str">
            <v xml:space="preserve">UN    </v>
          </cell>
          <cell r="D4669">
            <v>4.3600000000000003</v>
          </cell>
        </row>
        <row r="4670">
          <cell r="A4670">
            <v>1580</v>
          </cell>
          <cell r="B4670" t="str">
            <v>TERMINAL A COMPRESSAO EM COBRE ESTANHADO PARA CABO 95 MM2, 1 FURO E 1 COMPRESSAO, PARA PARAFUSO DE FIXACAO M12</v>
          </cell>
          <cell r="C4670" t="str">
            <v xml:space="preserve">UN    </v>
          </cell>
          <cell r="D4670">
            <v>5.37</v>
          </cell>
        </row>
        <row r="4671">
          <cell r="A4671">
            <v>7571</v>
          </cell>
          <cell r="B4671" t="str">
            <v>TERMINAL AEREO EM ACO GALVANIZADO DN 5/16", COMPRIMENTO DE 350MM, COM BASE DE FIXACAO HORIZONTAL</v>
          </cell>
          <cell r="C4671" t="str">
            <v xml:space="preserve">UN    </v>
          </cell>
          <cell r="D4671">
            <v>10.46</v>
          </cell>
        </row>
        <row r="4672">
          <cell r="A4672">
            <v>39321</v>
          </cell>
          <cell r="B4672" t="str">
            <v>TERMINAL DE VENTILACAO, 100 MM, SERIE NORMAL, ESGOTO PREDIAL</v>
          </cell>
          <cell r="C4672" t="str">
            <v xml:space="preserve">UN    </v>
          </cell>
          <cell r="D4672">
            <v>10</v>
          </cell>
        </row>
        <row r="4673">
          <cell r="A4673">
            <v>39319</v>
          </cell>
          <cell r="B4673" t="str">
            <v>TERMINAL DE VENTILACAO, 50 MM, SERIE NORMAL, ESGOTO PREDIAL</v>
          </cell>
          <cell r="C4673" t="str">
            <v xml:space="preserve">UN    </v>
          </cell>
          <cell r="D4673">
            <v>3.9</v>
          </cell>
        </row>
        <row r="4674">
          <cell r="A4674">
            <v>39320</v>
          </cell>
          <cell r="B4674" t="str">
            <v>TERMINAL DE VENTILACAO, 75 MM, SERIE NORMAL, ESGOTO PREDIAL</v>
          </cell>
          <cell r="C4674" t="str">
            <v xml:space="preserve">UN    </v>
          </cell>
          <cell r="D4674">
            <v>6.49</v>
          </cell>
        </row>
        <row r="4675">
          <cell r="A4675">
            <v>1591</v>
          </cell>
          <cell r="B4675" t="str">
            <v>TERMINAL METALICO A PRESSAO PARA 1 CABO DE 120 MM2, COM 1 FURO DE FIXACAO</v>
          </cell>
          <cell r="C4675" t="str">
            <v xml:space="preserve">UN    </v>
          </cell>
          <cell r="D4675">
            <v>16.670000000000002</v>
          </cell>
        </row>
        <row r="4676">
          <cell r="A4676">
            <v>1547</v>
          </cell>
          <cell r="B4676" t="str">
            <v>TERMINAL METALICO A PRESSAO PARA 1 CABO DE 150 A 185 MM2, COM 2 FUROS PARA FIXACAO</v>
          </cell>
          <cell r="C4676" t="str">
            <v xml:space="preserve">UN    </v>
          </cell>
          <cell r="D4676">
            <v>87.35</v>
          </cell>
        </row>
        <row r="4677">
          <cell r="A4677">
            <v>38196</v>
          </cell>
          <cell r="B4677" t="str">
            <v>TERMINAL METALICO A PRESSAO PARA 1 CABO DE 150 MM2, COM 1 FURO DE FIXACAO</v>
          </cell>
          <cell r="C4677" t="str">
            <v xml:space="preserve">UN    </v>
          </cell>
          <cell r="D4677">
            <v>17.010000000000002</v>
          </cell>
        </row>
        <row r="4678">
          <cell r="A4678">
            <v>1543</v>
          </cell>
          <cell r="B4678" t="str">
            <v>TERMINAL METALICO A PRESSAO PARA 1 CABO DE 16 A 25 MM2, COM 2 FUROS PARA FIXACAO</v>
          </cell>
          <cell r="C4678" t="str">
            <v xml:space="preserve">UN    </v>
          </cell>
          <cell r="D4678">
            <v>18.079999999999998</v>
          </cell>
        </row>
        <row r="4679">
          <cell r="A4679">
            <v>1585</v>
          </cell>
          <cell r="B4679" t="str">
            <v>TERMINAL METALICO A PRESSAO PARA 1 CABO DE 16 MM2, COM 1 FURO DE FIXACAO</v>
          </cell>
          <cell r="C4679" t="str">
            <v xml:space="preserve">UN    </v>
          </cell>
          <cell r="D4679">
            <v>3.5</v>
          </cell>
        </row>
        <row r="4680">
          <cell r="A4680">
            <v>1593</v>
          </cell>
          <cell r="B4680" t="str">
            <v>TERMINAL METALICO A PRESSAO PARA 1 CABO DE 185 MM2, COM 1 FURO DE FIXACAO</v>
          </cell>
          <cell r="C4680" t="str">
            <v xml:space="preserve">UN    </v>
          </cell>
          <cell r="D4680">
            <v>18.59</v>
          </cell>
        </row>
        <row r="4681">
          <cell r="A4681">
            <v>11838</v>
          </cell>
          <cell r="B4681" t="str">
            <v>TERMINAL METALICO A PRESSAO PARA 1 CABO DE 240 MM2, COM 1 FURO DE FIXACAO</v>
          </cell>
          <cell r="C4681" t="str">
            <v xml:space="preserve">UN    </v>
          </cell>
          <cell r="D4681">
            <v>24.53</v>
          </cell>
        </row>
        <row r="4682">
          <cell r="A4682">
            <v>1594</v>
          </cell>
          <cell r="B4682" t="str">
            <v>TERMINAL METALICO A PRESSAO PARA 1 CABO DE 25 A 35 MM2, COM 2 FUROS PARA FIXACAO</v>
          </cell>
          <cell r="C4682" t="str">
            <v xml:space="preserve">UN    </v>
          </cell>
          <cell r="D4682">
            <v>24.8</v>
          </cell>
        </row>
        <row r="4683">
          <cell r="A4683">
            <v>1586</v>
          </cell>
          <cell r="B4683" t="str">
            <v>TERMINAL METALICO A PRESSAO PARA 1 CABO DE 25 MM2, COM 1 FURO DE FIXACAO</v>
          </cell>
          <cell r="C4683" t="str">
            <v xml:space="preserve">UN    </v>
          </cell>
          <cell r="D4683">
            <v>4.43</v>
          </cell>
        </row>
        <row r="4684">
          <cell r="A4684">
            <v>11839</v>
          </cell>
          <cell r="B4684" t="str">
            <v>TERMINAL METALICO A PRESSAO PARA 1 CABO DE 300 MM2, COM 1 FURO DE FIXACAO</v>
          </cell>
          <cell r="C4684" t="str">
            <v xml:space="preserve">UN    </v>
          </cell>
          <cell r="D4684">
            <v>35.700000000000003</v>
          </cell>
        </row>
        <row r="4685">
          <cell r="A4685">
            <v>1587</v>
          </cell>
          <cell r="B4685" t="str">
            <v>TERMINAL METALICO A PRESSAO PARA 1 CABO DE 35 MM2, COM 1 FURO DE FIXACAO</v>
          </cell>
          <cell r="C4685" t="str">
            <v xml:space="preserve">UN    </v>
          </cell>
          <cell r="D4685">
            <v>4.51</v>
          </cell>
        </row>
        <row r="4686">
          <cell r="A4686">
            <v>1545</v>
          </cell>
          <cell r="B4686" t="str">
            <v>TERMINAL METALICO A PRESSAO PARA 1 CABO DE 50 A 70 MM2, COM 2 FUROS PARA FIXACAO</v>
          </cell>
          <cell r="C4686" t="str">
            <v xml:space="preserve">UN    </v>
          </cell>
          <cell r="D4686">
            <v>42.83</v>
          </cell>
        </row>
        <row r="4687">
          <cell r="A4687">
            <v>1588</v>
          </cell>
          <cell r="B4687" t="str">
            <v>TERMINAL METALICO A PRESSAO PARA 1 CABO DE 50 MM2, COM 1 FURO DE FIXACAO</v>
          </cell>
          <cell r="C4687" t="str">
            <v xml:space="preserve">UN    </v>
          </cell>
          <cell r="D4687">
            <v>6.19</v>
          </cell>
        </row>
        <row r="4688">
          <cell r="A4688">
            <v>1535</v>
          </cell>
          <cell r="B4688" t="str">
            <v>TERMINAL METALICO A PRESSAO PARA 1 CABO DE 6 A 10 MM2, COM 1 FURO DE FIXACAO</v>
          </cell>
          <cell r="C4688" t="str">
            <v xml:space="preserve">UN    </v>
          </cell>
          <cell r="D4688">
            <v>3.56</v>
          </cell>
        </row>
        <row r="4689">
          <cell r="A4689">
            <v>1589</v>
          </cell>
          <cell r="B4689" t="str">
            <v>TERMINAL METALICO A PRESSAO PARA 1 CABO DE 70 MM2, COM 1 FURO DE FIXACAO</v>
          </cell>
          <cell r="C4689" t="str">
            <v xml:space="preserve">UN    </v>
          </cell>
          <cell r="D4689">
            <v>6.38</v>
          </cell>
        </row>
        <row r="4690">
          <cell r="A4690">
            <v>1546</v>
          </cell>
          <cell r="B4690" t="str">
            <v>TERMINAL METALICO A PRESSAO PARA 1 CABO DE 95 A 120 MM2, COM 2 FUROS PARA FIXACAO</v>
          </cell>
          <cell r="C4690" t="str">
            <v xml:space="preserve">UN    </v>
          </cell>
          <cell r="D4690">
            <v>72.28</v>
          </cell>
        </row>
        <row r="4691">
          <cell r="A4691">
            <v>1590</v>
          </cell>
          <cell r="B4691" t="str">
            <v>TERMINAL METALICO A PRESSAO PARA 1 CABO DE 95 MM2, COM 1 FURO DE FIXACAO</v>
          </cell>
          <cell r="C4691" t="str">
            <v xml:space="preserve">UN    </v>
          </cell>
          <cell r="D4691">
            <v>11.24</v>
          </cell>
        </row>
        <row r="4692">
          <cell r="A4692">
            <v>1542</v>
          </cell>
          <cell r="B4692" t="str">
            <v>TERMINAL METALICO A PRESSAO 1 CABO, PARA CABOS DE 4 A 10 MM2, COM 2 FUROS PARA FIXACAO</v>
          </cell>
          <cell r="C4692" t="str">
            <v xml:space="preserve">UN    </v>
          </cell>
          <cell r="D4692">
            <v>14.89</v>
          </cell>
        </row>
        <row r="4693">
          <cell r="A4693">
            <v>38415</v>
          </cell>
          <cell r="B4693" t="str">
            <v>TERMOFUSORA PARA TUBOS E CONEXOES EM PPR COM DIAMETROS DE 20 A 63 MM, POTENCIA DE 800 W, TENSAO 220 V</v>
          </cell>
          <cell r="C4693" t="str">
            <v xml:space="preserve">UN    </v>
          </cell>
          <cell r="D4693">
            <v>1052.71</v>
          </cell>
        </row>
        <row r="4694">
          <cell r="A4694">
            <v>38414</v>
          </cell>
          <cell r="B4694" t="str">
            <v>TERMOFUSORA PARA TUBOS E CONEXOES EM PPR COM DIAMETROS DE 75 A 110 MM, POTENCIA DE *1100* W, TENSAO 220 V</v>
          </cell>
          <cell r="C4694" t="str">
            <v xml:space="preserve">UN    </v>
          </cell>
          <cell r="D4694">
            <v>1477.49</v>
          </cell>
        </row>
        <row r="4695">
          <cell r="A4695">
            <v>38128</v>
          </cell>
          <cell r="B4695" t="str">
            <v>TERRA VEGETAL (ENSACADA)</v>
          </cell>
          <cell r="C4695" t="str">
            <v xml:space="preserve">KG    </v>
          </cell>
          <cell r="D4695">
            <v>0.51</v>
          </cell>
        </row>
        <row r="4696">
          <cell r="A4696">
            <v>7253</v>
          </cell>
          <cell r="B4696" t="str">
            <v>TERRA VEGETAL (GRANEL)</v>
          </cell>
          <cell r="C4696" t="str">
            <v xml:space="preserve">M3    </v>
          </cell>
          <cell r="D4696">
            <v>109.28</v>
          </cell>
        </row>
        <row r="4697">
          <cell r="A4697">
            <v>4806</v>
          </cell>
          <cell r="B4697" t="str">
            <v>TESTEIRA ANTIDERRAPANTE PARA PISO VINILICO *5 X 2,5* CM, E = 2 MM</v>
          </cell>
          <cell r="C4697" t="str">
            <v xml:space="preserve">M     </v>
          </cell>
          <cell r="D4697">
            <v>11.93</v>
          </cell>
        </row>
        <row r="4698">
          <cell r="A4698">
            <v>34401</v>
          </cell>
          <cell r="B4698" t="str">
            <v>TIJOLO CERAMICO LAMINADO 5,5 X 11 X 23 CM</v>
          </cell>
          <cell r="C4698" t="str">
            <v xml:space="preserve">UN    </v>
          </cell>
          <cell r="D4698">
            <v>1.19</v>
          </cell>
        </row>
        <row r="4699">
          <cell r="A4699">
            <v>7258</v>
          </cell>
          <cell r="B4699" t="str">
            <v>TIJOLO CERAMICO MACICO *5 X 10 X 20* CM</v>
          </cell>
          <cell r="C4699" t="str">
            <v xml:space="preserve">UN    </v>
          </cell>
          <cell r="D4699">
            <v>0.38</v>
          </cell>
        </row>
        <row r="4700">
          <cell r="A4700">
            <v>7260</v>
          </cell>
          <cell r="B4700" t="str">
            <v>TIJOLO CERAMICO MACICO APARENTE *6 X 12 X 24* CM</v>
          </cell>
          <cell r="C4700" t="str">
            <v xml:space="preserve">UN    </v>
          </cell>
          <cell r="D4700">
            <v>1.1599999999999999</v>
          </cell>
        </row>
        <row r="4701">
          <cell r="A4701">
            <v>7256</v>
          </cell>
          <cell r="B4701" t="str">
            <v>TIJOLO CERAMICO MACICO APARENTE 2 FUROS, *6,5 X 10 X 20* CM</v>
          </cell>
          <cell r="C4701" t="str">
            <v xml:space="preserve">UN    </v>
          </cell>
          <cell r="D4701">
            <v>0.67</v>
          </cell>
        </row>
        <row r="4702">
          <cell r="A4702">
            <v>34400</v>
          </cell>
          <cell r="B4702" t="str">
            <v>TIJOLO CERAMICO REFRATARIO 2,5 X 11,4 X 22,9 CM</v>
          </cell>
          <cell r="C4702" t="str">
            <v xml:space="preserve">UN    </v>
          </cell>
          <cell r="D4702">
            <v>2.92</v>
          </cell>
        </row>
        <row r="4703">
          <cell r="A4703">
            <v>10617</v>
          </cell>
          <cell r="B4703" t="str">
            <v>TIJOLO CERAMICO REFRATARIO 6,3 X 11,4 X 22,9 CM</v>
          </cell>
          <cell r="C4703" t="str">
            <v xml:space="preserve">UN    </v>
          </cell>
          <cell r="D4703">
            <v>4.08</v>
          </cell>
        </row>
        <row r="4704">
          <cell r="A4704">
            <v>7274</v>
          </cell>
          <cell r="B4704" t="str">
            <v>TIL PARA LIGACAO PREDIAL, EM PVC, JE, BBB, DN 100 X 100 MM, PARA REDE COLETORA ESGOTO (NBR 10569)</v>
          </cell>
          <cell r="C4704" t="str">
            <v xml:space="preserve">UN    </v>
          </cell>
          <cell r="D4704">
            <v>32.049999999999997</v>
          </cell>
        </row>
        <row r="4705">
          <cell r="A4705">
            <v>11663</v>
          </cell>
          <cell r="B4705" t="str">
            <v>TIL TUBO QUEDA, EM PVC, JE, BBB, DN 100 X 100 MM, PARA REDE COLETORA DE ESGOTO (NBR 10569)</v>
          </cell>
          <cell r="C4705" t="str">
            <v xml:space="preserve">UN    </v>
          </cell>
          <cell r="D4705">
            <v>263.66000000000003</v>
          </cell>
        </row>
        <row r="4706">
          <cell r="A4706">
            <v>38121</v>
          </cell>
          <cell r="B4706" t="str">
            <v>TINTA A BASE DE RESINA ACRILICA EMULSIONADA EM AGUA, PARA SINALIZACAO HORIZONTAL VIARIA (NBR 13699)</v>
          </cell>
          <cell r="C4706" t="str">
            <v xml:space="preserve">L     </v>
          </cell>
          <cell r="D4706">
            <v>7.03</v>
          </cell>
        </row>
        <row r="4707">
          <cell r="A4707">
            <v>7343</v>
          </cell>
          <cell r="B4707" t="str">
            <v>TINTA A BASE DE RESINA ACRILICA, PARA SINALIZACAO HORIZONTAL VIARIA (NBR 11862)</v>
          </cell>
          <cell r="C4707" t="str">
            <v xml:space="preserve">L     </v>
          </cell>
          <cell r="D4707">
            <v>7.11</v>
          </cell>
        </row>
        <row r="4708">
          <cell r="A4708">
            <v>7287</v>
          </cell>
          <cell r="B4708" t="str">
            <v>TINTA A OLEO BRILHANTE PARA MADEIRA E METAIS</v>
          </cell>
          <cell r="C4708" t="str">
            <v xml:space="preserve">GL    </v>
          </cell>
          <cell r="D4708">
            <v>65.34</v>
          </cell>
        </row>
        <row r="4709">
          <cell r="A4709">
            <v>7350</v>
          </cell>
          <cell r="B4709" t="str">
            <v>TINTA ACRILICA PARA CERAMICA</v>
          </cell>
          <cell r="C4709" t="str">
            <v xml:space="preserve">L     </v>
          </cell>
          <cell r="D4709">
            <v>22.16</v>
          </cell>
        </row>
        <row r="4710">
          <cell r="A4710">
            <v>7348</v>
          </cell>
          <cell r="B4710" t="str">
            <v>TINTA ACRILICA PREMIUM PARA PISO</v>
          </cell>
          <cell r="C4710" t="str">
            <v xml:space="preserve">L     </v>
          </cell>
          <cell r="D4710">
            <v>12.43</v>
          </cell>
        </row>
        <row r="4711">
          <cell r="A4711">
            <v>7347</v>
          </cell>
          <cell r="B4711" t="str">
            <v>TINTA ACRILICA PREMIUM PARA PISO</v>
          </cell>
          <cell r="C4711" t="str">
            <v xml:space="preserve">GL    </v>
          </cell>
          <cell r="D4711">
            <v>44.75</v>
          </cell>
        </row>
        <row r="4712">
          <cell r="A4712">
            <v>7355</v>
          </cell>
          <cell r="B4712" t="str">
            <v>TINTA ACRILICA PREMIUM, COR BRANCO  FOSCO</v>
          </cell>
          <cell r="C4712" t="str">
            <v xml:space="preserve">GL    </v>
          </cell>
          <cell r="D4712">
            <v>67.069999999999993</v>
          </cell>
        </row>
        <row r="4713">
          <cell r="A4713">
            <v>7356</v>
          </cell>
          <cell r="B4713" t="str">
            <v>TINTA ACRILICA PREMIUM, COR BRANCO FOSCO</v>
          </cell>
          <cell r="C4713" t="str">
            <v xml:space="preserve">L     </v>
          </cell>
          <cell r="D4713">
            <v>18.63</v>
          </cell>
        </row>
        <row r="4714">
          <cell r="A4714">
            <v>7313</v>
          </cell>
          <cell r="B4714" t="str">
            <v>TINTA ASFALTICA IMPERMEABILIZANTE DILUIDA EM SOLVENTE, PARA MATERIAIS CIMENTICIOS, METAL E MADEIRA</v>
          </cell>
          <cell r="C4714" t="str">
            <v xml:space="preserve">L     </v>
          </cell>
          <cell r="D4714">
            <v>12.08</v>
          </cell>
        </row>
        <row r="4715">
          <cell r="A4715">
            <v>7319</v>
          </cell>
          <cell r="B4715" t="str">
            <v>TINTA ASFALTICA IMPERMEABILIZANTE DISPERSA EM AGUA, PARA MATERIAIS CIMENTICIOS</v>
          </cell>
          <cell r="C4715" t="str">
            <v xml:space="preserve">L     </v>
          </cell>
          <cell r="D4715">
            <v>6.91</v>
          </cell>
        </row>
        <row r="4716">
          <cell r="A4716">
            <v>38119</v>
          </cell>
          <cell r="B4716" t="str">
            <v>TINTA BORRACHA CLORADA, ACABAMENTO SEMIBRILHO, BRANCA</v>
          </cell>
          <cell r="C4716" t="str">
            <v xml:space="preserve">L     </v>
          </cell>
          <cell r="D4716">
            <v>86.69</v>
          </cell>
        </row>
        <row r="4717">
          <cell r="A4717">
            <v>7314</v>
          </cell>
          <cell r="B4717" t="str">
            <v>TINTA BORRACHA CLORADA, ACABAMENTO SEMIBRILHO, CORES VIVAS</v>
          </cell>
          <cell r="C4717" t="str">
            <v xml:space="preserve">L     </v>
          </cell>
          <cell r="D4717">
            <v>93.42</v>
          </cell>
        </row>
        <row r="4718">
          <cell r="A4718">
            <v>38131</v>
          </cell>
          <cell r="B4718" t="str">
            <v>TINTA BORRACHA, CLORADA, ACABAMENTO SEMIBRILHO, PRETA</v>
          </cell>
          <cell r="C4718" t="str">
            <v xml:space="preserve">L     </v>
          </cell>
          <cell r="D4718">
            <v>87.46</v>
          </cell>
        </row>
        <row r="4719">
          <cell r="A4719">
            <v>7304</v>
          </cell>
          <cell r="B4719" t="str">
            <v>TINTA EPOXI PREMIUM, BRANCA</v>
          </cell>
          <cell r="C4719" t="str">
            <v xml:space="preserve">L     </v>
          </cell>
          <cell r="D4719">
            <v>48.76</v>
          </cell>
        </row>
        <row r="4720">
          <cell r="A4720">
            <v>7293</v>
          </cell>
          <cell r="B4720" t="str">
            <v>TINTA ESMALTE SINTETICO GRAFITE COM PROTECAO PARA METAIS FERROSOS</v>
          </cell>
          <cell r="C4720" t="str">
            <v xml:space="preserve">L     </v>
          </cell>
          <cell r="D4720">
            <v>21.86</v>
          </cell>
        </row>
        <row r="4721">
          <cell r="A4721">
            <v>7311</v>
          </cell>
          <cell r="B4721" t="str">
            <v>TINTA ESMALTE SINTETICO PREMIUM ACETINADO</v>
          </cell>
          <cell r="C4721" t="str">
            <v xml:space="preserve">L     </v>
          </cell>
          <cell r="D4721">
            <v>21.14</v>
          </cell>
        </row>
        <row r="4722">
          <cell r="A4722">
            <v>7292</v>
          </cell>
          <cell r="B4722" t="str">
            <v>TINTA ESMALTE SINTETICO PREMIUM BRILHANTE</v>
          </cell>
          <cell r="C4722" t="str">
            <v xml:space="preserve">L     </v>
          </cell>
          <cell r="D4722">
            <v>20.53</v>
          </cell>
        </row>
        <row r="4723">
          <cell r="A4723">
            <v>7288</v>
          </cell>
          <cell r="B4723" t="str">
            <v>TINTA ESMALTE SINTETICO PREMIUM FOSCO</v>
          </cell>
          <cell r="C4723" t="str">
            <v xml:space="preserve">L     </v>
          </cell>
          <cell r="D4723">
            <v>23.26</v>
          </cell>
        </row>
        <row r="4724">
          <cell r="A4724">
            <v>35693</v>
          </cell>
          <cell r="B4724" t="str">
            <v>TINTA LATEX ACRILICA ECONOMICA, COR BRANCA</v>
          </cell>
          <cell r="C4724" t="str">
            <v xml:space="preserve">L     </v>
          </cell>
          <cell r="D4724">
            <v>8.5500000000000007</v>
          </cell>
        </row>
        <row r="4725">
          <cell r="A4725">
            <v>35692</v>
          </cell>
          <cell r="B4725" t="str">
            <v>TINTA LATEX ACRILICA STANDARD, COR BRANCA</v>
          </cell>
          <cell r="C4725" t="str">
            <v xml:space="preserve">L     </v>
          </cell>
          <cell r="D4725">
            <v>45.82</v>
          </cell>
        </row>
        <row r="4726">
          <cell r="A4726">
            <v>7344</v>
          </cell>
          <cell r="B4726" t="str">
            <v>TINTA LATEX PVA PREMIUM,  COR BRANCA</v>
          </cell>
          <cell r="C4726" t="str">
            <v xml:space="preserve">GL    </v>
          </cell>
          <cell r="D4726">
            <v>57.98</v>
          </cell>
        </row>
        <row r="4727">
          <cell r="A4727">
            <v>7345</v>
          </cell>
          <cell r="B4727" t="str">
            <v>TINTA LATEX PVA PREMIUM, COR BRANCA</v>
          </cell>
          <cell r="C4727" t="str">
            <v xml:space="preserve">L     </v>
          </cell>
          <cell r="D4727">
            <v>16.100000000000001</v>
          </cell>
        </row>
        <row r="4728">
          <cell r="A4728">
            <v>35691</v>
          </cell>
          <cell r="B4728" t="str">
            <v>TINTA LATEX PVA STANDARD, COR BRANCA</v>
          </cell>
          <cell r="C4728" t="str">
            <v xml:space="preserve">L     </v>
          </cell>
          <cell r="D4728">
            <v>12.72</v>
          </cell>
        </row>
        <row r="4729">
          <cell r="A4729">
            <v>7342</v>
          </cell>
          <cell r="B4729" t="str">
            <v>TINTA MINERAL IMPERMEAVEL EM PO, BRANCA</v>
          </cell>
          <cell r="C4729" t="str">
            <v xml:space="preserve">KG    </v>
          </cell>
          <cell r="D4729">
            <v>1.32</v>
          </cell>
        </row>
        <row r="4730">
          <cell r="A4730">
            <v>7306</v>
          </cell>
          <cell r="B4730" t="str">
            <v>TINTA PROTETORA SUPERFICIE METALICA ALUMINIO</v>
          </cell>
          <cell r="C4730" t="str">
            <v xml:space="preserve">L     </v>
          </cell>
          <cell r="D4730">
            <v>25.07</v>
          </cell>
        </row>
        <row r="4731">
          <cell r="A4731">
            <v>154</v>
          </cell>
          <cell r="B4731" t="str">
            <v>TINTA/REVESTIMENTO  A BASE DE RESINA EPOXI COM ALCATRAO, BICOMPONENTE</v>
          </cell>
          <cell r="C4731" t="str">
            <v xml:space="preserve">L     </v>
          </cell>
          <cell r="D4731">
            <v>38.049999999999997</v>
          </cell>
        </row>
        <row r="4732">
          <cell r="A4732">
            <v>39574</v>
          </cell>
          <cell r="B4732" t="str">
            <v>TIRANTE COM ELO, EM ARAME GALVANIZADO RIGIDO, NUMERO 10, COMPRIMENTO 2000 MM, PARA PENDURAL DE FORRO REMOVIVEL</v>
          </cell>
          <cell r="C4732" t="str">
            <v xml:space="preserve">UN    </v>
          </cell>
          <cell r="D4732">
            <v>3.31</v>
          </cell>
        </row>
        <row r="4733">
          <cell r="A4733">
            <v>11060</v>
          </cell>
          <cell r="B4733" t="str">
            <v>TIRANTE EM FERRO GALVANIZADO PARA CONTRAVENTAMENTO DE TELHA CANALETE 90, 1/4 " X 400 MM</v>
          </cell>
          <cell r="C4733" t="str">
            <v xml:space="preserve">UN    </v>
          </cell>
          <cell r="D4733">
            <v>25.44</v>
          </cell>
        </row>
        <row r="4734">
          <cell r="A4734">
            <v>37401</v>
          </cell>
          <cell r="B4734" t="str">
            <v>TOALHEIRO PLASTICO TIPO DISPENSER PARA PAPEL TOALHA INTERFOLHADO</v>
          </cell>
          <cell r="C4734" t="str">
            <v xml:space="preserve">UN    </v>
          </cell>
          <cell r="D4734">
            <v>45.7</v>
          </cell>
        </row>
        <row r="4735">
          <cell r="A4735">
            <v>7525</v>
          </cell>
          <cell r="B4735" t="str">
            <v>TOMADA INDUSTRIAL DE EMBUTIR 3P+T 30 A, 440 V, COM TRAVA, COM PLACA</v>
          </cell>
          <cell r="C4735" t="str">
            <v xml:space="preserve">UN    </v>
          </cell>
          <cell r="D4735">
            <v>34.42</v>
          </cell>
        </row>
        <row r="4736">
          <cell r="A4736">
            <v>7524</v>
          </cell>
          <cell r="B4736" t="str">
            <v>TOMADA INDUSTRIAL DE EMBUTIR 3P+T 30 A, 440 V, COM TRAVA, SEM PLACA</v>
          </cell>
          <cell r="C4736" t="str">
            <v xml:space="preserve">UN    </v>
          </cell>
          <cell r="D4736">
            <v>32.43</v>
          </cell>
        </row>
        <row r="4737">
          <cell r="A4737">
            <v>38105</v>
          </cell>
          <cell r="B4737" t="str">
            <v>TOMADA PARA ANTENA DE TV, CABO COAXIAL DE 9 MM (APENAS MODULO)</v>
          </cell>
          <cell r="C4737" t="str">
            <v xml:space="preserve">UN    </v>
          </cell>
          <cell r="D4737">
            <v>8.33</v>
          </cell>
        </row>
        <row r="4738">
          <cell r="A4738">
            <v>38084</v>
          </cell>
          <cell r="B4738" t="str">
            <v>TOMADA PARA ANTENA DE TV, CABO COAXIAL DE 9 MM, CONJUNTO MONTADO PARA EMBUTIR 4" X 2" (PLACA + SUPORTE + MODULO)</v>
          </cell>
          <cell r="C4738" t="str">
            <v xml:space="preserve">UN    </v>
          </cell>
          <cell r="D4738">
            <v>11.83</v>
          </cell>
        </row>
        <row r="4739">
          <cell r="A4739">
            <v>38103</v>
          </cell>
          <cell r="B4739" t="str">
            <v>TOMADA RJ11, 2 FIOS (APENAS MODULO)</v>
          </cell>
          <cell r="C4739" t="str">
            <v xml:space="preserve">UN    </v>
          </cell>
          <cell r="D4739">
            <v>12.51</v>
          </cell>
        </row>
        <row r="4740">
          <cell r="A4740">
            <v>38082</v>
          </cell>
          <cell r="B4740" t="str">
            <v>TOMADA RJ11, 2 FIOS, CONJUNTO MONTADO PARA EMBUTIR 4" X 2" (PLACA + SUPORTE + MODULO)</v>
          </cell>
          <cell r="C4740" t="str">
            <v xml:space="preserve">UN    </v>
          </cell>
          <cell r="D4740">
            <v>15.4</v>
          </cell>
        </row>
        <row r="4741">
          <cell r="A4741">
            <v>38104</v>
          </cell>
          <cell r="B4741" t="str">
            <v>TOMADA RJ45, 8 FIOS, CAT 5E (APENAS MODULO)</v>
          </cell>
          <cell r="C4741" t="str">
            <v xml:space="preserve">UN    </v>
          </cell>
          <cell r="D4741">
            <v>24.49</v>
          </cell>
        </row>
        <row r="4742">
          <cell r="A4742">
            <v>38083</v>
          </cell>
          <cell r="B4742" t="str">
            <v>TOMADA RJ45, 8 FIOS, CAT 5E, CONJUNTO MONTADO PARA EMBUTIR 4" X 2" (PLACA + SUPORTE + MODULO)</v>
          </cell>
          <cell r="C4742" t="str">
            <v xml:space="preserve">UN    </v>
          </cell>
          <cell r="D4742">
            <v>27.19</v>
          </cell>
        </row>
        <row r="4743">
          <cell r="A4743">
            <v>38101</v>
          </cell>
          <cell r="B4743" t="str">
            <v>TOMADA 2P+T 10A, 250V  (APENAS MODULO)</v>
          </cell>
          <cell r="C4743" t="str">
            <v xml:space="preserve">UN    </v>
          </cell>
          <cell r="D4743">
            <v>5.95</v>
          </cell>
        </row>
        <row r="4744">
          <cell r="A4744">
            <v>7528</v>
          </cell>
          <cell r="B4744" t="str">
            <v>TOMADA 2P+T 10A, 250V, CONJUNTO MONTADO PARA EMBUTIR 4" X 2" (PLACA + SUPORTE + MODULO)</v>
          </cell>
          <cell r="C4744" t="str">
            <v xml:space="preserve">UN    </v>
          </cell>
          <cell r="D4744">
            <v>6.99</v>
          </cell>
        </row>
        <row r="4745">
          <cell r="A4745">
            <v>12147</v>
          </cell>
          <cell r="B4745" t="str">
            <v>TOMADA 2P+T 10A, 250V, CONJUNTO MONTADO PARA SOBREPOR 4" X 2" (CAIXA + MODULO)</v>
          </cell>
          <cell r="C4745" t="str">
            <v xml:space="preserve">UN    </v>
          </cell>
          <cell r="D4745">
            <v>10.66</v>
          </cell>
        </row>
        <row r="4746">
          <cell r="A4746">
            <v>38075</v>
          </cell>
          <cell r="B4746" t="str">
            <v>TOMADA 2P+T 20A 250V, CONJUNTO MONTADO PARA EMBUTIR 4" X 2" (PLACA + SUPORTE + MODULO)</v>
          </cell>
          <cell r="C4746" t="str">
            <v xml:space="preserve">UN    </v>
          </cell>
          <cell r="D4746">
            <v>12.11</v>
          </cell>
        </row>
        <row r="4747">
          <cell r="A4747">
            <v>38102</v>
          </cell>
          <cell r="B4747" t="str">
            <v>TOMADA 2P+T 20A, 250V  (APENAS MODULO)</v>
          </cell>
          <cell r="C4747" t="str">
            <v xml:space="preserve">UN    </v>
          </cell>
          <cell r="D4747">
            <v>7.61</v>
          </cell>
        </row>
        <row r="4748">
          <cell r="A4748">
            <v>38076</v>
          </cell>
          <cell r="B4748" t="str">
            <v>TOMADAS (2 MODULOS) 2P+T 10A, 250V, CONJUNTO MONTADO PARA EMBUTIR 4" X 2" (PLACA + SUPORTE + MODULOS)</v>
          </cell>
          <cell r="C4748" t="str">
            <v xml:space="preserve">UN    </v>
          </cell>
          <cell r="D4748">
            <v>13.57</v>
          </cell>
        </row>
        <row r="4749">
          <cell r="A4749">
            <v>7592</v>
          </cell>
          <cell r="B4749" t="str">
            <v>TOPOGRAFO</v>
          </cell>
          <cell r="C4749" t="str">
            <v xml:space="preserve">H     </v>
          </cell>
          <cell r="D4749">
            <v>14.49</v>
          </cell>
        </row>
        <row r="4750">
          <cell r="A4750">
            <v>40820</v>
          </cell>
          <cell r="B4750" t="str">
            <v>TOPOGRAFO (MENSALISTA)</v>
          </cell>
          <cell r="C4750" t="str">
            <v xml:space="preserve">MES   </v>
          </cell>
          <cell r="D4750">
            <v>2688.62</v>
          </cell>
        </row>
        <row r="4751">
          <cell r="A4751">
            <v>11762</v>
          </cell>
          <cell r="B4751" t="str">
            <v>TORNEIRA CROMADA COM BICO PARA JARDIM/TANQUE 1/2 " OU 3/4 " (REF 1153)</v>
          </cell>
          <cell r="C4751" t="str">
            <v xml:space="preserve">UN    </v>
          </cell>
          <cell r="D4751">
            <v>54.34</v>
          </cell>
        </row>
        <row r="4752">
          <cell r="A4752">
            <v>13418</v>
          </cell>
          <cell r="B4752" t="str">
            <v>TORNEIRA CROMADA CURTA SEM BICO PARA TANQUE, PADRAO POPULAR, 1/2 " OU 3/4 " (REF 1140)</v>
          </cell>
          <cell r="C4752" t="str">
            <v xml:space="preserve">UN    </v>
          </cell>
          <cell r="D4752">
            <v>15.18</v>
          </cell>
        </row>
        <row r="4753">
          <cell r="A4753">
            <v>13984</v>
          </cell>
          <cell r="B4753" t="str">
            <v>TORNEIRA CROMADA CURTA SEM BICO PARA USO GERAL  1/2 " OU 3/4 " (REF 1152)</v>
          </cell>
          <cell r="C4753" t="str">
            <v xml:space="preserve">UN    </v>
          </cell>
          <cell r="D4753">
            <v>37.97</v>
          </cell>
        </row>
        <row r="4754">
          <cell r="A4754">
            <v>11772</v>
          </cell>
          <cell r="B4754" t="str">
            <v>TORNEIRA CROMADA DE MESA PARA COZINHA BICA MOVEL COM AREJADOR 1/2 " OU 3/4 " (REF 1167)</v>
          </cell>
          <cell r="C4754" t="str">
            <v xml:space="preserve">UN    </v>
          </cell>
          <cell r="D4754">
            <v>92.22</v>
          </cell>
        </row>
        <row r="4755">
          <cell r="A4755">
            <v>36795</v>
          </cell>
          <cell r="B4755" t="str">
            <v>TORNEIRA CROMADA DE MESA PARA LAVATORIO COM SENSOR DE PRESENCA</v>
          </cell>
          <cell r="C4755" t="str">
            <v xml:space="preserve">UN    </v>
          </cell>
          <cell r="D4755">
            <v>593.17999999999995</v>
          </cell>
        </row>
        <row r="4756">
          <cell r="A4756">
            <v>36796</v>
          </cell>
          <cell r="B4756" t="str">
            <v>TORNEIRA CROMADA DE MESA PARA LAVATORIO TEMPORIZADA PRESSAO BICA BAIXA</v>
          </cell>
          <cell r="C4756" t="str">
            <v xml:space="preserve">UN    </v>
          </cell>
          <cell r="D4756">
            <v>152.72</v>
          </cell>
        </row>
        <row r="4757">
          <cell r="A4757">
            <v>36791</v>
          </cell>
          <cell r="B4757" t="str">
            <v>TORNEIRA CROMADA DE MESA PARA LAVATORIO, BICA ALTA (REF 1195)</v>
          </cell>
          <cell r="C4757" t="str">
            <v xml:space="preserve">UN    </v>
          </cell>
          <cell r="D4757">
            <v>78.69</v>
          </cell>
        </row>
        <row r="4758">
          <cell r="A4758">
            <v>13415</v>
          </cell>
          <cell r="B4758" t="str">
            <v>TORNEIRA CROMADA DE MESA PARA LAVATORIO, PADRAO POPULAR, 1/2 " OU 3/4 " (REF 1193)</v>
          </cell>
          <cell r="C4758" t="str">
            <v xml:space="preserve">UN    </v>
          </cell>
          <cell r="D4758">
            <v>45.74</v>
          </cell>
        </row>
        <row r="4759">
          <cell r="A4759">
            <v>36792</v>
          </cell>
          <cell r="B4759" t="str">
            <v>TORNEIRA CROMADA DE PAREDE LONGA PARA LAVATORIO (REF 1178)</v>
          </cell>
          <cell r="C4759" t="str">
            <v xml:space="preserve">UN    </v>
          </cell>
          <cell r="D4759">
            <v>150.41</v>
          </cell>
        </row>
        <row r="4760">
          <cell r="A4760">
            <v>11773</v>
          </cell>
          <cell r="B4760" t="str">
            <v>TORNEIRA CROMADA DE PAREDE PARA COZINHA BICA MOVEL COM AREJADOR 1/2 " OU 3/4 " (REF 1168)</v>
          </cell>
          <cell r="C4760" t="str">
            <v xml:space="preserve">UN    </v>
          </cell>
          <cell r="D4760">
            <v>88.05</v>
          </cell>
        </row>
        <row r="4761">
          <cell r="A4761">
            <v>11775</v>
          </cell>
          <cell r="B4761" t="str">
            <v>TORNEIRA CROMADA DE PAREDE PARA COZINHA COM AREJADOR 1/2 " OU 3/4 " (REF 1157)</v>
          </cell>
          <cell r="C4761" t="str">
            <v xml:space="preserve">UN    </v>
          </cell>
          <cell r="D4761">
            <v>91.94</v>
          </cell>
        </row>
        <row r="4762">
          <cell r="A4762">
            <v>13983</v>
          </cell>
          <cell r="B4762" t="str">
            <v>TORNEIRA CROMADA DE PAREDE PARA COZINHA COM AREJADOR, PADRAO POPULAR, 1/2 " OU 3/4 " (REF 1159)</v>
          </cell>
          <cell r="C4762" t="str">
            <v xml:space="preserve">UN    </v>
          </cell>
          <cell r="D4762">
            <v>46.97</v>
          </cell>
        </row>
        <row r="4763">
          <cell r="A4763">
            <v>13416</v>
          </cell>
          <cell r="B4763" t="str">
            <v>TORNEIRA CROMADA DE PAREDE PARA COZINHA SEM AREJADOR, PADRAO POPULAR, 1/2 " OU 3/4 " (REF 1158)</v>
          </cell>
          <cell r="C4763" t="str">
            <v xml:space="preserve">UN    </v>
          </cell>
          <cell r="D4763">
            <v>37.880000000000003</v>
          </cell>
        </row>
        <row r="4764">
          <cell r="A4764">
            <v>13417</v>
          </cell>
          <cell r="B4764" t="str">
            <v>TORNEIRA CROMADA SEM BICO PARA TANQUE 1/2 " OU 3/4 " (REF 1143)</v>
          </cell>
          <cell r="C4764" t="str">
            <v xml:space="preserve">UN    </v>
          </cell>
          <cell r="D4764">
            <v>33.409999999999997</v>
          </cell>
        </row>
        <row r="4765">
          <cell r="A4765">
            <v>7604</v>
          </cell>
          <cell r="B4765" t="str">
            <v>TORNEIRA CROMADA SEM BICO PARA TANQUE, PADRAO POPULAR, 1/2 " OU 3/4 " (REF 1126)</v>
          </cell>
          <cell r="C4765" t="str">
            <v xml:space="preserve">UN    </v>
          </cell>
          <cell r="D4765">
            <v>14.47</v>
          </cell>
        </row>
        <row r="4766">
          <cell r="A4766">
            <v>11763</v>
          </cell>
          <cell r="B4766" t="str">
            <v>TORNEIRA DE BOIA CONVENCIONAL PARA CAIXA D'AGUA, 1.1/2", COM HASTE E TORNEIRA METALICOS E BALAO PLASTICO</v>
          </cell>
          <cell r="C4766" t="str">
            <v xml:space="preserve">UN    </v>
          </cell>
          <cell r="D4766">
            <v>66.05</v>
          </cell>
        </row>
        <row r="4767">
          <cell r="A4767">
            <v>11764</v>
          </cell>
          <cell r="B4767" t="str">
            <v>TORNEIRA DE BOIA CONVENCIONAL PARA CAIXA D'AGUA, 1.1/4", COM HASTE E TORNEIRA METALICOS E BALAO PLASTICO</v>
          </cell>
          <cell r="C4767" t="str">
            <v xml:space="preserve">UN    </v>
          </cell>
          <cell r="D4767">
            <v>70.55</v>
          </cell>
        </row>
        <row r="4768">
          <cell r="A4768">
            <v>11829</v>
          </cell>
          <cell r="B4768" t="str">
            <v>TORNEIRA DE BOIA CONVENCIONAL PARA CAIXA D'AGUA, 1/2", COM HASTE E TORNEIRA METALICOS E BALAO PLASTICO</v>
          </cell>
          <cell r="C4768" t="str">
            <v xml:space="preserve">UN    </v>
          </cell>
          <cell r="D4768">
            <v>16.91</v>
          </cell>
        </row>
        <row r="4769">
          <cell r="A4769">
            <v>11825</v>
          </cell>
          <cell r="B4769" t="str">
            <v>TORNEIRA DE BOIA CONVENCIONAL PARA CAIXA D'AGUA, 1", COM HASTE E TORNEIRA METALICOS E BALAO PLASTICO</v>
          </cell>
          <cell r="C4769" t="str">
            <v xml:space="preserve">UN    </v>
          </cell>
          <cell r="D4769">
            <v>28.99</v>
          </cell>
        </row>
        <row r="4770">
          <cell r="A4770">
            <v>11767</v>
          </cell>
          <cell r="B4770" t="str">
            <v>TORNEIRA DE BOIA CONVENCIONAL PARA CAIXA D'AGUA, 2", COM HASTE E TORNEIRA METALICOS E BALAO PLASTICO</v>
          </cell>
          <cell r="C4770" t="str">
            <v xml:space="preserve">UN    </v>
          </cell>
          <cell r="D4770">
            <v>117.11</v>
          </cell>
        </row>
        <row r="4771">
          <cell r="A4771">
            <v>11830</v>
          </cell>
          <cell r="B4771" t="str">
            <v>TORNEIRA DE BOIA CONVENCIONAL PARA CAIXA D'AGUA, 3/4", COM HASTE E TORNEIRA METALICOS E BALAO PLASTICO</v>
          </cell>
          <cell r="C4771" t="str">
            <v xml:space="preserve">UN    </v>
          </cell>
          <cell r="D4771">
            <v>18.27</v>
          </cell>
        </row>
        <row r="4772">
          <cell r="A4772">
            <v>11766</v>
          </cell>
          <cell r="B4772" t="str">
            <v>TORNEIRA DE BOIA VAZAO TOTAL PARA CAIXA D'AGUA, 1/2", COM HASTE E TORNEIRA METALICOS E BALAO PLASTICO</v>
          </cell>
          <cell r="C4772" t="str">
            <v xml:space="preserve">UN    </v>
          </cell>
          <cell r="D4772">
            <v>32.479999999999997</v>
          </cell>
        </row>
        <row r="4773">
          <cell r="A4773">
            <v>11765</v>
          </cell>
          <cell r="B4773" t="str">
            <v>TORNEIRA DE BOIA VAZAO TOTAL PARA CAIXA D'AGUA, 1", COM HASTE E TORNEIRA METALICOS E BALAO PLASTICO</v>
          </cell>
          <cell r="C4773" t="str">
            <v xml:space="preserve">UN    </v>
          </cell>
          <cell r="D4773">
            <v>44.23</v>
          </cell>
        </row>
        <row r="4774">
          <cell r="A4774">
            <v>11824</v>
          </cell>
          <cell r="B4774" t="str">
            <v>TORNEIRA DE BOIA VAZAO TOTAL PARA CAIXA D'AGUA, 3/4", COM HASTE E TORNEIRA METALICOS E BALAO PLASTICO</v>
          </cell>
          <cell r="C4774" t="str">
            <v xml:space="preserve">UN    </v>
          </cell>
          <cell r="D4774">
            <v>33.5</v>
          </cell>
        </row>
        <row r="4775">
          <cell r="A4775">
            <v>11777</v>
          </cell>
          <cell r="B4775" t="str">
            <v>TORNEIRA ELETRICA DE PAREDE, BICA ALTA, PARA COZINHA, 5500 W (110/220 V)</v>
          </cell>
          <cell r="C4775" t="str">
            <v xml:space="preserve">UN    </v>
          </cell>
          <cell r="D4775">
            <v>129.28</v>
          </cell>
        </row>
        <row r="4776">
          <cell r="A4776">
            <v>7602</v>
          </cell>
          <cell r="B4776" t="str">
            <v>TORNEIRA METAL AMARELO COM BICO PARA JARDIM, PADRAO POPULAR, 1/2 " OU 3/4 " (REF 1128)</v>
          </cell>
          <cell r="C4776" t="str">
            <v xml:space="preserve">UN    </v>
          </cell>
          <cell r="D4776">
            <v>14.34</v>
          </cell>
        </row>
        <row r="4777">
          <cell r="A4777">
            <v>7603</v>
          </cell>
          <cell r="B4777" t="str">
            <v>TORNEIRA METAL AMARELO CURTA SEM BICO PARA TANQUE, PADRAO POPULAR, 1/2 " OU 3/4 " (REF 1120)</v>
          </cell>
          <cell r="C4777" t="str">
            <v xml:space="preserve">UN    </v>
          </cell>
          <cell r="D4777">
            <v>13.91</v>
          </cell>
        </row>
        <row r="4778">
          <cell r="A4778">
            <v>11826</v>
          </cell>
          <cell r="B4778" t="str">
            <v>TORNEIRA METALICA DE BOIA CONVENCIONAL PARA CAIXA D'AGUA, 1/2 ", COM HASTE, TORNEIRA E BALAO METALICOS</v>
          </cell>
          <cell r="C4778" t="str">
            <v xml:space="preserve">UN    </v>
          </cell>
          <cell r="D4778">
            <v>28.13</v>
          </cell>
        </row>
        <row r="4779">
          <cell r="A4779">
            <v>7606</v>
          </cell>
          <cell r="B4779" t="str">
            <v>TORNEIRA METALICA DE BOIA CONVENCIONAL PARA CAIXA D'AGUA, 3/4 ", COM HASTE, TORNEIRA E BALAO METALICOS</v>
          </cell>
          <cell r="C4779" t="str">
            <v xml:space="preserve">UN    </v>
          </cell>
          <cell r="D4779">
            <v>29.32</v>
          </cell>
        </row>
        <row r="4780">
          <cell r="A4780">
            <v>40329</v>
          </cell>
          <cell r="B4780" t="str">
            <v>TORNEIRA PLASTICA DE BOIA CONVENCIONAL PARA CAIXA DE AGUA, 3/4 ", COM HASTE METALICA E COM TORNEIRA E BALAO PLASTICOS (PADRAO POPULAR)</v>
          </cell>
          <cell r="C4780" t="str">
            <v xml:space="preserve">UN    </v>
          </cell>
          <cell r="D4780">
            <v>14.18</v>
          </cell>
        </row>
        <row r="4781">
          <cell r="A4781">
            <v>11823</v>
          </cell>
          <cell r="B4781" t="str">
            <v>TORNEIRA PLASTICA DE BOIA PARA CAIXA DE DESCARGA,  1/2", BALAO E TORNEIRA PLASTICOS, COM HASTE METALICA</v>
          </cell>
          <cell r="C4781" t="str">
            <v xml:space="preserve">UN    </v>
          </cell>
          <cell r="D4781">
            <v>6.12</v>
          </cell>
        </row>
        <row r="4782">
          <cell r="A4782">
            <v>11822</v>
          </cell>
          <cell r="B4782" t="str">
            <v>TORNEIRA PLASTICA DE MESA, BICA MOVEL, PARA COZINHA 1/2 "</v>
          </cell>
          <cell r="C4782" t="str">
            <v xml:space="preserve">UN    </v>
          </cell>
          <cell r="D4782">
            <v>37.049999999999997</v>
          </cell>
        </row>
        <row r="4783">
          <cell r="A4783">
            <v>11831</v>
          </cell>
          <cell r="B4783" t="str">
            <v>TORNEIRA PLASTICA PARA TANQUE 1/2 " OU 3/4 " COM BICO PARA MANGUEIRA</v>
          </cell>
          <cell r="C4783" t="str">
            <v xml:space="preserve">UN    </v>
          </cell>
          <cell r="D4783">
            <v>28.13</v>
          </cell>
        </row>
        <row r="4784">
          <cell r="A4784">
            <v>7613</v>
          </cell>
          <cell r="B4784" t="str">
            <v>TRANSFORMADOR TRIFASICO DE DISTRIBUICAO, POTENCIA DE 1000 KVA, TENSAO NOMINAL DE 15 KV, TENSAO SECUNDARIA DE 220/127V, EM OLEO ISOLANTE TIPO MINERAL</v>
          </cell>
          <cell r="C4784" t="str">
            <v xml:space="preserve">UN    </v>
          </cell>
          <cell r="D4784">
            <v>52005.85</v>
          </cell>
        </row>
        <row r="4785">
          <cell r="A4785">
            <v>7619</v>
          </cell>
          <cell r="B4785" t="str">
            <v>TRANSFORMADOR TRIFASICO DE DISTRIBUICAO, POTENCIA DE 112,5 KVA, TENSAO NOMINAL DE 15 KV, TENSAO SECUNDARIA DE 220/127V, EM OLEO ISOLANTE TIPO MINERAL</v>
          </cell>
          <cell r="C4785" t="str">
            <v xml:space="preserve">UN    </v>
          </cell>
          <cell r="D4785">
            <v>8038.99</v>
          </cell>
        </row>
        <row r="4786">
          <cell r="A4786">
            <v>12076</v>
          </cell>
          <cell r="B4786" t="str">
            <v>TRANSFORMADOR TRIFASICO DE DISTRIBUICAO, POTENCIA DE 15 KVA, TENSAO NOMINAL DE 15 KV, TENSAO SECUNDARIA DE 220/127V, EM OLEO ISOLANTE TIPO MINERAL</v>
          </cell>
          <cell r="C4786" t="str">
            <v xml:space="preserve">UN    </v>
          </cell>
          <cell r="D4786">
            <v>3687.61</v>
          </cell>
        </row>
        <row r="4787">
          <cell r="A4787">
            <v>7614</v>
          </cell>
          <cell r="B4787" t="str">
            <v>TRANSFORMADOR TRIFASICO DE DISTRIBUICAO, POTENCIA DE 150 KVA, TENSAO NOMINAL DE 15 KV, TENSAO SECUNDARIA DE 220/127V, EM OLEO ISOLANTE TIPO MINERAL</v>
          </cell>
          <cell r="C4787" t="str">
            <v xml:space="preserve">UN    </v>
          </cell>
          <cell r="D4787">
            <v>10139.08</v>
          </cell>
        </row>
        <row r="4788">
          <cell r="A4788">
            <v>7618</v>
          </cell>
          <cell r="B4788" t="str">
            <v>TRANSFORMADOR TRIFASICO DE DISTRIBUICAO, POTENCIA DE 1500 KVA, TENSAO NOMINAL DE 15 KV, TENSAO SECUNDARIA DE 220/127V, EM OLEO ISOLANTE TIPO MINERAL</v>
          </cell>
          <cell r="C4788" t="str">
            <v xml:space="preserve">UN    </v>
          </cell>
          <cell r="D4788">
            <v>65759.59</v>
          </cell>
        </row>
        <row r="4789">
          <cell r="A4789">
            <v>7620</v>
          </cell>
          <cell r="B4789" t="str">
            <v>TRANSFORMADOR TRIFASICO DE DISTRIBUICAO, POTENCIA DE 225 KVA, TENSAO NOMINAL DE 15 KV, TENSAO SECUNDARIA DE 220/127V, EM OLEO ISOLANTE TIPO MINERAL</v>
          </cell>
          <cell r="C4789" t="str">
            <v xml:space="preserve">UN    </v>
          </cell>
          <cell r="D4789">
            <v>14223.64</v>
          </cell>
        </row>
        <row r="4790">
          <cell r="A4790">
            <v>7610</v>
          </cell>
          <cell r="B4790" t="str">
            <v>TRANSFORMADOR TRIFASICO DE DISTRIBUICAO, POTENCIA DE 30 KVA, TENSAO NOMINAL DE 15 KV, TENSAO SECUNDARIA DE 220/127V, EM OLEO ISOLANTE TIPO MINERAL</v>
          </cell>
          <cell r="C4790" t="str">
            <v xml:space="preserve">UN    </v>
          </cell>
          <cell r="D4790">
            <v>4504.1499999999996</v>
          </cell>
        </row>
        <row r="4791">
          <cell r="A4791">
            <v>7615</v>
          </cell>
          <cell r="B4791" t="str">
            <v>TRANSFORMADOR TRIFASICO DE DISTRIBUICAO, POTENCIA DE 300 KVA, TENSAO NOMINAL DE 15 KV, TENSAO SECUNDARIA DE 220/127V, EM OLEO ISOLANTE TIPO MINERAL</v>
          </cell>
          <cell r="C4791" t="str">
            <v xml:space="preserve">UN    </v>
          </cell>
          <cell r="D4791">
            <v>16594.25</v>
          </cell>
        </row>
        <row r="4792">
          <cell r="A4792">
            <v>7617</v>
          </cell>
          <cell r="B4792" t="str">
            <v>TRANSFORMADOR TRIFASICO DE DISTRIBUICAO, POTENCIA DE 45 KVA, TENSAO NOMINAL DE 15 KV, TENSAO SECUNDARIA DE 220/127V, EM OLEO ISOLANTE TIPO MINERAL</v>
          </cell>
          <cell r="C4792" t="str">
            <v xml:space="preserve">UN    </v>
          </cell>
          <cell r="D4792">
            <v>5030.95</v>
          </cell>
        </row>
        <row r="4793">
          <cell r="A4793">
            <v>7616</v>
          </cell>
          <cell r="B4793" t="str">
            <v>TRANSFORMADOR TRIFASICO DE DISTRIBUICAO, POTENCIA DE 500 KVA, TENSAO NOMINAL DE 15 KV, TENSAO SECUNDARIA DE 220/127V, EM OLEO ISOLANTE TIPO MINERAL</v>
          </cell>
          <cell r="C4793" t="str">
            <v xml:space="preserve">UN    </v>
          </cell>
          <cell r="D4793">
            <v>27079.18</v>
          </cell>
        </row>
        <row r="4794">
          <cell r="A4794">
            <v>7611</v>
          </cell>
          <cell r="B4794" t="str">
            <v>TRANSFORMADOR TRIFASICO DE DISTRIBUICAO, POTENCIA DE 75 KVA, TENSAO NOMINAL DE 15 KV, TENSAO SECUNDARIA DE 220/127V, EM OLEO ISOLANTE TIPO MINERAL</v>
          </cell>
          <cell r="C4794" t="str">
            <v xml:space="preserve">UN    </v>
          </cell>
          <cell r="D4794">
            <v>6506</v>
          </cell>
        </row>
        <row r="4795">
          <cell r="A4795">
            <v>7612</v>
          </cell>
          <cell r="B4795" t="str">
            <v>TRANSFORMADOR TRIFASICO DE DISTRIBUICAO, POTENCIA DE 750 KVA, TENSAO NOMINAL DE 15 KV, TENSAO SECUNDARIA DE 220/127V, EM OLEO ISOLANTE TIPO MINERAL</v>
          </cell>
          <cell r="C4795" t="str">
            <v xml:space="preserve">UN    </v>
          </cell>
          <cell r="D4795">
            <v>37143.72</v>
          </cell>
        </row>
        <row r="4796">
          <cell r="A4796">
            <v>37371</v>
          </cell>
          <cell r="B4796" t="str">
            <v>TRANSPORTE - HORISTA (COLETADO CAIXA)</v>
          </cell>
          <cell r="C4796" t="str">
            <v xml:space="preserve">H     </v>
          </cell>
          <cell r="D4796">
            <v>0.65</v>
          </cell>
        </row>
        <row r="4797">
          <cell r="A4797">
            <v>40861</v>
          </cell>
          <cell r="B4797" t="str">
            <v>TRANSPORTE - MENSALISTA (COLETADO CAIXA)</v>
          </cell>
          <cell r="C4797" t="str">
            <v xml:space="preserve">MES   </v>
          </cell>
          <cell r="D4797">
            <v>123.36</v>
          </cell>
        </row>
        <row r="4798">
          <cell r="A4798">
            <v>36510</v>
          </cell>
          <cell r="B4798" t="str">
            <v>TRATOR DE ESTEIRAS, POTENCIA BRUTA DE 133 HP, PESO OPERACIONAL DE 14 T, COM LAMINA COM CAPACIDADE DE 3,00 M3</v>
          </cell>
          <cell r="C4798" t="str">
            <v xml:space="preserve">UN    </v>
          </cell>
          <cell r="D4798">
            <v>560550.43000000005</v>
          </cell>
        </row>
        <row r="4799">
          <cell r="A4799">
            <v>25020</v>
          </cell>
          <cell r="B4799" t="str">
            <v>TRATOR DE ESTEIRAS, POTENCIA BRUTA DE 347 HP, PESO OPERACIONAL DE 38,5 T, COM ESCARIFICADOR E LAMINA COM CAPACIDADE DE 4,70M3</v>
          </cell>
          <cell r="C4799" t="str">
            <v xml:space="preserve">UN    </v>
          </cell>
          <cell r="D4799">
            <v>2309270.5699999998</v>
          </cell>
        </row>
        <row r="4800">
          <cell r="A4800">
            <v>7622</v>
          </cell>
          <cell r="B4800" t="str">
            <v>TRATOR DE ESTEIRAS, POTENCIA DE 100 HP, PESO OPERACIONAL DE 9,4 T, COM LAMINA COM CAPACIDADE DE 2,19 M3</v>
          </cell>
          <cell r="C4800" t="str">
            <v xml:space="preserve">UN    </v>
          </cell>
          <cell r="D4800">
            <v>543815.85</v>
          </cell>
        </row>
        <row r="4801">
          <cell r="A4801">
            <v>7624</v>
          </cell>
          <cell r="B4801" t="str">
            <v>TRATOR DE ESTEIRAS, POTENCIA DE 150 HP, PESO OPERACIONAL DE 16,7 T, COM RODA MOTRIZ ELEVADA E LAMINA COM CONTATO DE 3,18M3</v>
          </cell>
          <cell r="C4801" t="str">
            <v xml:space="preserve">UN    </v>
          </cell>
          <cell r="D4801">
            <v>705000</v>
          </cell>
        </row>
        <row r="4802">
          <cell r="A4802">
            <v>7625</v>
          </cell>
          <cell r="B4802" t="str">
            <v>TRATOR DE ESTEIRAS, POTENCIA DE 170 HP, PESO OPERACIONAL DE 19 T, COM LAMINA COM CAPACIDADE DE 5,2 M3</v>
          </cell>
          <cell r="C4802" t="str">
            <v xml:space="preserve">UN    </v>
          </cell>
          <cell r="D4802">
            <v>700688</v>
          </cell>
        </row>
        <row r="4803">
          <cell r="A4803">
            <v>7623</v>
          </cell>
          <cell r="B4803" t="str">
            <v>TRATOR DE ESTEIRAS, POTENCIA DE 347 HP, PESO OPERACIONAL DE 38,5 T, COM LAMINA COM CAPACIDADE DE 8,70M3</v>
          </cell>
          <cell r="C4803" t="str">
            <v xml:space="preserve">UN    </v>
          </cell>
          <cell r="D4803">
            <v>2309270.5699999998</v>
          </cell>
        </row>
        <row r="4804">
          <cell r="A4804">
            <v>36508</v>
          </cell>
          <cell r="B4804" t="str">
            <v>TRATOR DE ESTEIRAS, POTENCIA NO VOLANTE DE 200 HP, PESO OPERACIONAL DE 20,1 T, COM RODA MOTRIZ ELEVADA E LAMINA COM CAPACIDADE DE 3,89 M3</v>
          </cell>
          <cell r="C4804" t="str">
            <v xml:space="preserve">UN    </v>
          </cell>
          <cell r="D4804">
            <v>1038570.6</v>
          </cell>
        </row>
        <row r="4805">
          <cell r="A4805">
            <v>36509</v>
          </cell>
          <cell r="B4805" t="str">
            <v>TRATOR DE ESTEIRAS, POTENCIA 125 HP, PESO OPERACIONAL DE 12,9 T, COM LAMINA COM CAPACIDADE DE 2,7 M3</v>
          </cell>
          <cell r="C4805" t="str">
            <v xml:space="preserve">UN    </v>
          </cell>
          <cell r="D4805">
            <v>569174.27</v>
          </cell>
        </row>
        <row r="4806">
          <cell r="A4806">
            <v>13238</v>
          </cell>
          <cell r="B4806" t="str">
            <v>TRATOR DE PNEUS COM POTENCIA DE 105 CV, TRACAO 4 X 4, PESO COM LASTRO DE 5775 KG</v>
          </cell>
          <cell r="C4806" t="str">
            <v xml:space="preserve">UN    </v>
          </cell>
          <cell r="D4806">
            <v>153084.1</v>
          </cell>
        </row>
        <row r="4807">
          <cell r="A4807">
            <v>36511</v>
          </cell>
          <cell r="B4807" t="str">
            <v>TRATOR DE PNEUS COM POTENCIA DE 122 CV, TRACAO 4 X 4, PESO COM LASTRO DE 4510 KG</v>
          </cell>
          <cell r="C4807" t="str">
            <v xml:space="preserve">UN    </v>
          </cell>
          <cell r="D4807">
            <v>177383.16</v>
          </cell>
        </row>
        <row r="4808">
          <cell r="A4808">
            <v>36515</v>
          </cell>
          <cell r="B4808" t="str">
            <v>TRATOR DE PNEUS COM POTENCIA DE 15 CV, PESO COM LASTRO DE 1160 KG</v>
          </cell>
          <cell r="C4808" t="str">
            <v xml:space="preserve">UN    </v>
          </cell>
          <cell r="D4808">
            <v>52242.98</v>
          </cell>
        </row>
        <row r="4809">
          <cell r="A4809">
            <v>10598</v>
          </cell>
          <cell r="B4809" t="str">
            <v>TRATOR DE PNEUS COM POTENCIA DE 50 CV, TRACAO 4 X 2, PESO COM LASTRO DE 2714 KG</v>
          </cell>
          <cell r="C4809" t="str">
            <v xml:space="preserve">UN    </v>
          </cell>
          <cell r="D4809">
            <v>84719.89</v>
          </cell>
        </row>
        <row r="4810">
          <cell r="A4810">
            <v>7640</v>
          </cell>
          <cell r="B4810" t="str">
            <v>TRATOR DE PNEUS COM POTENCIA DE 85 CV, TRACAO 4 X 4, PESO COM LASTRO DE 4675 KG</v>
          </cell>
          <cell r="C4810" t="str">
            <v xml:space="preserve">UN    </v>
          </cell>
          <cell r="D4810">
            <v>130000</v>
          </cell>
        </row>
        <row r="4811">
          <cell r="A4811">
            <v>36513</v>
          </cell>
          <cell r="B4811" t="str">
            <v>TRATOR DE PNEUS COM POTENCIA DE 85 CV, TURBO,  PESO COM LASTRO DE 4900 KG</v>
          </cell>
          <cell r="C4811" t="str">
            <v xml:space="preserve">UN    </v>
          </cell>
          <cell r="D4811">
            <v>125231.3</v>
          </cell>
        </row>
        <row r="4812">
          <cell r="A4812">
            <v>36514</v>
          </cell>
          <cell r="B4812" t="str">
            <v>TRATOR DE PNEUS COM POTENCIA DE 95 CV, TRACAO 4 X 4, PESO MAXIMO DE 5225 KG</v>
          </cell>
          <cell r="C4812" t="str">
            <v xml:space="preserve">UN    </v>
          </cell>
          <cell r="D4812">
            <v>139719.60999999999</v>
          </cell>
        </row>
        <row r="4813">
          <cell r="A4813">
            <v>36149</v>
          </cell>
          <cell r="B4813" t="str">
            <v>TRAVA-QUEDAS EM ACO PARA CORDA DE 12 MM, EXTENSOR DE 25 X 300 MM, COM MOSQUETAO TIPO GANCHO TRAVA DUPLA</v>
          </cell>
          <cell r="C4813" t="str">
            <v xml:space="preserve">UN    </v>
          </cell>
          <cell r="D4813">
            <v>132.18</v>
          </cell>
        </row>
        <row r="4814">
          <cell r="A4814">
            <v>43066</v>
          </cell>
          <cell r="B4814" t="str">
            <v>TRELICA NERVURADA (ESPACADOR), ALTURA = 120,0 MM, DIAMETRO DOS BANZOS INFERIORES E SUPERIOR = 6,0 MM, DIAMETRO DA DIAGONAL = 4,2 MM (COLETADO CAIXA)</v>
          </cell>
          <cell r="C4814" t="str">
            <v xml:space="preserve">M     </v>
          </cell>
          <cell r="D4814">
            <v>5.55</v>
          </cell>
        </row>
        <row r="4815">
          <cell r="A4815">
            <v>11581</v>
          </cell>
          <cell r="B4815" t="str">
            <v>TRILHO EM ALUMINIO "U", COM ABAULADO PARA ROLDANA DE PORTA DE CORRER, *40 X 40* MM</v>
          </cell>
          <cell r="C4815" t="str">
            <v xml:space="preserve">M     </v>
          </cell>
          <cell r="D4815">
            <v>25.01</v>
          </cell>
        </row>
        <row r="4816">
          <cell r="A4816">
            <v>11580</v>
          </cell>
          <cell r="B4816" t="str">
            <v>TRILHO QUADRADO, EM ALUMINIO (VERGALHAO MACICO), 1/4", (*6 X 6* CM), PARA RODIZIOS</v>
          </cell>
          <cell r="C4816" t="str">
            <v xml:space="preserve">M     </v>
          </cell>
          <cell r="D4816">
            <v>11.39</v>
          </cell>
        </row>
        <row r="4817">
          <cell r="A4817">
            <v>38177</v>
          </cell>
          <cell r="B4817" t="str">
            <v>TRINCO / FECHO TIPO AVIAO, EM ZAMAC CROMADO, *60* MM, PARA JANELAS - INCLUI PARAFUSOS</v>
          </cell>
          <cell r="C4817" t="str">
            <v xml:space="preserve">UN    </v>
          </cell>
          <cell r="D4817">
            <v>7.73</v>
          </cell>
        </row>
        <row r="4818">
          <cell r="A4818">
            <v>10743</v>
          </cell>
          <cell r="B4818" t="str">
            <v>TROLEY MANUAL CAPACIDADE 1 T</v>
          </cell>
          <cell r="C4818" t="str">
            <v xml:space="preserve">UN    </v>
          </cell>
          <cell r="D4818">
            <v>569.85</v>
          </cell>
        </row>
        <row r="4819">
          <cell r="A4819">
            <v>39848</v>
          </cell>
          <cell r="B4819" t="str">
            <v>TUBO / MANGUEIRA PRETA EM POLIETILENO, LINHA PESADA OU REFORCADA, TIPO ESPAGUETE, PARA INJECAO DE CALDA DE CIMENTO, D = 1/2", ESPESSURA 1,5 MM</v>
          </cell>
          <cell r="C4819" t="str">
            <v xml:space="preserve">M     </v>
          </cell>
          <cell r="D4819">
            <v>1.1599999999999999</v>
          </cell>
        </row>
        <row r="4820">
          <cell r="A4820">
            <v>20999</v>
          </cell>
          <cell r="B4820" t="str">
            <v>TUBO ACO CARBONO COM COSTURA, NBR 5580, CLASSE L, DN = 15 MM, E = 2,25 MM, 1,06 KG/M</v>
          </cell>
          <cell r="C4820" t="str">
            <v xml:space="preserve">M     </v>
          </cell>
          <cell r="D4820">
            <v>7.32</v>
          </cell>
        </row>
        <row r="4821">
          <cell r="A4821">
            <v>21001</v>
          </cell>
          <cell r="B4821" t="str">
            <v>TUBO ACO CARBONO COM COSTURA, NBR 5580, CLASSE L, DN = 25 MM, E = 2,65 MM, 2,02 KG/M</v>
          </cell>
          <cell r="C4821" t="str">
            <v xml:space="preserve">M     </v>
          </cell>
          <cell r="D4821">
            <v>13.67</v>
          </cell>
        </row>
        <row r="4822">
          <cell r="A4822">
            <v>21003</v>
          </cell>
          <cell r="B4822" t="str">
            <v>TUBO ACO CARBONO COM COSTURA, NBR 5580, CLASSE L, DN = 40 MM, E = 3,0 MM, 3,34 KG/M</v>
          </cell>
          <cell r="C4822" t="str">
            <v xml:space="preserve">M     </v>
          </cell>
          <cell r="D4822">
            <v>22.46</v>
          </cell>
        </row>
        <row r="4823">
          <cell r="A4823">
            <v>21006</v>
          </cell>
          <cell r="B4823" t="str">
            <v>TUBO ACO CARBONO COM COSTURA, NBR 5580, CLASSE L, DN = 80 MM, E = 3,35 MM, 7,07 KG/M</v>
          </cell>
          <cell r="C4823" t="str">
            <v xml:space="preserve">M     </v>
          </cell>
          <cell r="D4823">
            <v>47.67</v>
          </cell>
        </row>
        <row r="4824">
          <cell r="A4824">
            <v>21019</v>
          </cell>
          <cell r="B4824" t="str">
            <v>TUBO ACO CARBONO COM COSTURA, NBR 5580, CLASSE M, DN = 25 MM, E = 3,35 MM, *2,50* KG//M</v>
          </cell>
          <cell r="C4824" t="str">
            <v xml:space="preserve">M     </v>
          </cell>
          <cell r="D4824">
            <v>16.57</v>
          </cell>
        </row>
        <row r="4825">
          <cell r="A4825">
            <v>21021</v>
          </cell>
          <cell r="B4825" t="str">
            <v>TUBO ACO CARBONO COM COSTURA, NBR 5580, CLASSE M, DN = 40 MM, E = 3,35 MM, *3,71* KG//M</v>
          </cell>
          <cell r="C4825" t="str">
            <v xml:space="preserve">M     </v>
          </cell>
          <cell r="D4825">
            <v>26.19</v>
          </cell>
        </row>
        <row r="4826">
          <cell r="A4826">
            <v>21024</v>
          </cell>
          <cell r="B4826" t="str">
            <v>TUBO ACO CARBONO COM COSTURA, NBR 5580, CLASSE M, DN = 80 MM, E = 4,05 MM, *8,47* KG/M</v>
          </cell>
          <cell r="C4826" t="str">
            <v xml:space="preserve">M     </v>
          </cell>
          <cell r="D4826">
            <v>56.12</v>
          </cell>
        </row>
        <row r="4827">
          <cell r="A4827">
            <v>40624</v>
          </cell>
          <cell r="B4827" t="str">
            <v>TUBO ACO CARBONO SEM COSTURA 1 1/2", E= *3,68 MM, SCHEDULE 40, 4,05 KG/M</v>
          </cell>
          <cell r="C4827" t="str">
            <v xml:space="preserve">M     </v>
          </cell>
          <cell r="D4827">
            <v>42.74</v>
          </cell>
        </row>
        <row r="4828">
          <cell r="A4828">
            <v>13127</v>
          </cell>
          <cell r="B4828" t="str">
            <v>TUBO ACO CARBONO SEM COSTURA 1/2", E= *2,77 MM, SCHEDULE 40, *1,27 KG/M</v>
          </cell>
          <cell r="C4828" t="str">
            <v xml:space="preserve">M     </v>
          </cell>
          <cell r="D4828">
            <v>19.059999999999999</v>
          </cell>
        </row>
        <row r="4829">
          <cell r="A4829">
            <v>13137</v>
          </cell>
          <cell r="B4829" t="str">
            <v>TUBO ACO CARBONO SEM COSTURA 1/2", E= *3,73 MM, SCHEDULE 80, *1,62 KG/M</v>
          </cell>
          <cell r="C4829" t="str">
            <v xml:space="preserve">M     </v>
          </cell>
          <cell r="D4829">
            <v>25.3</v>
          </cell>
        </row>
        <row r="4830">
          <cell r="A4830">
            <v>20989</v>
          </cell>
          <cell r="B4830" t="str">
            <v>TUBO ACO CARBONO SEM COSTURA 14", E= *11,13 MM, SCHEDULE 40, *94,55 KG/M</v>
          </cell>
          <cell r="C4830" t="str">
            <v xml:space="preserve">M     </v>
          </cell>
          <cell r="D4830">
            <v>906.35</v>
          </cell>
        </row>
        <row r="4831">
          <cell r="A4831">
            <v>21147</v>
          </cell>
          <cell r="B4831" t="str">
            <v>TUBO ACO CARBONO SEM COSTURA 2 1/2", E = 5,16 MM, SCHEDULE 40 (8,62 KG/M)</v>
          </cell>
          <cell r="C4831" t="str">
            <v xml:space="preserve">M     </v>
          </cell>
          <cell r="D4831">
            <v>84.98</v>
          </cell>
        </row>
        <row r="4832">
          <cell r="A4832">
            <v>21148</v>
          </cell>
          <cell r="B4832" t="str">
            <v>TUBO ACO CARBONO SEM COSTURA 2", E= *3,91* MM, SCHEDULE 40, *5,43* KG/M</v>
          </cell>
          <cell r="C4832" t="str">
            <v xml:space="preserve">M     </v>
          </cell>
          <cell r="D4832">
            <v>52.45</v>
          </cell>
        </row>
        <row r="4833">
          <cell r="A4833">
            <v>20984</v>
          </cell>
          <cell r="B4833" t="str">
            <v>TUBO ACO CARBONO SEM COSTURA 20", E= *12,70 MM, SCHEDULE 30, *154,97 KG/M</v>
          </cell>
          <cell r="C4833" t="str">
            <v xml:space="preserve">M     </v>
          </cell>
          <cell r="D4833">
            <v>1739.1</v>
          </cell>
        </row>
        <row r="4834">
          <cell r="A4834">
            <v>13042</v>
          </cell>
          <cell r="B4834" t="str">
            <v>TUBO ACO CARBONO SEM COSTURA 20", E= *6,35 MM,  SCHEDULE 10, *78,46 KG/M</v>
          </cell>
          <cell r="C4834" t="str">
            <v xml:space="preserve">M     </v>
          </cell>
          <cell r="D4834">
            <v>963.72</v>
          </cell>
        </row>
        <row r="4835">
          <cell r="A4835">
            <v>21150</v>
          </cell>
          <cell r="B4835" t="str">
            <v>TUBO ACO CARBONO SEM COSTURA 3/4", E= *2,87 MM, SCHEDULE 40, *1,69 KG/M</v>
          </cell>
          <cell r="C4835" t="str">
            <v xml:space="preserve">M     </v>
          </cell>
          <cell r="D4835">
            <v>26</v>
          </cell>
        </row>
        <row r="4836">
          <cell r="A4836">
            <v>13141</v>
          </cell>
          <cell r="B4836" t="str">
            <v>TUBO ACO CARBONO SEM COSTURA 3/4", E= *3,91 MM, SCHEDULE 80, *2,19 KG/M.</v>
          </cell>
          <cell r="C4836" t="str">
            <v xml:space="preserve">M     </v>
          </cell>
          <cell r="D4836">
            <v>32.76</v>
          </cell>
        </row>
        <row r="4837">
          <cell r="A4837">
            <v>21151</v>
          </cell>
          <cell r="B4837" t="str">
            <v>TUBO ACO CARBONO SEM COSTURA 4", E= *6,02 MM, SCHEDULE 40, *16,06 KG/M</v>
          </cell>
          <cell r="C4837" t="str">
            <v xml:space="preserve">M     </v>
          </cell>
          <cell r="D4837">
            <v>155.66999999999999</v>
          </cell>
        </row>
        <row r="4838">
          <cell r="A4838">
            <v>13142</v>
          </cell>
          <cell r="B4838" t="str">
            <v>TUBO ACO CARBONO SEM COSTURA 4", E= *8,56 MM, SCHEDULE 80, *22,31 KG/M</v>
          </cell>
          <cell r="C4838" t="str">
            <v xml:space="preserve">M     </v>
          </cell>
          <cell r="D4838">
            <v>222.54</v>
          </cell>
        </row>
        <row r="4839">
          <cell r="A4839">
            <v>20994</v>
          </cell>
          <cell r="B4839" t="str">
            <v>TUBO ACO CARBONO SEM COSTURA 6", E= *10,97 MM, SCHEDULE 80, *42,56 KG/M</v>
          </cell>
          <cell r="C4839" t="str">
            <v xml:space="preserve">M     </v>
          </cell>
          <cell r="D4839">
            <v>419.59</v>
          </cell>
        </row>
        <row r="4840">
          <cell r="A4840">
            <v>7672</v>
          </cell>
          <cell r="B4840" t="str">
            <v>TUBO ACO CARBONO SEM COSTURA 6", E= 7,11 MM,  SCHEDULE 40, *28,26 KG/M</v>
          </cell>
          <cell r="C4840" t="str">
            <v xml:space="preserve">M     </v>
          </cell>
          <cell r="D4840">
            <v>274.88</v>
          </cell>
        </row>
        <row r="4841">
          <cell r="A4841">
            <v>20995</v>
          </cell>
          <cell r="B4841" t="str">
            <v>TUBO ACO CARBONO SEM COSTURA 8", E= *12,70 MM, SCHEDULE 80, *64,64 KG/M</v>
          </cell>
          <cell r="C4841" t="str">
            <v xml:space="preserve">M     </v>
          </cell>
          <cell r="D4841">
            <v>551.41999999999996</v>
          </cell>
        </row>
        <row r="4842">
          <cell r="A4842">
            <v>7690</v>
          </cell>
          <cell r="B4842" t="str">
            <v>TUBO ACO CARBONO SEM COSTURA 8", E= *6,35 MM,  SCHEDULE 20, *33,27 KG/M</v>
          </cell>
          <cell r="C4842" t="str">
            <v xml:space="preserve">M     </v>
          </cell>
          <cell r="D4842">
            <v>318.92</v>
          </cell>
        </row>
        <row r="4843">
          <cell r="A4843">
            <v>20980</v>
          </cell>
          <cell r="B4843" t="str">
            <v>TUBO ACO CARBONO SEM COSTURA 8", E= *7,04 MM, SCHEDULE 30, *36,75 KG/M</v>
          </cell>
          <cell r="C4843" t="str">
            <v xml:space="preserve">M     </v>
          </cell>
          <cell r="D4843">
            <v>347.91</v>
          </cell>
        </row>
        <row r="4844">
          <cell r="A4844">
            <v>7661</v>
          </cell>
          <cell r="B4844" t="str">
            <v>TUBO ACO CARBONO SEM COSTURA 8", E= *8,18 MM, SCHEDULE 40, *42,55 KG/M</v>
          </cell>
          <cell r="C4844" t="str">
            <v xml:space="preserve">M     </v>
          </cell>
          <cell r="D4844">
            <v>413.87</v>
          </cell>
        </row>
        <row r="4845">
          <cell r="A4845">
            <v>21016</v>
          </cell>
          <cell r="B4845" t="str">
            <v>TUBO ACO GALVANIZADO COM COSTURA, CLASSE LEVE, DN 100 MM ( 4"),  E = 3,75 MM,  *10,55* KG/M (NBR 5580)</v>
          </cell>
          <cell r="C4845" t="str">
            <v xml:space="preserve">M     </v>
          </cell>
          <cell r="D4845">
            <v>88.58</v>
          </cell>
        </row>
        <row r="4846">
          <cell r="A4846">
            <v>21008</v>
          </cell>
          <cell r="B4846" t="str">
            <v>TUBO ACO GALVANIZADO COM COSTURA, CLASSE LEVE, DN 15 MM ( 1/2"),  E = 2,25 MM,  *1,2* KG/M (NBR 5580)</v>
          </cell>
          <cell r="C4846" t="str">
            <v xml:space="preserve">M     </v>
          </cell>
          <cell r="D4846">
            <v>10.35</v>
          </cell>
        </row>
        <row r="4847">
          <cell r="A4847">
            <v>21009</v>
          </cell>
          <cell r="B4847" t="str">
            <v>TUBO ACO GALVANIZADO COM COSTURA, CLASSE LEVE, DN 20 MM ( 3/4"),  E = 2,25 MM,  *1,3* KG/M (NBR 5580)</v>
          </cell>
          <cell r="C4847" t="str">
            <v xml:space="preserve">M     </v>
          </cell>
          <cell r="D4847">
            <v>13.47</v>
          </cell>
        </row>
        <row r="4848">
          <cell r="A4848">
            <v>21010</v>
          </cell>
          <cell r="B4848" t="str">
            <v>TUBO ACO GALVANIZADO COM COSTURA, CLASSE LEVE, DN 25 MM ( 1"),  E = 2,65 MM,  *2,11* KG/M (NBR 5580)</v>
          </cell>
          <cell r="C4848" t="str">
            <v xml:space="preserve">M     </v>
          </cell>
          <cell r="D4848">
            <v>18.09</v>
          </cell>
        </row>
        <row r="4849">
          <cell r="A4849">
            <v>21011</v>
          </cell>
          <cell r="B4849" t="str">
            <v>TUBO ACO GALVANIZADO COM COSTURA, CLASSE LEVE, DN 32 MM ( 1 1/4"),  E = 2,65 MM,  *2,71* KG/M (NBR 5580)</v>
          </cell>
          <cell r="C4849" t="str">
            <v xml:space="preserve">M     </v>
          </cell>
          <cell r="D4849">
            <v>26.36</v>
          </cell>
        </row>
        <row r="4850">
          <cell r="A4850">
            <v>21012</v>
          </cell>
          <cell r="B4850" t="str">
            <v>TUBO ACO GALVANIZADO COM COSTURA, CLASSE LEVE, DN 40 MM ( 1 1/2"),  E = 3,00 MM,  *3,48* KG/M (NBR 5580)</v>
          </cell>
          <cell r="C4850" t="str">
            <v xml:space="preserve">M     </v>
          </cell>
          <cell r="D4850">
            <v>29.13</v>
          </cell>
        </row>
        <row r="4851">
          <cell r="A4851">
            <v>21013</v>
          </cell>
          <cell r="B4851" t="str">
            <v>TUBO ACO GALVANIZADO COM COSTURA, CLASSE LEVE, DN 50 MM ( 2"),  E = 3,00 MM,  *4,40* KG/M (NBR 5580)</v>
          </cell>
          <cell r="C4851" t="str">
            <v xml:space="preserve">M     </v>
          </cell>
          <cell r="D4851">
            <v>38.020000000000003</v>
          </cell>
        </row>
        <row r="4852">
          <cell r="A4852">
            <v>21014</v>
          </cell>
          <cell r="B4852" t="str">
            <v>TUBO ACO GALVANIZADO COM COSTURA, CLASSE LEVE, DN 65 MM ( 2 1/2"),  E = 3,35 MM, * 6,23* KG/M (NBR 5580)</v>
          </cell>
          <cell r="C4852" t="str">
            <v xml:space="preserve">M     </v>
          </cell>
          <cell r="D4852">
            <v>53.2</v>
          </cell>
        </row>
        <row r="4853">
          <cell r="A4853">
            <v>21015</v>
          </cell>
          <cell r="B4853" t="str">
            <v>TUBO ACO GALVANIZADO COM COSTURA, CLASSE LEVE, DN 80 MM ( 3"),  E = 3,35 MM, *7,32* KG/M (NBR 5580)</v>
          </cell>
          <cell r="C4853" t="str">
            <v xml:space="preserve">M     </v>
          </cell>
          <cell r="D4853">
            <v>61.12</v>
          </cell>
        </row>
        <row r="4854">
          <cell r="A4854">
            <v>7697</v>
          </cell>
          <cell r="B4854" t="str">
            <v>TUBO ACO GALVANIZADO COM COSTURA, CLASSE MEDIA, DN 1.1/2", E = *3,25* MM, PESO *3,61* KG/M (NBR 5580)</v>
          </cell>
          <cell r="C4854" t="str">
            <v xml:space="preserve">M     </v>
          </cell>
          <cell r="D4854">
            <v>29.16</v>
          </cell>
        </row>
        <row r="4855">
          <cell r="A4855">
            <v>7698</v>
          </cell>
          <cell r="B4855" t="str">
            <v>TUBO ACO GALVANIZADO COM COSTURA, CLASSE MEDIA, DN 1.1/4", E = *3,25* MM, PESO *3,14* KG/M (NBR 5580)</v>
          </cell>
          <cell r="C4855" t="str">
            <v xml:space="preserve">M     </v>
          </cell>
          <cell r="D4855">
            <v>25.1</v>
          </cell>
        </row>
        <row r="4856">
          <cell r="A4856">
            <v>7691</v>
          </cell>
          <cell r="B4856" t="str">
            <v>TUBO ACO GALVANIZADO COM COSTURA, CLASSE MEDIA, DN 1/2", E = *2,65* MM, PESO *1,22* KG/M (NBR 5580)</v>
          </cell>
          <cell r="C4856" t="str">
            <v xml:space="preserve">M     </v>
          </cell>
          <cell r="D4856">
            <v>10.6</v>
          </cell>
        </row>
        <row r="4857">
          <cell r="A4857">
            <v>40626</v>
          </cell>
          <cell r="B4857" t="str">
            <v>TUBO ACO GALVANIZADO COM COSTURA, CLASSE MEDIA, DN 1", E = 3,38 MM, PESO 2,50 KG/M (NBR 5580)</v>
          </cell>
          <cell r="C4857" t="str">
            <v xml:space="preserve">M     </v>
          </cell>
          <cell r="D4857">
            <v>19.91</v>
          </cell>
        </row>
        <row r="4858">
          <cell r="A4858">
            <v>7701</v>
          </cell>
          <cell r="B4858" t="str">
            <v>TUBO ACO GALVANIZADO COM COSTURA, CLASSE MEDIA, DN 2.1/2", E = *3,65* MM, PESO *6,51* KG/M (NBR 5580)</v>
          </cell>
          <cell r="C4858" t="str">
            <v xml:space="preserve">M     </v>
          </cell>
          <cell r="D4858">
            <v>52.19</v>
          </cell>
        </row>
        <row r="4859">
          <cell r="A4859">
            <v>7696</v>
          </cell>
          <cell r="B4859" t="str">
            <v>TUBO ACO GALVANIZADO COM COSTURA, CLASSE MEDIA, DN 2", E = *3,65* MM, PESO *5,10* KG/M (NBR 5580)</v>
          </cell>
          <cell r="C4859" t="str">
            <v xml:space="preserve">M     </v>
          </cell>
          <cell r="D4859">
            <v>42.05</v>
          </cell>
        </row>
        <row r="4860">
          <cell r="A4860">
            <v>7700</v>
          </cell>
          <cell r="B4860" t="str">
            <v>TUBO ACO GALVANIZADO COM COSTURA, CLASSE MEDIA, DN 3/4", E = *2,65* MM, PESO *1,58* KG/M (NBR 5580)</v>
          </cell>
          <cell r="C4860" t="str">
            <v xml:space="preserve">M     </v>
          </cell>
          <cell r="D4860">
            <v>13.41</v>
          </cell>
        </row>
        <row r="4861">
          <cell r="A4861">
            <v>7694</v>
          </cell>
          <cell r="B4861" t="str">
            <v>TUBO ACO GALVANIZADO COM COSTURA, CLASSE MEDIA, DN 3", E = *4,05* MM, PESO *8,47* KG/M (NBR 5580)</v>
          </cell>
          <cell r="C4861" t="str">
            <v xml:space="preserve">M     </v>
          </cell>
          <cell r="D4861">
            <v>70.23</v>
          </cell>
        </row>
        <row r="4862">
          <cell r="A4862">
            <v>7693</v>
          </cell>
          <cell r="B4862" t="str">
            <v>TUBO ACO GALVANIZADO COM COSTURA, CLASSE MEDIA, DN 4", E = 4,50* MM, PESO 12,10* KG/M (NBR 5580)</v>
          </cell>
          <cell r="C4862" t="str">
            <v xml:space="preserve">M     </v>
          </cell>
          <cell r="D4862">
            <v>96.73</v>
          </cell>
        </row>
        <row r="4863">
          <cell r="A4863">
            <v>7692</v>
          </cell>
          <cell r="B4863" t="str">
            <v>TUBO ACO GALVANIZADO COM COSTURA, CLASSE MEDIA, DN 5", E = *5,40* MM, PESO *17,80* KG/M (NBR 5580)</v>
          </cell>
          <cell r="C4863" t="str">
            <v xml:space="preserve">M     </v>
          </cell>
          <cell r="D4863">
            <v>144.82</v>
          </cell>
        </row>
        <row r="4864">
          <cell r="A4864">
            <v>7695</v>
          </cell>
          <cell r="B4864" t="str">
            <v>TUBO ACO GALVANIZADO COM COSTURA, CLASSE MEDIA, DN 6", E = 4,85* MM, PESO 19,68* KG/M (NBR 5580)</v>
          </cell>
          <cell r="C4864" t="str">
            <v xml:space="preserve">M     </v>
          </cell>
          <cell r="D4864">
            <v>157.06</v>
          </cell>
        </row>
        <row r="4865">
          <cell r="A4865">
            <v>13356</v>
          </cell>
          <cell r="B4865" t="str">
            <v>TUBO ACO INDUSTRIAL DN 2" (50,8 MM) E=1,50MM, PESO= 1,8237 KG/M</v>
          </cell>
          <cell r="C4865" t="str">
            <v xml:space="preserve">M     </v>
          </cell>
          <cell r="D4865">
            <v>11.39</v>
          </cell>
        </row>
        <row r="4866">
          <cell r="A4866">
            <v>36365</v>
          </cell>
          <cell r="B4866" t="str">
            <v>TUBO COLETOR DE ESGOTO PVC, JEI, DN 100 MM (NBR  7362)</v>
          </cell>
          <cell r="C4866" t="str">
            <v xml:space="preserve">M     </v>
          </cell>
          <cell r="D4866">
            <v>19.61</v>
          </cell>
        </row>
        <row r="4867">
          <cell r="A4867">
            <v>41930</v>
          </cell>
          <cell r="B4867" t="str">
            <v>TUBO COLETOR DE ESGOTO PVC, JEI, DN 200 MM (NBR 7362)</v>
          </cell>
          <cell r="C4867" t="str">
            <v xml:space="preserve">M     </v>
          </cell>
          <cell r="D4867">
            <v>63.48</v>
          </cell>
        </row>
        <row r="4868">
          <cell r="A4868">
            <v>41931</v>
          </cell>
          <cell r="B4868" t="str">
            <v>TUBO COLETOR DE ESGOTO PVC, JEI, DN 250 MM (NBR 7362)</v>
          </cell>
          <cell r="C4868" t="str">
            <v xml:space="preserve">M     </v>
          </cell>
          <cell r="D4868">
            <v>108.25</v>
          </cell>
        </row>
        <row r="4869">
          <cell r="A4869">
            <v>41932</v>
          </cell>
          <cell r="B4869" t="str">
            <v>TUBO COLETOR DE ESGOTO PVC, JEI, DN 300 MM (NBR 7362)</v>
          </cell>
          <cell r="C4869" t="str">
            <v xml:space="preserve">M     </v>
          </cell>
          <cell r="D4869">
            <v>174.84</v>
          </cell>
        </row>
        <row r="4870">
          <cell r="A4870">
            <v>41933</v>
          </cell>
          <cell r="B4870" t="str">
            <v>TUBO COLETOR DE ESGOTO PVC, JEI, DN 350 MM (NBR 7362)</v>
          </cell>
          <cell r="C4870" t="str">
            <v xml:space="preserve">M     </v>
          </cell>
          <cell r="D4870">
            <v>216.54</v>
          </cell>
        </row>
        <row r="4871">
          <cell r="A4871">
            <v>41934</v>
          </cell>
          <cell r="B4871" t="str">
            <v>TUBO COLETOR DE ESGOTO PVC, JEI, DN 400 MM (NBR 7362)</v>
          </cell>
          <cell r="C4871" t="str">
            <v xml:space="preserve">M     </v>
          </cell>
          <cell r="D4871">
            <v>280.47000000000003</v>
          </cell>
        </row>
        <row r="4872">
          <cell r="A4872">
            <v>41936</v>
          </cell>
          <cell r="B4872" t="str">
            <v>TUBO COLETOR DE ESGOTO, PVC, JEI, DN 150 MM  (NBR 7362)</v>
          </cell>
          <cell r="C4872" t="str">
            <v xml:space="preserve">M     </v>
          </cell>
          <cell r="D4872">
            <v>42.28</v>
          </cell>
        </row>
        <row r="4873">
          <cell r="A4873">
            <v>7720</v>
          </cell>
          <cell r="B4873" t="str">
            <v>TUBO CONCRETO ARMADO, CLASSE EA-2, PB JE, DN 1000 MM, PARA ESGOTO SANITARIO (NBR 8890)</v>
          </cell>
          <cell r="C4873" t="str">
            <v xml:space="preserve">M     </v>
          </cell>
          <cell r="D4873">
            <v>455.54</v>
          </cell>
        </row>
        <row r="4874">
          <cell r="A4874">
            <v>40335</v>
          </cell>
          <cell r="B4874" t="str">
            <v>TUBO CONCRETO ARMADO, CLASSE EA-2, PB JE, DN 300 MM, PARA ESGOTO SANITARIO (NBR 8890)</v>
          </cell>
          <cell r="C4874" t="str">
            <v xml:space="preserve">M     </v>
          </cell>
          <cell r="D4874">
            <v>92.78</v>
          </cell>
        </row>
        <row r="4875">
          <cell r="A4875">
            <v>7740</v>
          </cell>
          <cell r="B4875" t="str">
            <v>TUBO CONCRETO ARMADO, CLASSE EA-2, PB JE, DN 400 MM, PARA ESGOTO SANITARIO (NBR 8890)</v>
          </cell>
          <cell r="C4875" t="str">
            <v xml:space="preserve">M     </v>
          </cell>
          <cell r="D4875">
            <v>126.59</v>
          </cell>
        </row>
        <row r="4876">
          <cell r="A4876">
            <v>7741</v>
          </cell>
          <cell r="B4876" t="str">
            <v>TUBO CONCRETO ARMADO, CLASSE EA-2, PB JE, DN 500 MM, PARA ESGOTO SANITARIO (NBR 8890)</v>
          </cell>
          <cell r="C4876" t="str">
            <v xml:space="preserve">M     </v>
          </cell>
          <cell r="D4876">
            <v>159.76</v>
          </cell>
        </row>
        <row r="4877">
          <cell r="A4877">
            <v>7774</v>
          </cell>
          <cell r="B4877" t="str">
            <v>TUBO CONCRETO ARMADO, CLASSE EA-2, PB JE, DN 600 MM, PARA ESGOTO SANITARIO (NBR 8890)</v>
          </cell>
          <cell r="C4877" t="str">
            <v xml:space="preserve">M     </v>
          </cell>
          <cell r="D4877">
            <v>215.06</v>
          </cell>
        </row>
        <row r="4878">
          <cell r="A4878">
            <v>7744</v>
          </cell>
          <cell r="B4878" t="str">
            <v>TUBO CONCRETO ARMADO, CLASSE EA-2, PB JE, DN 700 MM, PARA ESGOTO SANITARIO (NBR 8890)</v>
          </cell>
          <cell r="C4878" t="str">
            <v xml:space="preserve">M     </v>
          </cell>
          <cell r="D4878">
            <v>247.91</v>
          </cell>
        </row>
        <row r="4879">
          <cell r="A4879">
            <v>7773</v>
          </cell>
          <cell r="B4879" t="str">
            <v>TUBO CONCRETO ARMADO, CLASSE EA-2, PB JE, DN 800 MM, PARA ESGOTO SANITARIO (NBR 8890)</v>
          </cell>
          <cell r="C4879" t="str">
            <v xml:space="preserve">M     </v>
          </cell>
          <cell r="D4879">
            <v>308.74</v>
          </cell>
        </row>
        <row r="4880">
          <cell r="A4880">
            <v>7754</v>
          </cell>
          <cell r="B4880" t="str">
            <v>TUBO CONCRETO ARMADO, CLASSE EA-2, PB JE, DN 900 MM, PARA ESGOTO SANITARIO (NBR 8890)</v>
          </cell>
          <cell r="C4880" t="str">
            <v xml:space="preserve">M     </v>
          </cell>
          <cell r="D4880">
            <v>419.56</v>
          </cell>
        </row>
        <row r="4881">
          <cell r="A4881">
            <v>7735</v>
          </cell>
          <cell r="B4881" t="str">
            <v>TUBO CONCRETO ARMADO, CLASSE EA-3, PB JE, DN 1000 MM, PARA ESGOTO SANITARIO (NBR 8890)</v>
          </cell>
          <cell r="C4881" t="str">
            <v xml:space="preserve">M     </v>
          </cell>
          <cell r="D4881">
            <v>575.05999999999995</v>
          </cell>
        </row>
        <row r="4882">
          <cell r="A4882">
            <v>7755</v>
          </cell>
          <cell r="B4882" t="str">
            <v>TUBO CONCRETO ARMADO, CLASSE EA-3, PB JE, DN 400 MM, PARA ESGOTO SANITARIO (NBR 8890)</v>
          </cell>
          <cell r="C4882" t="str">
            <v xml:space="preserve">M     </v>
          </cell>
          <cell r="D4882">
            <v>154.22</v>
          </cell>
        </row>
        <row r="4883">
          <cell r="A4883">
            <v>7776</v>
          </cell>
          <cell r="B4883" t="str">
            <v>TUBO CONCRETO ARMADO, CLASSE EA-3, PB JE, DN 500 MM, PARA ESGOTO SANITARIO (NBR 8890)</v>
          </cell>
          <cell r="C4883" t="str">
            <v xml:space="preserve">M     </v>
          </cell>
          <cell r="D4883">
            <v>200.72</v>
          </cell>
        </row>
        <row r="4884">
          <cell r="A4884">
            <v>7743</v>
          </cell>
          <cell r="B4884" t="str">
            <v>TUBO CONCRETO ARMADO, CLASSE EA-3, PB JE, DN 600 MM, PARA ESGOTO SANITARIO (NBR 8890)</v>
          </cell>
          <cell r="C4884" t="str">
            <v xml:space="preserve">M     </v>
          </cell>
          <cell r="D4884">
            <v>265.07</v>
          </cell>
        </row>
        <row r="4885">
          <cell r="A4885">
            <v>7733</v>
          </cell>
          <cell r="B4885" t="str">
            <v>TUBO CONCRETO ARMADO, CLASSE EA-3, PB JE, DN 700 MM, PARA ESGOTO SANITARIO (NBR 8890)</v>
          </cell>
          <cell r="C4885" t="str">
            <v xml:space="preserve">M     </v>
          </cell>
          <cell r="D4885">
            <v>295.57</v>
          </cell>
        </row>
        <row r="4886">
          <cell r="A4886">
            <v>7775</v>
          </cell>
          <cell r="B4886" t="str">
            <v>TUBO CONCRETO ARMADO, CLASSE EA-3, PB JE, DN 800 MM, PARA ESGOTO SANITARIO (NBR 8890)</v>
          </cell>
          <cell r="C4886" t="str">
            <v xml:space="preserve">M     </v>
          </cell>
          <cell r="D4886">
            <v>363.64</v>
          </cell>
        </row>
        <row r="4887">
          <cell r="A4887">
            <v>7734</v>
          </cell>
          <cell r="B4887" t="str">
            <v>TUBO CONCRETO ARMADO, CLASSE EA-3, PB JE, DN 900 MM, PARA ESGOTO SANITARIO (NBR 8890)</v>
          </cell>
          <cell r="C4887" t="str">
            <v xml:space="preserve">M     </v>
          </cell>
          <cell r="D4887">
            <v>525.72</v>
          </cell>
        </row>
        <row r="4888">
          <cell r="A4888">
            <v>7753</v>
          </cell>
          <cell r="B4888" t="str">
            <v>TUBO CONCRETO ARMADO, CLASSE PA-1, PB, DN 1000 MM, PARA AGUAS PLUVIAIS (NBR 8890)</v>
          </cell>
          <cell r="C4888" t="str">
            <v xml:space="preserve">M     </v>
          </cell>
          <cell r="D4888">
            <v>266.55</v>
          </cell>
        </row>
        <row r="4889">
          <cell r="A4889">
            <v>13256</v>
          </cell>
          <cell r="B4889" t="str">
            <v>TUBO CONCRETO ARMADO, CLASSE PA-1, PB, DN 1100 MM, PARA AGUAS PLUVIAIS (NBR 8890)</v>
          </cell>
          <cell r="C4889" t="str">
            <v xml:space="preserve">M     </v>
          </cell>
          <cell r="D4889">
            <v>311.14999999999998</v>
          </cell>
        </row>
        <row r="4890">
          <cell r="A4890">
            <v>7757</v>
          </cell>
          <cell r="B4890" t="str">
            <v>TUBO CONCRETO ARMADO, CLASSE PA-1, PB, DN 1200 MM, PARA AGUAS PLUVIAIS (NBR 8890)</v>
          </cell>
          <cell r="C4890" t="str">
            <v xml:space="preserve">M     </v>
          </cell>
          <cell r="D4890">
            <v>377.75</v>
          </cell>
        </row>
        <row r="4891">
          <cell r="A4891">
            <v>7758</v>
          </cell>
          <cell r="B4891" t="str">
            <v>TUBO CONCRETO ARMADO, CLASSE PA-1, PB, DN 1500 MM, PARA AGUAS PLUVIAIS (NBR 8890)</v>
          </cell>
          <cell r="C4891" t="str">
            <v xml:space="preserve">M     </v>
          </cell>
          <cell r="D4891">
            <v>561.87</v>
          </cell>
        </row>
        <row r="4892">
          <cell r="A4892">
            <v>7759</v>
          </cell>
          <cell r="B4892" t="str">
            <v>TUBO CONCRETO ARMADO, CLASSE PA-1, PB, DN 2000 MM, PARA AGUAS PLUVIAIS (NBR 8890)</v>
          </cell>
          <cell r="C4892" t="str">
            <v xml:space="preserve">M     </v>
          </cell>
          <cell r="D4892">
            <v>1224.1099999999999</v>
          </cell>
        </row>
        <row r="4893">
          <cell r="A4893">
            <v>40334</v>
          </cell>
          <cell r="B4893" t="str">
            <v>TUBO CONCRETO ARMADO, CLASSE PA-1, PB, DN 300 MM, PARA AGUAS PLUVIAIS (NBR 8890)</v>
          </cell>
          <cell r="C4893" t="str">
            <v xml:space="preserve">M     </v>
          </cell>
          <cell r="D4893">
            <v>66.09</v>
          </cell>
        </row>
        <row r="4894">
          <cell r="A4894">
            <v>7745</v>
          </cell>
          <cell r="B4894" t="str">
            <v>TUBO CONCRETO ARMADO, CLASSE PA-1, PB, DN 400 MM, PARA AGUAS PLUVIAIS (NBR 8890)</v>
          </cell>
          <cell r="C4894" t="str">
            <v xml:space="preserve">M     </v>
          </cell>
          <cell r="D4894">
            <v>69.84</v>
          </cell>
        </row>
        <row r="4895">
          <cell r="A4895">
            <v>7714</v>
          </cell>
          <cell r="B4895" t="str">
            <v>TUBO CONCRETO ARMADO, CLASSE PA-1, PB, DN 500 MM, PARA AGUAS PLUVIAIS (NBR 8890)</v>
          </cell>
          <cell r="C4895" t="str">
            <v xml:space="preserve">M     </v>
          </cell>
          <cell r="D4895">
            <v>92.22</v>
          </cell>
        </row>
        <row r="4896">
          <cell r="A4896">
            <v>7725</v>
          </cell>
          <cell r="B4896" t="str">
            <v>TUBO CONCRETO ARMADO, CLASSE PA-1, PB, DN 600 MM, PARA AGUAS PLUVIAIS (NBR 8890)</v>
          </cell>
          <cell r="C4896" t="str">
            <v xml:space="preserve">M     </v>
          </cell>
          <cell r="D4896">
            <v>122</v>
          </cell>
        </row>
        <row r="4897">
          <cell r="A4897">
            <v>7742</v>
          </cell>
          <cell r="B4897" t="str">
            <v>TUBO CONCRETO ARMADO, CLASSE PA-1, PB, DN 700 MM, PARA AGUAS PLUVIAIS (NBR 8890)</v>
          </cell>
          <cell r="C4897" t="str">
            <v xml:space="preserve">M     </v>
          </cell>
          <cell r="D4897">
            <v>171.24</v>
          </cell>
        </row>
        <row r="4898">
          <cell r="A4898">
            <v>7750</v>
          </cell>
          <cell r="B4898" t="str">
            <v>TUBO CONCRETO ARMADO, CLASSE PA-1, PB, DN 800 MM, PARA AGUAS PLUVIAIS (NBR 8890)</v>
          </cell>
          <cell r="C4898" t="str">
            <v xml:space="preserve">M     </v>
          </cell>
          <cell r="D4898">
            <v>194.19</v>
          </cell>
        </row>
        <row r="4899">
          <cell r="A4899">
            <v>7756</v>
          </cell>
          <cell r="B4899" t="str">
            <v>TUBO CONCRETO ARMADO, CLASSE PA-1, PB, DN 900 MM, PARA AGUAS PLUVIAIS (NBR 8890)</v>
          </cell>
          <cell r="C4899" t="str">
            <v xml:space="preserve">M     </v>
          </cell>
          <cell r="D4899">
            <v>239.74</v>
          </cell>
        </row>
        <row r="4900">
          <cell r="A4900">
            <v>7765</v>
          </cell>
          <cell r="B4900" t="str">
            <v>TUBO CONCRETO ARMADO, CLASSE PA-2, PB, DN 1000 MM, PARA AGUAS PLUVIAIS (NBR 8890)</v>
          </cell>
          <cell r="C4900" t="str">
            <v xml:space="preserve">M     </v>
          </cell>
          <cell r="D4900">
            <v>294.36</v>
          </cell>
        </row>
        <row r="4901">
          <cell r="A4901">
            <v>12569</v>
          </cell>
          <cell r="B4901" t="str">
            <v>TUBO CONCRETO ARMADO, CLASSE PA-2, PB, DN 1100 MM, PARA AGUAS PLUVIAIS (NBR 8890)</v>
          </cell>
          <cell r="C4901" t="str">
            <v xml:space="preserve">M     </v>
          </cell>
          <cell r="D4901">
            <v>316.75</v>
          </cell>
        </row>
        <row r="4902">
          <cell r="A4902">
            <v>7766</v>
          </cell>
          <cell r="B4902" t="str">
            <v>TUBO CONCRETO ARMADO, CLASSE PA-2, PB, DN 1200 MM, PARA AGUAS PLUVIAIS (NBR 8890)</v>
          </cell>
          <cell r="C4902" t="str">
            <v xml:space="preserve">M     </v>
          </cell>
          <cell r="D4902">
            <v>428.11</v>
          </cell>
        </row>
        <row r="4903">
          <cell r="A4903">
            <v>7767</v>
          </cell>
          <cell r="B4903" t="str">
            <v>TUBO CONCRETO ARMADO, CLASSE PA-2, PB, DN 1500 MM, PARA AGUAS PLUVIAIS (NBR 8890)</v>
          </cell>
          <cell r="C4903" t="str">
            <v xml:space="preserve">M     </v>
          </cell>
          <cell r="D4903">
            <v>659.7</v>
          </cell>
        </row>
        <row r="4904">
          <cell r="A4904">
            <v>7727</v>
          </cell>
          <cell r="B4904" t="str">
            <v>TUBO CONCRETO ARMADO, CLASSE PA-2, PB, DN 2000 MM, PARA AGUAS PLUVIAIS (NBR 8890)</v>
          </cell>
          <cell r="C4904" t="str">
            <v xml:space="preserve">M     </v>
          </cell>
          <cell r="D4904">
            <v>1432.66</v>
          </cell>
        </row>
        <row r="4905">
          <cell r="A4905">
            <v>7760</v>
          </cell>
          <cell r="B4905" t="str">
            <v>TUBO CONCRETO ARMADO, CLASSE PA-2, PB, DN 300 MM, PARA AGUAS PLUVIAIS (NBR 8890)</v>
          </cell>
          <cell r="C4905" t="str">
            <v xml:space="preserve">M     </v>
          </cell>
          <cell r="D4905">
            <v>69.5</v>
          </cell>
        </row>
        <row r="4906">
          <cell r="A4906">
            <v>7761</v>
          </cell>
          <cell r="B4906" t="str">
            <v>TUBO CONCRETO ARMADO, CLASSE PA-2, PB, DN 400 MM, PARA AGUAS PLUVIAIS (NBR 8890)</v>
          </cell>
          <cell r="C4906" t="str">
            <v xml:space="preserve">M     </v>
          </cell>
          <cell r="D4906">
            <v>73.87</v>
          </cell>
        </row>
        <row r="4907">
          <cell r="A4907">
            <v>7752</v>
          </cell>
          <cell r="B4907" t="str">
            <v>TUBO CONCRETO ARMADO, CLASSE PA-2, PB, DN 500 MM, PARA AGUAS PLUVIAIS (NBR 8890)</v>
          </cell>
          <cell r="C4907" t="str">
            <v xml:space="preserve">M     </v>
          </cell>
          <cell r="D4907">
            <v>89.48</v>
          </cell>
        </row>
        <row r="4908">
          <cell r="A4908">
            <v>7762</v>
          </cell>
          <cell r="B4908" t="str">
            <v>TUBO CONCRETO ARMADO, CLASSE PA-2, PB, DN 600 MM, PARA AGUAS PLUVIAIS (NBR 8890)</v>
          </cell>
          <cell r="C4908" t="str">
            <v xml:space="preserve">M     </v>
          </cell>
          <cell r="D4908">
            <v>117.07</v>
          </cell>
        </row>
        <row r="4909">
          <cell r="A4909">
            <v>7722</v>
          </cell>
          <cell r="B4909" t="str">
            <v>TUBO CONCRETO ARMADO, CLASSE PA-2, PB, DN 700 MM, PARA AGUAS PLUVIAIS (NBR 8890)</v>
          </cell>
          <cell r="C4909" t="str">
            <v xml:space="preserve">M     </v>
          </cell>
          <cell r="D4909">
            <v>180.53</v>
          </cell>
        </row>
        <row r="4910">
          <cell r="A4910">
            <v>7763</v>
          </cell>
          <cell r="B4910" t="str">
            <v>TUBO CONCRETO ARMADO, CLASSE PA-2, PB, DN 800 MM, PARA AGUAS PLUVIAIS (NBR 8890)</v>
          </cell>
          <cell r="C4910" t="str">
            <v xml:space="preserve">M     </v>
          </cell>
          <cell r="D4910">
            <v>201.18</v>
          </cell>
        </row>
        <row r="4911">
          <cell r="A4911">
            <v>7764</v>
          </cell>
          <cell r="B4911" t="str">
            <v>TUBO CONCRETO ARMADO, CLASSE PA-2, PB, DN 900 MM, PARA AGUAS PLUVIAIS (NBR 8890)</v>
          </cell>
          <cell r="C4911" t="str">
            <v xml:space="preserve">M     </v>
          </cell>
          <cell r="D4911">
            <v>302.2</v>
          </cell>
        </row>
        <row r="4912">
          <cell r="A4912">
            <v>12572</v>
          </cell>
          <cell r="B4912" t="str">
            <v>TUBO CONCRETO ARMADO, CLASSE PA-3, PB, DN 1000 MM, PARA AGUAS PLUVIAIS (NBR 8890)</v>
          </cell>
          <cell r="C4912" t="str">
            <v xml:space="preserve">M     </v>
          </cell>
          <cell r="D4912">
            <v>396.22</v>
          </cell>
        </row>
        <row r="4913">
          <cell r="A4913">
            <v>12573</v>
          </cell>
          <cell r="B4913" t="str">
            <v>TUBO CONCRETO ARMADO, CLASSE PA-3, PB, DN 1100 MM, PARA AGUAS PLUVIAIS (NBR 8890)</v>
          </cell>
          <cell r="C4913" t="str">
            <v xml:space="preserve">M     </v>
          </cell>
          <cell r="D4913">
            <v>416.36</v>
          </cell>
        </row>
        <row r="4914">
          <cell r="A4914">
            <v>12574</v>
          </cell>
          <cell r="B4914" t="str">
            <v>TUBO CONCRETO ARMADO, CLASSE PA-3, PB, DN 1200 MM, PARA AGUAS PLUVIAIS (NBR 8890)</v>
          </cell>
          <cell r="C4914" t="str">
            <v xml:space="preserve">M     </v>
          </cell>
          <cell r="D4914">
            <v>541.03</v>
          </cell>
        </row>
        <row r="4915">
          <cell r="A4915">
            <v>12575</v>
          </cell>
          <cell r="B4915" t="str">
            <v>TUBO CONCRETO ARMADO, CLASSE PA-3, PB, DN 1500 MM, PARA AGUAS PLUVIAIS (NBR 8890)</v>
          </cell>
          <cell r="C4915" t="str">
            <v xml:space="preserve">M     </v>
          </cell>
          <cell r="D4915">
            <v>794.11</v>
          </cell>
        </row>
        <row r="4916">
          <cell r="A4916">
            <v>12576</v>
          </cell>
          <cell r="B4916" t="str">
            <v>TUBO CONCRETO ARMADO, CLASSE PA-3, PB, DN 400 MM, PARA AGUAS PLUVIAIS (NBR 8890)</v>
          </cell>
          <cell r="C4916" t="str">
            <v xml:space="preserve">M     </v>
          </cell>
          <cell r="D4916">
            <v>83.94</v>
          </cell>
        </row>
        <row r="4917">
          <cell r="A4917">
            <v>12577</v>
          </cell>
          <cell r="B4917" t="str">
            <v>TUBO CONCRETO ARMADO, CLASSE PA-3, PB, DN 500 MM, PARA AGUAS PLUVIAIS (NBR 8890)</v>
          </cell>
          <cell r="C4917" t="str">
            <v xml:space="preserve">M     </v>
          </cell>
          <cell r="D4917">
            <v>108.56</v>
          </cell>
        </row>
        <row r="4918">
          <cell r="A4918">
            <v>12578</v>
          </cell>
          <cell r="B4918" t="str">
            <v>TUBO CONCRETO ARMADO, CLASSE PA-3, PB, DN 600 MM, PARA AGUAS PLUVIAIS (NBR 8890)</v>
          </cell>
          <cell r="C4918" t="str">
            <v xml:space="preserve">M     </v>
          </cell>
          <cell r="D4918">
            <v>145.61000000000001</v>
          </cell>
        </row>
        <row r="4919">
          <cell r="A4919">
            <v>12579</v>
          </cell>
          <cell r="B4919" t="str">
            <v>TUBO CONCRETO ARMADO, CLASSE PA-3, PB, DN 700 MM, PARA AGUAS PLUVIAIS (NBR 8890)</v>
          </cell>
          <cell r="C4919" t="str">
            <v xml:space="preserve">M     </v>
          </cell>
          <cell r="D4919">
            <v>213.22</v>
          </cell>
        </row>
        <row r="4920">
          <cell r="A4920">
            <v>12580</v>
          </cell>
          <cell r="B4920" t="str">
            <v>TUBO CONCRETO ARMADO, CLASSE PA-3, PB, DN 800 MM, PARA AGUAS PLUVIAIS (NBR 8890)</v>
          </cell>
          <cell r="C4920" t="str">
            <v xml:space="preserve">M     </v>
          </cell>
          <cell r="D4920">
            <v>275.25</v>
          </cell>
        </row>
        <row r="4921">
          <cell r="A4921">
            <v>12581</v>
          </cell>
          <cell r="B4921" t="str">
            <v>TUBO CONCRETO ARMADO, CLASSE PA-3, PB, DN 900 MM, PARA AGUAS PLUVIAIS (NBR 8890)</v>
          </cell>
          <cell r="C4921" t="str">
            <v xml:space="preserve">M     </v>
          </cell>
          <cell r="D4921">
            <v>376.63</v>
          </cell>
        </row>
        <row r="4922">
          <cell r="A4922">
            <v>41785</v>
          </cell>
          <cell r="B4922" t="str">
            <v>TUBO CORRUGADO PEAD, PAREDE DUPLA, INTERNA LISA, JEI, DN/DI *1000* MM, PARA SANEAMENTO</v>
          </cell>
          <cell r="C4922" t="str">
            <v xml:space="preserve">M     </v>
          </cell>
          <cell r="D4922">
            <v>1118.04</v>
          </cell>
        </row>
        <row r="4923">
          <cell r="A4923">
            <v>41781</v>
          </cell>
          <cell r="B4923" t="str">
            <v>TUBO CORRUGADO PEAD, PAREDE DUPLA, INTERNA LISA, JEI, DN/DI *400* MM, PARA SANEAMENTO</v>
          </cell>
          <cell r="C4923" t="str">
            <v xml:space="preserve">M     </v>
          </cell>
          <cell r="D4923">
            <v>318.76</v>
          </cell>
        </row>
        <row r="4924">
          <cell r="A4924">
            <v>41783</v>
          </cell>
          <cell r="B4924" t="str">
            <v>TUBO CORRUGADO PEAD, PAREDE DUPLA, INTERNA LISA, JEI, DN/DI *800* MM, PARA SANEAMENTO</v>
          </cell>
          <cell r="C4924" t="str">
            <v xml:space="preserve">M     </v>
          </cell>
          <cell r="D4924">
            <v>841.16</v>
          </cell>
        </row>
        <row r="4925">
          <cell r="A4925">
            <v>41786</v>
          </cell>
          <cell r="B4925" t="str">
            <v>TUBO CORRUGADO PEAD, PAREDE DUPLA, INTERNA LISA, JEI, DN/DI 1200 MM, PARA SANEAMENTO</v>
          </cell>
          <cell r="C4925" t="str">
            <v xml:space="preserve">M     </v>
          </cell>
          <cell r="D4925">
            <v>1754.76</v>
          </cell>
        </row>
        <row r="4926">
          <cell r="A4926">
            <v>41779</v>
          </cell>
          <cell r="B4926" t="str">
            <v>TUBO CORRUGADO PEAD, PAREDE DUPLA, INTERNA LISA, JEI, DN/DI 250 MM, PARA SANEAMENTO</v>
          </cell>
          <cell r="C4926" t="str">
            <v xml:space="preserve">M     </v>
          </cell>
          <cell r="D4926">
            <v>122.25</v>
          </cell>
        </row>
        <row r="4927">
          <cell r="A4927">
            <v>41780</v>
          </cell>
          <cell r="B4927" t="str">
            <v>TUBO CORRUGADO PEAD, PAREDE DUPLA, INTERNA LISA, JEI, DN/DI 300 MM, PARA SANEAMENTO</v>
          </cell>
          <cell r="C4927" t="str">
            <v xml:space="preserve">M     </v>
          </cell>
          <cell r="D4927">
            <v>144.59</v>
          </cell>
        </row>
        <row r="4928">
          <cell r="A4928">
            <v>41782</v>
          </cell>
          <cell r="B4928" t="str">
            <v>TUBO CORRUGADO PEAD, PAREDE DUPLA, INTERNA LISA, JEI, DN/DI 600 MM, PARA SANEAMENTO</v>
          </cell>
          <cell r="C4928" t="str">
            <v xml:space="preserve">M     </v>
          </cell>
          <cell r="D4928">
            <v>596.05999999999995</v>
          </cell>
        </row>
        <row r="4929">
          <cell r="A4929">
            <v>38130</v>
          </cell>
          <cell r="B4929" t="str">
            <v>TUBO CPVC SOLDAVEL, 35 MM, AGUA QUENTE PREDIAL (NBR 15884)</v>
          </cell>
          <cell r="C4929" t="str">
            <v xml:space="preserve">M     </v>
          </cell>
          <cell r="D4929">
            <v>25.9</v>
          </cell>
        </row>
        <row r="4930">
          <cell r="A4930">
            <v>21123</v>
          </cell>
          <cell r="B4930" t="str">
            <v>TUBO CPVC, SOLDAVEL, 15 MM, AGUA QUENTE PREDIAL (NBR 15884)</v>
          </cell>
          <cell r="C4930" t="str">
            <v xml:space="preserve">M     </v>
          </cell>
          <cell r="D4930">
            <v>7.35</v>
          </cell>
        </row>
        <row r="4931">
          <cell r="A4931">
            <v>21124</v>
          </cell>
          <cell r="B4931" t="str">
            <v>TUBO CPVC, SOLDAVEL, 22 MM, AGUA QUENTE PREDIAL (NBR 15884)</v>
          </cell>
          <cell r="C4931" t="str">
            <v xml:space="preserve">M     </v>
          </cell>
          <cell r="D4931">
            <v>13.03</v>
          </cell>
        </row>
        <row r="4932">
          <cell r="A4932">
            <v>21125</v>
          </cell>
          <cell r="B4932" t="str">
            <v>TUBO CPVC, SOLDAVEL, 28 MM, AGUA QUENTE PREDIAL (NBR 15884)</v>
          </cell>
          <cell r="C4932" t="str">
            <v xml:space="preserve">M     </v>
          </cell>
          <cell r="D4932">
            <v>20.91</v>
          </cell>
        </row>
        <row r="4933">
          <cell r="A4933">
            <v>38028</v>
          </cell>
          <cell r="B4933" t="str">
            <v>TUBO CPVC, SOLDAVEL, 42 MM, AGUA QUENTE PREDIAL (NBR 15884)</v>
          </cell>
          <cell r="C4933" t="str">
            <v xml:space="preserve">M     </v>
          </cell>
          <cell r="D4933">
            <v>35.49</v>
          </cell>
        </row>
        <row r="4934">
          <cell r="A4934">
            <v>38029</v>
          </cell>
          <cell r="B4934" t="str">
            <v>TUBO CPVC, SOLDAVEL, 54 MM, AGUA QUENTE PREDIAL (NBR 15884)</v>
          </cell>
          <cell r="C4934" t="str">
            <v xml:space="preserve">M     </v>
          </cell>
          <cell r="D4934">
            <v>54.1</v>
          </cell>
        </row>
        <row r="4935">
          <cell r="A4935">
            <v>38030</v>
          </cell>
          <cell r="B4935" t="str">
            <v>TUBO CPVC, SOLDAVEL, 73 MM, AGUA QUENTE PREDIAL (NBR 15884)</v>
          </cell>
          <cell r="C4935" t="str">
            <v xml:space="preserve">M     </v>
          </cell>
          <cell r="D4935">
            <v>83.11</v>
          </cell>
        </row>
        <row r="4936">
          <cell r="A4936">
            <v>38031</v>
          </cell>
          <cell r="B4936" t="str">
            <v>TUBO CPVC, SOLDAVEL, 89 MM, AGUA QUENTE PREDIAL (NBR 15884)</v>
          </cell>
          <cell r="C4936" t="str">
            <v xml:space="preserve">M     </v>
          </cell>
          <cell r="D4936">
            <v>131.69</v>
          </cell>
        </row>
        <row r="4937">
          <cell r="A4937">
            <v>39735</v>
          </cell>
          <cell r="B4937" t="str">
            <v>TUBO DE BORRACHA ELASTOMERICA FLEXIVEL, PRETA, PARA ISOLAMENTO TERMICO DE TUBULACAO, DN 1 1/8" (28 MM), E= 32 MM, COEFICIENTE DE CONDUTIVIDADE TERMICA 0,036W/mK, VAPOR DE AGUA MAIOR OU IGUAL A 10.000</v>
          </cell>
          <cell r="C4937" t="str">
            <v xml:space="preserve">M     </v>
          </cell>
          <cell r="D4937">
            <v>73.92</v>
          </cell>
        </row>
        <row r="4938">
          <cell r="A4938">
            <v>39734</v>
          </cell>
          <cell r="B4938" t="str">
            <v>TUBO DE BORRACHA ELASTOMERICA FLEXIVEL, PRETA, PARA ISOLAMENTO TERMICO DE TUBULACAO, DN 1 3/8" (35 MM), E= 32 MM, COEFICIENTE DE CONDUTIVIDADE TERMICA 0,036W/mK, VAPOR DE AGUA MAIOR OU IGUAL A 10.000</v>
          </cell>
          <cell r="C4938" t="str">
            <v xml:space="preserve">M     </v>
          </cell>
          <cell r="D4938">
            <v>87.69</v>
          </cell>
        </row>
        <row r="4939">
          <cell r="A4939">
            <v>39736</v>
          </cell>
          <cell r="B4939" t="str">
            <v>TUBO DE BORRACHA ELASTOMERICA FLEXIVEL, PRETA, PARA ISOLAMENTO TERMICO DE TUBULACAO, DN 1 5/8" (42 MM), E= 32 MM, COEFICIENTE DE CONDUTIVIDADE TERMICA 0,036W/mK, VAPOR DE AGUA MAIOR OU IGUAL A 10.000</v>
          </cell>
          <cell r="C4939" t="str">
            <v xml:space="preserve">M     </v>
          </cell>
          <cell r="D4939">
            <v>100.07</v>
          </cell>
        </row>
        <row r="4940">
          <cell r="A4940">
            <v>39737</v>
          </cell>
          <cell r="B4940" t="str">
            <v>TUBO DE BORRACHA ELASTOMERICA FLEXIVEL, PRETA, PARA ISOLAMENTO TERMICO DE TUBULACAO, DN 1/2" (12 MM), E= 19 MM, COEFICIENTE DE CONDUTIVIDADE TERMICA 0,036W/mK, VAPOR DE AGUA MAIOR OU IGUAL A 10.000</v>
          </cell>
          <cell r="C4940" t="str">
            <v xml:space="preserve">M     </v>
          </cell>
          <cell r="D4940">
            <v>13.46</v>
          </cell>
        </row>
        <row r="4941">
          <cell r="A4941">
            <v>39738</v>
          </cell>
          <cell r="B4941" t="str">
            <v>TUBO DE BORRACHA ELASTOMERICA FLEXIVEL, PRETA, PARA ISOLAMENTO TERMICO DE TUBULACAO, DN 1/4" (6 MM), E= 9 MM, COEFICIENTE DE CONDUTIVIDADE TERMICA 0,036W/mK, VAPOR DE AGUA MAIOR OU IGUAL A 10.000</v>
          </cell>
          <cell r="C4941" t="str">
            <v xml:space="preserve">M     </v>
          </cell>
          <cell r="D4941">
            <v>4.8600000000000003</v>
          </cell>
        </row>
        <row r="4942">
          <cell r="A4942">
            <v>39739</v>
          </cell>
          <cell r="B4942" t="str">
            <v>TUBO DE BORRACHA ELASTOMERICA FLEXIVEL, PRETA, PARA ISOLAMENTO TERMICO DE TUBULACAO, DN 1" (25 MM), E= 32 MM, COEFICIENTE DE CONDUTIVIDADE TERMICA 0,036W/mK, VAPOR DE AGUA MAIOR OU IGUAL A 10.000</v>
          </cell>
          <cell r="C4942" t="str">
            <v xml:space="preserve">M     </v>
          </cell>
          <cell r="D4942">
            <v>69.2</v>
          </cell>
        </row>
        <row r="4943">
          <cell r="A4943">
            <v>39733</v>
          </cell>
          <cell r="B4943" t="str">
            <v>TUBO DE BORRACHA ELASTOMERICA FLEXIVEL, PRETA, PARA ISOLAMENTO TERMICO DE TUBULACAO, DN 2 1/8" (54 MM), E= 32 MM, COEFICIENTE DE CONDUTIVIDADE TERMICA 0,036W/mK, VAPOR DE AGUA MAIOR OU IGUAL A 10.000</v>
          </cell>
          <cell r="C4943" t="str">
            <v xml:space="preserve">M     </v>
          </cell>
          <cell r="D4943">
            <v>119.76</v>
          </cell>
        </row>
        <row r="4944">
          <cell r="A4944">
            <v>39854</v>
          </cell>
          <cell r="B4944" t="str">
            <v>TUBO DE BORRACHA ELASTOMERICA FLEXIVEL, PRETA, PARA ISOLAMENTO TERMICO DE TUBULACAO, DN 2 5/8" (*64* MM), E= *32* MM, COEFICIENTE DE CONDUTIVIDADE TERMICA 0,036W/MK, VAPOR DE AGUA MAIOR OU IGUAL A 10.000</v>
          </cell>
          <cell r="C4944" t="str">
            <v xml:space="preserve">M     </v>
          </cell>
          <cell r="D4944">
            <v>121.45</v>
          </cell>
        </row>
        <row r="4945">
          <cell r="A4945">
            <v>39740</v>
          </cell>
          <cell r="B4945" t="str">
            <v>TUBO DE BORRACHA ELASTOMERICA FLEXIVEL, PRETA, PARA ISOLAMENTO TERMICO DE TUBULACAO, DN 3/4" (18 MM), E= 32 MM, COEFICIENTE DE CONDUTIVIDADE TERMICA 0,036W/mK, VAPOR DE AGUA MAIOR OU IGUAL A 10.000</v>
          </cell>
          <cell r="C4945" t="str">
            <v xml:space="preserve">M     </v>
          </cell>
          <cell r="D4945">
            <v>66.45</v>
          </cell>
        </row>
        <row r="4946">
          <cell r="A4946">
            <v>39741</v>
          </cell>
          <cell r="B4946" t="str">
            <v>TUBO DE BORRACHA ELASTOMERICA FLEXIVEL, PRETA, PARA ISOLAMENTO TERMICO DE TUBULACAO, DN 3/8" (10 MM), E= 19 MM, COEFICIENTE DE CONDUTIVIDADE TERMICA 0,036W/mK, VAPOR DE AGUA MAIOR OU IGUAL A 10.000</v>
          </cell>
          <cell r="C4946" t="str">
            <v xml:space="preserve">M     </v>
          </cell>
          <cell r="D4946">
            <v>12.24</v>
          </cell>
        </row>
        <row r="4947">
          <cell r="A4947">
            <v>39853</v>
          </cell>
          <cell r="B4947" t="str">
            <v>TUBO DE BORRACHA ELASTOMERICA FLEXIVEL, PRETA, PARA ISOLAMENTO TERMICO DE TUBULACAO, DN 5/8" (15 MM), E= 19 MM, COEFICIENTE DE CONDUTIVIDADE TERMICA 0,036W/MK, VAPOR DE AGUA MAIOR OU IGUAL A 10.000</v>
          </cell>
          <cell r="C4947" t="str">
            <v xml:space="preserve">M     </v>
          </cell>
          <cell r="D4947">
            <v>16.079999999999998</v>
          </cell>
        </row>
        <row r="4948">
          <cell r="A4948">
            <v>39742</v>
          </cell>
          <cell r="B4948" t="str">
            <v>TUBO DE BORRACHA ELASTOMERICA FLEXIVEL, PRETA, PARA ISOLAMENTO TERMICO DE TUBULACAO, DN 7/8" (22 MM), E= 32 MM, COEFICIENTE DE CONDUTIVIDADE TERMICA 0,036W/mK, VAPOR DE AGUA MAIOR OU IGUAL A 10.000</v>
          </cell>
          <cell r="C4948" t="str">
            <v xml:space="preserve">M     </v>
          </cell>
          <cell r="D4948">
            <v>53.41</v>
          </cell>
        </row>
        <row r="4949">
          <cell r="A4949">
            <v>39749</v>
          </cell>
          <cell r="B4949" t="str">
            <v>TUBO DE COBRE CLASSE "A", DN = 1 " (28 MM), PARA INSTALACOES DE MEDIA PRESSAO PARA GASES COMBUSTIVEIS E MEDICINAIS</v>
          </cell>
          <cell r="C4949" t="str">
            <v xml:space="preserve">M     </v>
          </cell>
          <cell r="D4949">
            <v>55.77</v>
          </cell>
        </row>
        <row r="4950">
          <cell r="A4950">
            <v>39751</v>
          </cell>
          <cell r="B4950" t="str">
            <v>TUBO DE COBRE CLASSE "A", DN = 1 1/2 " (42 MM), PARA INSTALACOES DE MEDIA PRESSAO PARA GASES COMBUSTIVEIS E MEDICINAIS</v>
          </cell>
          <cell r="C4950" t="str">
            <v xml:space="preserve">M     </v>
          </cell>
          <cell r="D4950">
            <v>101.34</v>
          </cell>
        </row>
        <row r="4951">
          <cell r="A4951">
            <v>39750</v>
          </cell>
          <cell r="B4951" t="str">
            <v>TUBO DE COBRE CLASSE "A", DN = 1 1/4 " (35 MM), PARA INSTALACOES DE MEDIA PRESSAO PARA GASES COMBUSTIVEIS E MEDICINAIS</v>
          </cell>
          <cell r="C4951" t="str">
            <v xml:space="preserve">M     </v>
          </cell>
          <cell r="D4951">
            <v>84.23</v>
          </cell>
        </row>
        <row r="4952">
          <cell r="A4952">
            <v>39747</v>
          </cell>
          <cell r="B4952" t="str">
            <v>TUBO DE COBRE CLASSE "A", DN = 1/2 " (15 MM), PARA INSTALACOES DE MEDIA PRESSAO PARA GASES COMBUSTIVEIS E MEDICINAIS</v>
          </cell>
          <cell r="C4952" t="str">
            <v xml:space="preserve">M     </v>
          </cell>
          <cell r="D4952">
            <v>27.09</v>
          </cell>
        </row>
        <row r="4953">
          <cell r="A4953">
            <v>39753</v>
          </cell>
          <cell r="B4953" t="str">
            <v>TUBO DE COBRE CLASSE "A", DN = 2 1/2 " (66 MM), PARA INSTALACOES DE MEDIA PRESSAO PARA GASES COMBUSTIVEIS E MEDICINAIS</v>
          </cell>
          <cell r="C4953" t="str">
            <v xml:space="preserve">M     </v>
          </cell>
          <cell r="D4953">
            <v>186.54</v>
          </cell>
        </row>
        <row r="4954">
          <cell r="A4954">
            <v>39754</v>
          </cell>
          <cell r="B4954" t="str">
            <v>TUBO DE COBRE CLASSE "A", DN = 3 " (79 MM), PARA INSTALACOES DE MEDIA PRESSAO PARA GASES COMBUSTIVEIS E MEDICINAIS</v>
          </cell>
          <cell r="C4954" t="str">
            <v xml:space="preserve">M     </v>
          </cell>
          <cell r="D4954">
            <v>274.83</v>
          </cell>
        </row>
        <row r="4955">
          <cell r="A4955">
            <v>39748</v>
          </cell>
          <cell r="B4955" t="str">
            <v>TUBO DE COBRE CLASSE "A", DN = 3/4 " (22 MM), PARA INSTALACOES DE MEDIA PRESSAO PARA GASES COMBUSTIVEIS E MEDICINAIS</v>
          </cell>
          <cell r="C4955" t="str">
            <v xml:space="preserve">M     </v>
          </cell>
          <cell r="D4955">
            <v>43.84</v>
          </cell>
        </row>
        <row r="4956">
          <cell r="A4956">
            <v>39755</v>
          </cell>
          <cell r="B4956" t="str">
            <v>TUBO DE COBRE CLASSE "A", DN = 4 " (104 MM), PARA INSTALACOES DE MEDIA PRESSAO PARA GASES COMBUSTIVEIS E MEDICINAIS</v>
          </cell>
          <cell r="C4956" t="str">
            <v xml:space="preserve">M     </v>
          </cell>
          <cell r="D4956">
            <v>416.71</v>
          </cell>
        </row>
        <row r="4957">
          <cell r="A4957">
            <v>12742</v>
          </cell>
          <cell r="B4957" t="str">
            <v>TUBO DE COBRE CLASSE "E", DN = 104 MM, PARA INSTALACAO HIDRAULICA PREDIAL</v>
          </cell>
          <cell r="C4957" t="str">
            <v xml:space="preserve">M     </v>
          </cell>
          <cell r="D4957">
            <v>329.96</v>
          </cell>
        </row>
        <row r="4958">
          <cell r="A4958">
            <v>12713</v>
          </cell>
          <cell r="B4958" t="str">
            <v>TUBO DE COBRE CLASSE "E", DN = 15 MM, PARA INSTALACAO HIDRAULICA PREDIAL</v>
          </cell>
          <cell r="C4958" t="str">
            <v xml:space="preserve">M     </v>
          </cell>
          <cell r="D4958">
            <v>17.5</v>
          </cell>
        </row>
        <row r="4959">
          <cell r="A4959">
            <v>12743</v>
          </cell>
          <cell r="B4959" t="str">
            <v>TUBO DE COBRE CLASSE "E", DN = 22 MM, PARA INSTALACAO HIDRAULICA PREDIAL</v>
          </cell>
          <cell r="C4959" t="str">
            <v xml:space="preserve">M     </v>
          </cell>
          <cell r="D4959">
            <v>30.1</v>
          </cell>
        </row>
        <row r="4960">
          <cell r="A4960">
            <v>12744</v>
          </cell>
          <cell r="B4960" t="str">
            <v>TUBO DE COBRE CLASSE "E", DN = 28 MM, PARA INSTALACAO HIDRAULICA PREDIAL</v>
          </cell>
          <cell r="C4960" t="str">
            <v xml:space="preserve">M     </v>
          </cell>
          <cell r="D4960">
            <v>38.200000000000003</v>
          </cell>
        </row>
        <row r="4961">
          <cell r="A4961">
            <v>12745</v>
          </cell>
          <cell r="B4961" t="str">
            <v>TUBO DE COBRE CLASSE "E", DN = 35 MM, PARA INSTALACAO HIDRAULICA PREDIAL</v>
          </cell>
          <cell r="C4961" t="str">
            <v xml:space="preserve">M     </v>
          </cell>
          <cell r="D4961">
            <v>55.48</v>
          </cell>
        </row>
        <row r="4962">
          <cell r="A4962">
            <v>12746</v>
          </cell>
          <cell r="B4962" t="str">
            <v>TUBO DE COBRE CLASSE "E", DN = 42 MM, PARA INSTALACAO HIDRAULICA PREDIAL</v>
          </cell>
          <cell r="C4962" t="str">
            <v xml:space="preserve">M     </v>
          </cell>
          <cell r="D4962">
            <v>74.92</v>
          </cell>
        </row>
        <row r="4963">
          <cell r="A4963">
            <v>12747</v>
          </cell>
          <cell r="B4963" t="str">
            <v>TUBO DE COBRE CLASSE "E", DN = 54 MM, PARA INSTALACAO HIDRAULICA PREDIAL</v>
          </cell>
          <cell r="C4963" t="str">
            <v xml:space="preserve">M     </v>
          </cell>
          <cell r="D4963">
            <v>108.65</v>
          </cell>
        </row>
        <row r="4964">
          <cell r="A4964">
            <v>12748</v>
          </cell>
          <cell r="B4964" t="str">
            <v>TUBO DE COBRE CLASSE "E", DN = 66 MM, PARA INSTALACAO HIDRAULICA PREDIAL</v>
          </cell>
          <cell r="C4964" t="str">
            <v xml:space="preserve">M     </v>
          </cell>
          <cell r="D4964">
            <v>153.07</v>
          </cell>
        </row>
        <row r="4965">
          <cell r="A4965">
            <v>12749</v>
          </cell>
          <cell r="B4965" t="str">
            <v>TUBO DE COBRE CLASSE "E", DN = 79 MM, PARA INSTALACAO HIDRAULICA PREDIAL</v>
          </cell>
          <cell r="C4965" t="str">
            <v xml:space="preserve">M     </v>
          </cell>
          <cell r="D4965">
            <v>223.77</v>
          </cell>
        </row>
        <row r="4966">
          <cell r="A4966">
            <v>39726</v>
          </cell>
          <cell r="B4966" t="str">
            <v>TUBO DE COBRE CLASSE "I", DN = 1 " (28 MM), PARA INSTALACOES INDUSTRIAIS DE ALTA PRESSAO E VAPOR</v>
          </cell>
          <cell r="C4966" t="str">
            <v xml:space="preserve">M     </v>
          </cell>
          <cell r="D4966">
            <v>73.5</v>
          </cell>
        </row>
        <row r="4967">
          <cell r="A4967">
            <v>39728</v>
          </cell>
          <cell r="B4967" t="str">
            <v>TUBO DE COBRE CLASSE "I", DN = 1 1/2 " (42 MM), PARA INSTALACOES INDUSTRIAIS DE ALTA PRESSAO E VAPOR</v>
          </cell>
          <cell r="C4967" t="str">
            <v xml:space="preserve">M     </v>
          </cell>
          <cell r="D4967">
            <v>129.16999999999999</v>
          </cell>
        </row>
        <row r="4968">
          <cell r="A4968">
            <v>39727</v>
          </cell>
          <cell r="B4968" t="str">
            <v>TUBO DE COBRE CLASSE "I", DN = 1 1/4 " (35 MM), PARA INSTALACOES INDUSTRIAIS DE ALTA PRESSAO E VAPOR</v>
          </cell>
          <cell r="C4968" t="str">
            <v xml:space="preserve">M     </v>
          </cell>
          <cell r="D4968">
            <v>106.3</v>
          </cell>
        </row>
        <row r="4969">
          <cell r="A4969">
            <v>39724</v>
          </cell>
          <cell r="B4969" t="str">
            <v>TUBO DE COBRE CLASSE "I", DN = 1/2 " (15 MM), PARA INSTALACOES INDUSTRIAIS DE ALTA PRESSAO E VAPOR</v>
          </cell>
          <cell r="C4969" t="str">
            <v xml:space="preserve">M     </v>
          </cell>
          <cell r="D4969">
            <v>32.54</v>
          </cell>
        </row>
        <row r="4970">
          <cell r="A4970">
            <v>39729</v>
          </cell>
          <cell r="B4970" t="str">
            <v>TUBO DE COBRE CLASSE "I", DN = 2 " (54 MM), PARA INSTALACOES INDUSTRIAIS DE ALTA PRESSAO E VAPOR</v>
          </cell>
          <cell r="C4970" t="str">
            <v xml:space="preserve">M     </v>
          </cell>
          <cell r="D4970">
            <v>178.88</v>
          </cell>
        </row>
        <row r="4971">
          <cell r="A4971">
            <v>39730</v>
          </cell>
          <cell r="B4971" t="str">
            <v>TUBO DE COBRE CLASSE "I", DN = 2 1/2 " (66 MM), PARA INSTALACOES INDUSTRIAIS DE ALTA PRESSAO E VAPOR</v>
          </cell>
          <cell r="C4971" t="str">
            <v xml:space="preserve">M     </v>
          </cell>
          <cell r="D4971">
            <v>232.09</v>
          </cell>
        </row>
        <row r="4972">
          <cell r="A4972">
            <v>39731</v>
          </cell>
          <cell r="B4972" t="str">
            <v>TUBO DE COBRE CLASSE "I", DN = 3 " (79 MM), PARA INSTALACOES INDUSTRIAIS DE ALTA PRESSAO E VAPOR</v>
          </cell>
          <cell r="C4972" t="str">
            <v xml:space="preserve">M     </v>
          </cell>
          <cell r="D4972">
            <v>343.75</v>
          </cell>
        </row>
        <row r="4973">
          <cell r="A4973">
            <v>39725</v>
          </cell>
          <cell r="B4973" t="str">
            <v>TUBO DE COBRE CLASSE "I", DN = 3/4 " (22 MM), PARA INSTALACOES INDUSTRIAIS DE ALTA PRESSAO E VAPOR</v>
          </cell>
          <cell r="C4973" t="str">
            <v xml:space="preserve">M     </v>
          </cell>
          <cell r="D4973">
            <v>53.05</v>
          </cell>
        </row>
        <row r="4974">
          <cell r="A4974">
            <v>39732</v>
          </cell>
          <cell r="B4974" t="str">
            <v>TUBO DE COBRE CLASSE "I", DN = 4" (104 MM), PARA INSTALACOES INDUSTRIAIS DE ALTA PRESSAO E VAPOR</v>
          </cell>
          <cell r="C4974" t="str">
            <v xml:space="preserve">M     </v>
          </cell>
          <cell r="D4974">
            <v>505.98</v>
          </cell>
        </row>
        <row r="4975">
          <cell r="A4975">
            <v>39660</v>
          </cell>
          <cell r="B4975" t="str">
            <v>TUBO DE COBRE FLEXIVEL, D = 1/2 ", E = 0,79 MM, PARA AR-CONDICIONADO/ INSTALACOES GAS RESIDENCIAIS E COMERCIAIS</v>
          </cell>
          <cell r="C4975" t="str">
            <v xml:space="preserve">M     </v>
          </cell>
          <cell r="D4975">
            <v>23.05</v>
          </cell>
        </row>
        <row r="4976">
          <cell r="A4976">
            <v>39662</v>
          </cell>
          <cell r="B4976" t="str">
            <v>TUBO DE COBRE FLEXIVEL, D = 1/4 ", E = 0,79 MM, PARA AR-CONDICIONADO/ INSTALACOES GAS RESIDENCIAIS E COMERCIAIS</v>
          </cell>
          <cell r="C4976" t="str">
            <v xml:space="preserve">M     </v>
          </cell>
          <cell r="D4976">
            <v>11.05</v>
          </cell>
        </row>
        <row r="4977">
          <cell r="A4977">
            <v>39661</v>
          </cell>
          <cell r="B4977" t="str">
            <v>TUBO DE COBRE FLEXIVEL, D = 3/16 ", E = 0,79 MM, PARA AR-CONDICIONADO/ INSTALACOES GAS RESIDENCIAIS E COMERCIAIS</v>
          </cell>
          <cell r="C4977" t="str">
            <v xml:space="preserve">M     </v>
          </cell>
          <cell r="D4977">
            <v>7.53</v>
          </cell>
        </row>
        <row r="4978">
          <cell r="A4978">
            <v>39666</v>
          </cell>
          <cell r="B4978" t="str">
            <v>TUBO DE COBRE FLEXIVEL, D = 3/4 ", E = 0,79 MM, PARA AR-CONDICIONADO/ INSTALACOES GAS RESIDENCIAIS E COMERCIAIS</v>
          </cell>
          <cell r="C4978" t="str">
            <v xml:space="preserve">M     </v>
          </cell>
          <cell r="D4978">
            <v>34.68</v>
          </cell>
        </row>
        <row r="4979">
          <cell r="A4979">
            <v>39664</v>
          </cell>
          <cell r="B4979" t="str">
            <v>TUBO DE COBRE FLEXIVEL, D = 3/8 ", E = 0,79 MM, PARA AR-CONDICIONADO/ INSTALACOES GAS RESIDENCIAIS E COMERCIAIS</v>
          </cell>
          <cell r="C4979" t="str">
            <v xml:space="preserve">M     </v>
          </cell>
          <cell r="D4979">
            <v>17</v>
          </cell>
        </row>
        <row r="4980">
          <cell r="A4980">
            <v>39663</v>
          </cell>
          <cell r="B4980" t="str">
            <v>TUBO DE COBRE FLEXIVEL, D = 5/16 ", E = 0,79 MM, PARA AR-CONDICIONADO/ INSTALACOES GAS RESIDENCIAIS E COMERCIAIS</v>
          </cell>
          <cell r="C4980" t="str">
            <v xml:space="preserve">M     </v>
          </cell>
          <cell r="D4980">
            <v>13.59</v>
          </cell>
        </row>
        <row r="4981">
          <cell r="A4981">
            <v>39665</v>
          </cell>
          <cell r="B4981" t="str">
            <v>TUBO DE COBRE FLEXIVEL, D = 5/8 ", E = 0,79 MM, PARA AR-CONDICIONADO/ INSTALACOES GAS RESIDENCIAIS E COMERCIAIS</v>
          </cell>
          <cell r="C4981" t="str">
            <v xml:space="preserve">M     </v>
          </cell>
          <cell r="D4981">
            <v>28.68</v>
          </cell>
        </row>
        <row r="4982">
          <cell r="A4982">
            <v>39752</v>
          </cell>
          <cell r="B4982" t="str">
            <v>TUBO DE COBRE, CLASSE "A", DN = 2" (54 MM), PARA INSTALACOES DE MEDIA PRESSAO PARA GASES COMBUSTIVEIS E MEDICINAIS</v>
          </cell>
          <cell r="C4982" t="str">
            <v xml:space="preserve">M     </v>
          </cell>
          <cell r="D4982">
            <v>144.19999999999999</v>
          </cell>
        </row>
        <row r="4983">
          <cell r="A4983">
            <v>12583</v>
          </cell>
          <cell r="B4983" t="str">
            <v>TUBO DE CONCRETO SIMPLES POROSO, MACHO/FEMEA, DN 200 MM</v>
          </cell>
          <cell r="C4983" t="str">
            <v xml:space="preserve">M     </v>
          </cell>
          <cell r="D4983">
            <v>24.47</v>
          </cell>
        </row>
        <row r="4984">
          <cell r="A4984">
            <v>12584</v>
          </cell>
          <cell r="B4984" t="str">
            <v>TUBO DE CONCRETO SIMPLES POROSO, MACHO/FEMEA, DN 300 MM</v>
          </cell>
          <cell r="C4984" t="str">
            <v xml:space="preserve">M     </v>
          </cell>
          <cell r="D4984">
            <v>23.55</v>
          </cell>
        </row>
        <row r="4985">
          <cell r="A4985">
            <v>13159</v>
          </cell>
          <cell r="B4985" t="str">
            <v>TUBO DE CONCRETO SIMPLES, CLASSE ES, PB JE, DN 400 MM, PARA ESGOTO SANITARIO (NBR 8890)</v>
          </cell>
          <cell r="C4985" t="str">
            <v xml:space="preserve">M     </v>
          </cell>
          <cell r="D4985">
            <v>71.349999999999994</v>
          </cell>
        </row>
        <row r="4986">
          <cell r="A4986">
            <v>13168</v>
          </cell>
          <cell r="B4986" t="str">
            <v>TUBO DE CONCRETO SIMPLES, CLASSE ES, PB JE, DN 500 MM, PARA ESGOTO SANITARIO (NBR 8890)</v>
          </cell>
          <cell r="C4986" t="str">
            <v xml:space="preserve">M     </v>
          </cell>
          <cell r="D4986">
            <v>107.29</v>
          </cell>
        </row>
        <row r="4987">
          <cell r="A4987">
            <v>13173</v>
          </cell>
          <cell r="B4987" t="str">
            <v>TUBO DE CONCRETO SIMPLES, CLASSE ES, PB JE, DN 600 MM, PARA ESGOTO SANITARIO (NBR 8890)</v>
          </cell>
          <cell r="C4987" t="str">
            <v xml:space="preserve">M     </v>
          </cell>
          <cell r="D4987">
            <v>132.29</v>
          </cell>
        </row>
        <row r="4988">
          <cell r="A4988">
            <v>37449</v>
          </cell>
          <cell r="B4988" t="str">
            <v>TUBO DE CONCRETO SIMPLES, CLASSE- PS1, MACHO/FEMEA, DN 200 MM, PARA AGUAS PLUVIAIS (NBR 8890)</v>
          </cell>
          <cell r="C4988" t="str">
            <v xml:space="preserve">M     </v>
          </cell>
          <cell r="D4988">
            <v>21.87</v>
          </cell>
        </row>
        <row r="4989">
          <cell r="A4989">
            <v>37450</v>
          </cell>
          <cell r="B4989" t="str">
            <v>TUBO DE CONCRETO SIMPLES, CLASSE- PS1, MACHO/FEMEA, DN 300 MM, PARA AGUAS PLUVIAIS (NBR 8890)</v>
          </cell>
          <cell r="C4989" t="str">
            <v xml:space="preserve">M     </v>
          </cell>
          <cell r="D4989">
            <v>26.66</v>
          </cell>
        </row>
        <row r="4990">
          <cell r="A4990">
            <v>37451</v>
          </cell>
          <cell r="B4990" t="str">
            <v>TUBO DE CONCRETO SIMPLES, CLASSE- PS1, MACHO/FEMEA, DN 400 MM, PARA AGUAS PLUVIAIS (NBR 8890)</v>
          </cell>
          <cell r="C4990" t="str">
            <v xml:space="preserve">M     </v>
          </cell>
          <cell r="D4990">
            <v>40.83</v>
          </cell>
        </row>
        <row r="4991">
          <cell r="A4991">
            <v>37452</v>
          </cell>
          <cell r="B4991" t="str">
            <v>TUBO DE CONCRETO SIMPLES, CLASSE- PS1, MACHO/FEMEA, DN 500 MM, PARA AGUAS PLUVIAIS (NBR 8890)</v>
          </cell>
          <cell r="C4991" t="str">
            <v xml:space="preserve">M     </v>
          </cell>
          <cell r="D4991">
            <v>54.16</v>
          </cell>
        </row>
        <row r="4992">
          <cell r="A4992">
            <v>37453</v>
          </cell>
          <cell r="B4992" t="str">
            <v>TUBO DE CONCRETO SIMPLES, CLASSE- PS1, MACHO/FEMEA, DN 600 MM, PARA AGUAS PLUVIAIS (NBR 8890)</v>
          </cell>
          <cell r="C4992" t="str">
            <v xml:space="preserve">M     </v>
          </cell>
          <cell r="D4992">
            <v>67.97</v>
          </cell>
        </row>
        <row r="4993">
          <cell r="A4993">
            <v>7778</v>
          </cell>
          <cell r="B4993" t="str">
            <v>TUBO DE CONCRETO SIMPLES, CLASSE- PS1, PB, DN 200 MM, PARA AGUAS PLUVIAIS (NBR 8890)</v>
          </cell>
          <cell r="C4993" t="str">
            <v xml:space="preserve">M     </v>
          </cell>
          <cell r="D4993">
            <v>25.52</v>
          </cell>
        </row>
        <row r="4994">
          <cell r="A4994">
            <v>7796</v>
          </cell>
          <cell r="B4994" t="str">
            <v>TUBO DE CONCRETO SIMPLES, CLASSE- PS1, PB, DN 300 MM, PARA AGUAS PLUVIAIS (NBR 8890)</v>
          </cell>
          <cell r="C4994" t="str">
            <v xml:space="preserve">M     </v>
          </cell>
          <cell r="D4994">
            <v>30.73</v>
          </cell>
        </row>
        <row r="4995">
          <cell r="A4995">
            <v>7781</v>
          </cell>
          <cell r="B4995" t="str">
            <v>TUBO DE CONCRETO SIMPLES, CLASSE- PS1, PB, DN 400 MM, PARA AGUAS PLUVIAIS (NBR 8890)</v>
          </cell>
          <cell r="C4995" t="str">
            <v xml:space="preserve">M     </v>
          </cell>
          <cell r="D4995">
            <v>40.619999999999997</v>
          </cell>
        </row>
        <row r="4996">
          <cell r="A4996">
            <v>7795</v>
          </cell>
          <cell r="B4996" t="str">
            <v>TUBO DE CONCRETO SIMPLES, CLASSE- PS1, PB, DN 500 MM, PARA AGUAS PLUVIAIS (NBR 8890)</v>
          </cell>
          <cell r="C4996" t="str">
            <v xml:space="preserve">M     </v>
          </cell>
          <cell r="D4996">
            <v>58.85</v>
          </cell>
        </row>
        <row r="4997">
          <cell r="A4997">
            <v>7791</v>
          </cell>
          <cell r="B4997" t="str">
            <v>TUBO DE CONCRETO SIMPLES, CLASSE- PS1, PB, DN 600 MM, PARA AGUAS PLUVIAIS (NBR 8890)</v>
          </cell>
          <cell r="C4997" t="str">
            <v xml:space="preserve">M     </v>
          </cell>
          <cell r="D4997">
            <v>75</v>
          </cell>
        </row>
        <row r="4998">
          <cell r="A4998">
            <v>7783</v>
          </cell>
          <cell r="B4998" t="str">
            <v>TUBO DE CONCRETO SIMPLES, CLASSE- PS2, PB, DN 200 MM, PARA AGUAS PLUVIAIS (NBR 8890)</v>
          </cell>
          <cell r="C4998" t="str">
            <v xml:space="preserve">M     </v>
          </cell>
          <cell r="D4998">
            <v>28.64</v>
          </cell>
        </row>
        <row r="4999">
          <cell r="A4999">
            <v>7790</v>
          </cell>
          <cell r="B4999" t="str">
            <v>TUBO DE CONCRETO SIMPLES, CLASSE- PS2, PB, DN 300 MM, PARA AGUAS PLUVIAIS (NBR 8890)</v>
          </cell>
          <cell r="C4999" t="str">
            <v xml:space="preserve">M     </v>
          </cell>
          <cell r="D4999">
            <v>33.33</v>
          </cell>
        </row>
        <row r="5000">
          <cell r="A5000">
            <v>7785</v>
          </cell>
          <cell r="B5000" t="str">
            <v>TUBO DE CONCRETO SIMPLES, CLASSE- PS2, PB, DN 400 MM, PARA AGUAS PLUVIAIS (NBR 8890)</v>
          </cell>
          <cell r="C5000" t="str">
            <v xml:space="preserve">M     </v>
          </cell>
          <cell r="D5000">
            <v>43.75</v>
          </cell>
        </row>
        <row r="5001">
          <cell r="A5001">
            <v>7792</v>
          </cell>
          <cell r="B5001" t="str">
            <v>TUBO DE CONCRETO SIMPLES, CLASSE- PS2, PB, DN 500 MM, PARA AGUAS PLUVIAIS (NBR 8890)</v>
          </cell>
          <cell r="C5001" t="str">
            <v xml:space="preserve">M     </v>
          </cell>
          <cell r="D5001">
            <v>63.54</v>
          </cell>
        </row>
        <row r="5002">
          <cell r="A5002">
            <v>7793</v>
          </cell>
          <cell r="B5002" t="str">
            <v>TUBO DE CONCRETO SIMPLES, CLASSE- PS2, PB, DN 600 MM, PARA AGUAS PLUVIAIS (NBR 8890)</v>
          </cell>
          <cell r="C5002" t="str">
            <v xml:space="preserve">M     </v>
          </cell>
          <cell r="D5002">
            <v>82</v>
          </cell>
        </row>
        <row r="5003">
          <cell r="A5003">
            <v>12613</v>
          </cell>
          <cell r="B5003" t="str">
            <v>TUBO DE DESCARGA PVC, PARA LIGACAO CAIXA DE DESCARGA - EMBUTIR, 40 MM X 150 CM</v>
          </cell>
          <cell r="C5003" t="str">
            <v xml:space="preserve">UN    </v>
          </cell>
          <cell r="D5003">
            <v>14.74</v>
          </cell>
        </row>
        <row r="5004">
          <cell r="A5004">
            <v>1031</v>
          </cell>
          <cell r="B5004" t="str">
            <v>TUBO DE DESCIDA EXTERNO DE PVC PARA CAIXA DE DESCARGA EXTERNA ALTA - 40 MM X 1,60 M</v>
          </cell>
          <cell r="C5004" t="str">
            <v xml:space="preserve">UN    </v>
          </cell>
          <cell r="D5004">
            <v>9.07</v>
          </cell>
        </row>
        <row r="5005">
          <cell r="A5005">
            <v>39707</v>
          </cell>
          <cell r="B5005" t="str">
            <v>TUBO DE ESPUMA DE POLIETILENO EXPANDIDO FLEXIVEL PARA ISOLAMENTO TERMICO DE TUBULACAO DE AR CONDICIONADO, AGUA QUENTE,  DN 1 1/2", E= 10 MM</v>
          </cell>
          <cell r="C5005" t="str">
            <v xml:space="preserve">M     </v>
          </cell>
          <cell r="D5005">
            <v>2.95</v>
          </cell>
        </row>
        <row r="5006">
          <cell r="A5006">
            <v>39708</v>
          </cell>
          <cell r="B5006" t="str">
            <v>TUBO DE ESPUMA DE POLIETILENO EXPANDIDO FLEXIVEL PARA ISOLAMENTO TERMICO DE TUBULACAO DE AR CONDICIONADO, AGUA QUENTE,  DN 1 1/4", E= 10 MM</v>
          </cell>
          <cell r="C5006" t="str">
            <v xml:space="preserve">M     </v>
          </cell>
          <cell r="D5006">
            <v>2.86</v>
          </cell>
        </row>
        <row r="5007">
          <cell r="A5007">
            <v>39710</v>
          </cell>
          <cell r="B5007" t="str">
            <v>TUBO DE ESPUMA DE POLIETILENO EXPANDIDO FLEXIVEL PARA ISOLAMENTO TERMICO DE TUBULACAO DE AR CONDICIONADO, AGUA QUENTE,  DN 1 1/8", E= 10 MM</v>
          </cell>
          <cell r="C5007" t="str">
            <v xml:space="preserve">M     </v>
          </cell>
          <cell r="D5007">
            <v>2.0099999999999998</v>
          </cell>
        </row>
        <row r="5008">
          <cell r="A5008">
            <v>39709</v>
          </cell>
          <cell r="B5008" t="str">
            <v>TUBO DE ESPUMA DE POLIETILENO EXPANDIDO FLEXIVEL PARA ISOLAMENTO TERMICO DE TUBULACAO DE AR CONDICIONADO, AGUA QUENTE,  DN 1 3/8", E= 10 MM</v>
          </cell>
          <cell r="C5008" t="str">
            <v xml:space="preserve">M     </v>
          </cell>
          <cell r="D5008">
            <v>2.79</v>
          </cell>
        </row>
        <row r="5009">
          <cell r="A5009">
            <v>39711</v>
          </cell>
          <cell r="B5009" t="str">
            <v>TUBO DE ESPUMA DE POLIETILENO EXPANDIDO FLEXIVEL PARA ISOLAMENTO TERMICO DE TUBULACAO DE AR CONDICIONADO, AGUA QUENTE,  DN 1 5/8", E= 10 MM</v>
          </cell>
          <cell r="C5009" t="str">
            <v xml:space="preserve">M     </v>
          </cell>
          <cell r="D5009">
            <v>3.13</v>
          </cell>
        </row>
        <row r="5010">
          <cell r="A5010">
            <v>39712</v>
          </cell>
          <cell r="B5010" t="str">
            <v>TUBO DE ESPUMA DE POLIETILENO EXPANDIDO FLEXIVEL PARA ISOLAMENTO TERMICO DE TUBULACAO DE AR CONDICIONADO, AGUA QUENTE,  DN 1/2", E= 10 MM</v>
          </cell>
          <cell r="C5010" t="str">
            <v xml:space="preserve">M     </v>
          </cell>
          <cell r="D5010">
            <v>1.1000000000000001</v>
          </cell>
        </row>
        <row r="5011">
          <cell r="A5011">
            <v>39713</v>
          </cell>
          <cell r="B5011" t="str">
            <v>TUBO DE ESPUMA DE POLIETILENO EXPANDIDO FLEXIVEL PARA ISOLAMENTO TERMICO DE TUBULACAO DE AR CONDICIONADO, AGUA QUENTE,  DN 1/4", E= 10 MM</v>
          </cell>
          <cell r="C5011" t="str">
            <v xml:space="preserve">M     </v>
          </cell>
          <cell r="D5011">
            <v>0.87</v>
          </cell>
        </row>
        <row r="5012">
          <cell r="A5012">
            <v>39714</v>
          </cell>
          <cell r="B5012" t="str">
            <v>TUBO DE ESPUMA DE POLIETILENO EXPANDIDO FLEXIVEL PARA ISOLAMENTO TERMICO DE TUBULACAO DE AR CONDICIONADO, AGUA QUENTE,  DN 1", E= 10 MM</v>
          </cell>
          <cell r="C5012" t="str">
            <v xml:space="preserve">M     </v>
          </cell>
          <cell r="D5012">
            <v>1.99</v>
          </cell>
        </row>
        <row r="5013">
          <cell r="A5013">
            <v>39715</v>
          </cell>
          <cell r="B5013" t="str">
            <v>TUBO DE ESPUMA DE POLIETILENO EXPANDIDO FLEXIVEL PARA ISOLAMENTO TERMICO DE TUBULACAO DE AR CONDICIONADO, AGUA QUENTE,  DN 3/4", E= 10 MM</v>
          </cell>
          <cell r="C5013" t="str">
            <v xml:space="preserve">M     </v>
          </cell>
          <cell r="D5013">
            <v>1.42</v>
          </cell>
        </row>
        <row r="5014">
          <cell r="A5014">
            <v>39716</v>
          </cell>
          <cell r="B5014" t="str">
            <v>TUBO DE ESPUMA DE POLIETILENO EXPANDIDO FLEXIVEL PARA ISOLAMENTO TERMICO DE TUBULACAO DE AR CONDICIONADO, AGUA QUENTE,  DN 3/8", E= 10 MM</v>
          </cell>
          <cell r="C5014" t="str">
            <v xml:space="preserve">M     </v>
          </cell>
          <cell r="D5014">
            <v>1.07</v>
          </cell>
        </row>
        <row r="5015">
          <cell r="A5015">
            <v>39718</v>
          </cell>
          <cell r="B5015" t="str">
            <v>TUBO DE ESPUMA DE POLIETILENO EXPANDIDO FLEXIVEL PARA ISOLAMENTO TERMICO DE TUBULACAO DE AR CONDICIONADO, AGUA QUENTE,  DN 7/8", E= 10 MM</v>
          </cell>
          <cell r="C5015" t="str">
            <v xml:space="preserve">M     </v>
          </cell>
          <cell r="D5015">
            <v>1.83</v>
          </cell>
        </row>
        <row r="5016">
          <cell r="A5016">
            <v>9813</v>
          </cell>
          <cell r="B5016" t="str">
            <v>TUBO DE POLIETILENO DE ALTA DENSIDADE (PEAD), PE-80, DE = 20 MM X 2,3 MM DE PAREDE, PARA LIGACAO DE AGUA PREDIAL (NBR 15561)</v>
          </cell>
          <cell r="C5016" t="str">
            <v xml:space="preserve">M     </v>
          </cell>
          <cell r="D5016">
            <v>3.34</v>
          </cell>
        </row>
        <row r="5017">
          <cell r="A5017">
            <v>9815</v>
          </cell>
          <cell r="B5017" t="str">
            <v>TUBO DE POLIETILENO DE ALTA DENSIDADE (PEAD), PE-80, DE = 32 MM X 3,0 MM DE PAREDE, PARA LIGACAO DE AGUA PREDIAL (NBR 15561)</v>
          </cell>
          <cell r="C5017" t="str">
            <v xml:space="preserve">M     </v>
          </cell>
          <cell r="D5017">
            <v>6.59</v>
          </cell>
        </row>
        <row r="5018">
          <cell r="A5018">
            <v>25876</v>
          </cell>
          <cell r="B5018" t="str">
            <v>TUBO DE POLIETILENO DE ALTA DENSIDADE, PEAD, PE-80, DE = 1000 MM X 38,5 MM PAREDE, ( SDR 26 - PN 05 ) PARA REDE DE AGUA OU ESGOTO (NBR 15561)</v>
          </cell>
          <cell r="C5018" t="str">
            <v xml:space="preserve">M     </v>
          </cell>
          <cell r="D5018">
            <v>3282.1</v>
          </cell>
        </row>
        <row r="5019">
          <cell r="A5019">
            <v>25888</v>
          </cell>
          <cell r="B5019" t="str">
            <v>TUBO DE POLIETILENO DE ALTA DENSIDADE, PEAD, PE-80, DE = 110 MM X 10,0 MM PAREDE, ( SDR 11 - PN 12,5 ) PARA REDE DE AGUA OU ESGOTO (NBR 15561)</v>
          </cell>
          <cell r="C5019" t="str">
            <v xml:space="preserve">M     </v>
          </cell>
          <cell r="D5019">
            <v>80.44</v>
          </cell>
        </row>
        <row r="5020">
          <cell r="A5020">
            <v>25874</v>
          </cell>
          <cell r="B5020" t="str">
            <v>TUBO DE POLIETILENO DE ALTA DENSIDADE, PEAD, PE-80, DE = 1200 MM X 37,2 MM PAREDE ( SDR 32,25 - PN 04 ) PARA REDE DE AGUA OU ESGOTO (NBR 15561)</v>
          </cell>
          <cell r="C5020" t="str">
            <v xml:space="preserve">M     </v>
          </cell>
          <cell r="D5020">
            <v>5756.32</v>
          </cell>
        </row>
        <row r="5021">
          <cell r="A5021">
            <v>25877</v>
          </cell>
          <cell r="B5021" t="str">
            <v>TUBO DE POLIETILENO DE ALTA DENSIDADE, PEAD, PE-80, DE = 1400 MM X 42,9 MM PAREDE, (SDR 32,25 - PN 04 ) PARA REDE DE AGUA OU ESGOTO (NBR 15561)</v>
          </cell>
          <cell r="C5021" t="str">
            <v xml:space="preserve">M     </v>
          </cell>
          <cell r="D5021">
            <v>7854.71</v>
          </cell>
        </row>
        <row r="5022">
          <cell r="A5022">
            <v>25878</v>
          </cell>
          <cell r="B5022" t="str">
            <v>TUBO DE POLIETILENO DE ALTA DENSIDADE, PEAD, PE-80, DE = 160 MM X 14,6 MM PAREDE, (SDR 11 - PN 12,5 ) PARA REDE DE AGUA OU ESGOTO (NBR 15561)</v>
          </cell>
          <cell r="C5022" t="str">
            <v xml:space="preserve">M     </v>
          </cell>
          <cell r="D5022">
            <v>172.66</v>
          </cell>
        </row>
        <row r="5023">
          <cell r="A5023">
            <v>25879</v>
          </cell>
          <cell r="B5023" t="str">
            <v>TUBO DE POLIETILENO DE ALTA DENSIDADE, PEAD, PE-80, DE = 1600 MM X 49,0 MM PAREDE, ( SDR 32,25 - PN 04 ) PARA REDE DE AGUA OU ESGOTO (NBR 15561)</v>
          </cell>
          <cell r="C5023" t="str">
            <v xml:space="preserve">M     </v>
          </cell>
          <cell r="D5023">
            <v>7451.13</v>
          </cell>
        </row>
        <row r="5024">
          <cell r="A5024">
            <v>25887</v>
          </cell>
          <cell r="B5024" t="str">
            <v>TUBO DE POLIETILENO DE ALTA DENSIDADE, PEAD, PE-80, DE = 900 MM X 34,7 MM PAREDE, ( SDR 26 - PN 05 ) PARA REDE DE AGUA OU ESGOTO (NBR 15561)</v>
          </cell>
          <cell r="C5024" t="str">
            <v xml:space="preserve">M     </v>
          </cell>
          <cell r="D5024">
            <v>2976.85</v>
          </cell>
        </row>
        <row r="5025">
          <cell r="A5025">
            <v>25880</v>
          </cell>
          <cell r="B5025" t="str">
            <v>TUBO DE POLIETILENO DE ALTA DENSIDADE, PEAD, PE-80, DE= 200 MM X 18,2 MM PAREDE, ( SDR 11 - PN 12,5 ) PARA REDE DE AGUA OU ESGOTO (NBR 15561)</v>
          </cell>
          <cell r="C5025" t="str">
            <v xml:space="preserve">M     </v>
          </cell>
          <cell r="D5025">
            <v>269.16000000000003</v>
          </cell>
        </row>
        <row r="5026">
          <cell r="A5026">
            <v>25881</v>
          </cell>
          <cell r="B5026" t="str">
            <v>TUBO DE POLIETILENO DE ALTA DENSIDADE, PEAD, PE-80, DE= 315 MM X 28,7 MM PAREDE, ( SDR 11 - PN 12,5 ) PARA REDE DE AGUA OU ESGOTO (NBR 15561)</v>
          </cell>
          <cell r="C5026" t="str">
            <v xml:space="preserve">M     </v>
          </cell>
          <cell r="D5026">
            <v>659.52</v>
          </cell>
        </row>
        <row r="5027">
          <cell r="A5027">
            <v>25882</v>
          </cell>
          <cell r="B5027" t="str">
            <v>TUBO DE POLIETILENO DE ALTA DENSIDADE, PEAD, PE-80, DE= 400 MM X 36,4 MM PAREDE, ( SDR 11 - PN 12,5 ) PARA REDE DE AGUA OU ESGOTO (NBR 15561)</v>
          </cell>
          <cell r="C5027" t="str">
            <v xml:space="preserve">M     </v>
          </cell>
          <cell r="D5027">
            <v>1062.25</v>
          </cell>
        </row>
        <row r="5028">
          <cell r="A5028">
            <v>25883</v>
          </cell>
          <cell r="B5028" t="str">
            <v>TUBO DE POLIETILENO DE ALTA DENSIDADE, PEAD, PE-80, DE= 50 MM X 4,6 MM PAREDE, (SDR 11 - PN 12,5) PARA REDE DE AGUA OU ESGOTO (NBR 15561)</v>
          </cell>
          <cell r="C5028" t="str">
            <v xml:space="preserve">M     </v>
          </cell>
          <cell r="D5028">
            <v>17.13</v>
          </cell>
        </row>
        <row r="5029">
          <cell r="A5029">
            <v>25884</v>
          </cell>
          <cell r="B5029" t="str">
            <v>TUBO DE POLIETILENO DE ALTA DENSIDADE, PEAD, PE-80, DE= 500 MM X 45,5 MM PAREDE, ( SDR 11 - PN 12,5 ) PARA REDE DE AGUA OU ESGOTO (NBR 15561)</v>
          </cell>
          <cell r="C5029" t="str">
            <v xml:space="preserve">M     </v>
          </cell>
          <cell r="D5029">
            <v>1864.91</v>
          </cell>
        </row>
        <row r="5030">
          <cell r="A5030">
            <v>25885</v>
          </cell>
          <cell r="B5030" t="str">
            <v>TUBO DE POLIETILENO DE ALTA DENSIDADE, PEAD, PE-80, DE= 630 MM X 57,3 MM PAREDE (SDR 11 - PN 12,5 ) PARA REDE DE AGUA OU ESGOTO (NBR 15561)</v>
          </cell>
          <cell r="C5030" t="str">
            <v xml:space="preserve">M     </v>
          </cell>
          <cell r="D5030">
            <v>2773.65</v>
          </cell>
        </row>
        <row r="5031">
          <cell r="A5031">
            <v>25889</v>
          </cell>
          <cell r="B5031" t="str">
            <v>TUBO DE POLIETILENO DE ALTA DENSIDADE, PEAD, PE-80, DE= 730 MM X 34,1 MM PAREDE, ( SDR 21 - PN 06 ) PARA REDE DE AGUA OU ESGOTO (NBR 15561)</v>
          </cell>
          <cell r="C5031" t="str">
            <v xml:space="preserve">M     </v>
          </cell>
          <cell r="D5031">
            <v>1390.91</v>
          </cell>
        </row>
        <row r="5032">
          <cell r="A5032">
            <v>25886</v>
          </cell>
          <cell r="B5032" t="str">
            <v>TUBO DE POLIETILENO DE ALTA DENSIDADE, PEAD, PE-80, DE= 75 MM X 6,9 MM PAREDE, ( SRD 11 - PN 12,5 ) PARA REDE DE AGUA OU ESGOTO (NBR 15561)</v>
          </cell>
          <cell r="C5032" t="str">
            <v xml:space="preserve">M     </v>
          </cell>
          <cell r="D5032">
            <v>38.32</v>
          </cell>
        </row>
        <row r="5033">
          <cell r="A5033">
            <v>25875</v>
          </cell>
          <cell r="B5033" t="str">
            <v>TUBO DE POLIETILENO DE ALTA DENSIDADE, PEAD, PE-80, DE= 800 MM X 30,8 MM PAREDE, ( SDR 26 - PN 05 ) PARA REDE DE AGUA OU ESGOTO (NBR 15561)</v>
          </cell>
          <cell r="C5033" t="str">
            <v xml:space="preserve">M     </v>
          </cell>
          <cell r="D5033">
            <v>1814.68</v>
          </cell>
        </row>
        <row r="5034">
          <cell r="A5034">
            <v>9876</v>
          </cell>
          <cell r="B5034" t="str">
            <v>TUBO DE PVC, PBL, TIPO LEVE, DN = 125 MM,  PARA VENTILACAO</v>
          </cell>
          <cell r="C5034" t="str">
            <v xml:space="preserve">M     </v>
          </cell>
          <cell r="D5034">
            <v>12.75</v>
          </cell>
        </row>
        <row r="5035">
          <cell r="A5035">
            <v>9877</v>
          </cell>
          <cell r="B5035" t="str">
            <v>TUBO DE PVC, PBL, TIPO LEVE, DN = 250 MM,  PARA VENTILACAO</v>
          </cell>
          <cell r="C5035" t="str">
            <v xml:space="preserve">M     </v>
          </cell>
          <cell r="D5035">
            <v>44.69</v>
          </cell>
        </row>
        <row r="5036">
          <cell r="A5036">
            <v>9878</v>
          </cell>
          <cell r="B5036" t="str">
            <v>TUBO DE PVC, PBL, TIPO LEVE, DN = 300 MM,  PARA VENTILACAO</v>
          </cell>
          <cell r="C5036" t="str">
            <v xml:space="preserve">M     </v>
          </cell>
          <cell r="D5036">
            <v>58.21</v>
          </cell>
        </row>
        <row r="5037">
          <cell r="A5037">
            <v>9879</v>
          </cell>
          <cell r="B5037" t="str">
            <v>TUBO DE PVC, PBL, TIPO LEVE, DN = 400 MM,  PARA VENTILACAO</v>
          </cell>
          <cell r="C5037" t="str">
            <v xml:space="preserve">M     </v>
          </cell>
          <cell r="D5037">
            <v>138.94</v>
          </cell>
        </row>
        <row r="5038">
          <cell r="A5038">
            <v>42001</v>
          </cell>
          <cell r="B5038" t="str">
            <v>TUBO DE REVESTIMENTO, EM ACO, CORPO SCHEDULE 40, PONTEIRA SCHEDULE 80, ROSQUEAVEL E SEGMENTADO PARA PERFURACAO,  DIAMETRO 6'' (200 MM) (COLETADO CAIXA)</v>
          </cell>
          <cell r="C5038" t="str">
            <v xml:space="preserve">M     </v>
          </cell>
          <cell r="D5038">
            <v>366.28</v>
          </cell>
        </row>
        <row r="5039">
          <cell r="A5039">
            <v>41998</v>
          </cell>
          <cell r="B5039" t="str">
            <v>TUBO DE REVESTIMENTO, EM ACO, CORPO SCHEDULE 40, PONTEIRA SCHEDULE 80, ROSQUEAVEL E SEGMENTADO PARA PERFURACAO, DIAMETRO 10'' (310 MM)  (COLETADO CAIXA)</v>
          </cell>
          <cell r="C5039" t="str">
            <v xml:space="preserve">M     </v>
          </cell>
          <cell r="D5039">
            <v>902.63</v>
          </cell>
        </row>
        <row r="5040">
          <cell r="A5040">
            <v>41999</v>
          </cell>
          <cell r="B5040" t="str">
            <v>TUBO DE REVESTIMENTO, EM ACO, CORPO SCHEDULE 40, PONTEIRA SCHEDULE 80, ROSQUEAVEL E SEGMENTADO PARA PERFURACAO, DIAMETRO 14'' (400 MM)  (COLETADO CAIXA)</v>
          </cell>
          <cell r="C5040" t="str">
            <v xml:space="preserve">M     </v>
          </cell>
          <cell r="D5040">
            <v>1655.78</v>
          </cell>
        </row>
        <row r="5041">
          <cell r="A5041">
            <v>42000</v>
          </cell>
          <cell r="B5041" t="str">
            <v>TUBO DE REVESTIMENTO, EM ACO, CORPO SCHEDULE 40, PONTEIRA SCHEDULE 80, ROSQUEAVEL E SEGMENTADO PARA PERFURACAO, DIAMETRO 16'' (450 MM)  (COLETADO CAIXA)</v>
          </cell>
          <cell r="C5041" t="str">
            <v xml:space="preserve">M     </v>
          </cell>
          <cell r="D5041">
            <v>2827.55</v>
          </cell>
        </row>
        <row r="5042">
          <cell r="A5042">
            <v>38053</v>
          </cell>
          <cell r="B5042" t="str">
            <v>TUBO DRENO, CORRUGADO, ESPIRALADO, FLEXIVEL, PERFURADO, EM POLIETILENO DE ALTA DENSIDADE (PEAD), DN *160* MM, (6") PARA DRENAGEM - EM BARRA (NORMA DNIT 093/2006 - EM)</v>
          </cell>
          <cell r="C5042" t="str">
            <v xml:space="preserve">M     </v>
          </cell>
          <cell r="D5042">
            <v>10.98</v>
          </cell>
        </row>
        <row r="5043">
          <cell r="A5043">
            <v>38054</v>
          </cell>
          <cell r="B5043" t="str">
            <v>TUBO DRENO, CORRUGADO, ESPIRALADO, FLEXIVEL, PERFURADO, EM POLIETILENO DE ALTA DENSIDADE (PEAD), DN *200* MM, (8") PARA DRENAGEM - EM BARRA (NORMA DNIT 093/2006 - EM)</v>
          </cell>
          <cell r="C5043" t="str">
            <v xml:space="preserve">M     </v>
          </cell>
          <cell r="D5043">
            <v>18.88</v>
          </cell>
        </row>
        <row r="5044">
          <cell r="A5044">
            <v>38052</v>
          </cell>
          <cell r="B5044" t="str">
            <v>TUBO DRENO, CORRUGADO, ESPIRALADO, FLEXIVEL, PERFURADO, EM POLIETILENO DE ALTA DENSIDADE (PEAD), DN 100 MM, (4") PARA DRENAGEM - EM ROLO (NORMA DNIT 093/2006 - E.M)</v>
          </cell>
          <cell r="C5044" t="str">
            <v xml:space="preserve">M     </v>
          </cell>
          <cell r="D5044">
            <v>5.32</v>
          </cell>
        </row>
        <row r="5045">
          <cell r="A5045">
            <v>38051</v>
          </cell>
          <cell r="B5045" t="str">
            <v>TUBO DRENO, CORRUGADO, ESPIRALADO, FLEXIVEL, PERFURADO, EM POLIETILENO DE ALTA DENSIDADE (PEAD), DN 65 MM, (2 1/2") PARA DRENAGEM - EM ROLO (NORMA DNIT 093/2006 - EM)</v>
          </cell>
          <cell r="C5045" t="str">
            <v xml:space="preserve">M     </v>
          </cell>
          <cell r="D5045">
            <v>3.31</v>
          </cell>
        </row>
        <row r="5046">
          <cell r="A5046">
            <v>38787</v>
          </cell>
          <cell r="B5046" t="str">
            <v>TUBO MONOCAMADA PEX, DN 16 MM</v>
          </cell>
          <cell r="C5046" t="str">
            <v xml:space="preserve">M     </v>
          </cell>
          <cell r="D5046">
            <v>4.5</v>
          </cell>
        </row>
        <row r="5047">
          <cell r="A5047">
            <v>38825</v>
          </cell>
          <cell r="B5047" t="str">
            <v>TUBO MONOCAMADA PEX, DN 20 MM</v>
          </cell>
          <cell r="C5047" t="str">
            <v xml:space="preserve">M     </v>
          </cell>
          <cell r="D5047">
            <v>5.89</v>
          </cell>
        </row>
        <row r="5048">
          <cell r="A5048">
            <v>38826</v>
          </cell>
          <cell r="B5048" t="str">
            <v>TUBO MONOCAMADA PEX, DN 25 MM</v>
          </cell>
          <cell r="C5048" t="str">
            <v xml:space="preserve">M     </v>
          </cell>
          <cell r="D5048">
            <v>8.73</v>
          </cell>
        </row>
        <row r="5049">
          <cell r="A5049">
            <v>38827</v>
          </cell>
          <cell r="B5049" t="str">
            <v>TUBO MONOCAMADA PEX, DN 32 MM</v>
          </cell>
          <cell r="C5049" t="str">
            <v xml:space="preserve">M     </v>
          </cell>
          <cell r="D5049">
            <v>14.03</v>
          </cell>
        </row>
        <row r="5050">
          <cell r="A5050">
            <v>38830</v>
          </cell>
          <cell r="B5050" t="str">
            <v>TUBO MULTICAMADA PEX, DN *26* MM, PARA INSTALACOES A GAS (AMARELO)</v>
          </cell>
          <cell r="C5050" t="str">
            <v xml:space="preserve">M     </v>
          </cell>
          <cell r="D5050">
            <v>19.649999999999999</v>
          </cell>
        </row>
        <row r="5051">
          <cell r="A5051">
            <v>38828</v>
          </cell>
          <cell r="B5051" t="str">
            <v>TUBO MULTICAMADA PEX, DN 16 MM, PARA INSTALACOES A GAS (AMARELO)</v>
          </cell>
          <cell r="C5051" t="str">
            <v xml:space="preserve">M     </v>
          </cell>
          <cell r="D5051">
            <v>8.66</v>
          </cell>
        </row>
        <row r="5052">
          <cell r="A5052">
            <v>38829</v>
          </cell>
          <cell r="B5052" t="str">
            <v>TUBO MULTICAMADA PEX, DN 20 MM, PARA INSTALACOES A GAS (AMARELO)</v>
          </cell>
          <cell r="C5052" t="str">
            <v xml:space="preserve">M     </v>
          </cell>
          <cell r="D5052">
            <v>14.19</v>
          </cell>
        </row>
        <row r="5053">
          <cell r="A5053">
            <v>38831</v>
          </cell>
          <cell r="B5053" t="str">
            <v>TUBO MULTICAMADA PEX, DN 32 MM, PARA INSTALACOES A GAS (AMARELO)</v>
          </cell>
          <cell r="C5053" t="str">
            <v xml:space="preserve">M     </v>
          </cell>
          <cell r="D5053">
            <v>27.41</v>
          </cell>
        </row>
        <row r="5054">
          <cell r="A5054">
            <v>36274</v>
          </cell>
          <cell r="B5054" t="str">
            <v>TUBO PPR PN 20, DN 20 MM, PARA AGUA QUENTE PREDIAL</v>
          </cell>
          <cell r="C5054" t="str">
            <v xml:space="preserve">M     </v>
          </cell>
          <cell r="D5054">
            <v>5.0999999999999996</v>
          </cell>
        </row>
        <row r="5055">
          <cell r="A5055">
            <v>36278</v>
          </cell>
          <cell r="B5055" t="str">
            <v>TUBO PPR PN 20, DN 25 MM, PARA AGUA QUENTE PREDIAL</v>
          </cell>
          <cell r="C5055" t="str">
            <v xml:space="preserve">M     </v>
          </cell>
          <cell r="D5055">
            <v>6.92</v>
          </cell>
        </row>
        <row r="5056">
          <cell r="A5056">
            <v>38977</v>
          </cell>
          <cell r="B5056" t="str">
            <v>TUBO PPR, CLASSE PN 12, DN 110 MM</v>
          </cell>
          <cell r="C5056" t="str">
            <v xml:space="preserve">M     </v>
          </cell>
          <cell r="D5056">
            <v>105.28</v>
          </cell>
        </row>
        <row r="5057">
          <cell r="A5057">
            <v>38971</v>
          </cell>
          <cell r="B5057" t="str">
            <v>TUBO PPR, CLASSE PN 12, DN 32 MM</v>
          </cell>
          <cell r="C5057" t="str">
            <v xml:space="preserve">M     </v>
          </cell>
          <cell r="D5057">
            <v>8.67</v>
          </cell>
        </row>
        <row r="5058">
          <cell r="A5058">
            <v>38972</v>
          </cell>
          <cell r="B5058" t="str">
            <v>TUBO PPR, CLASSE PN 12, DN 40 MM</v>
          </cell>
          <cell r="C5058" t="str">
            <v xml:space="preserve">M     </v>
          </cell>
          <cell r="D5058">
            <v>13.21</v>
          </cell>
        </row>
        <row r="5059">
          <cell r="A5059">
            <v>38973</v>
          </cell>
          <cell r="B5059" t="str">
            <v>TUBO PPR, CLASSE PN 12, DN 50 MM</v>
          </cell>
          <cell r="C5059" t="str">
            <v xml:space="preserve">M     </v>
          </cell>
          <cell r="D5059">
            <v>17.47</v>
          </cell>
        </row>
        <row r="5060">
          <cell r="A5060">
            <v>38974</v>
          </cell>
          <cell r="B5060" t="str">
            <v>TUBO PPR, CLASSE PN 12, DN 63 MM</v>
          </cell>
          <cell r="C5060" t="str">
            <v xml:space="preserve">M     </v>
          </cell>
          <cell r="D5060">
            <v>25.48</v>
          </cell>
        </row>
        <row r="5061">
          <cell r="A5061">
            <v>38975</v>
          </cell>
          <cell r="B5061" t="str">
            <v>TUBO PPR, CLASSE PN 12, DN 75 MM</v>
          </cell>
          <cell r="C5061" t="str">
            <v xml:space="preserve">M     </v>
          </cell>
          <cell r="D5061">
            <v>42.46</v>
          </cell>
        </row>
        <row r="5062">
          <cell r="A5062">
            <v>38976</v>
          </cell>
          <cell r="B5062" t="str">
            <v>TUBO PPR, CLASSE PN 12, DN 90 MM</v>
          </cell>
          <cell r="C5062" t="str">
            <v xml:space="preserve">M     </v>
          </cell>
          <cell r="D5062">
            <v>59.56</v>
          </cell>
        </row>
        <row r="5063">
          <cell r="A5063">
            <v>38986</v>
          </cell>
          <cell r="B5063" t="str">
            <v>TUBO PPR, CLASSE PN 25, DN 110 MM, PARA AGUA QUENTE E FRIA PREDIAL</v>
          </cell>
          <cell r="C5063" t="str">
            <v xml:space="preserve">M     </v>
          </cell>
          <cell r="D5063">
            <v>119.85</v>
          </cell>
        </row>
        <row r="5064">
          <cell r="A5064">
            <v>38978</v>
          </cell>
          <cell r="B5064" t="str">
            <v>TUBO PPR, CLASSE PN 25, DN 20 MM, PARA AGUA QUENTE E FRIA PREDIAL</v>
          </cell>
          <cell r="C5064" t="str">
            <v xml:space="preserve">M     </v>
          </cell>
          <cell r="D5064">
            <v>5.0999999999999996</v>
          </cell>
        </row>
        <row r="5065">
          <cell r="A5065">
            <v>38979</v>
          </cell>
          <cell r="B5065" t="str">
            <v>TUBO PPR, CLASSE PN 25, DN 25 MM, PARA AGUA QUENTE E FRIA PREDIAL</v>
          </cell>
          <cell r="C5065" t="str">
            <v xml:space="preserve">M     </v>
          </cell>
          <cell r="D5065">
            <v>6.92</v>
          </cell>
        </row>
        <row r="5066">
          <cell r="A5066">
            <v>38980</v>
          </cell>
          <cell r="B5066" t="str">
            <v>TUBO PPR, CLASSE PN 25, DN 32 MM, PARA AGUA QUENTE E FRIA PREDIAL</v>
          </cell>
          <cell r="C5066" t="str">
            <v xml:space="preserve">M     </v>
          </cell>
          <cell r="D5066">
            <v>11.56</v>
          </cell>
        </row>
        <row r="5067">
          <cell r="A5067">
            <v>38981</v>
          </cell>
          <cell r="B5067" t="str">
            <v>TUBO PPR, CLASSE PN 25, DN 40 MM, PARA AGUA QUENTE E FRIA PREDIAL</v>
          </cell>
          <cell r="C5067" t="str">
            <v xml:space="preserve">M     </v>
          </cell>
          <cell r="D5067">
            <v>16.010000000000002</v>
          </cell>
        </row>
        <row r="5068">
          <cell r="A5068">
            <v>38982</v>
          </cell>
          <cell r="B5068" t="str">
            <v>TUBO PPR, CLASSE PN 25, DN 50 MM, PARA AGUA QUENTE E FRIA PREDIAL</v>
          </cell>
          <cell r="C5068" t="str">
            <v xml:space="preserve">M     </v>
          </cell>
          <cell r="D5068">
            <v>23.3</v>
          </cell>
        </row>
        <row r="5069">
          <cell r="A5069">
            <v>38983</v>
          </cell>
          <cell r="B5069" t="str">
            <v>TUBO PPR, CLASSE PN 25, DN 63 MM, PARA AGUA QUENTE E FRIA PREDIAL</v>
          </cell>
          <cell r="C5069" t="str">
            <v xml:space="preserve">M     </v>
          </cell>
          <cell r="D5069">
            <v>30.9</v>
          </cell>
        </row>
        <row r="5070">
          <cell r="A5070">
            <v>38984</v>
          </cell>
          <cell r="B5070" t="str">
            <v>TUBO PPR, CLASSE PN 25, DN 75 MM, PARA AGUA QUENTE E FRIA PREDIAL</v>
          </cell>
          <cell r="C5070" t="str">
            <v xml:space="preserve">M     </v>
          </cell>
          <cell r="D5070">
            <v>59.59</v>
          </cell>
        </row>
        <row r="5071">
          <cell r="A5071">
            <v>38985</v>
          </cell>
          <cell r="B5071" t="str">
            <v>TUBO PPR, CLASSE PN 25, DN 90 MM, PARA AGUA QUENTE E FRIA PREDIAL</v>
          </cell>
          <cell r="C5071" t="str">
            <v xml:space="preserve">M     </v>
          </cell>
          <cell r="D5071">
            <v>88.22</v>
          </cell>
        </row>
        <row r="5072">
          <cell r="A5072">
            <v>9836</v>
          </cell>
          <cell r="B5072" t="str">
            <v>TUBO PVC  SERIE NORMAL, DN 100 MM, PARA ESGOTO  PREDIAL (NBR 5688)</v>
          </cell>
          <cell r="C5072" t="str">
            <v xml:space="preserve">M     </v>
          </cell>
          <cell r="D5072">
            <v>8.32</v>
          </cell>
        </row>
        <row r="5073">
          <cell r="A5073">
            <v>20065</v>
          </cell>
          <cell r="B5073" t="str">
            <v>TUBO PVC  SERIE NORMAL, DN 150 MM, PARA ESGOTO  PREDIAL (NBR 5688)</v>
          </cell>
          <cell r="C5073" t="str">
            <v xml:space="preserve">M     </v>
          </cell>
          <cell r="D5073">
            <v>21.28</v>
          </cell>
        </row>
        <row r="5074">
          <cell r="A5074">
            <v>9835</v>
          </cell>
          <cell r="B5074" t="str">
            <v>TUBO PVC  SERIE NORMAL, DN 40 MM, PARA ESGOTO  PREDIAL (NBR 5688)</v>
          </cell>
          <cell r="C5074" t="str">
            <v xml:space="preserve">M     </v>
          </cell>
          <cell r="D5074">
            <v>3</v>
          </cell>
        </row>
        <row r="5075">
          <cell r="A5075">
            <v>38032</v>
          </cell>
          <cell r="B5075" t="str">
            <v>TUBO PVC CORRUGADO, PAREDE DUPLA, JE, DN 150 MM, REDE COLETORA ESGOTO</v>
          </cell>
          <cell r="C5075" t="str">
            <v xml:space="preserve">M     </v>
          </cell>
          <cell r="D5075">
            <v>32.79</v>
          </cell>
        </row>
        <row r="5076">
          <cell r="A5076">
            <v>38033</v>
          </cell>
          <cell r="B5076" t="str">
            <v>TUBO PVC CORRUGADO, PAREDE DUPLA, JE, DN 200 MM, REDE COLETORA ESGOTO</v>
          </cell>
          <cell r="C5076" t="str">
            <v xml:space="preserve">M     </v>
          </cell>
          <cell r="D5076">
            <v>53.65</v>
          </cell>
        </row>
        <row r="5077">
          <cell r="A5077">
            <v>38034</v>
          </cell>
          <cell r="B5077" t="str">
            <v>TUBO PVC CORRUGADO, PAREDE DUPLA, JE, DN 250 MM, REDE COLETORA ESGOTO</v>
          </cell>
          <cell r="C5077" t="str">
            <v xml:space="preserve">M     </v>
          </cell>
          <cell r="D5077">
            <v>88.75</v>
          </cell>
        </row>
        <row r="5078">
          <cell r="A5078">
            <v>38035</v>
          </cell>
          <cell r="B5078" t="str">
            <v>TUBO PVC CORRUGADO, PAREDE DUPLA, JE, DN 300 MM, REDE COLETORA ESGOTO</v>
          </cell>
          <cell r="C5078" t="str">
            <v xml:space="preserve">M     </v>
          </cell>
          <cell r="D5078">
            <v>123.68</v>
          </cell>
        </row>
        <row r="5079">
          <cell r="A5079">
            <v>38036</v>
          </cell>
          <cell r="B5079" t="str">
            <v>TUBO PVC CORRUGADO, PAREDE DUPLA, JE, DN 350 MM, REDE COLETORA ESGOTO</v>
          </cell>
          <cell r="C5079" t="str">
            <v xml:space="preserve">M     </v>
          </cell>
          <cell r="D5079">
            <v>174.52</v>
          </cell>
        </row>
        <row r="5080">
          <cell r="A5080">
            <v>38037</v>
          </cell>
          <cell r="B5080" t="str">
            <v>TUBO PVC CORRUGADO, PAREDE DUPLA, JE, DN 400 MM, REDE COLETORA ESGOTO</v>
          </cell>
          <cell r="C5080" t="str">
            <v xml:space="preserve">M     </v>
          </cell>
          <cell r="D5080">
            <v>202.35</v>
          </cell>
        </row>
        <row r="5081">
          <cell r="A5081">
            <v>9850</v>
          </cell>
          <cell r="B5081" t="str">
            <v>TUBO PVC DE REVESTIMENTO GEOMECANICO NERVURADO REFORCADO, DN = 150 MM, COMPRIMENTO = 2 M</v>
          </cell>
          <cell r="C5081" t="str">
            <v xml:space="preserve">M     </v>
          </cell>
          <cell r="D5081">
            <v>98</v>
          </cell>
        </row>
        <row r="5082">
          <cell r="A5082">
            <v>9853</v>
          </cell>
          <cell r="B5082" t="str">
            <v>TUBO PVC DE REVESTIMENTO GEOMECANICO NERVURADO REFORCADO, DN = 200 MM, COMPRIMENTO = 2 M</v>
          </cell>
          <cell r="C5082" t="str">
            <v xml:space="preserve">M     </v>
          </cell>
          <cell r="D5082">
            <v>174.27</v>
          </cell>
        </row>
        <row r="5083">
          <cell r="A5083">
            <v>9854</v>
          </cell>
          <cell r="B5083" t="str">
            <v>TUBO PVC DE REVESTIMENTO GEOMECANICO NERVURADO STANDARD, DN = 154 MM, COMPRIMENTO = 2 M</v>
          </cell>
          <cell r="C5083" t="str">
            <v xml:space="preserve">M     </v>
          </cell>
          <cell r="D5083">
            <v>76.36</v>
          </cell>
        </row>
        <row r="5084">
          <cell r="A5084">
            <v>9851</v>
          </cell>
          <cell r="B5084" t="str">
            <v>TUBO PVC DE REVESTIMENTO GEOMECANICO NERVURADO STANDARD, DN = 206 MM, COMPRIMENTO = 2 M</v>
          </cell>
          <cell r="C5084" t="str">
            <v xml:space="preserve">M     </v>
          </cell>
          <cell r="D5084">
            <v>132.4</v>
          </cell>
        </row>
        <row r="5085">
          <cell r="A5085">
            <v>9855</v>
          </cell>
          <cell r="B5085" t="str">
            <v>TUBO PVC DE REVESTIMENTO GEOMECANICO NERVURADO STANDARD, DN = 250 MM, COMPRIMENTO = 2 M</v>
          </cell>
          <cell r="C5085" t="str">
            <v xml:space="preserve">M     </v>
          </cell>
          <cell r="D5085">
            <v>221.46</v>
          </cell>
        </row>
        <row r="5086">
          <cell r="A5086">
            <v>9825</v>
          </cell>
          <cell r="B5086" t="str">
            <v>TUBO PVC DEFOFO, JEI, 1 MPA, DN 100 MM, PARA REDE DE AGUA (NBR 7665)</v>
          </cell>
          <cell r="C5086" t="str">
            <v xml:space="preserve">M     </v>
          </cell>
          <cell r="D5086">
            <v>35.71</v>
          </cell>
        </row>
        <row r="5087">
          <cell r="A5087">
            <v>9828</v>
          </cell>
          <cell r="B5087" t="str">
            <v>TUBO PVC DEFOFO, JEI, 1 MPA, DN 150 MM, PARA REDE DE  AGUA (NBR 7665)</v>
          </cell>
          <cell r="C5087" t="str">
            <v xml:space="preserve">M     </v>
          </cell>
          <cell r="D5087">
            <v>96.1</v>
          </cell>
        </row>
        <row r="5088">
          <cell r="A5088">
            <v>9829</v>
          </cell>
          <cell r="B5088" t="str">
            <v>TUBO PVC DEFOFO, JEI, 1 MPA, DN 200 MM, PARA REDE DE AGUA (NBR 7665)</v>
          </cell>
          <cell r="C5088" t="str">
            <v xml:space="preserve">M     </v>
          </cell>
          <cell r="D5088">
            <v>162.87</v>
          </cell>
        </row>
        <row r="5089">
          <cell r="A5089">
            <v>9826</v>
          </cell>
          <cell r="B5089" t="str">
            <v>TUBO PVC DEFOFO, JEI, 1 MPA, DN 250 MM, PARA REDE DE AGUA (NBR 7665)</v>
          </cell>
          <cell r="C5089" t="str">
            <v xml:space="preserve">M     </v>
          </cell>
          <cell r="D5089">
            <v>247.95</v>
          </cell>
        </row>
        <row r="5090">
          <cell r="A5090">
            <v>9827</v>
          </cell>
          <cell r="B5090" t="str">
            <v>TUBO PVC DEFOFO, JEI, 1 MPA, DN 300 MM, PARA REDE DE AGUA (NBR 7665)</v>
          </cell>
          <cell r="C5090" t="str">
            <v xml:space="preserve">M     </v>
          </cell>
          <cell r="D5090">
            <v>352.09</v>
          </cell>
        </row>
        <row r="5091">
          <cell r="A5091">
            <v>36374</v>
          </cell>
          <cell r="B5091" t="str">
            <v>TUBO PVC PBA JEI, CLASSE 12, DN 100 MM, PARA REDE DE AGUA (NBR 5647)</v>
          </cell>
          <cell r="C5091" t="str">
            <v xml:space="preserve">M     </v>
          </cell>
          <cell r="D5091">
            <v>42.8</v>
          </cell>
        </row>
        <row r="5092">
          <cell r="A5092">
            <v>36084</v>
          </cell>
          <cell r="B5092" t="str">
            <v>TUBO PVC PBA JEI, CLASSE 12, DN 50 MM, PARA REDE DE AGUA (NBR 5647)</v>
          </cell>
          <cell r="C5092" t="str">
            <v xml:space="preserve">M     </v>
          </cell>
          <cell r="D5092">
            <v>12.68</v>
          </cell>
        </row>
        <row r="5093">
          <cell r="A5093">
            <v>36373</v>
          </cell>
          <cell r="B5093" t="str">
            <v>TUBO PVC PBA JEI, CLASSE 12, DN 75 MM, PARA REDE DE AGUA (NBR 5647)</v>
          </cell>
          <cell r="C5093" t="str">
            <v xml:space="preserve">M     </v>
          </cell>
          <cell r="D5093">
            <v>26.33</v>
          </cell>
        </row>
        <row r="5094">
          <cell r="A5094">
            <v>36377</v>
          </cell>
          <cell r="B5094" t="str">
            <v>TUBO PVC PBA JEI, CLASSE 15, DN 100 MM, PARA REDE DE AGUA (NBR 5647)</v>
          </cell>
          <cell r="C5094" t="str">
            <v xml:space="preserve">M     </v>
          </cell>
          <cell r="D5094">
            <v>51.34</v>
          </cell>
        </row>
        <row r="5095">
          <cell r="A5095">
            <v>36375</v>
          </cell>
          <cell r="B5095" t="str">
            <v>TUBO PVC PBA JEI, CLASSE 15, DN 50 MM, PARA REDE DE AGUA (NBR 5647)</v>
          </cell>
          <cell r="C5095" t="str">
            <v xml:space="preserve">M     </v>
          </cell>
          <cell r="D5095">
            <v>15.65</v>
          </cell>
        </row>
        <row r="5096">
          <cell r="A5096">
            <v>36376</v>
          </cell>
          <cell r="B5096" t="str">
            <v>TUBO PVC PBA JEI, CLASSE 15, DN 75 MM, PARA REDE DE AGUA (NBR 5647)</v>
          </cell>
          <cell r="C5096" t="str">
            <v xml:space="preserve">M     </v>
          </cell>
          <cell r="D5096">
            <v>30.73</v>
          </cell>
        </row>
        <row r="5097">
          <cell r="A5097">
            <v>36380</v>
          </cell>
          <cell r="B5097" t="str">
            <v>TUBO PVC PBA JEI, CLASSE 20, DN 100 MM, PARA REDE DE AGUA (NBR 5647)</v>
          </cell>
          <cell r="C5097" t="str">
            <v xml:space="preserve">M     </v>
          </cell>
          <cell r="D5097">
            <v>64.2</v>
          </cell>
        </row>
        <row r="5098">
          <cell r="A5098">
            <v>36378</v>
          </cell>
          <cell r="B5098" t="str">
            <v>TUBO PVC PBA JEI, CLASSE 20, DN 50 MM, PARA REDE DE AGUA (NBR 5647)</v>
          </cell>
          <cell r="C5098" t="str">
            <v xml:space="preserve">M     </v>
          </cell>
          <cell r="D5098">
            <v>19.23</v>
          </cell>
        </row>
        <row r="5099">
          <cell r="A5099">
            <v>36379</v>
          </cell>
          <cell r="B5099" t="str">
            <v>TUBO PVC PBA JEI, CLASSE 20, DN 75 MM, PARA REDE DE AGUA (NBR 5647)</v>
          </cell>
          <cell r="C5099" t="str">
            <v xml:space="preserve">M     </v>
          </cell>
          <cell r="D5099">
            <v>38.78</v>
          </cell>
        </row>
        <row r="5100">
          <cell r="A5100">
            <v>9859</v>
          </cell>
          <cell r="B5100" t="str">
            <v>TUBO PVC ROSCAVEL, 3/4",  AGUA FRIA PREDIAL</v>
          </cell>
          <cell r="C5100" t="str">
            <v xml:space="preserve">M     </v>
          </cell>
          <cell r="D5100">
            <v>6.71</v>
          </cell>
        </row>
        <row r="5101">
          <cell r="A5101">
            <v>9838</v>
          </cell>
          <cell r="B5101" t="str">
            <v>TUBO PVC SERIE NORMAL, DN 50 MM, PARA ESGOTO PREDIAL (NBR 5688)</v>
          </cell>
          <cell r="C5101" t="str">
            <v xml:space="preserve">M     </v>
          </cell>
          <cell r="D5101">
            <v>5.0999999999999996</v>
          </cell>
        </row>
        <row r="5102">
          <cell r="A5102">
            <v>9837</v>
          </cell>
          <cell r="B5102" t="str">
            <v>TUBO PVC SERIE NORMAL, DN 75 MM, PARA ESGOTO PREDIAL (NBR 5688)</v>
          </cell>
          <cell r="C5102" t="str">
            <v xml:space="preserve">M     </v>
          </cell>
          <cell r="D5102">
            <v>7.37</v>
          </cell>
        </row>
        <row r="5103">
          <cell r="A5103">
            <v>9833</v>
          </cell>
          <cell r="B5103" t="str">
            <v>TUBO PVC, FLEXIVEL, CORRUGADO, PERFURADO, DN 110 MM, PARA DRENAGEM, SISTEMA IRRIGACAO</v>
          </cell>
          <cell r="C5103" t="str">
            <v xml:space="preserve">M     </v>
          </cell>
          <cell r="D5103">
            <v>9.94</v>
          </cell>
        </row>
        <row r="5104">
          <cell r="A5104">
            <v>9830</v>
          </cell>
          <cell r="B5104" t="str">
            <v>TUBO PVC, FLEXIVEL, CORRUGADO, PERFURADO, DN 65 MM, PARA DRENAGEM, SISTEMA IRRIGACAO</v>
          </cell>
          <cell r="C5104" t="str">
            <v xml:space="preserve">M     </v>
          </cell>
          <cell r="D5104">
            <v>5.32</v>
          </cell>
        </row>
        <row r="5105">
          <cell r="A5105">
            <v>9834</v>
          </cell>
          <cell r="B5105" t="str">
            <v>TUBO PVC, RIGIDO, CORRUGADO, PERFURADO, DN 150 MM, PARA DRENAGEM, SISTEMA IRRIGACAO</v>
          </cell>
          <cell r="C5105" t="str">
            <v xml:space="preserve">M     </v>
          </cell>
          <cell r="D5105">
            <v>27.67</v>
          </cell>
        </row>
        <row r="5106">
          <cell r="A5106">
            <v>9863</v>
          </cell>
          <cell r="B5106" t="str">
            <v>TUBO PVC, ROSCAVEL,  2 1/2", AGUA FRIA PREDIAL</v>
          </cell>
          <cell r="C5106" t="str">
            <v xml:space="preserve">M     </v>
          </cell>
          <cell r="D5106">
            <v>48.44</v>
          </cell>
        </row>
        <row r="5107">
          <cell r="A5107">
            <v>9860</v>
          </cell>
          <cell r="B5107" t="str">
            <v>TUBO PVC, ROSCAVEL,  2", PARA AGUA FRIA PREDIAL</v>
          </cell>
          <cell r="C5107" t="str">
            <v xml:space="preserve">M     </v>
          </cell>
          <cell r="D5107">
            <v>31.1</v>
          </cell>
        </row>
        <row r="5108">
          <cell r="A5108">
            <v>9862</v>
          </cell>
          <cell r="B5108" t="str">
            <v>TUBO PVC, ROSCAVEL, 1 1/2",  AGUA FRIA PREDIAL</v>
          </cell>
          <cell r="C5108" t="str">
            <v xml:space="preserve">M     </v>
          </cell>
          <cell r="D5108">
            <v>21.94</v>
          </cell>
        </row>
        <row r="5109">
          <cell r="A5109">
            <v>9861</v>
          </cell>
          <cell r="B5109" t="str">
            <v>TUBO PVC, ROSCAVEL, 1 1/4", AGUA FRIA PREDIAL</v>
          </cell>
          <cell r="C5109" t="str">
            <v xml:space="preserve">M     </v>
          </cell>
          <cell r="D5109">
            <v>17.64</v>
          </cell>
        </row>
        <row r="5110">
          <cell r="A5110">
            <v>9856</v>
          </cell>
          <cell r="B5110" t="str">
            <v>TUBO PVC, ROSCAVEL, 1/2", AGUA FRIA PREDIAL</v>
          </cell>
          <cell r="C5110" t="str">
            <v xml:space="preserve">M     </v>
          </cell>
          <cell r="D5110">
            <v>4.74</v>
          </cell>
        </row>
        <row r="5111">
          <cell r="A5111">
            <v>9866</v>
          </cell>
          <cell r="B5111" t="str">
            <v>TUBO PVC, ROSCAVEL, 1", AGUA FRIA PREDIAL</v>
          </cell>
          <cell r="C5111" t="str">
            <v xml:space="preserve">M     </v>
          </cell>
          <cell r="D5111">
            <v>13.02</v>
          </cell>
        </row>
        <row r="5112">
          <cell r="A5112">
            <v>9857</v>
          </cell>
          <cell r="B5112" t="str">
            <v>TUBO PVC, ROSCAVEL, 3", AGUA FRIA PREDIAL</v>
          </cell>
          <cell r="C5112" t="str">
            <v xml:space="preserve">M     </v>
          </cell>
          <cell r="D5112">
            <v>62.65</v>
          </cell>
        </row>
        <row r="5113">
          <cell r="A5113">
            <v>9864</v>
          </cell>
          <cell r="B5113" t="str">
            <v>TUBO PVC, ROSCAVEL, 4",  AGUA FRIA PREDIAL</v>
          </cell>
          <cell r="C5113" t="str">
            <v xml:space="preserve">M     </v>
          </cell>
          <cell r="D5113">
            <v>75.64</v>
          </cell>
        </row>
        <row r="5114">
          <cell r="A5114">
            <v>9865</v>
          </cell>
          <cell r="B5114" t="str">
            <v>TUBO PVC, ROSCAVEL, 5",  AGUA FRIA PREDIAL</v>
          </cell>
          <cell r="C5114" t="str">
            <v xml:space="preserve">M     </v>
          </cell>
          <cell r="D5114">
            <v>108.78</v>
          </cell>
        </row>
        <row r="5115">
          <cell r="A5115">
            <v>9858</v>
          </cell>
          <cell r="B5115" t="str">
            <v>TUBO PVC, ROSCAVEL, 6",  AGUA FRIA PREDIAL</v>
          </cell>
          <cell r="C5115" t="str">
            <v xml:space="preserve">M     </v>
          </cell>
          <cell r="D5115">
            <v>114.04</v>
          </cell>
        </row>
        <row r="5116">
          <cell r="A5116">
            <v>9841</v>
          </cell>
          <cell r="B5116" t="str">
            <v>TUBO PVC, SERIE R, DN 100 MM, PARA ESGOTO OU AGUAS PLUVIAIS PREDIAL (NBR 5688)</v>
          </cell>
          <cell r="C5116" t="str">
            <v xml:space="preserve">M     </v>
          </cell>
          <cell r="D5116">
            <v>20.53</v>
          </cell>
        </row>
        <row r="5117">
          <cell r="A5117">
            <v>9840</v>
          </cell>
          <cell r="B5117" t="str">
            <v>TUBO PVC, SERIE R, DN 150 MM, PARA ESGOTO OU AGUAS PLUVIAIS PREDIAL (NBR 5688)</v>
          </cell>
          <cell r="C5117" t="str">
            <v xml:space="preserve">M     </v>
          </cell>
          <cell r="D5117">
            <v>41.73</v>
          </cell>
        </row>
        <row r="5118">
          <cell r="A5118">
            <v>20067</v>
          </cell>
          <cell r="B5118" t="str">
            <v>TUBO PVC, SERIE R, DN 40 MM, PARA ESGOTO OU AGUAS PLUVIAIS PREDIAL (NBR 5688)</v>
          </cell>
          <cell r="C5118" t="str">
            <v xml:space="preserve">M     </v>
          </cell>
          <cell r="D5118">
            <v>7.17</v>
          </cell>
        </row>
        <row r="5119">
          <cell r="A5119">
            <v>20068</v>
          </cell>
          <cell r="B5119" t="str">
            <v>TUBO PVC, SERIE R, DN 50 MM, PARA ESGOTO OU AGUAS PLUVIAIS PREDIAL (NBR 5688)</v>
          </cell>
          <cell r="C5119" t="str">
            <v xml:space="preserve">M     </v>
          </cell>
          <cell r="D5119">
            <v>8.94</v>
          </cell>
        </row>
        <row r="5120">
          <cell r="A5120">
            <v>9839</v>
          </cell>
          <cell r="B5120" t="str">
            <v>TUBO PVC, SERIE R, DN 75 MM, PARA ESGOTO OU AGUAS PLUVIAIS PREDIAL (NBR 5688)</v>
          </cell>
          <cell r="C5120" t="str">
            <v xml:space="preserve">M     </v>
          </cell>
          <cell r="D5120">
            <v>11.72</v>
          </cell>
        </row>
        <row r="5121">
          <cell r="A5121">
            <v>9870</v>
          </cell>
          <cell r="B5121" t="str">
            <v>TUBO PVC, SOLDAVEL, DN 110 MM, AGUA FRIA (NBR-5648)</v>
          </cell>
          <cell r="C5121" t="str">
            <v xml:space="preserve">M     </v>
          </cell>
          <cell r="D5121">
            <v>52.82</v>
          </cell>
        </row>
        <row r="5122">
          <cell r="A5122">
            <v>9867</v>
          </cell>
          <cell r="B5122" t="str">
            <v>TUBO PVC, SOLDAVEL, DN 20 MM, AGUA FRIA (NBR-5648)</v>
          </cell>
          <cell r="C5122" t="str">
            <v xml:space="preserve">M     </v>
          </cell>
          <cell r="D5122">
            <v>1.94</v>
          </cell>
        </row>
        <row r="5123">
          <cell r="A5123">
            <v>9868</v>
          </cell>
          <cell r="B5123" t="str">
            <v>TUBO PVC, SOLDAVEL, DN 25 MM, AGUA FRIA (NBR-5648)</v>
          </cell>
          <cell r="C5123" t="str">
            <v xml:space="preserve">M     </v>
          </cell>
          <cell r="D5123">
            <v>2.4900000000000002</v>
          </cell>
        </row>
        <row r="5124">
          <cell r="A5124">
            <v>9869</v>
          </cell>
          <cell r="B5124" t="str">
            <v>TUBO PVC, SOLDAVEL, DN 32 MM, AGUA FRIA (NBR-5648)</v>
          </cell>
          <cell r="C5124" t="str">
            <v xml:space="preserve">M     </v>
          </cell>
          <cell r="D5124">
            <v>5.59</v>
          </cell>
        </row>
        <row r="5125">
          <cell r="A5125">
            <v>9874</v>
          </cell>
          <cell r="B5125" t="str">
            <v>TUBO PVC, SOLDAVEL, DN 40 MM, AGUA FRIA (NBR-5648)</v>
          </cell>
          <cell r="C5125" t="str">
            <v xml:space="preserve">M     </v>
          </cell>
          <cell r="D5125">
            <v>8.14</v>
          </cell>
        </row>
        <row r="5126">
          <cell r="A5126">
            <v>9875</v>
          </cell>
          <cell r="B5126" t="str">
            <v>TUBO PVC, SOLDAVEL, DN 50 MM, PARA AGUA FRIA (NBR-5648)</v>
          </cell>
          <cell r="C5126" t="str">
            <v xml:space="preserve">M     </v>
          </cell>
          <cell r="D5126">
            <v>9.32</v>
          </cell>
        </row>
        <row r="5127">
          <cell r="A5127">
            <v>9873</v>
          </cell>
          <cell r="B5127" t="str">
            <v>TUBO PVC, SOLDAVEL, DN 60 MM, AGUA FRIA (NBR-5648)</v>
          </cell>
          <cell r="C5127" t="str">
            <v xml:space="preserve">M     </v>
          </cell>
          <cell r="D5127">
            <v>15.73</v>
          </cell>
        </row>
        <row r="5128">
          <cell r="A5128">
            <v>9871</v>
          </cell>
          <cell r="B5128" t="str">
            <v>TUBO PVC, SOLDAVEL, DN 75 MM, AGUA FRIA (NBR-5648)</v>
          </cell>
          <cell r="C5128" t="str">
            <v xml:space="preserve">M     </v>
          </cell>
          <cell r="D5128">
            <v>26.35</v>
          </cell>
        </row>
        <row r="5129">
          <cell r="A5129">
            <v>9872</v>
          </cell>
          <cell r="B5129" t="str">
            <v>TUBO PVC, SOLDAVEL, DN 85 MM, AGUA FRIA (NBR-5648)</v>
          </cell>
          <cell r="C5129" t="str">
            <v xml:space="preserve">M     </v>
          </cell>
          <cell r="D5129">
            <v>32.92</v>
          </cell>
        </row>
        <row r="5130">
          <cell r="A5130">
            <v>7667</v>
          </cell>
          <cell r="B5130" t="str">
            <v>TUBO 26" EM CHAPA PRETA, E= 3/16", 147 KG/6 M</v>
          </cell>
          <cell r="C5130" t="str">
            <v xml:space="preserve">M     </v>
          </cell>
          <cell r="D5130">
            <v>1548.18</v>
          </cell>
        </row>
        <row r="5131">
          <cell r="A5131">
            <v>7660</v>
          </cell>
          <cell r="B5131" t="str">
            <v>TUBO 30" EM CHAPA PRETA, E= 1/4", 175 KG/6 M</v>
          </cell>
          <cell r="C5131" t="str">
            <v xml:space="preserve">M     </v>
          </cell>
          <cell r="D5131">
            <v>1973.57</v>
          </cell>
        </row>
        <row r="5132">
          <cell r="A5132">
            <v>7676</v>
          </cell>
          <cell r="B5132" t="str">
            <v>TUBO 30" EM CHAPA PRETA, E= 3/8", 177 KG/6 M</v>
          </cell>
          <cell r="C5132" t="str">
            <v xml:space="preserve">M     </v>
          </cell>
          <cell r="D5132">
            <v>1996.12</v>
          </cell>
        </row>
        <row r="5133">
          <cell r="A5133">
            <v>12426</v>
          </cell>
          <cell r="B5133" t="str">
            <v>UNIAO COM ASSENTO CONICO DE BRONZE, DIAMETRO 1/2"</v>
          </cell>
          <cell r="C5133" t="str">
            <v xml:space="preserve">UN    </v>
          </cell>
          <cell r="D5133">
            <v>20.88</v>
          </cell>
        </row>
        <row r="5134">
          <cell r="A5134">
            <v>12425</v>
          </cell>
          <cell r="B5134" t="str">
            <v>UNIAO COM ASSENTO CONICO DE BRONZE, DIAMETRO 1"</v>
          </cell>
          <cell r="C5134" t="str">
            <v xml:space="preserve">UN    </v>
          </cell>
          <cell r="D5134">
            <v>28.68</v>
          </cell>
        </row>
        <row r="5135">
          <cell r="A5135">
            <v>12427</v>
          </cell>
          <cell r="B5135" t="str">
            <v>UNIAO COM ASSENTO CONICO DE BRONZE, DIAMETRO 2 1/2"</v>
          </cell>
          <cell r="C5135" t="str">
            <v xml:space="preserve">UN    </v>
          </cell>
          <cell r="D5135">
            <v>119.06</v>
          </cell>
        </row>
        <row r="5136">
          <cell r="A5136">
            <v>12428</v>
          </cell>
          <cell r="B5136" t="str">
            <v>UNIAO COM ASSENTO CONICO DE BRONZE, DIAMETRO 2'</v>
          </cell>
          <cell r="C5136" t="str">
            <v xml:space="preserve">UN    </v>
          </cell>
          <cell r="D5136">
            <v>76.42</v>
          </cell>
        </row>
        <row r="5137">
          <cell r="A5137">
            <v>12430</v>
          </cell>
          <cell r="B5137" t="str">
            <v>UNIAO COM ASSENTO CONICO DE BRONZE, DIAMETRO 3/4"</v>
          </cell>
          <cell r="C5137" t="str">
            <v xml:space="preserve">UN    </v>
          </cell>
          <cell r="D5137">
            <v>25.59</v>
          </cell>
        </row>
        <row r="5138">
          <cell r="A5138">
            <v>12429</v>
          </cell>
          <cell r="B5138" t="str">
            <v>UNIAO COM ASSENTO CONICO DE BRONZE, DIAMETRO 3"</v>
          </cell>
          <cell r="C5138" t="str">
            <v xml:space="preserve">UN    </v>
          </cell>
          <cell r="D5138">
            <v>192.52</v>
          </cell>
        </row>
        <row r="5139">
          <cell r="A5139">
            <v>12431</v>
          </cell>
          <cell r="B5139" t="str">
            <v>UNIAO COM ASSENTO CONICO DE BRONZE, DIAMETRO 4"</v>
          </cell>
          <cell r="C5139" t="str">
            <v xml:space="preserve">UN    </v>
          </cell>
          <cell r="D5139">
            <v>327.64</v>
          </cell>
        </row>
        <row r="5140">
          <cell r="A5140">
            <v>12432</v>
          </cell>
          <cell r="B5140" t="str">
            <v>UNIAO COM ASSENTO CONICO DE FERRO LONGO (MACHO-FEMEA), DIAMETRO 1 1/2"</v>
          </cell>
          <cell r="C5140" t="str">
            <v xml:space="preserve">UN    </v>
          </cell>
          <cell r="D5140">
            <v>67.38</v>
          </cell>
        </row>
        <row r="5141">
          <cell r="A5141">
            <v>12434</v>
          </cell>
          <cell r="B5141" t="str">
            <v>UNIAO COM ASSENTO CONICO DE FERRO LONGO (MACHO-FEMEA), DIAMETRO 1/2"</v>
          </cell>
          <cell r="C5141" t="str">
            <v xml:space="preserve">UN    </v>
          </cell>
          <cell r="D5141">
            <v>21.96</v>
          </cell>
        </row>
        <row r="5142">
          <cell r="A5142">
            <v>12433</v>
          </cell>
          <cell r="B5142" t="str">
            <v>UNIAO COM ASSENTO CONICO DE FERRO LONGO (MACHO-FEMEA), DIAMETRO 1"</v>
          </cell>
          <cell r="C5142" t="str">
            <v xml:space="preserve">UN    </v>
          </cell>
          <cell r="D5142">
            <v>42.89</v>
          </cell>
        </row>
        <row r="5143">
          <cell r="A5143">
            <v>12435</v>
          </cell>
          <cell r="B5143" t="str">
            <v>UNIAO COM ASSENTO CONICO DE FERRO LONGO (MACHO-FEMEA), DIAMETRO 2 1/2"</v>
          </cell>
          <cell r="C5143" t="str">
            <v xml:space="preserve">UN    </v>
          </cell>
          <cell r="D5143">
            <v>132.76</v>
          </cell>
        </row>
        <row r="5144">
          <cell r="A5144">
            <v>12437</v>
          </cell>
          <cell r="B5144" t="str">
            <v>UNIAO COM ASSENTO CONICO DE FERRO LONGO (MACHO-FEMEA), DIAMETRO 2"</v>
          </cell>
          <cell r="C5144" t="str">
            <v xml:space="preserve">UN    </v>
          </cell>
          <cell r="D5144">
            <v>107.22</v>
          </cell>
        </row>
        <row r="5145">
          <cell r="A5145">
            <v>12439</v>
          </cell>
          <cell r="B5145" t="str">
            <v>UNIAO COM ASSENTO CONICO DE FERRO LONGO (MACHO-FEMEA), DIAMETRO 3/4"</v>
          </cell>
          <cell r="C5145" t="str">
            <v xml:space="preserve">UN    </v>
          </cell>
          <cell r="D5145">
            <v>34.409999999999997</v>
          </cell>
        </row>
        <row r="5146">
          <cell r="A5146">
            <v>12438</v>
          </cell>
          <cell r="B5146" t="str">
            <v>UNIAO COM ASSENTO CONICO DE FERRO LONGO (MACHO-FEMEA), DIAMETRO 3'</v>
          </cell>
          <cell r="C5146" t="str">
            <v xml:space="preserve">UN    </v>
          </cell>
          <cell r="D5146">
            <v>194.03</v>
          </cell>
        </row>
        <row r="5147">
          <cell r="A5147">
            <v>12436</v>
          </cell>
          <cell r="B5147" t="str">
            <v>UNIAO COM ASSENTO CONICO DE FERRO LONGO (MACHO-FEMEA), DIAMETRO 4"</v>
          </cell>
          <cell r="C5147" t="str">
            <v xml:space="preserve">UN    </v>
          </cell>
          <cell r="D5147">
            <v>245.11</v>
          </cell>
        </row>
        <row r="5148">
          <cell r="A5148">
            <v>36357</v>
          </cell>
          <cell r="B5148" t="str">
            <v>UNIAO COM FLANGE PPR, DN 40 MM, PARA AGUA QUENTE PREDIAL</v>
          </cell>
          <cell r="C5148" t="str">
            <v xml:space="preserve">UN    </v>
          </cell>
          <cell r="D5148">
            <v>90.73</v>
          </cell>
        </row>
        <row r="5149">
          <cell r="A5149">
            <v>12424</v>
          </cell>
          <cell r="B5149" t="str">
            <v>UNIAO DE FERRO GALVANIZADO, COM ASSENTO CONICO DE BRONZE, DE 1 1/2"</v>
          </cell>
          <cell r="C5149" t="str">
            <v xml:space="preserve">UN    </v>
          </cell>
          <cell r="D5149">
            <v>44.16</v>
          </cell>
        </row>
        <row r="5150">
          <cell r="A5150">
            <v>12440</v>
          </cell>
          <cell r="B5150" t="str">
            <v>UNIAO DE FERRO GALVANIZADO, COM ASSENTO CONICO DE BRONZE, DE 1 1/4"</v>
          </cell>
          <cell r="C5150" t="str">
            <v xml:space="preserve">UN    </v>
          </cell>
          <cell r="D5150">
            <v>42.69</v>
          </cell>
        </row>
        <row r="5151">
          <cell r="A5151">
            <v>9884</v>
          </cell>
          <cell r="B5151" t="str">
            <v>UNIAO DE FERRO GALVANIZADO, COM ROSCA BSP, COM ASSENTO PLANO, DE 1 1/2"</v>
          </cell>
          <cell r="C5151" t="str">
            <v xml:space="preserve">UN    </v>
          </cell>
          <cell r="D5151">
            <v>31.84</v>
          </cell>
        </row>
        <row r="5152">
          <cell r="A5152">
            <v>9888</v>
          </cell>
          <cell r="B5152" t="str">
            <v>UNIAO DE FERRO GALVANIZADO, COM ROSCA BSP, COM ASSENTO PLANO, DE 1 1/4"</v>
          </cell>
          <cell r="C5152" t="str">
            <v xml:space="preserve">UN    </v>
          </cell>
          <cell r="D5152">
            <v>25.58</v>
          </cell>
        </row>
        <row r="5153">
          <cell r="A5153">
            <v>9883</v>
          </cell>
          <cell r="B5153" t="str">
            <v>UNIAO DE FERRO GALVANIZADO, COM ROSCA BSP, COM ASSENTO PLANO, DE 1/2"</v>
          </cell>
          <cell r="C5153" t="str">
            <v xml:space="preserve">UN    </v>
          </cell>
          <cell r="D5153">
            <v>11.16</v>
          </cell>
        </row>
        <row r="5154">
          <cell r="A5154">
            <v>9886</v>
          </cell>
          <cell r="B5154" t="str">
            <v>UNIAO DE FERRO GALVANIZADO, COM ROSCA BSP, COM ASSENTO PLANO, DE 1"</v>
          </cell>
          <cell r="C5154" t="str">
            <v xml:space="preserve">UN    </v>
          </cell>
          <cell r="D5154">
            <v>15.29</v>
          </cell>
        </row>
        <row r="5155">
          <cell r="A5155">
            <v>9889</v>
          </cell>
          <cell r="B5155" t="str">
            <v>UNIAO DE FERRO GALVANIZADO, COM ROSCA BSP, COM ASSENTO PLANO, DE 2 1/2"</v>
          </cell>
          <cell r="C5155" t="str">
            <v xml:space="preserve">UN    </v>
          </cell>
          <cell r="D5155">
            <v>77.47</v>
          </cell>
        </row>
        <row r="5156">
          <cell r="A5156">
            <v>9887</v>
          </cell>
          <cell r="B5156" t="str">
            <v>UNIAO DE FERRO GALVANIZADO, COM ROSCA BSP, COM ASSENTO PLANO, DE 2"</v>
          </cell>
          <cell r="C5156" t="str">
            <v xml:space="preserve">UN    </v>
          </cell>
          <cell r="D5156">
            <v>46.82</v>
          </cell>
        </row>
        <row r="5157">
          <cell r="A5157">
            <v>9885</v>
          </cell>
          <cell r="B5157" t="str">
            <v>UNIAO DE FERRO GALVANIZADO, COM ROSCA BSP, COM ASSENTO PLANO, DE 3/4"</v>
          </cell>
          <cell r="C5157" t="str">
            <v xml:space="preserve">UN    </v>
          </cell>
          <cell r="D5157">
            <v>14.78</v>
          </cell>
        </row>
        <row r="5158">
          <cell r="A5158">
            <v>9890</v>
          </cell>
          <cell r="B5158" t="str">
            <v>UNIAO DE FERRO GALVANIZADO, COM ROSCA BSP, COM ASSENTO PLANO, DE 3"</v>
          </cell>
          <cell r="C5158" t="str">
            <v xml:space="preserve">UN    </v>
          </cell>
          <cell r="D5158">
            <v>120.02</v>
          </cell>
        </row>
        <row r="5159">
          <cell r="A5159">
            <v>9891</v>
          </cell>
          <cell r="B5159" t="str">
            <v>UNIAO DE FERRO GALVANIZADO, COM ROSCA BSP, COM ASSENTO PLANO, DE 4"</v>
          </cell>
          <cell r="C5159" t="str">
            <v xml:space="preserve">UN    </v>
          </cell>
          <cell r="D5159">
            <v>168.49</v>
          </cell>
        </row>
        <row r="5160">
          <cell r="A5160">
            <v>39292</v>
          </cell>
          <cell r="B5160" t="str">
            <v>UNIAO DE REDUCAO METALICA, PARA CONEXAO COM ANEL DESLIZANTE EM TUBO PEX, DN 20 X 16 MM</v>
          </cell>
          <cell r="C5160" t="str">
            <v xml:space="preserve">UN    </v>
          </cell>
          <cell r="D5160">
            <v>7.32</v>
          </cell>
        </row>
        <row r="5161">
          <cell r="A5161">
            <v>39293</v>
          </cell>
          <cell r="B5161" t="str">
            <v>UNIAO DE REDUCAO METALICA, PARA CONEXAO COM ANEL DESLIZANTE EM TUBO PEX, DN 25 X 16 MM</v>
          </cell>
          <cell r="C5161" t="str">
            <v xml:space="preserve">UN    </v>
          </cell>
          <cell r="D5161">
            <v>11.82</v>
          </cell>
        </row>
        <row r="5162">
          <cell r="A5162">
            <v>39294</v>
          </cell>
          <cell r="B5162" t="str">
            <v>UNIAO DE REDUCAO METALICA, PARA CONEXAO COM ANEL DESLIZANTE EM TUBO PEX, DN 25 X 20 MM</v>
          </cell>
          <cell r="C5162" t="str">
            <v xml:space="preserve">UN    </v>
          </cell>
          <cell r="D5162">
            <v>11.82</v>
          </cell>
        </row>
        <row r="5163">
          <cell r="A5163">
            <v>39295</v>
          </cell>
          <cell r="B5163" t="str">
            <v>UNIAO DE REDUCAO METALICA, PARA CONEXAO COM ANEL DESLIZANTE EM TUBO PEX, DN 32 X 25 MM</v>
          </cell>
          <cell r="C5163" t="str">
            <v xml:space="preserve">UN    </v>
          </cell>
          <cell r="D5163">
            <v>20.16</v>
          </cell>
        </row>
        <row r="5164">
          <cell r="A5164">
            <v>36313</v>
          </cell>
          <cell r="B5164" t="str">
            <v>UNIAO DUPLA PPR DN 20 MM, PARA AGUA QUENTE PREDIAL</v>
          </cell>
          <cell r="C5164" t="str">
            <v xml:space="preserve">UN    </v>
          </cell>
          <cell r="D5164">
            <v>21.51</v>
          </cell>
        </row>
        <row r="5165">
          <cell r="A5165">
            <v>36316</v>
          </cell>
          <cell r="B5165" t="str">
            <v>UNIAO DUPLA PPR DN 25 MM, PARA AGUA QUENTE PREDIAL</v>
          </cell>
          <cell r="C5165" t="str">
            <v xml:space="preserve">UN    </v>
          </cell>
          <cell r="D5165">
            <v>26.08</v>
          </cell>
        </row>
        <row r="5166">
          <cell r="A5166">
            <v>64</v>
          </cell>
          <cell r="B5166" t="str">
            <v>UNIAO EM POLIPROPILENO (PP), PARA TUBO EM PEAD, 20 MM - LIGACAO PREDIAL DE AGUA</v>
          </cell>
          <cell r="C5166" t="str">
            <v xml:space="preserve">UN    </v>
          </cell>
          <cell r="D5166">
            <v>3.42</v>
          </cell>
        </row>
        <row r="5167">
          <cell r="A5167">
            <v>37423</v>
          </cell>
          <cell r="B5167" t="str">
            <v>UNIAO EM POLIPROPILENO (PP), PARA TUBO EM PEAD, 32 MM - LIGACAO PREDIAL DE AGUA</v>
          </cell>
          <cell r="C5167" t="str">
            <v xml:space="preserve">UN    </v>
          </cell>
          <cell r="D5167">
            <v>8.4600000000000009</v>
          </cell>
        </row>
        <row r="5168">
          <cell r="A5168">
            <v>39296</v>
          </cell>
          <cell r="B5168" t="str">
            <v>UNIAO METALICA, PARA CONEXAO COM ANEL DESLIZANTE EM TUBO PEX, DN 16 MM</v>
          </cell>
          <cell r="C5168" t="str">
            <v xml:space="preserve">UN    </v>
          </cell>
          <cell r="D5168">
            <v>5.66</v>
          </cell>
        </row>
        <row r="5169">
          <cell r="A5169">
            <v>39297</v>
          </cell>
          <cell r="B5169" t="str">
            <v>UNIAO METALICA, PARA CONEXAO COM ANEL DESLIZANTE EM TUBO PEX, DN 20 MM</v>
          </cell>
          <cell r="C5169" t="str">
            <v xml:space="preserve">UN    </v>
          </cell>
          <cell r="D5169">
            <v>8.09</v>
          </cell>
        </row>
        <row r="5170">
          <cell r="A5170">
            <v>39298</v>
          </cell>
          <cell r="B5170" t="str">
            <v>UNIAO METALICA, PARA CONEXAO COM ANEL DESLIZANTE EM TUBO PEX, DN 25 MM</v>
          </cell>
          <cell r="C5170" t="str">
            <v xml:space="preserve">UN    </v>
          </cell>
          <cell r="D5170">
            <v>14.25</v>
          </cell>
        </row>
        <row r="5171">
          <cell r="A5171">
            <v>39299</v>
          </cell>
          <cell r="B5171" t="str">
            <v>UNIAO METALICA, PARA CONEXAO COM ANEL DESLIZANTE EM TUBO PEX, DN 32 MM</v>
          </cell>
          <cell r="C5171" t="str">
            <v xml:space="preserve">UN    </v>
          </cell>
          <cell r="D5171">
            <v>24.25</v>
          </cell>
        </row>
        <row r="5172">
          <cell r="A5172">
            <v>9892</v>
          </cell>
          <cell r="B5172" t="str">
            <v>UNIAO PVC, ROSCAVEL 1/2",  AGUA FRIA PREDIAL</v>
          </cell>
          <cell r="C5172" t="str">
            <v xml:space="preserve">UN    </v>
          </cell>
          <cell r="D5172">
            <v>4.2300000000000004</v>
          </cell>
        </row>
        <row r="5173">
          <cell r="A5173">
            <v>9893</v>
          </cell>
          <cell r="B5173" t="str">
            <v>UNIAO PVC, ROSCAVEL 2",  AGUA FRIA PREDIAL</v>
          </cell>
          <cell r="C5173" t="str">
            <v xml:space="preserve">UN    </v>
          </cell>
          <cell r="D5173">
            <v>57.46</v>
          </cell>
        </row>
        <row r="5174">
          <cell r="A5174">
            <v>9901</v>
          </cell>
          <cell r="B5174" t="str">
            <v>UNIAO PVC, ROSCAVEL, 1 1/2",  AGUA FRIA PREDIAL</v>
          </cell>
          <cell r="C5174" t="str">
            <v xml:space="preserve">UN    </v>
          </cell>
          <cell r="D5174">
            <v>25.5</v>
          </cell>
        </row>
        <row r="5175">
          <cell r="A5175">
            <v>9896</v>
          </cell>
          <cell r="B5175" t="str">
            <v>UNIAO PVC, ROSCAVEL, 1 1/4",  AGUA FRIA PREDIAL</v>
          </cell>
          <cell r="C5175" t="str">
            <v xml:space="preserve">UN    </v>
          </cell>
          <cell r="D5175">
            <v>22.98</v>
          </cell>
        </row>
        <row r="5176">
          <cell r="A5176">
            <v>9900</v>
          </cell>
          <cell r="B5176" t="str">
            <v>UNIAO PVC, ROSCAVEL, 1",  AGUA FRIA PREDIAL</v>
          </cell>
          <cell r="C5176" t="str">
            <v xml:space="preserve">UN    </v>
          </cell>
          <cell r="D5176">
            <v>13.94</v>
          </cell>
        </row>
        <row r="5177">
          <cell r="A5177">
            <v>9898</v>
          </cell>
          <cell r="B5177" t="str">
            <v>UNIAO PVC, ROSCAVEL, 2 1/2",  AGUA FRIA PREDIAL</v>
          </cell>
          <cell r="C5177" t="str">
            <v xml:space="preserve">UN    </v>
          </cell>
          <cell r="D5177">
            <v>118.15</v>
          </cell>
        </row>
        <row r="5178">
          <cell r="A5178">
            <v>9899</v>
          </cell>
          <cell r="B5178" t="str">
            <v>UNIAO PVC, ROSCAVEL, 3/4",  AGUA FRIA PREDIAL</v>
          </cell>
          <cell r="C5178" t="str">
            <v xml:space="preserve">UN    </v>
          </cell>
          <cell r="D5178">
            <v>7.61</v>
          </cell>
        </row>
        <row r="5179">
          <cell r="A5179">
            <v>9902</v>
          </cell>
          <cell r="B5179" t="str">
            <v>UNIAO PVC, ROSCAVEL, 3",  AGUA FRIA PREDIAL</v>
          </cell>
          <cell r="C5179" t="str">
            <v xml:space="preserve">UN    </v>
          </cell>
          <cell r="D5179">
            <v>149.62</v>
          </cell>
        </row>
        <row r="5180">
          <cell r="A5180">
            <v>9908</v>
          </cell>
          <cell r="B5180" t="str">
            <v>UNIAO PVC, SOLDAVEL, 110 MM,  PARA AGUA FRIA PREDIAL</v>
          </cell>
          <cell r="C5180" t="str">
            <v xml:space="preserve">UN    </v>
          </cell>
          <cell r="D5180">
            <v>298.32</v>
          </cell>
        </row>
        <row r="5181">
          <cell r="A5181">
            <v>9905</v>
          </cell>
          <cell r="B5181" t="str">
            <v>UNIAO PVC, SOLDAVEL, 20 MM,  PARA AGUA FRIA PREDIAL</v>
          </cell>
          <cell r="C5181" t="str">
            <v xml:space="preserve">UN    </v>
          </cell>
          <cell r="D5181">
            <v>4.9800000000000004</v>
          </cell>
        </row>
        <row r="5182">
          <cell r="A5182">
            <v>9906</v>
          </cell>
          <cell r="B5182" t="str">
            <v>UNIAO PVC, SOLDAVEL, 25 MM,  PARA AGUA FRIA PREDIAL</v>
          </cell>
          <cell r="C5182" t="str">
            <v xml:space="preserve">UN    </v>
          </cell>
          <cell r="D5182">
            <v>5.97</v>
          </cell>
        </row>
        <row r="5183">
          <cell r="A5183">
            <v>9895</v>
          </cell>
          <cell r="B5183" t="str">
            <v>UNIAO PVC, SOLDAVEL, 32 MM,  PARA AGUA FRIA PREDIAL</v>
          </cell>
          <cell r="C5183" t="str">
            <v xml:space="preserve">UN    </v>
          </cell>
          <cell r="D5183">
            <v>9.8000000000000007</v>
          </cell>
        </row>
        <row r="5184">
          <cell r="A5184">
            <v>9894</v>
          </cell>
          <cell r="B5184" t="str">
            <v>UNIAO PVC, SOLDAVEL, 40 MM,  PARA AGUA FRIA PREDIAL</v>
          </cell>
          <cell r="C5184" t="str">
            <v xml:space="preserve">UN    </v>
          </cell>
          <cell r="D5184">
            <v>19.09</v>
          </cell>
        </row>
        <row r="5185">
          <cell r="A5185">
            <v>9897</v>
          </cell>
          <cell r="B5185" t="str">
            <v>UNIAO PVC, SOLDAVEL, 50 MM,  PARA AGUA FRIA PREDIAL</v>
          </cell>
          <cell r="C5185" t="str">
            <v xml:space="preserve">UN    </v>
          </cell>
          <cell r="D5185">
            <v>20.67</v>
          </cell>
        </row>
        <row r="5186">
          <cell r="A5186">
            <v>9910</v>
          </cell>
          <cell r="B5186" t="str">
            <v>UNIAO PVC, SOLDAVEL, 60 MM,  PARA AGUA FRIA PREDIAL</v>
          </cell>
          <cell r="C5186" t="str">
            <v xml:space="preserve">UN    </v>
          </cell>
          <cell r="D5186">
            <v>52.02</v>
          </cell>
        </row>
        <row r="5187">
          <cell r="A5187">
            <v>9909</v>
          </cell>
          <cell r="B5187" t="str">
            <v>UNIAO PVC, SOLDAVEL, 75 MM,  PARA AGUA FRIA PREDIAL</v>
          </cell>
          <cell r="C5187" t="str">
            <v xml:space="preserve">UN    </v>
          </cell>
          <cell r="D5187">
            <v>104.98</v>
          </cell>
        </row>
        <row r="5188">
          <cell r="A5188">
            <v>9907</v>
          </cell>
          <cell r="B5188" t="str">
            <v>UNIAO PVC, SOLDAVEL, 85 MM,  PARA AGUA FRIA PREDIAL</v>
          </cell>
          <cell r="C5188" t="str">
            <v xml:space="preserve">UN    </v>
          </cell>
          <cell r="D5188">
            <v>161.41999999999999</v>
          </cell>
        </row>
        <row r="5189">
          <cell r="A5189">
            <v>20973</v>
          </cell>
          <cell r="B5189" t="str">
            <v>UNIAO TIPO STORZ, COM EMPATACAO INTERNA TIPO ANEL DE EXPANSAO, ENGATE RAPIDO 1 1/2", PARA MANGUEIRA DE COMBATE A INCENDIO PREDIAL</v>
          </cell>
          <cell r="C5189" t="str">
            <v xml:space="preserve">UN    </v>
          </cell>
          <cell r="D5189">
            <v>62.46</v>
          </cell>
        </row>
        <row r="5190">
          <cell r="A5190">
            <v>20974</v>
          </cell>
          <cell r="B5190" t="str">
            <v>UNIAO TIPO STORZ, COM EMPATACAO INTERNA TIPO ANEL DE EXPANSAO, ENGATE RAPIDO 2 1/2", PARA MANGUEIRA DE COMBATE A INCENDIO PREDIAL</v>
          </cell>
          <cell r="C5190" t="str">
            <v xml:space="preserve">UN    </v>
          </cell>
          <cell r="D5190">
            <v>89.37</v>
          </cell>
        </row>
        <row r="5191">
          <cell r="A5191">
            <v>37989</v>
          </cell>
          <cell r="B5191" t="str">
            <v>UNIAO, CPVC, SOLDAVEL, 15 MM, PARA AGUA QUENTE PREDIAL</v>
          </cell>
          <cell r="C5191" t="str">
            <v xml:space="preserve">UN    </v>
          </cell>
          <cell r="D5191">
            <v>13.08</v>
          </cell>
        </row>
        <row r="5192">
          <cell r="A5192">
            <v>37990</v>
          </cell>
          <cell r="B5192" t="str">
            <v>UNIAO, CPVC, SOLDAVEL, 22 MM, PARA AGUA QUENTE PREDIAL</v>
          </cell>
          <cell r="C5192" t="str">
            <v xml:space="preserve">UN    </v>
          </cell>
          <cell r="D5192">
            <v>15.2</v>
          </cell>
        </row>
        <row r="5193">
          <cell r="A5193">
            <v>37991</v>
          </cell>
          <cell r="B5193" t="str">
            <v>UNIAO, CPVC, SOLDAVEL, 28 MM, PARA AGUA QUENTE PREDIAL</v>
          </cell>
          <cell r="C5193" t="str">
            <v xml:space="preserve">UN    </v>
          </cell>
          <cell r="D5193">
            <v>24.04</v>
          </cell>
        </row>
        <row r="5194">
          <cell r="A5194">
            <v>37992</v>
          </cell>
          <cell r="B5194" t="str">
            <v>UNIAO, CPVC, SOLDAVEL, 35 MM, PARA AGUA QUENTE PREDIAL</v>
          </cell>
          <cell r="C5194" t="str">
            <v xml:space="preserve">UN    </v>
          </cell>
          <cell r="D5194">
            <v>36.72</v>
          </cell>
        </row>
        <row r="5195">
          <cell r="A5195">
            <v>37993</v>
          </cell>
          <cell r="B5195" t="str">
            <v>UNIAO, CPVC, SOLDAVEL, 42 MM, PARA AGUA QUENTE PREDIAL</v>
          </cell>
          <cell r="C5195" t="str">
            <v xml:space="preserve">UN    </v>
          </cell>
          <cell r="D5195">
            <v>54.5</v>
          </cell>
        </row>
        <row r="5196">
          <cell r="A5196">
            <v>37994</v>
          </cell>
          <cell r="B5196" t="str">
            <v>UNIAO, CPVC, SOLDAVEL, 54 MM, PARA AGUA QUENTE PREDIAL</v>
          </cell>
          <cell r="C5196" t="str">
            <v xml:space="preserve">UN    </v>
          </cell>
          <cell r="D5196">
            <v>130.97</v>
          </cell>
        </row>
        <row r="5197">
          <cell r="A5197">
            <v>37995</v>
          </cell>
          <cell r="B5197" t="str">
            <v>UNIAO, CPVC, SOLDAVEL, 73 MM, PARA AGUA QUENTE PREDIAL</v>
          </cell>
          <cell r="C5197" t="str">
            <v xml:space="preserve">UN    </v>
          </cell>
          <cell r="D5197">
            <v>190.09</v>
          </cell>
        </row>
        <row r="5198">
          <cell r="A5198">
            <v>37996</v>
          </cell>
          <cell r="B5198" t="str">
            <v>UNIAO, CPVC, SOLDAVEL, 89 MM, PARA AGUA QUENTE PREDIAL</v>
          </cell>
          <cell r="C5198" t="str">
            <v xml:space="preserve">UN    </v>
          </cell>
          <cell r="D5198">
            <v>280.27999999999997</v>
          </cell>
        </row>
        <row r="5199">
          <cell r="A5199">
            <v>13883</v>
          </cell>
          <cell r="B5199" t="str">
            <v>USINA DE ASFALTO A FRIO, CAPACIDADE DE 30 A 40 T/H, ELETRICA, POTENCIA DE 30 CV</v>
          </cell>
          <cell r="C5199" t="str">
            <v xml:space="preserve">UN    </v>
          </cell>
          <cell r="D5199">
            <v>78078.77</v>
          </cell>
        </row>
        <row r="5200">
          <cell r="A5200">
            <v>38604</v>
          </cell>
          <cell r="B5200" t="str">
            <v>USINA DE ASFALTO A FRIO, CAPACIDADE DE 40 A 60 T/H, ELETRICA, POTENCIA DE 30 CV</v>
          </cell>
          <cell r="C5200" t="str">
            <v xml:space="preserve">UN    </v>
          </cell>
          <cell r="D5200">
            <v>97246.07</v>
          </cell>
        </row>
        <row r="5201">
          <cell r="A5201">
            <v>10601</v>
          </cell>
          <cell r="B5201" t="str">
            <v>USINA DE ASFALTO A QUENTE, FIXA, TIPO CONTRA FLUXO, CAPACIDADE DE 100 A 140 T/H, POTENCIA DE 280 KW, COM MISTURADOR EXTERNO ROTATIVO</v>
          </cell>
          <cell r="C5201" t="str">
            <v xml:space="preserve">UN    </v>
          </cell>
          <cell r="D5201">
            <v>1891630.04</v>
          </cell>
        </row>
        <row r="5202">
          <cell r="A5202">
            <v>26034</v>
          </cell>
          <cell r="B5202" t="str">
            <v>USINA DE ASFALTO, GRAVIMETRICA, CAPACIDADE DE 150 T/H, POTENCIA DE 400 KW</v>
          </cell>
          <cell r="C5202" t="str">
            <v xml:space="preserve">UN    </v>
          </cell>
          <cell r="D5202">
            <v>4980595.1500000004</v>
          </cell>
        </row>
        <row r="5203">
          <cell r="A5203">
            <v>13894</v>
          </cell>
          <cell r="B5203" t="str">
            <v>USINA DE CONCRETO FIXA, CAPACIDADE NOMINAL DE 40 M3/H, SEM SILO</v>
          </cell>
          <cell r="C5203" t="str">
            <v xml:space="preserve">UN    </v>
          </cell>
          <cell r="D5203">
            <v>392649.25</v>
          </cell>
        </row>
        <row r="5204">
          <cell r="A5204">
            <v>13895</v>
          </cell>
          <cell r="B5204" t="str">
            <v>USINA DE CONCRETO FIXA, CAPACIDADE NOMINAL DE 60 M3/H, SEM SILO</v>
          </cell>
          <cell r="C5204" t="str">
            <v xml:space="preserve">UN    </v>
          </cell>
          <cell r="D5204">
            <v>527982.35</v>
          </cell>
        </row>
        <row r="5205">
          <cell r="A5205">
            <v>13892</v>
          </cell>
          <cell r="B5205" t="str">
            <v>USINA DE CONCRETO FIXA, CAPACIDADE NOMINAL DE 80 M3/H, SEM SILO</v>
          </cell>
          <cell r="C5205" t="str">
            <v xml:space="preserve">UN    </v>
          </cell>
          <cell r="D5205">
            <v>647029.46</v>
          </cell>
        </row>
        <row r="5206">
          <cell r="A5206">
            <v>9914</v>
          </cell>
          <cell r="B5206" t="str">
            <v>USINA DE CONCRETO FIXA, CAPACIDADE NOMINAL DE 90 A 120 M3/H, SEM SILO</v>
          </cell>
          <cell r="C5206" t="str">
            <v xml:space="preserve">UN    </v>
          </cell>
          <cell r="D5206">
            <v>700000</v>
          </cell>
        </row>
        <row r="5207">
          <cell r="A5207">
            <v>36485</v>
          </cell>
          <cell r="B5207" t="str">
            <v>USINA DE LAMA ASFALTICA, PROD 30 A 50 T/H, SILO DE AGREGADO 7 M3, RESERVATORIOS PARA EMULSAO E AGUA DE 2,3 M3 CADA, MISTURADOR TIPO PUGG-MILL A SER MONTADO SOBRE CAMINHAO</v>
          </cell>
          <cell r="C5207" t="str">
            <v xml:space="preserve">UN    </v>
          </cell>
          <cell r="D5207">
            <v>424438.89</v>
          </cell>
        </row>
        <row r="5208">
          <cell r="A5208">
            <v>9912</v>
          </cell>
          <cell r="B5208" t="str">
            <v>USINA DE MISTURAS ASFALTICAS A QUENTE, MOVEL, TIPO CONTRA FLUXO, CAPACIDADE DE 40 A 80 T/H</v>
          </cell>
          <cell r="C5208" t="str">
            <v xml:space="preserve">UN    </v>
          </cell>
          <cell r="D5208">
            <v>1540000</v>
          </cell>
        </row>
        <row r="5209">
          <cell r="A5209">
            <v>9921</v>
          </cell>
          <cell r="B5209" t="str">
            <v>USINA MISTURADORA DE SOLOS,  DOSADORES TRIPLOS, CALHA VIBRATORIA CAPACIDADE DE 200 A 500 T/H, POTENCIA DE 75 KW</v>
          </cell>
          <cell r="C5209" t="str">
            <v xml:space="preserve">UN    </v>
          </cell>
          <cell r="D5209">
            <v>794404.84</v>
          </cell>
        </row>
        <row r="5210">
          <cell r="A5210">
            <v>21112</v>
          </cell>
          <cell r="B5210" t="str">
            <v>VALVULA DE DESCARGA EM METAL CROMADO PARA MICTORIO COM ACIONAMENTO POR PRESSAO E FECHAMENTO AUTOMATICO</v>
          </cell>
          <cell r="C5210" t="str">
            <v xml:space="preserve">UN    </v>
          </cell>
          <cell r="D5210">
            <v>140.13999999999999</v>
          </cell>
        </row>
        <row r="5211">
          <cell r="A5211">
            <v>10228</v>
          </cell>
          <cell r="B5211" t="str">
            <v>VALVULA DE DESCARGA METALICA, BASE 1 1/2 " E ACABAMENTO METALICO CROMADO</v>
          </cell>
          <cell r="C5211" t="str">
            <v xml:space="preserve">UN    </v>
          </cell>
          <cell r="D5211">
            <v>162.80000000000001</v>
          </cell>
        </row>
        <row r="5212">
          <cell r="A5212">
            <v>11781</v>
          </cell>
          <cell r="B5212" t="str">
            <v>VALVULA DE DESCARGA METALICA, BASE 1 1/4 " E ACABAMENTO METALICO CROMADO</v>
          </cell>
          <cell r="C5212" t="str">
            <v xml:space="preserve">UN    </v>
          </cell>
          <cell r="D5212">
            <v>131.88</v>
          </cell>
        </row>
        <row r="5213">
          <cell r="A5213">
            <v>11746</v>
          </cell>
          <cell r="B5213" t="str">
            <v>VALVULA DE ESFERA BRUTA EM BRONZE, BITOLA 1 " (REF 1552-B)</v>
          </cell>
          <cell r="C5213" t="str">
            <v xml:space="preserve">UN    </v>
          </cell>
          <cell r="D5213">
            <v>46.18</v>
          </cell>
        </row>
        <row r="5214">
          <cell r="A5214">
            <v>11751</v>
          </cell>
          <cell r="B5214" t="str">
            <v>VALVULA DE ESFERA BRUTA EM BRONZE, BITOLA 1 1/2 " (REF 1552-B)</v>
          </cell>
          <cell r="C5214" t="str">
            <v xml:space="preserve">UN    </v>
          </cell>
          <cell r="D5214">
            <v>82.95</v>
          </cell>
        </row>
        <row r="5215">
          <cell r="A5215">
            <v>11750</v>
          </cell>
          <cell r="B5215" t="str">
            <v>VALVULA DE ESFERA BRUTA EM BRONZE, BITOLA 1 1/4 " (REF 1552-B)</v>
          </cell>
          <cell r="C5215" t="str">
            <v xml:space="preserve">UN    </v>
          </cell>
          <cell r="D5215">
            <v>68.84</v>
          </cell>
        </row>
        <row r="5216">
          <cell r="A5216">
            <v>11748</v>
          </cell>
          <cell r="B5216" t="str">
            <v>VALVULA DE ESFERA BRUTA EM BRONZE, BITOLA 1/2 " (REF 1552-B)</v>
          </cell>
          <cell r="C5216" t="str">
            <v xml:space="preserve">UN    </v>
          </cell>
          <cell r="D5216">
            <v>29.64</v>
          </cell>
        </row>
        <row r="5217">
          <cell r="A5217">
            <v>11747</v>
          </cell>
          <cell r="B5217" t="str">
            <v>VALVULA DE ESFERA BRUTA EM BRONZE, BITOLA 2 " (REF 1552-B)</v>
          </cell>
          <cell r="C5217" t="str">
            <v xml:space="preserve">UN    </v>
          </cell>
          <cell r="D5217">
            <v>127.91</v>
          </cell>
        </row>
        <row r="5218">
          <cell r="A5218">
            <v>11749</v>
          </cell>
          <cell r="B5218" t="str">
            <v>VALVULA DE ESFERA BRUTA EM BRONZE, BITOLA 3/4 " (REF 1552-B)</v>
          </cell>
          <cell r="C5218" t="str">
            <v xml:space="preserve">UN    </v>
          </cell>
          <cell r="D5218">
            <v>34.21</v>
          </cell>
        </row>
        <row r="5219">
          <cell r="A5219">
            <v>10236</v>
          </cell>
          <cell r="B5219" t="str">
            <v>VALVULA DE RETENCAO DE BRONZE, PE COM CRIVOS, EXTREMIDADE COM ROSCA, DE 1 1/2", PARA FUNDO DE POCO</v>
          </cell>
          <cell r="C5219" t="str">
            <v xml:space="preserve">UN    </v>
          </cell>
          <cell r="D5219">
            <v>52.43</v>
          </cell>
        </row>
        <row r="5220">
          <cell r="A5220">
            <v>10233</v>
          </cell>
          <cell r="B5220" t="str">
            <v>VALVULA DE RETENCAO DE BRONZE, PE COM CRIVOS, EXTREMIDADE COM ROSCA, DE 1 1/4", PARA FUNDO DE POCO</v>
          </cell>
          <cell r="C5220" t="str">
            <v xml:space="preserve">UN    </v>
          </cell>
          <cell r="D5220">
            <v>49.13</v>
          </cell>
        </row>
        <row r="5221">
          <cell r="A5221">
            <v>10234</v>
          </cell>
          <cell r="B5221" t="str">
            <v>VALVULA DE RETENCAO DE BRONZE, PE COM CRIVOS, EXTREMIDADE COM ROSCA, DE 1", PARA FUNDO DE POCO</v>
          </cell>
          <cell r="C5221" t="str">
            <v xml:space="preserve">UN    </v>
          </cell>
          <cell r="D5221">
            <v>30.95</v>
          </cell>
        </row>
        <row r="5222">
          <cell r="A5222">
            <v>10231</v>
          </cell>
          <cell r="B5222" t="str">
            <v>VALVULA DE RETENCAO DE BRONZE, PE COM CRIVOS, EXTREMIDADE COM ROSCA, DE 2 1/2", PARA FUNDO DE POCO</v>
          </cell>
          <cell r="C5222" t="str">
            <v xml:space="preserve">UN    </v>
          </cell>
          <cell r="D5222">
            <v>141.91999999999999</v>
          </cell>
        </row>
        <row r="5223">
          <cell r="A5223">
            <v>10232</v>
          </cell>
          <cell r="B5223" t="str">
            <v>VALVULA DE RETENCAO DE BRONZE, PE COM CRIVOS, EXTREMIDADE COM ROSCA, DE 2", PARA FUNDO DE POCO</v>
          </cell>
          <cell r="C5223" t="str">
            <v xml:space="preserve">UN    </v>
          </cell>
          <cell r="D5223">
            <v>79.42</v>
          </cell>
        </row>
        <row r="5224">
          <cell r="A5224">
            <v>10229</v>
          </cell>
          <cell r="B5224" t="str">
            <v>VALVULA DE RETENCAO DE BRONZE, PE COM CRIVOS, EXTREMIDADE COM ROSCA, DE 3/4", PARA FUNDO DE POCO</v>
          </cell>
          <cell r="C5224" t="str">
            <v xml:space="preserve">UN    </v>
          </cell>
          <cell r="D5224">
            <v>27.99</v>
          </cell>
        </row>
        <row r="5225">
          <cell r="A5225">
            <v>10235</v>
          </cell>
          <cell r="B5225" t="str">
            <v>VALVULA DE RETENCAO DE BRONZE, PE COM CRIVOS, EXTREMIDADE COM ROSCA, DE 3", PARA FUNDO DE POCO</v>
          </cell>
          <cell r="C5225" t="str">
            <v xml:space="preserve">UN    </v>
          </cell>
          <cell r="D5225">
            <v>194.56</v>
          </cell>
        </row>
        <row r="5226">
          <cell r="A5226">
            <v>10230</v>
          </cell>
          <cell r="B5226" t="str">
            <v>VALVULA DE RETENCAO DE BRONZE, PE COM CRIVOS, EXTREMIDADE COM ROSCA, DE 4", PARA FUNDO DE POCO</v>
          </cell>
          <cell r="C5226" t="str">
            <v xml:space="preserve">UN    </v>
          </cell>
          <cell r="D5226">
            <v>342.41</v>
          </cell>
        </row>
        <row r="5227">
          <cell r="A5227">
            <v>10409</v>
          </cell>
          <cell r="B5227" t="str">
            <v>VALVULA DE RETENCAO HORIZONTAL, DE BRONZE (PN-25), 1 1/2", 400 PSI, TAMPA DE PORCA DE UNIAO, EXTREMIDADES COM ROSCA</v>
          </cell>
          <cell r="C5227" t="str">
            <v xml:space="preserve">UN    </v>
          </cell>
          <cell r="D5227">
            <v>101.72</v>
          </cell>
        </row>
        <row r="5228">
          <cell r="A5228">
            <v>10411</v>
          </cell>
          <cell r="B5228" t="str">
            <v>VALVULA DE RETENCAO HORIZONTAL, DE BRONZE (PN-25), 1 1/4", 400 PSI, TAMPA DE PORCA DE UNIAO, EXTREMIDADES COM ROSCA</v>
          </cell>
          <cell r="C5228" t="str">
            <v xml:space="preserve">UN    </v>
          </cell>
          <cell r="D5228">
            <v>91.02</v>
          </cell>
        </row>
        <row r="5229">
          <cell r="A5229">
            <v>10404</v>
          </cell>
          <cell r="B5229" t="str">
            <v>VALVULA DE RETENCAO HORIZONTAL, DE BRONZE (PN-25), 1/2", 400 PSI, TAMPA DE PORCA DE UNIAO, EXTREMIDADES COM ROSCA</v>
          </cell>
          <cell r="C5229" t="str">
            <v xml:space="preserve">UN    </v>
          </cell>
          <cell r="D5229">
            <v>36.909999999999997</v>
          </cell>
        </row>
        <row r="5230">
          <cell r="A5230">
            <v>10410</v>
          </cell>
          <cell r="B5230" t="str">
            <v>VALVULA DE RETENCAO HORIZONTAL, DE BRONZE (PN-25), 1", 400 PSI, TAMPA DE PORCA DE UNIAO, EXTREMIDADES COM ROSCA</v>
          </cell>
          <cell r="C5230" t="str">
            <v xml:space="preserve">UN    </v>
          </cell>
          <cell r="D5230">
            <v>60.8</v>
          </cell>
        </row>
        <row r="5231">
          <cell r="A5231">
            <v>10405</v>
          </cell>
          <cell r="B5231" t="str">
            <v>VALVULA DE RETENCAO HORIZONTAL, DE BRONZE (PN-25), 2 1/2", 400 PSI, TAMPA DE PORCA DE UNIAO, EXTREMIDADES COM ROSCA</v>
          </cell>
          <cell r="C5231" t="str">
            <v xml:space="preserve">UN    </v>
          </cell>
          <cell r="D5231">
            <v>203.81</v>
          </cell>
        </row>
        <row r="5232">
          <cell r="A5232">
            <v>10408</v>
          </cell>
          <cell r="B5232" t="str">
            <v>VALVULA DE RETENCAO HORIZONTAL, DE BRONZE (PN-25), 2", 400 PSI, TAMPA DE PORCA DE UNIAO, EXTREMIDADES COM ROSCA</v>
          </cell>
          <cell r="C5232" t="str">
            <v xml:space="preserve">UN    </v>
          </cell>
          <cell r="D5232">
            <v>142.52000000000001</v>
          </cell>
        </row>
        <row r="5233">
          <cell r="A5233">
            <v>10412</v>
          </cell>
          <cell r="B5233" t="str">
            <v>VALVULA DE RETENCAO HORIZONTAL, DE BRONZE (PN-25), 3/4", 400 PSI, TAMPA DE PORCA DE UNIAO, EXTREMIDADES COM ROSCA</v>
          </cell>
          <cell r="C5233" t="str">
            <v xml:space="preserve">UN    </v>
          </cell>
          <cell r="D5233">
            <v>44.73</v>
          </cell>
        </row>
        <row r="5234">
          <cell r="A5234">
            <v>10406</v>
          </cell>
          <cell r="B5234" t="str">
            <v>VALVULA DE RETENCAO HORIZONTAL, DE BRONZE (PN-25), 3", 400 PSI, TAMPA DE PORCA DE UNIAO, EXTREMIDADES COM ROSCA</v>
          </cell>
          <cell r="C5234" t="str">
            <v xml:space="preserve">UN    </v>
          </cell>
          <cell r="D5234">
            <v>281.5</v>
          </cell>
        </row>
        <row r="5235">
          <cell r="A5235">
            <v>10407</v>
          </cell>
          <cell r="B5235" t="str">
            <v>VALVULA DE RETENCAO HORIZONTAL, DE BRONZE (PN-25), 4", 400 PSI, TAMPA DE PORCA DE UNIAO, EXTREMIDADES COM ROSCA</v>
          </cell>
          <cell r="C5235" t="str">
            <v xml:space="preserve">UN    </v>
          </cell>
          <cell r="D5235">
            <v>436.61</v>
          </cell>
        </row>
        <row r="5236">
          <cell r="A5236">
            <v>10416</v>
          </cell>
          <cell r="B5236" t="str">
            <v>VALVULA DE RETENCAO VERTICAL, DE BRONZE (PN-16), 1 1/2", 200 PSI, EXTREMIDADES COM ROSCA</v>
          </cell>
          <cell r="C5236" t="str">
            <v xml:space="preserve">UN    </v>
          </cell>
          <cell r="D5236">
            <v>54.15</v>
          </cell>
        </row>
        <row r="5237">
          <cell r="A5237">
            <v>10419</v>
          </cell>
          <cell r="B5237" t="str">
            <v>VALVULA DE RETENCAO VERTICAL, DE BRONZE (PN-16), 1 1/4", 200 PSI, EXTREMIDADES COM ROSCA</v>
          </cell>
          <cell r="C5237" t="str">
            <v xml:space="preserve">UN    </v>
          </cell>
          <cell r="D5237">
            <v>47</v>
          </cell>
        </row>
        <row r="5238">
          <cell r="A5238">
            <v>21092</v>
          </cell>
          <cell r="B5238" t="str">
            <v>VALVULA DE RETENCAO VERTICAL, DE BRONZE (PN-16), 1/2", 200 PSI, EXTREMIDADES COM ROSCA</v>
          </cell>
          <cell r="C5238" t="str">
            <v xml:space="preserve">UN    </v>
          </cell>
          <cell r="D5238">
            <v>26.87</v>
          </cell>
        </row>
        <row r="5239">
          <cell r="A5239">
            <v>10418</v>
          </cell>
          <cell r="B5239" t="str">
            <v>VALVULA DE RETENCAO VERTICAL, DE BRONZE (PN-16), 1", 200 PSI, EXTREMIDADES COM ROSCA</v>
          </cell>
          <cell r="C5239" t="str">
            <v xml:space="preserve">UN    </v>
          </cell>
          <cell r="D5239">
            <v>31.33</v>
          </cell>
        </row>
        <row r="5240">
          <cell r="A5240">
            <v>12657</v>
          </cell>
          <cell r="B5240" t="str">
            <v>VALVULA DE RETENCAO VERTICAL, DE BRONZE (PN-16), 2 1/2", 200 PSI, EXTREMIDADES COM ROSCA</v>
          </cell>
          <cell r="C5240" t="str">
            <v xml:space="preserve">UN    </v>
          </cell>
          <cell r="D5240">
            <v>126.44</v>
          </cell>
        </row>
        <row r="5241">
          <cell r="A5241">
            <v>10417</v>
          </cell>
          <cell r="B5241" t="str">
            <v>VALVULA DE RETENCAO VERTICAL, DE BRONZE (PN-16), 2", 200 PSI, EXTREMIDADES COM ROSCA</v>
          </cell>
          <cell r="C5241" t="str">
            <v xml:space="preserve">UN    </v>
          </cell>
          <cell r="D5241">
            <v>78.91</v>
          </cell>
        </row>
        <row r="5242">
          <cell r="A5242">
            <v>10413</v>
          </cell>
          <cell r="B5242" t="str">
            <v>VALVULA DE RETENCAO VERTICAL, DE BRONZE (PN-16), 3/4", 200 PSI, EXTREMIDADES COM ROSCA</v>
          </cell>
          <cell r="C5242" t="str">
            <v xml:space="preserve">UN    </v>
          </cell>
          <cell r="D5242">
            <v>28.68</v>
          </cell>
        </row>
        <row r="5243">
          <cell r="A5243">
            <v>10414</v>
          </cell>
          <cell r="B5243" t="str">
            <v>VALVULA DE RETENCAO VERTICAL, DE BRONZE (PN-16), 3", 200 PSI, EXTREMIDADES COM ROSCA</v>
          </cell>
          <cell r="C5243" t="str">
            <v xml:space="preserve">UN    </v>
          </cell>
          <cell r="D5243">
            <v>172.67</v>
          </cell>
        </row>
        <row r="5244">
          <cell r="A5244">
            <v>10415</v>
          </cell>
          <cell r="B5244" t="str">
            <v>VALVULA DE RETENCAO VERTICAL, DE BRONZE (PN-16), 4", 200 PSI, EXTREMIDADES COM ROSCA</v>
          </cell>
          <cell r="C5244" t="str">
            <v xml:space="preserve">UN    </v>
          </cell>
          <cell r="D5244">
            <v>299.67</v>
          </cell>
        </row>
        <row r="5245">
          <cell r="A5245">
            <v>38643</v>
          </cell>
          <cell r="B5245" t="str">
            <v>VALVULA EM METAL CROMADO PARA LAVATORIO, 1 " SEM LADRAO</v>
          </cell>
          <cell r="C5245" t="str">
            <v xml:space="preserve">UN    </v>
          </cell>
          <cell r="D5245">
            <v>34.28</v>
          </cell>
        </row>
        <row r="5246">
          <cell r="A5246">
            <v>6157</v>
          </cell>
          <cell r="B5246" t="str">
            <v>VALVULA EM METAL CROMADO PARA PIA AMERICANA 3.1/2 X 1.1/2 "</v>
          </cell>
          <cell r="C5246" t="str">
            <v xml:space="preserve">UN    </v>
          </cell>
          <cell r="D5246">
            <v>46.83</v>
          </cell>
        </row>
        <row r="5247">
          <cell r="A5247">
            <v>37588</v>
          </cell>
          <cell r="B5247" t="str">
            <v>VALVULA EM METAL CROMADO PARA TANQUE, 1.1/2 " SEM LADRAO</v>
          </cell>
          <cell r="C5247" t="str">
            <v xml:space="preserve">UN    </v>
          </cell>
          <cell r="D5247">
            <v>20.67</v>
          </cell>
        </row>
        <row r="5248">
          <cell r="A5248">
            <v>6152</v>
          </cell>
          <cell r="B5248" t="str">
            <v>VALVULA EM PLASTICO BRANCO COM SAIDA LISA PARA TANQUE 1.1/4 " X 1.1/2 "</v>
          </cell>
          <cell r="C5248" t="str">
            <v xml:space="preserve">UN    </v>
          </cell>
          <cell r="D5248">
            <v>3.24</v>
          </cell>
        </row>
        <row r="5249">
          <cell r="A5249">
            <v>6158</v>
          </cell>
          <cell r="B5249" t="str">
            <v>VALVULA EM PLASTICO BRANCO PARA LAVATORIO 1 ", SEM UNHO, COM LADRAO</v>
          </cell>
          <cell r="C5249" t="str">
            <v xml:space="preserve">UN    </v>
          </cell>
          <cell r="D5249">
            <v>3.91</v>
          </cell>
        </row>
        <row r="5250">
          <cell r="A5250">
            <v>6153</v>
          </cell>
          <cell r="B5250" t="str">
            <v>VALVULA EM PLASTICO BRANCO PARA TANQUE OU LAVATORIO 1 ", SEM UNHO E SEM LADRAO</v>
          </cell>
          <cell r="C5250" t="str">
            <v xml:space="preserve">UN    </v>
          </cell>
          <cell r="D5250">
            <v>3.05</v>
          </cell>
        </row>
        <row r="5251">
          <cell r="A5251">
            <v>6156</v>
          </cell>
          <cell r="B5251" t="str">
            <v>VALVULA EM PLASTICO BRANCO PARA TANQUE 1.1/4 " X 1.1/2 ", SEM UNHO E SEM LADRAO</v>
          </cell>
          <cell r="C5251" t="str">
            <v xml:space="preserve">UN    </v>
          </cell>
          <cell r="D5251">
            <v>3.86</v>
          </cell>
        </row>
        <row r="5252">
          <cell r="A5252">
            <v>6154</v>
          </cell>
          <cell r="B5252" t="str">
            <v>VALVULA EM PLASTICO CROMADO PARA LAVATORIO 1 ", SEM UNHO, COM LADRAO</v>
          </cell>
          <cell r="C5252" t="str">
            <v xml:space="preserve">UN    </v>
          </cell>
          <cell r="D5252">
            <v>7.26</v>
          </cell>
        </row>
        <row r="5253">
          <cell r="A5253">
            <v>6155</v>
          </cell>
          <cell r="B5253" t="str">
            <v>VALVULA EM PLASTICO CROMADO TIPO AMERICANA PARA PIA DE COZINHA 3.1/2 " X 1.1/2 ", SEM ADAPTADOR</v>
          </cell>
          <cell r="C5253" t="str">
            <v xml:space="preserve">UN    </v>
          </cell>
          <cell r="D5253">
            <v>15.01</v>
          </cell>
        </row>
        <row r="5254">
          <cell r="A5254">
            <v>3115</v>
          </cell>
          <cell r="B5254" t="str">
            <v>VARA / PERFIL PARA CREMONA, EM FERRO CROMADO, COMPRIMENTO DE 120 CM</v>
          </cell>
          <cell r="C5254" t="str">
            <v xml:space="preserve">UN    </v>
          </cell>
          <cell r="D5254">
            <v>16.86</v>
          </cell>
        </row>
        <row r="5255">
          <cell r="A5255">
            <v>3116</v>
          </cell>
          <cell r="B5255" t="str">
            <v>VARA / PERFIL PARA CREMONA, EM FERRO CROMADO, COMPRIMENTO DE 150 CM</v>
          </cell>
          <cell r="C5255" t="str">
            <v xml:space="preserve">UN    </v>
          </cell>
          <cell r="D5255">
            <v>17.38</v>
          </cell>
        </row>
        <row r="5256">
          <cell r="A5256">
            <v>38166</v>
          </cell>
          <cell r="B5256" t="str">
            <v>VARA/ PERFIL PARA CREMONA, EM LATAO CROMADO, COMPRIMENTO DE 120 CM</v>
          </cell>
          <cell r="C5256" t="str">
            <v xml:space="preserve">UN    </v>
          </cell>
          <cell r="D5256">
            <v>35.57</v>
          </cell>
        </row>
        <row r="5257">
          <cell r="A5257">
            <v>38108</v>
          </cell>
          <cell r="B5257" t="str">
            <v>VARIADOR DE LUMINOSIDADE ROTATIVO (DIMMER) 127 V, 300 W (APENAS MODULO)</v>
          </cell>
          <cell r="C5257" t="str">
            <v xml:space="preserve">UN    </v>
          </cell>
          <cell r="D5257">
            <v>36.4</v>
          </cell>
        </row>
        <row r="5258">
          <cell r="A5258">
            <v>38087</v>
          </cell>
          <cell r="B5258" t="str">
            <v>VARIADOR DE LUMINOSIDADE ROTATIVO (DIMMER) 127V, 300W, CONJUNTO MONTADO PARA EMBUTIR 4" X 2" (PLACA + SUPORTE + MODULO)</v>
          </cell>
          <cell r="C5258" t="str">
            <v xml:space="preserve">UN    </v>
          </cell>
          <cell r="D5258">
            <v>46.82</v>
          </cell>
        </row>
        <row r="5259">
          <cell r="A5259">
            <v>38109</v>
          </cell>
          <cell r="B5259" t="str">
            <v>VARIADOR DE LUMINOSIDADE ROTATIVO (DIMMER) 220 V, 600 W (APENAS MODULO)</v>
          </cell>
          <cell r="C5259" t="str">
            <v xml:space="preserve">UN    </v>
          </cell>
          <cell r="D5259">
            <v>58.18</v>
          </cell>
        </row>
        <row r="5260">
          <cell r="A5260">
            <v>38088</v>
          </cell>
          <cell r="B5260" t="str">
            <v>VARIADOR DE LUMINOSIDADE ROTATIVO (DIMMER) 220V, 600W, CONJUNTO MONTADO PARA EMBUTIR 4" X 2" (PLACA + SUPORTE + MODULO)</v>
          </cell>
          <cell r="C5260" t="str">
            <v xml:space="preserve">UN    </v>
          </cell>
          <cell r="D5260">
            <v>61.17</v>
          </cell>
        </row>
        <row r="5261">
          <cell r="A5261">
            <v>38110</v>
          </cell>
          <cell r="B5261" t="str">
            <v>VARIADOR DE VELOCIDADE PARA VENTILADOR 127 V, 150 W (APENAS MODULO)</v>
          </cell>
          <cell r="C5261" t="str">
            <v xml:space="preserve">UN    </v>
          </cell>
          <cell r="D5261">
            <v>22.38</v>
          </cell>
        </row>
        <row r="5262">
          <cell r="A5262">
            <v>38089</v>
          </cell>
          <cell r="B5262" t="str">
            <v>VARIADOR DE VELOCIDADE PARA VENTILADOR 127V, 150W + 2 INTERRUPTORES PARALELOS, PARA REVERSAO E LAMPADA, CONJUNTO MONTADO PARA EMBUTIR 4" X 2" (PLACA + SUPORTE + MODULOS)</v>
          </cell>
          <cell r="C5262" t="str">
            <v xml:space="preserve">UN    </v>
          </cell>
          <cell r="D5262">
            <v>39</v>
          </cell>
        </row>
        <row r="5263">
          <cell r="A5263">
            <v>38111</v>
          </cell>
          <cell r="B5263" t="str">
            <v>VARIADOR DE VELOCIDADE PARA VENTILADOR 220 V, 250 W (APENAS MODULO)</v>
          </cell>
          <cell r="C5263" t="str">
            <v xml:space="preserve">UN    </v>
          </cell>
          <cell r="D5263">
            <v>25.03</v>
          </cell>
        </row>
        <row r="5264">
          <cell r="A5264">
            <v>38090</v>
          </cell>
          <cell r="B5264" t="str">
            <v>VARIADOR DE VELOCIDADE PARA VENTILADOR 220V, 250W + 2 INTERRUPTORES PARALELOS, PARA REVERSAO E LAMPADA, CONJUNTO MONTADO PARA EMBUTIR 4" X 2" (PLACA + SUPORTE + MODULOS)</v>
          </cell>
          <cell r="C5264" t="str">
            <v xml:space="preserve">UN    </v>
          </cell>
          <cell r="D5264">
            <v>40.31</v>
          </cell>
        </row>
        <row r="5265">
          <cell r="A5265">
            <v>11786</v>
          </cell>
          <cell r="B5265" t="str">
            <v>VASO SANITARIO SIFONADO INFANTIL LOUCA BRANCA</v>
          </cell>
          <cell r="C5265" t="str">
            <v xml:space="preserve">UN    </v>
          </cell>
          <cell r="D5265">
            <v>245.51</v>
          </cell>
        </row>
        <row r="5266">
          <cell r="A5266">
            <v>13726</v>
          </cell>
          <cell r="B5266" t="str">
            <v>VASSOURA MECANICA REBOCAVEL COM ESCOVA CILINDRICA LARGURA UTIL DE VARRIMENTO = 2,44M</v>
          </cell>
          <cell r="C5266" t="str">
            <v xml:space="preserve">UN    </v>
          </cell>
          <cell r="D5266">
            <v>35491.07</v>
          </cell>
        </row>
        <row r="5267">
          <cell r="A5267">
            <v>38400</v>
          </cell>
          <cell r="B5267" t="str">
            <v>VASSOURA 40 CM COM CABO</v>
          </cell>
          <cell r="C5267" t="str">
            <v xml:space="preserve">UN    </v>
          </cell>
          <cell r="D5267">
            <v>14.28</v>
          </cell>
        </row>
        <row r="5268">
          <cell r="A5268">
            <v>12627</v>
          </cell>
          <cell r="B5268" t="str">
            <v>VEDACAO DE CALHA, EM BORRACHA COR PRETA, MEDIDA ENTRE 119 E 170 MM, PARA DRENAGEM PLUVIAL PREDIAL</v>
          </cell>
          <cell r="C5268" t="str">
            <v xml:space="preserve">UN    </v>
          </cell>
          <cell r="D5268">
            <v>0.4</v>
          </cell>
        </row>
        <row r="5269">
          <cell r="A5269">
            <v>6138</v>
          </cell>
          <cell r="B5269" t="str">
            <v>VEDACAO PVC, 100 MM, PARA SAIDA VASO SANITARIO</v>
          </cell>
          <cell r="C5269" t="str">
            <v xml:space="preserve">UN    </v>
          </cell>
          <cell r="D5269">
            <v>1.83</v>
          </cell>
        </row>
        <row r="5270">
          <cell r="A5270">
            <v>39996</v>
          </cell>
          <cell r="B5270" t="str">
            <v>VERGALHAO ZINCADO ROSCA TOTAL, 1/4 " (6,3 MM)</v>
          </cell>
          <cell r="C5270" t="str">
            <v xml:space="preserve">M     </v>
          </cell>
          <cell r="D5270">
            <v>2.4900000000000002</v>
          </cell>
        </row>
        <row r="5271">
          <cell r="A5271">
            <v>10478</v>
          </cell>
          <cell r="B5271" t="str">
            <v>VERNIZ POLIURETANO BRILHANTE PARA MADEIRA, COM FILTRO SOLAR, USO INTERNO E EXTERNO</v>
          </cell>
          <cell r="C5271" t="str">
            <v xml:space="preserve">L     </v>
          </cell>
          <cell r="D5271">
            <v>21.63</v>
          </cell>
        </row>
        <row r="5272">
          <cell r="A5272">
            <v>40514</v>
          </cell>
          <cell r="B5272" t="str">
            <v>VERNIZ POLIURETANO BRILHANTE PARA MADEIRA, SEM FILTRO SOLAR, USO INTERNO E EXTERNO</v>
          </cell>
          <cell r="C5272" t="str">
            <v xml:space="preserve">L     </v>
          </cell>
          <cell r="D5272">
            <v>19.16</v>
          </cell>
        </row>
        <row r="5273">
          <cell r="A5273">
            <v>10475</v>
          </cell>
          <cell r="B5273" t="str">
            <v>VERNIZ SINTETICO BRILHANTE PARA MADEIRA TIPO COPAL, USO INTERNO</v>
          </cell>
          <cell r="C5273" t="str">
            <v xml:space="preserve">L     </v>
          </cell>
          <cell r="D5273">
            <v>19.03</v>
          </cell>
        </row>
        <row r="5274">
          <cell r="A5274">
            <v>10481</v>
          </cell>
          <cell r="B5274" t="str">
            <v>VERNIZ SINTETICO BRILHANTE PARA MADEIRA, COM FILTRO SOLAR, USO INTERNO E EXTERNO (BASE SOLVENTE)</v>
          </cell>
          <cell r="C5274" t="str">
            <v xml:space="preserve">L     </v>
          </cell>
          <cell r="D5274">
            <v>20.75</v>
          </cell>
        </row>
        <row r="5275">
          <cell r="A5275">
            <v>4031</v>
          </cell>
          <cell r="B5275" t="str">
            <v>VEU DE VIDRO/VEU DE SUPERFICIE 30 A 35 G/M2</v>
          </cell>
          <cell r="C5275" t="str">
            <v xml:space="preserve">M2    </v>
          </cell>
          <cell r="D5275">
            <v>22.43</v>
          </cell>
        </row>
        <row r="5276">
          <cell r="A5276">
            <v>4030</v>
          </cell>
          <cell r="B5276" t="str">
            <v>VEU POLIESTER</v>
          </cell>
          <cell r="C5276" t="str">
            <v xml:space="preserve">M2    </v>
          </cell>
          <cell r="D5276">
            <v>4.7699999999999996</v>
          </cell>
        </row>
        <row r="5277">
          <cell r="A5277">
            <v>39399</v>
          </cell>
          <cell r="B5277" t="str">
            <v>VIBRADOR DE IMERSAO, COM PONTEIRA DE *35* MM, MANGOTE DE 5 M, SEM MOTOR</v>
          </cell>
          <cell r="C5277" t="str">
            <v xml:space="preserve">UN    </v>
          </cell>
          <cell r="D5277">
            <v>1029.28</v>
          </cell>
        </row>
        <row r="5278">
          <cell r="A5278">
            <v>39400</v>
          </cell>
          <cell r="B5278" t="str">
            <v>VIBRADOR DE IMERSAO, COM PONTEIRA DE *45* MM, MANGOTE DE 5 M, SEM MOTOR.</v>
          </cell>
          <cell r="C5278" t="str">
            <v xml:space="preserve">UN    </v>
          </cell>
          <cell r="D5278">
            <v>1118.78</v>
          </cell>
        </row>
        <row r="5279">
          <cell r="A5279">
            <v>39401</v>
          </cell>
          <cell r="B5279" t="str">
            <v>VIBRADOR DE IMERSAO, COM PONTEIRA DE *60* MM, MANGOTE DE 5 M, SEM MOTOR.</v>
          </cell>
          <cell r="C5279" t="str">
            <v xml:space="preserve">UN    </v>
          </cell>
          <cell r="D5279">
            <v>1255</v>
          </cell>
        </row>
        <row r="5280">
          <cell r="A5280">
            <v>11652</v>
          </cell>
          <cell r="B5280" t="str">
            <v>VIBRADOR DE IMERSAO, DIAMETRO DA PONTEIRA DE *35* MM, COM MOTOR 4 TEMPOS A GASOLINA DE 5,5 HP (5,5 CV)</v>
          </cell>
          <cell r="C5280" t="str">
            <v xml:space="preserve">UN    </v>
          </cell>
          <cell r="D5280">
            <v>2700</v>
          </cell>
        </row>
        <row r="5281">
          <cell r="A5281">
            <v>13896</v>
          </cell>
          <cell r="B5281" t="str">
            <v>VIBRADOR DE IMERSAO, DIAMETRO DA PONTEIRA DE *45* MM, COM MOTOR ELETRICO TRIFASICO DE 2 HP (2 CV)</v>
          </cell>
          <cell r="C5281" t="str">
            <v xml:space="preserve">UN    </v>
          </cell>
          <cell r="D5281">
            <v>2422.13</v>
          </cell>
        </row>
        <row r="5282">
          <cell r="A5282">
            <v>13475</v>
          </cell>
          <cell r="B5282" t="str">
            <v>VIBRADOR DE IMERSAO, DIAMETRO DA PONTEIRA DE *45* MM, COM MOTOR 4 TEMPOS A GASOLINA DE 5,5 HP (5,5 CV)</v>
          </cell>
          <cell r="C5282" t="str">
            <v xml:space="preserve">UN    </v>
          </cell>
          <cell r="D5282">
            <v>2950.45</v>
          </cell>
        </row>
        <row r="5283">
          <cell r="A5283">
            <v>25971</v>
          </cell>
          <cell r="B5283" t="str">
            <v>VIBROACABADORA DE ASFALTO SOBRE ESTEIRAS, LARG. PAVIM. MAX. 8,00 M, POT. 100 KW/ 134 HP, CAP. 600 T/ H</v>
          </cell>
          <cell r="C5283" t="str">
            <v xml:space="preserve">UN    </v>
          </cell>
          <cell r="D5283">
            <v>3028727.88</v>
          </cell>
        </row>
        <row r="5284">
          <cell r="A5284">
            <v>25970</v>
          </cell>
          <cell r="B5284" t="str">
            <v>VIBROACABADORA DE ASFALTO SOBRE ESTEIRAS, LARG. PAVIM. 2,13 M A 4,55 M, POT. 74 KW/ 100 HP, CAP. 400 T/ H</v>
          </cell>
          <cell r="C5284" t="str">
            <v xml:space="preserve">UN    </v>
          </cell>
          <cell r="D5284">
            <v>1275059.28</v>
          </cell>
        </row>
        <row r="5285">
          <cell r="A5285">
            <v>13476</v>
          </cell>
          <cell r="B5285" t="str">
            <v>VIBROACABADORA DE ASFALTO SOBRE ESTEIRAS, LARG. PAVIM. 2,60 M A 5,75 M, POT. 110 HP, CAP. 450 T/ H</v>
          </cell>
          <cell r="C5285" t="str">
            <v xml:space="preserve">UN    </v>
          </cell>
          <cell r="D5285">
            <v>1284298.93</v>
          </cell>
        </row>
        <row r="5286">
          <cell r="A5286">
            <v>10488</v>
          </cell>
          <cell r="B5286" t="str">
            <v>VIBROACABADORA DE ASFALTO SOBRE ESTEIRAS, LARG. PAVIMENT. 1,90 A 5,3 M, POT. 78 KW/105 HP, CAP. 450 T/H</v>
          </cell>
          <cell r="C5286" t="str">
            <v xml:space="preserve">UN    </v>
          </cell>
          <cell r="D5286">
            <v>1555941.98</v>
          </cell>
        </row>
        <row r="5287">
          <cell r="A5287">
            <v>13606</v>
          </cell>
          <cell r="B5287" t="str">
            <v>VIBROACABADORA DE ASFALTO SOBRE RODAS, LARGURA DE PAVIMENTACAO DE 1,70 A 4,20 M, POTENCIA 78 KW/105 HP, CAPACIDADE 300 T/H</v>
          </cell>
          <cell r="C5287" t="str">
            <v xml:space="preserve">UN    </v>
          </cell>
          <cell r="D5287">
            <v>1378542.34</v>
          </cell>
        </row>
        <row r="5288">
          <cell r="A5288">
            <v>10489</v>
          </cell>
          <cell r="B5288" t="str">
            <v>VIDRACEIRO</v>
          </cell>
          <cell r="C5288" t="str">
            <v xml:space="preserve">H     </v>
          </cell>
          <cell r="D5288">
            <v>14.34</v>
          </cell>
        </row>
        <row r="5289">
          <cell r="A5289">
            <v>41073</v>
          </cell>
          <cell r="B5289" t="str">
            <v>VIDRACEIRO (MENSALISTA)</v>
          </cell>
          <cell r="C5289" t="str">
            <v xml:space="preserve">MES   </v>
          </cell>
          <cell r="D5289">
            <v>2541.67</v>
          </cell>
        </row>
        <row r="5290">
          <cell r="A5290">
            <v>34391</v>
          </cell>
          <cell r="B5290" t="str">
            <v>VIDRO COMUM LAMINADO LISO INCOLOR DUPLO, ESPESSURA TOTAL 8 MM (CADA CAMADA DE 4 MM) - COLOCADO</v>
          </cell>
          <cell r="C5290" t="str">
            <v xml:space="preserve">M2    </v>
          </cell>
          <cell r="D5290">
            <v>497.8</v>
          </cell>
        </row>
        <row r="5291">
          <cell r="A5291">
            <v>10496</v>
          </cell>
          <cell r="B5291" t="str">
            <v>VIDRO COMUM LAMINADO, LISO, INCOLOR, DUPLO, ESPESSURA TOTAL 6 MM (CADA CAMADA E= 3 MM) - COLOCADO</v>
          </cell>
          <cell r="C5291" t="str">
            <v xml:space="preserve">M2    </v>
          </cell>
          <cell r="D5291">
            <v>433.33</v>
          </cell>
        </row>
        <row r="5292">
          <cell r="A5292">
            <v>10497</v>
          </cell>
          <cell r="B5292" t="str">
            <v>VIDRO COMUM LAMINADO, LISO, INCOLOR, TRIPLO, ESPESSURA TOTAL 12 MM (CADA CAMADA E=  4 MM) - COLOCADO</v>
          </cell>
          <cell r="C5292" t="str">
            <v xml:space="preserve">M2    </v>
          </cell>
          <cell r="D5292">
            <v>1126.6600000000001</v>
          </cell>
        </row>
        <row r="5293">
          <cell r="A5293">
            <v>10504</v>
          </cell>
          <cell r="B5293" t="str">
            <v>VIDRO COMUM LAMINADO, LISO, INCOLOR, TRIPLO, ESPESSURA TOTAL 15 MM (CADA CAMADA E = 5 MM) - COLOCADO</v>
          </cell>
          <cell r="C5293" t="str">
            <v xml:space="preserve">M2    </v>
          </cell>
          <cell r="D5293">
            <v>1317.33</v>
          </cell>
        </row>
        <row r="5294">
          <cell r="A5294">
            <v>34390</v>
          </cell>
          <cell r="B5294" t="str">
            <v>VIDRO CRISTAL COLORIDO, 10 MM, PINTADO NA COR BRANCA</v>
          </cell>
          <cell r="C5294" t="str">
            <v xml:space="preserve">M2    </v>
          </cell>
          <cell r="D5294">
            <v>388.26</v>
          </cell>
        </row>
        <row r="5295">
          <cell r="A5295">
            <v>34389</v>
          </cell>
          <cell r="B5295" t="str">
            <v>VIDRO CRISTAL COLORIDO, 4 MM, PINTADO NA COR BRANCA</v>
          </cell>
          <cell r="C5295" t="str">
            <v xml:space="preserve">M2    </v>
          </cell>
          <cell r="D5295">
            <v>121.33</v>
          </cell>
        </row>
        <row r="5296">
          <cell r="A5296">
            <v>34388</v>
          </cell>
          <cell r="B5296" t="str">
            <v>VIDRO CRISTAL COLORIDO, 6 MM, PINTADO NA COR BRANCA</v>
          </cell>
          <cell r="C5296" t="str">
            <v xml:space="preserve">M2    </v>
          </cell>
          <cell r="D5296">
            <v>172.44</v>
          </cell>
        </row>
        <row r="5297">
          <cell r="A5297">
            <v>34387</v>
          </cell>
          <cell r="B5297" t="str">
            <v>VIDRO CRISTAL COLORIDO, 8 MM, PINTADO NA COR BRANCA</v>
          </cell>
          <cell r="C5297" t="str">
            <v xml:space="preserve">M2    </v>
          </cell>
          <cell r="D5297">
            <v>279.93</v>
          </cell>
        </row>
        <row r="5298">
          <cell r="A5298">
            <v>11188</v>
          </cell>
          <cell r="B5298" t="str">
            <v>VIDRO LISO FUME E = 4MM - SEM COLOCACAO</v>
          </cell>
          <cell r="C5298" t="str">
            <v xml:space="preserve">M2    </v>
          </cell>
          <cell r="D5298">
            <v>138.66</v>
          </cell>
        </row>
        <row r="5299">
          <cell r="A5299">
            <v>11189</v>
          </cell>
          <cell r="B5299" t="str">
            <v>VIDRO LISO FUME E = 6MM - SEM COLOCACAO</v>
          </cell>
          <cell r="C5299" t="str">
            <v xml:space="preserve">M2    </v>
          </cell>
          <cell r="D5299">
            <v>208</v>
          </cell>
        </row>
        <row r="5300">
          <cell r="A5300">
            <v>21107</v>
          </cell>
          <cell r="B5300" t="str">
            <v>VIDRO LISO FUME, E = 5 MM - SEM COLOCACAO</v>
          </cell>
          <cell r="C5300" t="str">
            <v xml:space="preserve">M2    </v>
          </cell>
          <cell r="D5300">
            <v>149.68</v>
          </cell>
        </row>
        <row r="5301">
          <cell r="A5301">
            <v>34386</v>
          </cell>
          <cell r="B5301" t="str">
            <v>VIDRO LISO INCOLOR 10 MM - SEM COLOCACAO</v>
          </cell>
          <cell r="C5301" t="str">
            <v xml:space="preserve">M2    </v>
          </cell>
          <cell r="D5301">
            <v>259.99</v>
          </cell>
        </row>
        <row r="5302">
          <cell r="A5302">
            <v>10490</v>
          </cell>
          <cell r="B5302" t="str">
            <v>VIDRO LISO INCOLOR 2 A 3 MM - SEM COLOCACAO</v>
          </cell>
          <cell r="C5302" t="str">
            <v xml:space="preserve">M2    </v>
          </cell>
          <cell r="D5302">
            <v>78</v>
          </cell>
        </row>
        <row r="5303">
          <cell r="A5303">
            <v>10492</v>
          </cell>
          <cell r="B5303" t="str">
            <v>VIDRO LISO INCOLOR 4MM - SEM COLOCACAO</v>
          </cell>
          <cell r="C5303" t="str">
            <v xml:space="preserve">M2    </v>
          </cell>
          <cell r="D5303">
            <v>103.99</v>
          </cell>
        </row>
        <row r="5304">
          <cell r="A5304">
            <v>10493</v>
          </cell>
          <cell r="B5304" t="str">
            <v>VIDRO LISO INCOLOR 5MM - SEM COLOCACAO</v>
          </cell>
          <cell r="C5304" t="str">
            <v xml:space="preserve">M2    </v>
          </cell>
          <cell r="D5304">
            <v>121.33</v>
          </cell>
        </row>
        <row r="5305">
          <cell r="A5305">
            <v>10491</v>
          </cell>
          <cell r="B5305" t="str">
            <v>VIDRO LISO INCOLOR 6 MM - SEM COLOCACAO</v>
          </cell>
          <cell r="C5305" t="str">
            <v xml:space="preserve">M2    </v>
          </cell>
          <cell r="D5305">
            <v>147.33000000000001</v>
          </cell>
        </row>
        <row r="5306">
          <cell r="A5306">
            <v>34385</v>
          </cell>
          <cell r="B5306" t="str">
            <v>VIDRO LISO INCOLOR 8MM  -  SEM COLOCACAO</v>
          </cell>
          <cell r="C5306" t="str">
            <v xml:space="preserve">M2    </v>
          </cell>
          <cell r="D5306">
            <v>214.93</v>
          </cell>
        </row>
        <row r="5307">
          <cell r="A5307">
            <v>10499</v>
          </cell>
          <cell r="B5307" t="str">
            <v>VIDRO MARTELADO OU CANELADO, 4 MM - SEM COLOCACAO</v>
          </cell>
          <cell r="C5307" t="str">
            <v xml:space="preserve">M2    </v>
          </cell>
          <cell r="D5307">
            <v>86.66</v>
          </cell>
        </row>
        <row r="5308">
          <cell r="A5308">
            <v>34384</v>
          </cell>
          <cell r="B5308" t="str">
            <v>VIDRO PLANO ARAMADO E = 6 MM - SEM COLOCACAO</v>
          </cell>
          <cell r="C5308" t="str">
            <v xml:space="preserve">M2    </v>
          </cell>
          <cell r="D5308">
            <v>259.99</v>
          </cell>
        </row>
        <row r="5309">
          <cell r="A5309">
            <v>11185</v>
          </cell>
          <cell r="B5309" t="str">
            <v>VIDRO PLANO ARMADO E = 7MM - SEM COLOCACAO</v>
          </cell>
          <cell r="C5309" t="str">
            <v xml:space="preserve">M2    </v>
          </cell>
          <cell r="D5309">
            <v>268.66000000000003</v>
          </cell>
        </row>
        <row r="5310">
          <cell r="A5310">
            <v>10507</v>
          </cell>
          <cell r="B5310" t="str">
            <v>VIDRO TEMPERADO INCOLOR E = 10 MM, SEM COLOCACAO</v>
          </cell>
          <cell r="C5310" t="str">
            <v xml:space="preserve">M2    </v>
          </cell>
          <cell r="D5310">
            <v>221.89</v>
          </cell>
        </row>
        <row r="5311">
          <cell r="A5311">
            <v>10505</v>
          </cell>
          <cell r="B5311" t="str">
            <v>VIDRO TEMPERADO INCOLOR E = 6 MM, SEM COLOCACAO</v>
          </cell>
          <cell r="C5311" t="str">
            <v xml:space="preserve">M2    </v>
          </cell>
          <cell r="D5311">
            <v>130.93</v>
          </cell>
        </row>
        <row r="5312">
          <cell r="A5312">
            <v>10506</v>
          </cell>
          <cell r="B5312" t="str">
            <v>VIDRO TEMPERADO INCOLOR E = 8 MM, SEM COLOCACAO</v>
          </cell>
          <cell r="C5312" t="str">
            <v xml:space="preserve">M2    </v>
          </cell>
          <cell r="D5312">
            <v>170.92</v>
          </cell>
        </row>
        <row r="5313">
          <cell r="A5313">
            <v>5031</v>
          </cell>
          <cell r="B5313" t="str">
            <v>VIDRO TEMPERADO INCOLOR PARA PORTA DE ABRIR, E = 10 MM (SEM FERRAGENS E SEM COLOCACAO)</v>
          </cell>
          <cell r="C5313" t="str">
            <v xml:space="preserve">M2    </v>
          </cell>
          <cell r="D5313">
            <v>240</v>
          </cell>
        </row>
        <row r="5314">
          <cell r="A5314">
            <v>10502</v>
          </cell>
          <cell r="B5314" t="str">
            <v>VIDRO TEMPERADO VERDE E = 10 MM, SEM COLOCACAO</v>
          </cell>
          <cell r="C5314" t="str">
            <v xml:space="preserve">M2    </v>
          </cell>
          <cell r="D5314">
            <v>279.64999999999998</v>
          </cell>
        </row>
        <row r="5315">
          <cell r="A5315">
            <v>10501</v>
          </cell>
          <cell r="B5315" t="str">
            <v>VIDRO TEMPERADO VERDE E = 6 MM, SEM COLOCACAO</v>
          </cell>
          <cell r="C5315" t="str">
            <v xml:space="preserve">M2    </v>
          </cell>
          <cell r="D5315">
            <v>157.99</v>
          </cell>
        </row>
        <row r="5316">
          <cell r="A5316">
            <v>10503</v>
          </cell>
          <cell r="B5316" t="str">
            <v>VIDRO TEMPERADO VERDE E = 8 MM, SEM COLOCACAO</v>
          </cell>
          <cell r="C5316" t="str">
            <v xml:space="preserve">M2    </v>
          </cell>
          <cell r="D5316">
            <v>213.45</v>
          </cell>
        </row>
        <row r="5317">
          <cell r="A5317">
            <v>40270</v>
          </cell>
          <cell r="B5317" t="str">
            <v>VIGA DE ESCORAMAENTO H20, DE MADEIRA, PESO DE 5,00 A 5,20 KG/M, COM EXTREMIDADES PLASTICAS</v>
          </cell>
          <cell r="C5317" t="str">
            <v xml:space="preserve">M     </v>
          </cell>
          <cell r="D5317">
            <v>43.5</v>
          </cell>
        </row>
        <row r="5318">
          <cell r="A5318">
            <v>20213</v>
          </cell>
          <cell r="B5318" t="str">
            <v>VIGA DE MADEIRA APARELHADA *6 X 12* CM, MACARANDUBA, ANGELIM OU EQUIVALENTE DA REGIAO</v>
          </cell>
          <cell r="C5318" t="str">
            <v xml:space="preserve">M     </v>
          </cell>
          <cell r="D5318">
            <v>11.23</v>
          </cell>
        </row>
        <row r="5319">
          <cell r="A5319">
            <v>20211</v>
          </cell>
          <cell r="B5319" t="str">
            <v>VIGA DE MADEIRA APARELHADA *6 X 16* CM, MACARANDUBA, ANGELIM OU EQUIVALENTE DA REGIAO</v>
          </cell>
          <cell r="C5319" t="str">
            <v xml:space="preserve">M     </v>
          </cell>
          <cell r="D5319">
            <v>16.579999999999998</v>
          </cell>
        </row>
        <row r="5320">
          <cell r="A5320">
            <v>4472</v>
          </cell>
          <cell r="B5320" t="str">
            <v>VIGA DE MADEIRA NAO APARELHADA *6 X 16* CM, MACARANDUBA, ANGELIM OU EQUIVALENTE DA REGIAO</v>
          </cell>
          <cell r="C5320" t="str">
            <v xml:space="preserve">M     </v>
          </cell>
          <cell r="D5320">
            <v>14.5</v>
          </cell>
        </row>
        <row r="5321">
          <cell r="A5321">
            <v>35272</v>
          </cell>
          <cell r="B5321" t="str">
            <v>VIGA DE MADEIRA NAO APARELHADA *6 X 20* CM, MACARANDUBA, ANGELIM OU EQUIVALENTE DA REGIAO</v>
          </cell>
          <cell r="C5321" t="str">
            <v xml:space="preserve">M     </v>
          </cell>
          <cell r="D5321">
            <v>19.04</v>
          </cell>
        </row>
        <row r="5322">
          <cell r="A5322">
            <v>4448</v>
          </cell>
          <cell r="B5322" t="str">
            <v>VIGA DE MADEIRA NAO APARELHADA *7,5 X 15 CM (3 X 6 ") PINUS, MISTA OU EQUIVALENTE DA REGIAO</v>
          </cell>
          <cell r="C5322" t="str">
            <v xml:space="preserve">M     </v>
          </cell>
          <cell r="D5322">
            <v>31.59</v>
          </cell>
        </row>
        <row r="5323">
          <cell r="A5323">
            <v>4425</v>
          </cell>
          <cell r="B5323" t="str">
            <v>VIGA DE MADEIRA NAO APARELHADA 6 X 12 CM, MACARANDUBA, ANGELIM OU EQUIVALENTE DA REGIAO</v>
          </cell>
          <cell r="C5323" t="str">
            <v xml:space="preserve">M     </v>
          </cell>
          <cell r="D5323">
            <v>10.65</v>
          </cell>
        </row>
        <row r="5324">
          <cell r="A5324">
            <v>4481</v>
          </cell>
          <cell r="B5324" t="str">
            <v>VIGA DE MADEIRA NAO APARELHADA 8 X 16 CM, MACARANDUBA, ANGELIM OU EQUIVALENTE DA REGIAO</v>
          </cell>
          <cell r="C5324" t="str">
            <v xml:space="preserve">M     </v>
          </cell>
          <cell r="D5324">
            <v>19.62</v>
          </cell>
        </row>
        <row r="5325">
          <cell r="A5325">
            <v>34345</v>
          </cell>
          <cell r="B5325" t="str">
            <v>VIGIA DIURNO</v>
          </cell>
          <cell r="C5325" t="str">
            <v xml:space="preserve">H     </v>
          </cell>
          <cell r="D5325">
            <v>11.6</v>
          </cell>
        </row>
        <row r="5326">
          <cell r="A5326">
            <v>41096</v>
          </cell>
          <cell r="B5326" t="str">
            <v>VIGIA DIURNO (MENSALISTA)</v>
          </cell>
          <cell r="C5326" t="str">
            <v xml:space="preserve">MES   </v>
          </cell>
          <cell r="D5326">
            <v>2057.1</v>
          </cell>
        </row>
        <row r="5327">
          <cell r="A5327">
            <v>41776</v>
          </cell>
          <cell r="B5327" t="str">
            <v>VIGIA NOTURNO, HORA EFETIVAMENTE TRABALHADA DE 22 H AS 5 H (COM ADICIONAL NOTURNO)</v>
          </cell>
          <cell r="C5327" t="str">
            <v xml:space="preserve">H     </v>
          </cell>
          <cell r="D5327">
            <v>15.91</v>
          </cell>
        </row>
        <row r="5328">
          <cell r="A5328">
            <v>4487</v>
          </cell>
          <cell r="B5328" t="str">
            <v>VIGOTA DE MADEIRA NAO APARELHADA *5 X 10* CM, MACARANDUBA, ANGELIM OU EQUIVALENTE DA REGIAO</v>
          </cell>
          <cell r="C5328" t="str">
            <v xml:space="preserve">M     </v>
          </cell>
          <cell r="D5328">
            <v>9.52</v>
          </cell>
        </row>
        <row r="5329">
          <cell r="A5329">
            <v>11157</v>
          </cell>
          <cell r="B5329" t="str">
            <v>WASH PRIMER PARA TINTA AUTOMOTIVA</v>
          </cell>
          <cell r="C5329" t="str">
            <v xml:space="preserve">GL    </v>
          </cell>
          <cell r="D5329">
            <v>134.05000000000001</v>
          </cell>
        </row>
      </sheetData>
      <sheetData sheetId="4">
        <row r="1">
          <cell r="A1">
            <v>97141</v>
          </cell>
          <cell r="B1" t="str">
            <v>ASSENTAMENTO DE TUBO DE FERRO FUNDIDO PARA REDE DE ÁGUA, DN 80 MM, JUNTA ELÁSTICA, INSTALADO EM LOCAL COM NÍVEL ALTO DE INTERFERÊNCIAS (NÃO INCLUI FORNECIMENTO). AF_11/2017</v>
          </cell>
          <cell r="C1" t="str">
            <v>M</v>
          </cell>
          <cell r="D1">
            <v>5.81</v>
          </cell>
        </row>
        <row r="2">
          <cell r="A2">
            <v>97142</v>
          </cell>
          <cell r="B2" t="str">
            <v>ASSENTAMENTO DE TUBO DE FERRO FUNDIDO PARA REDE DE ÁGUA, DN 100 MM, JUNTA ELÁSTICA, INSTALADO EM LOCAL COM NÍVEL ALTO DE INTERFERÊNCIAS (NÃO INCLUI FORNECIMENTO). AF_11/2017</v>
          </cell>
          <cell r="C2" t="str">
            <v>M</v>
          </cell>
          <cell r="D2">
            <v>6.47</v>
          </cell>
        </row>
        <row r="3">
          <cell r="A3">
            <v>97143</v>
          </cell>
          <cell r="B3" t="str">
            <v>ASSENTAMENTO DE TUBO DE FERRO FUNDIDO PARA REDE DE ÁGUA, DN 150 MM, JUNTA ELÁSTICA, INSTALADO EM LOCAL COM NÍVEL ALTO DE INTERFERÊNCIAS (NÃO INCLUI FORNECIMENTO). AF_11/2017</v>
          </cell>
          <cell r="C3" t="str">
            <v>M</v>
          </cell>
          <cell r="D3">
            <v>8.16</v>
          </cell>
        </row>
        <row r="4">
          <cell r="A4">
            <v>97144</v>
          </cell>
          <cell r="B4" t="str">
            <v>ASSENTAMENTO DE TUBO DE FERRO FUNDIDO PARA REDE DE ÁGUA, DN 200 MM, JUNTA ELÁSTICA, INSTALADO EM LOCAL COM NÍVEL ALTO DE INTERFERÊNCIAS (NÃO INCLUI FORNECIMENTO). AF_11/2017</v>
          </cell>
          <cell r="C4" t="str">
            <v>M</v>
          </cell>
          <cell r="D4">
            <v>9.85</v>
          </cell>
        </row>
        <row r="5">
          <cell r="A5">
            <v>97145</v>
          </cell>
          <cell r="B5" t="str">
            <v>ASSENTAMENTO DE TUBO DE FERRO FUNDIDO PARA REDE DE ÁGUA, DN 250 MM, JUNTA ELÁSTICA, INSTALADO EM LOCAL COM NÍVEL ALTO DE INTERFERÊNCIAS (NÃO INCLUI FORNECIMENTO). AF_11/2017</v>
          </cell>
          <cell r="C5" t="str">
            <v>M</v>
          </cell>
          <cell r="D5">
            <v>11.56</v>
          </cell>
        </row>
        <row r="6">
          <cell r="A6">
            <v>97146</v>
          </cell>
          <cell r="B6" t="str">
            <v>ASSENTAMENTO DE TUBO DE FERRO FUNDIDO PARA REDE DE ÁGUA, DN 300 MM, JUNTA ELÁSTICA, INSTALADO EM LOCAL COM NÍVEL ALTO DE INTERFERÊNCIAS (NÃO INCLUI FORNECIMENTO). AF_11/2017</v>
          </cell>
          <cell r="C6" t="str">
            <v>M</v>
          </cell>
          <cell r="D6">
            <v>13.26</v>
          </cell>
        </row>
        <row r="7">
          <cell r="A7">
            <v>97147</v>
          </cell>
          <cell r="B7" t="str">
            <v>ASSENTAMENTO DE TUBO DE FERRO FUNDIDO PARA REDE DE ÁGUA, DN 350 MM, JUNTA ELÁSTICA, INSTALADO EM LOCAL COM NÍVEL ALTO DE INTERFERÊNCIAS (NÃO INCLUI FORNECIMENTO). AF_11/2017</v>
          </cell>
          <cell r="C7" t="str">
            <v>M</v>
          </cell>
          <cell r="D7">
            <v>14.96</v>
          </cell>
        </row>
        <row r="8">
          <cell r="A8">
            <v>97148</v>
          </cell>
          <cell r="B8" t="str">
            <v>ASSENTAMENTO DE TUBO DE FERRO FUNDIDO PARA REDE DE ÁGUA, DN 400 MM, JUNTA ELÁSTICA, INSTALADO EM LOCAL COM NÍVEL ALTO DE INTERFERÊNCIAS (NÃO INCLUI FORNECIMENTO). AF_11/2017</v>
          </cell>
          <cell r="C8" t="str">
            <v>M</v>
          </cell>
          <cell r="D8">
            <v>16.670000000000002</v>
          </cell>
        </row>
        <row r="9">
          <cell r="A9">
            <v>97149</v>
          </cell>
          <cell r="B9" t="str">
            <v>ASSENTAMENTO DE TUBO DE FERRO FUNDIDO PARA REDE DE ÁGUA, DN 450 MM, JUNTA ELÁSTICA, INSTALADO EM LOCAL COM NÍVEL ALTO DE INTERFERÊNCIAS (NÃO INCLUI FORNECIMENTO). AF_11/2017</v>
          </cell>
          <cell r="C9" t="str">
            <v>M</v>
          </cell>
          <cell r="D9">
            <v>18.399999999999999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22.27</v>
          </cell>
        </row>
        <row r="11">
          <cell r="A11">
            <v>97151</v>
          </cell>
          <cell r="B11" t="str">
            <v>ASSENTAMENTO DE TUBO DE FERRO FUNDIDO PARA REDE DE ÁGUA, DN 600 MM, JUNTA ELÁSTICA, INSTALADO EM LOCAL COM NÍVEL ALTO DE INTERFERÊNCIAS (NÃO INCLUI FORNECIMENTO). AF_11/2017</v>
          </cell>
          <cell r="C11" t="str">
            <v>M</v>
          </cell>
          <cell r="D11">
            <v>26.01</v>
          </cell>
        </row>
        <row r="12">
          <cell r="A12">
            <v>97152</v>
          </cell>
          <cell r="B12" t="str">
            <v>ASSENTAMENTO DE TUBO DE FERRO FUNDIDO PARA REDE DE ÁGUA, DN 700 MM, JUNTA ELÁSTICA, INSTALADO EM LOCAL COM NÍVEL ALTO DE INTERFERÊNCIAS (NÃO INCLUI FORNECIMENTO). AF_11/2017</v>
          </cell>
          <cell r="C12" t="str">
            <v>M</v>
          </cell>
          <cell r="D12">
            <v>29.54</v>
          </cell>
        </row>
        <row r="13">
          <cell r="A13">
            <v>97153</v>
          </cell>
          <cell r="B13" t="str">
            <v>ASSENTAMENTO DE TUBO DE FERRO FUNDIDO PARA REDE DE ÁGUA, DN 800 MM, JUNTA ELÁSTICA, INSTALADO EM LOCAL COM NÍVEL ALTO DE INTERFERÊNCIAS (NÃO INCLUI FORNECIMENTO). AF_11/2017</v>
          </cell>
          <cell r="C13" t="str">
            <v>M</v>
          </cell>
          <cell r="D13">
            <v>33.21</v>
          </cell>
        </row>
        <row r="14">
          <cell r="A14">
            <v>97154</v>
          </cell>
          <cell r="B14" t="str">
            <v>ASSENTAMENTO DE TUBO DE FERRO FUNDIDO PARA REDE DE ÁGUA, DN 900 MM, JUNTA ELÁSTICA, INSTALADO EM LOCAL COM NÍVEL ALTO DE INTERFERÊNCIAS (NÃO INCLUI FORNECIMENTO). AF_11/2017</v>
          </cell>
          <cell r="C14" t="str">
            <v>M</v>
          </cell>
          <cell r="D14">
            <v>36.909999999999997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40.6</v>
          </cell>
        </row>
        <row r="16">
          <cell r="A16">
            <v>97156</v>
          </cell>
          <cell r="B16" t="str">
            <v>ASSENTAMENTO DE TUBO DE FERRO FUNDIDO PARA REDE DE ÁGUA, DN 1200 MM, JUNTA ELÁSTICA, INSTALADO EM LOCAL COM NÍVEL ALTO DE INTERFERÊNCIAS (NÃO INCLUI FORNECIMENTO). AF_11/2017</v>
          </cell>
          <cell r="C16" t="str">
            <v>M</v>
          </cell>
          <cell r="D16">
            <v>48.37</v>
          </cell>
        </row>
        <row r="17">
          <cell r="A17">
            <v>97157</v>
          </cell>
          <cell r="B17" t="str">
            <v>ASSENTAMENTO DE TUBO DE FERRO FUNDIDO PARA REDE DE ÁGUA, DN 80 MM, JUNTA ELÁSTICA, INSTALADO EM LOCAL COM NÍVEL BAIXO DE INTERFERÊNCIAS (NÃO INCLUI FORNECIMENTO). AF_11/2017</v>
          </cell>
          <cell r="C17" t="str">
            <v>M</v>
          </cell>
          <cell r="D17">
            <v>3.59</v>
          </cell>
        </row>
        <row r="18">
          <cell r="A18">
            <v>97158</v>
          </cell>
          <cell r="B18" t="str">
            <v>ASSENTAMENTO DE TUBO DE FERRO FUNDIDO PARA REDE DE ÁGUA, DN 100 MM, JUNTA ELÁSTICA, INSTALADO EM LOCAL COM NÍVEL BAIXO DE INTERFERÊNCIAS (NÃO INCLUI FORNECIMENTO). AF_11/2017</v>
          </cell>
          <cell r="C18" t="str">
            <v>M</v>
          </cell>
          <cell r="D18">
            <v>4.01</v>
          </cell>
        </row>
        <row r="19">
          <cell r="A19">
            <v>97159</v>
          </cell>
          <cell r="B19" t="str">
            <v>ASSENTAMENTO DE TUBO DE FERRO FUNDIDO PARA REDE DE ÁGUA, DN 150 MM, JUNTA ELÁSTICA, INSTALADO EM LOCAL COM NÍVEL BAIXO DE INTERFERÊNCIAS (NÃO INCLUI FORNECIMENTO). AF_11/2017</v>
          </cell>
          <cell r="C19" t="str">
            <v>M</v>
          </cell>
          <cell r="D19">
            <v>5.0599999999999996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6.09</v>
          </cell>
        </row>
        <row r="21">
          <cell r="A21">
            <v>97161</v>
          </cell>
          <cell r="B21" t="str">
            <v>ASSENTAMENTO DE TUBO DE FERRO FUNDIDO PARA REDE DE ÁGUA, DN 250 MM, JUNTA ELÁSTICA, INSTALADO EM LOCAL COM NÍVEL BAIXO DE INTERFERÊNCIAS (NÃO INCLUI FORNECIMENTO). AF_11/2017</v>
          </cell>
          <cell r="C21" t="str">
            <v>M</v>
          </cell>
          <cell r="D21">
            <v>7.17</v>
          </cell>
        </row>
        <row r="22">
          <cell r="A22">
            <v>97162</v>
          </cell>
          <cell r="B22" t="str">
            <v>ASSENTAMENTO DE TUBO DE FERRO FUNDIDO PARA REDE DE ÁGUA, DN 300 MM, JUNTA ELÁSTICA, INSTALADO EM LOCAL COM NÍVEL BAIXO DE INTERFERÊNCIAS (NÃO INCLUI FORNECIMENTO). AF_11/2017</v>
          </cell>
          <cell r="C22" t="str">
            <v>M</v>
          </cell>
          <cell r="D22">
            <v>8.2100000000000009</v>
          </cell>
        </row>
        <row r="23">
          <cell r="A23">
            <v>97163</v>
          </cell>
          <cell r="B23" t="str">
            <v>ASSENTAMENTO DE TUBO DE FERRO FUNDIDO PARA REDE DE ÁGUA, DN 350 MM, JUNTA ELÁSTICA, INSTALADO EM LOCAL COM NÍVEL BAIXO DE INTERFERÊNCIAS (NÃO INCLUI FORNECIMENTO). AF_11/2017</v>
          </cell>
          <cell r="C23" t="str">
            <v>M</v>
          </cell>
          <cell r="D23">
            <v>9.2799999999999994</v>
          </cell>
        </row>
        <row r="24">
          <cell r="A24">
            <v>97164</v>
          </cell>
          <cell r="B24" t="str">
            <v>ASSENTAMENTO DE TUBO DE FERRO FUNDIDO PARA REDE DE ÁGUA, DN 400 MM, JUNTA ELÁSTICA, INSTALADO EM LOCAL COM NÍVEL BAIXO DE INTERFERÊNCIAS (NÃO INCLUI FORNECIMENTO). AF_11/2017</v>
          </cell>
          <cell r="C24" t="str">
            <v>M</v>
          </cell>
          <cell r="D24">
            <v>10.35</v>
          </cell>
        </row>
        <row r="25">
          <cell r="A25">
            <v>97165</v>
          </cell>
          <cell r="B25" t="str">
            <v>ASSENTAMENTO DE TUBO DE FERRO FUNDIDO PARA REDE DE ÁGUA, DN 450 MM, JUNTA ELÁSTICA, INSTALADO EM LOCAL COM NÍVEL BAIXO DE INTERFERÊNCIAS (NÃO INCLUI FORNECIMENTO). AF_11/2017</v>
          </cell>
          <cell r="C25" t="str">
            <v>M</v>
          </cell>
          <cell r="D25">
            <v>11.43</v>
          </cell>
        </row>
        <row r="26">
          <cell r="A26">
            <v>97166</v>
          </cell>
          <cell r="B26" t="str">
            <v>ASSENTAMENTO DE TUBO DE FERRO FUNDIDO PARA REDE DE ÁGUA, DN 500 MM, JUNTA ELÁSTICA, INSTALADO EM LOCAL COM NÍVEL BAIXO DE INTERFERÊNCIAS (NÃO INCLUI FORNECIMENTO). AF_11/2017</v>
          </cell>
          <cell r="C26" t="str">
            <v>M</v>
          </cell>
          <cell r="D26">
            <v>13.85</v>
          </cell>
        </row>
        <row r="27">
          <cell r="A27">
            <v>97167</v>
          </cell>
          <cell r="B27" t="str">
            <v>ASSENTAMENTO DE TUBO DE FERRO FUNDIDO PARA REDE DE ÁGUA, DN 600 MM, JUNTA ELÁSTICA, INSTALADO EM LOCAL COM NÍVEL BAIXO DE INTERFERÊNCIAS (NÃO INCLUI FORNECIMENTO). AF_11/2017</v>
          </cell>
          <cell r="C27" t="str">
            <v>M</v>
          </cell>
          <cell r="D27">
            <v>16.2</v>
          </cell>
        </row>
        <row r="28">
          <cell r="A28">
            <v>97168</v>
          </cell>
          <cell r="B28" t="str">
            <v>ASSENTAMENTO DE TUBO DE FERRO FUNDIDO PARA REDE DE ÁGUA, DN 700 MM, JUNTA ELÁSTICA, INSTALADO EM LOCAL COM NÍVEL BAIXO DE INTERFERÊNCIAS (NÃO INCLUI FORNECIMENTO). AF_11/2017</v>
          </cell>
          <cell r="C28" t="str">
            <v>M</v>
          </cell>
          <cell r="D28">
            <v>18.329999999999998</v>
          </cell>
        </row>
        <row r="29">
          <cell r="A29">
            <v>97169</v>
          </cell>
          <cell r="B29" t="str">
            <v>ASSENTAMENTO DE TUBO DE FERRO FUNDIDO PARA REDE DE ÁGUA, DN 800 MM, JUNTA ELÁSTICA, INSTALADO EM LOCAL COM NÍVEL BAIXO DE INTERFERÊNCIAS (NÃO INCLUI FORNECIMENTO). AF_11/2017</v>
          </cell>
          <cell r="C29" t="str">
            <v>M</v>
          </cell>
          <cell r="D29">
            <v>20.59</v>
          </cell>
        </row>
        <row r="30">
          <cell r="A30">
            <v>97170</v>
          </cell>
          <cell r="B30" t="str">
            <v>ASSENTAMENTO DE TUBO DE FERRO FUNDIDO PARA REDE DE ÁGUA, DN 900 MM, JUNTA ELÁSTICA, INSTALADO EM LOCAL COM NÍVEL BAIXO DE INTERFERÊNCIAS (NÃO INCLUI FORNECIMENTO). AF_11/2017</v>
          </cell>
          <cell r="C30" t="str">
            <v>M</v>
          </cell>
          <cell r="D30">
            <v>22.89</v>
          </cell>
        </row>
        <row r="31">
          <cell r="A31">
            <v>97171</v>
          </cell>
          <cell r="B31" t="str">
            <v>ASSENTAMENTO DE TUBO DE FERRO FUNDIDO PARA REDE DE ÁGUA, DN 1000 MM, JUNTA ELÁSTICA, INSTALADO EM LOCAL COM NÍVEL BAIXO DE INTERFERÊNCIAS (NÃO INCLUI FORNECIMENTO). AF_11/2017</v>
          </cell>
          <cell r="C31" t="str">
            <v>M</v>
          </cell>
          <cell r="D31">
            <v>25.2</v>
          </cell>
        </row>
        <row r="32">
          <cell r="A32">
            <v>97172</v>
          </cell>
          <cell r="B32" t="str">
            <v>ASSENTAMENTO DE TUBO DE FERRO FUNDIDO PARA REDE DE ÁGUA, DN 1200 MM, JUNTA ELÁSTICA, INSTALADO EM LOCAL COM NÍVEL BAIXO DE INTERFERÊNCIAS (NÃO INCLUI FORNECIMENTO). AF_11/2017</v>
          </cell>
          <cell r="C32" t="str">
            <v>M</v>
          </cell>
          <cell r="D32">
            <v>30.17</v>
          </cell>
        </row>
        <row r="33">
          <cell r="A33">
            <v>97173</v>
          </cell>
          <cell r="B33" t="str">
            <v>ASSENTAMENTO DE TUBO DE AÇO CARBONO PARA REDE DE ÁGUA, DN 600 MM (24), JUNTA SOLDADA, INSTALADO EM LOCAL COM NÍVEL ALTO DE INTERFERÊNCIAS (NÃO INCLUI FORNECIMENTO). AF_11/2017</v>
          </cell>
          <cell r="C33" t="str">
            <v>M</v>
          </cell>
          <cell r="D33">
            <v>23.38</v>
          </cell>
        </row>
        <row r="34">
          <cell r="A34">
            <v>97174</v>
          </cell>
          <cell r="B34" t="str">
            <v>ASSENTAMENTO DE TUBO DE AÇO CARBONO PARA REDE DE ÁGUA, DN 700 MM (28), JUNTA SOLDADA, INSTALADO EM LOCAL COM NÍVEL ALTO DE INTERFERÊNCIAS (NÃO INCLUI FORNECIMENTO). AF_11/2017</v>
          </cell>
          <cell r="C34" t="str">
            <v>M</v>
          </cell>
          <cell r="D34">
            <v>27.03</v>
          </cell>
        </row>
        <row r="35">
          <cell r="A35">
            <v>97175</v>
          </cell>
          <cell r="B35" t="str">
            <v>ASSENTAMENTO DE TUBO DE AÇO CARBONO PARA REDE DE ÁGUA, DN 800 MM (32), JUNTA SOLDADA, INSTALADO EM LOCAL COM NÍVEL ALTO DE INTERFERÊNCIAS (NÃO INCLUI FORNECIMENTO). AF_11/2017</v>
          </cell>
          <cell r="C35" t="str">
            <v>M</v>
          </cell>
          <cell r="D35">
            <v>30.68</v>
          </cell>
        </row>
        <row r="36">
          <cell r="A36">
            <v>97176</v>
          </cell>
          <cell r="B36" t="str">
            <v>ASSENTAMENTO DE TUBO DE AÇO CARBONO PARA REDE DE ÁGUA, DN 900 MM (36), JUNTA SOLDADA, INSTALADO EM LOCAL COM NÍVEL ALTO DE INTERFERÊNCIAS (NÃO INCLUI FORNECIMENTO). AF_11/2017</v>
          </cell>
          <cell r="C36" t="str">
            <v>M</v>
          </cell>
          <cell r="D36">
            <v>34.32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41.63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48.91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56.22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63.51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73.8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81.42</v>
          </cell>
        </row>
        <row r="43">
          <cell r="A43">
            <v>97183</v>
          </cell>
          <cell r="B43" t="str">
            <v>ASSENTAMENTO DE TUBO DE AÇO CARBONO PARA REDE DE ÁGUA, DN 600 MM (24), JUNTA SOLDADA, INSTALADO EM LOCAL COM NÍVEL BAIXO DE INTERFERÊNCIAS (NÃO INCLUI FORNECIMENTO). AF_11/2017</v>
          </cell>
          <cell r="C43" t="str">
            <v>M</v>
          </cell>
          <cell r="D43">
            <v>19.079999999999998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22.11</v>
          </cell>
        </row>
        <row r="45">
          <cell r="A45">
            <v>97185</v>
          </cell>
          <cell r="B45" t="str">
            <v>ASSENTAMENTO DE TUBO DE AÇO CARBONO PARA REDE DE ÁGUA, DN 800 MM (32), JUNTA SOLDADA, INSTALADO EM LOCAL COM NÍVEL BAIXO DE INTERFERÊNCIAS (NÃO INCLUI FORNECIMENTO). AF_11/2017</v>
          </cell>
          <cell r="C45" t="str">
            <v>M</v>
          </cell>
          <cell r="D45">
            <v>25.13</v>
          </cell>
        </row>
        <row r="46">
          <cell r="A46">
            <v>97186</v>
          </cell>
          <cell r="B46" t="str">
            <v>ASSENTAMENTO DE TUBO DE AÇO CARBONO PARA REDE DE ÁGUA, DN 900 MM (36), JUNTA SOLDADA, INSTALADO EM LOCAL COM NÍVEL BAIXO DE INTERFERÊNCIAS (NÃO INCLUI FORNECIMENTO). AF_11/2017</v>
          </cell>
          <cell r="C46" t="str">
            <v>M</v>
          </cell>
          <cell r="D46">
            <v>28.16</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34.229999999999997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40.28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46.35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52.41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60.86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67.16</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22.81</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47.14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69.900000000000006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117.46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187.92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232.25</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305.52999999999997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103.13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141.71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198.58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238.62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638.73</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48.73</v>
          </cell>
        </row>
        <row r="69">
          <cell r="A69">
            <v>90711</v>
          </cell>
          <cell r="B69" t="str">
            <v>TUBO DE PVC PARA REDE COLETORA DE ESGOTO DE PAREDE MACIÇA, DN 200 MM, JUNTA ELÁSTICA, INSTALADO EM LOCAL COM NÍVEL ALTO DE INTERFERÊNCIAS - FORNECIMENTO E ASSENTAMENTO. AF_06/2015</v>
          </cell>
          <cell r="C69" t="str">
            <v>M</v>
          </cell>
          <cell r="D69">
            <v>71.47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119.03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233.82</v>
          </cell>
        </row>
        <row r="73">
          <cell r="A73">
            <v>90715</v>
          </cell>
          <cell r="B73" t="str">
            <v>TUBO DE PVC PARA REDE COLETORA DE ESGOTO DE PAREDE MACIÇA, DN 400 MM, JUNTA ELÁSTICA, INSTALADO EM LOCAL COM NÍVEL ALTO DE INTERFERÊNCIAS - FORNECIMENTO E ASSENTAMENTO. AF_06/2015</v>
          </cell>
          <cell r="C73" t="str">
            <v>M</v>
          </cell>
          <cell r="D73">
            <v>309.01</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143.28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200.15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242.11</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640.86</v>
          </cell>
        </row>
        <row r="81">
          <cell r="A81">
            <v>90724</v>
          </cell>
          <cell r="B81" t="str">
            <v>JUNTA ARGAMASSADA ENTRE TUBO DN 100 MM E O POÇO DE VISITA/ CAIXA DE CONCRETO OU ALVENARIA EM REDES DE ESGOTO. AF_06/2015</v>
          </cell>
          <cell r="C81" t="str">
            <v>UN</v>
          </cell>
          <cell r="D81">
            <v>18.46</v>
          </cell>
        </row>
        <row r="82">
          <cell r="A82">
            <v>90725</v>
          </cell>
          <cell r="B82" t="str">
            <v>JUNTA ARGAMASSADA ENTRE TUBO DN 150 MM E O POÇO DE VISITA/ CAIXA DE CONCRETO OU ALVENARIA EM REDES DE ESGOTO. AF_06/2015</v>
          </cell>
          <cell r="C82" t="str">
            <v>UN</v>
          </cell>
          <cell r="D82">
            <v>22.82</v>
          </cell>
        </row>
        <row r="83">
          <cell r="A83">
            <v>90726</v>
          </cell>
          <cell r="B83" t="str">
            <v>JUNTA ARGAMASSADA ENTRE TUBO DN 200 MM E O POÇO/ CAIXA DE CONCRETO OU ALVENARIA EM REDES DE ESGOTO. AF_06/2015</v>
          </cell>
          <cell r="C83" t="str">
            <v>UN</v>
          </cell>
          <cell r="D83">
            <v>27.18</v>
          </cell>
        </row>
        <row r="84">
          <cell r="A84">
            <v>90727</v>
          </cell>
          <cell r="B84" t="str">
            <v>JUNTA ARGAMASSADA ENTRE TUBO DN 250 MM E O POÇO DE VISITA/ CAIXA DE CONCRETO OU ALVENARIA EM REDES DE ESGOTO. AF_06/2015</v>
          </cell>
          <cell r="C84" t="str">
            <v>UN</v>
          </cell>
          <cell r="D84">
            <v>31.54</v>
          </cell>
        </row>
        <row r="85">
          <cell r="A85">
            <v>90728</v>
          </cell>
          <cell r="B85" t="str">
            <v>JUNTA ARGAMASSADA ENTRE TUBO DN 300 MM E O POÇO DE VISITA/ CAIXA DE CONCRETO OU ALVENARIA EM REDES DE ESGOTO. AF_06/2015</v>
          </cell>
          <cell r="C85" t="str">
            <v>UN</v>
          </cell>
          <cell r="D85">
            <v>35.89</v>
          </cell>
        </row>
        <row r="86">
          <cell r="A86">
            <v>90729</v>
          </cell>
          <cell r="B86" t="str">
            <v>JUNTA ARGAMASSADA ENTRE TUBO DN 350 MM E O POÇO DE VISITA/ CAIXA DE CONCRETO OU ALVENARIA EM REDES DE ESGOTO. AF_06/2015</v>
          </cell>
          <cell r="C86" t="str">
            <v>UN</v>
          </cell>
          <cell r="D86">
            <v>40.26</v>
          </cell>
        </row>
        <row r="87">
          <cell r="A87">
            <v>90730</v>
          </cell>
          <cell r="B87" t="str">
            <v>JUNTA ARGAMASSADA ENTRE TUBO DN 400 MM E O POÇO DE VISITA/ CAIXA DE CONCRETO OU ALVENARIA EM REDES DE ESGOTO. AF_06/2015</v>
          </cell>
          <cell r="C87" t="str">
            <v>UN</v>
          </cell>
          <cell r="D87">
            <v>44.65</v>
          </cell>
        </row>
        <row r="88">
          <cell r="A88">
            <v>90731</v>
          </cell>
          <cell r="B88" t="str">
            <v>JUNTA ARGAMASSADA ENTRE TUBO DN 450 MM E O POÇO DE VISITA/ CAIXA DE CONCRETO OU ALVENARIA EM REDES DE ESGOTO. AF_06/2015</v>
          </cell>
          <cell r="C88" t="str">
            <v>UN</v>
          </cell>
          <cell r="D88">
            <v>49.02</v>
          </cell>
        </row>
        <row r="89">
          <cell r="A89">
            <v>90732</v>
          </cell>
          <cell r="B89" t="str">
            <v>JUNTA ARGAMASSADA ENTRE TUBO DN 600 MM E O POÇO DE VISITA/ CAIXA DE CONCRETO OU ALVENARIA EM REDES DE ESGOTO. AF_06/2015</v>
          </cell>
          <cell r="C89" t="str">
            <v>UN</v>
          </cell>
          <cell r="D89">
            <v>62.08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2.41</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2.86</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3.31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3.75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10.25</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4.43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4.8600000000000003</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5.31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5.75</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6.19</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14.65</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11.22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3.55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4</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4.43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4.88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5.33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5.77</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6.43</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6.88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7.32</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7.76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18.14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13.35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153.94999999999999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1.1499999999999999</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902.67</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19.93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1203.3</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24.41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28.95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38.159999999999997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154.26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1.46</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19.71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27.67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1879.88</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32.44</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41.99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1.51</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2.65</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141.13999999999999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6.08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7.79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233.19</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9.34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305.32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11.06</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344.89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12.64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14.36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598.55999999999995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17.670000000000002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11.52</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191.61</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14.56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241.46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17.739999999999998</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315.02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20.91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356</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23.92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27.16</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30.32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614.14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33.479999999999997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107.18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137.88999999999999</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176.77</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235.57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268.72000000000003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325.58999999999997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364.68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113.96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146.28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186.6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281.51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339.79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380.57</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27.49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35.25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42.91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51.11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59.2</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68.709999999999994</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78.66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90.14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501.87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112.79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730.55</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151.83000000000001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32.79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42.03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51.3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60.94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70.63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81.5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92.86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106.03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520.59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131.51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753.56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174.84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95.16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100.39</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58.74</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76.58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102.91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63.97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83.26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111.18</v>
          </cell>
        </row>
        <row r="224">
          <cell r="A224">
            <v>73606</v>
          </cell>
          <cell r="B224" t="str">
            <v>ASSENTAMENTO DE TAMPAO DE FERRO FUNDIDO 900 MM</v>
          </cell>
          <cell r="C224" t="str">
            <v>UN</v>
          </cell>
          <cell r="D224">
            <v>123.07</v>
          </cell>
        </row>
        <row r="225">
          <cell r="A225">
            <v>73607</v>
          </cell>
          <cell r="B225" t="str">
            <v>ASSENTAMENTO DE TAMPAO DE FERRO FUNDIDO 600 MM</v>
          </cell>
          <cell r="C225" t="str">
            <v>UN</v>
          </cell>
          <cell r="D225">
            <v>82.05</v>
          </cell>
        </row>
        <row r="226">
          <cell r="A226">
            <v>83623</v>
          </cell>
          <cell r="B226" t="str">
            <v>GRELHA DE FERRO FUNDIDO PARA CANALETA LARG = 30CM, FORNECIMENTO E ASSENTAMENTO</v>
          </cell>
          <cell r="C226" t="str">
            <v>M</v>
          </cell>
          <cell r="D226">
            <v>198.18</v>
          </cell>
        </row>
        <row r="227">
          <cell r="A227">
            <v>83624</v>
          </cell>
          <cell r="B227" t="str">
            <v>GRELHA DE FERRO FUNDIDO PARA CANALETA LARG = 20CM, FORNECIMENTO E ASSENTAMENTO</v>
          </cell>
          <cell r="C227" t="str">
            <v>M</v>
          </cell>
          <cell r="D227">
            <v>139.72999999999999</v>
          </cell>
        </row>
        <row r="228">
          <cell r="A228">
            <v>83626</v>
          </cell>
          <cell r="B228" t="str">
            <v>GRELHA DE FERRO FUNDIDO PARA CANALETA LARG = 15CM, FORNECIMENTO E ASSENTAMENTO</v>
          </cell>
          <cell r="C228" t="str">
            <v>M</v>
          </cell>
          <cell r="D228">
            <v>110.5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393.68</v>
          </cell>
        </row>
        <row r="230">
          <cell r="A230">
            <v>83724</v>
          </cell>
          <cell r="B230" t="str">
            <v>ASSENTAMENTO DE PECAS, CONEXOES, APARELHOS E ACESSORIOS DE FERRO FUNDIDO DUCTIL, JUNTA ELASTICA, MECANICA OU FLANGEADA, COM DIAMETROS DE 50 A 300 MM.</v>
          </cell>
          <cell r="C230" t="str">
            <v>KG</v>
          </cell>
          <cell r="D230">
            <v>1.43</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0.69</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3.82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7.31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12.36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14.03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17.39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1.78</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3.78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4.6500000000000004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5.51</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6.39</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7.24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8.99</v>
          </cell>
        </row>
        <row r="247">
          <cell r="A247">
            <v>83520</v>
          </cell>
          <cell r="B247" t="str">
            <v>TE PVC PARA COLETOR ESGOTO, EB644, D=100MM, COM JUNTA ELASTICA.</v>
          </cell>
          <cell r="C247" t="str">
            <v>UN</v>
          </cell>
          <cell r="D247">
            <v>85.2</v>
          </cell>
        </row>
        <row r="248">
          <cell r="A248">
            <v>83531</v>
          </cell>
          <cell r="B248" t="str">
            <v>CURVA PARA REDE COLETOR ESGOTO, EB 644, 90GR, DN=200MM, COM JUNTA ELASTICA</v>
          </cell>
          <cell r="C248" t="str">
            <v>UN</v>
          </cell>
          <cell r="D248">
            <v>375.6</v>
          </cell>
        </row>
        <row r="249">
          <cell r="A249">
            <v>83535</v>
          </cell>
          <cell r="B249" t="str">
            <v>CURVA PVC PARA REDE COLETOR ESGOTO, EB-644, 45 GR, 200 MM, COM JUNTA ELASTICA.</v>
          </cell>
          <cell r="C249" t="str">
            <v>UN</v>
          </cell>
          <cell r="D249">
            <v>310.79000000000002</v>
          </cell>
        </row>
        <row r="250">
          <cell r="A250">
            <v>92235</v>
          </cell>
          <cell r="B250" t="str">
            <v>FECHAMENTO DE CONSTRUÇÃO TEMPORÁRIA EM CHAPA DE MADEIRA COMPENSADA E=10MM, COM REAPROVEITAMENTO DE 2X.</v>
          </cell>
          <cell r="C250" t="str">
            <v>M2</v>
          </cell>
          <cell r="D250">
            <v>57.31</v>
          </cell>
        </row>
        <row r="251">
          <cell r="A251">
            <v>93206</v>
          </cell>
          <cell r="B251" t="str">
            <v>EXECUÇÃO DE ESCRITÓRIO EM CANTEIRO DE OBRA EM ALVENARIA, NÃO INCLUSO MOBILIÁRIO E EQUIPAMENTOS. AF_02/2016</v>
          </cell>
          <cell r="C251" t="str">
            <v>M2</v>
          </cell>
          <cell r="D251">
            <v>817.5</v>
          </cell>
        </row>
        <row r="252">
          <cell r="A252">
            <v>93207</v>
          </cell>
          <cell r="B252" t="str">
            <v>EXECUÇÃO DE ESCRITÓRIO EM CANTEIRO DE OBRA EM CHAPA DE MADEIRA COMPENSADA, NÃO INCLUSO MOBILIÁRIO E EQUIPAMENTOS. AF_02/2016</v>
          </cell>
          <cell r="C252" t="str">
            <v>M2</v>
          </cell>
          <cell r="D252">
            <v>696.21</v>
          </cell>
        </row>
        <row r="253">
          <cell r="A253">
            <v>93208</v>
          </cell>
          <cell r="B253" t="str">
            <v>EXECUÇÃO DE ALMOXARIFADO EM CANTEIRO DE OBRA EM CHAPA DE MADEIRA COMPENSADA, INCLUSO PRATELEIRAS. AF_02/2016</v>
          </cell>
          <cell r="C253" t="str">
            <v>M2</v>
          </cell>
          <cell r="D253">
            <v>534.41999999999996</v>
          </cell>
        </row>
        <row r="254">
          <cell r="A254">
            <v>93209</v>
          </cell>
          <cell r="B254" t="str">
            <v>EXECUÇÃO DE ALMOXARIFADO EM CANTEIRO DE OBRA EM ALVENARIA, INCLUSO PRATELEIRAS. AF_02/2016</v>
          </cell>
          <cell r="C254" t="str">
            <v>M2</v>
          </cell>
          <cell r="D254">
            <v>650.45000000000005</v>
          </cell>
        </row>
        <row r="255">
          <cell r="A255">
            <v>93210</v>
          </cell>
          <cell r="B255" t="str">
            <v>EXECUÇÃO DE REFEITÓRIO EM CANTEIRO DE OBRA EM CHAPA DE MADEIRA COMPENSADA, NÃO INCLUSO MOBILIÁRIO E EQUIPAMENTOS. AF_02/2016</v>
          </cell>
          <cell r="C255" t="str">
            <v>M2</v>
          </cell>
          <cell r="D255">
            <v>354.28</v>
          </cell>
        </row>
        <row r="256">
          <cell r="A256">
            <v>93211</v>
          </cell>
          <cell r="B256" t="str">
            <v>EXECUÇÃO DE REFEITÓRIO EM CANTEIRO DE OBRA EM ALVENARIA, NÃO INCLUSO MOBILIÁRIO E EQUIPAMENTOS. AF_02/2016</v>
          </cell>
          <cell r="C256" t="str">
            <v>M2</v>
          </cell>
          <cell r="D256">
            <v>378.94</v>
          </cell>
        </row>
        <row r="257">
          <cell r="A257">
            <v>93212</v>
          </cell>
          <cell r="B257" t="str">
            <v>EXECUÇÃO DE SANITÁRIO E VESTIÁRIO EM CANTEIRO DE OBRA EM CHAPA DE MADEIRA COMPENSADA, NÃO INCLUSO MOBILIÁRIO. AF_02/2016</v>
          </cell>
          <cell r="C257" t="str">
            <v>M2</v>
          </cell>
          <cell r="D257">
            <v>620.75</v>
          </cell>
        </row>
        <row r="258">
          <cell r="A258">
            <v>93213</v>
          </cell>
          <cell r="B258" t="str">
            <v>EXECUÇÃO DE SANITÁRIO E VESTIÁRIO EM CANTEIRO DE OBRA EM ALVENARIA, NÃO INCLUSO MOBILIÁRIO. AF_02/2016</v>
          </cell>
          <cell r="C258" t="str">
            <v>M2</v>
          </cell>
          <cell r="D258">
            <v>717.14</v>
          </cell>
        </row>
        <row r="259">
          <cell r="A259">
            <v>93214</v>
          </cell>
          <cell r="B259" t="str">
            <v>EXECUÇÃO DE RESERVATÓRIO ELEVADO DE ÁGUA (1000 LITROS) EM CANTEIRO DE OBRA, APOIADO EM ESTRUTURA DE MADEIRA. AF_02/2016</v>
          </cell>
          <cell r="C259" t="str">
            <v>UN</v>
          </cell>
          <cell r="D259">
            <v>3338.84</v>
          </cell>
        </row>
        <row r="260">
          <cell r="A260">
            <v>93243</v>
          </cell>
          <cell r="B260" t="str">
            <v>EXECUÇÃO DE RESERVATÓRIO ELEVADO DE ÁGUA (2000 LITROS) EM CANTEIRO DE OBRA, APOIADO EM ESTRUTURA DE MADEIRA. AF_02/2016</v>
          </cell>
          <cell r="C260" t="str">
            <v>UN</v>
          </cell>
          <cell r="D260">
            <v>5009.87</v>
          </cell>
        </row>
        <row r="261">
          <cell r="A261">
            <v>93582</v>
          </cell>
          <cell r="B261" t="str">
            <v>EXECUÇÃO DE CENTRAL DE ARMADURA EM CANTEIRO DE OBRA, NÃO INCLUSO MOBILIÁRIO E EQUIPAMENTOS. AF_04/2016</v>
          </cell>
          <cell r="C261" t="str">
            <v>M2</v>
          </cell>
          <cell r="D261">
            <v>164.29</v>
          </cell>
        </row>
        <row r="262">
          <cell r="A262">
            <v>93583</v>
          </cell>
          <cell r="B262" t="str">
            <v>EXECUÇÃO DE CENTRAL DE FÔRMAS, PRODUÇÃO DE ARGAMASSA OU CONCRETO EM CANTEIRO DE OBRA, NÃO INCLUSO MOBILIÁRIO E EQUIPAMENTOS. AF_04/2016</v>
          </cell>
          <cell r="C262" t="str">
            <v>M2</v>
          </cell>
          <cell r="D262">
            <v>278.44</v>
          </cell>
        </row>
        <row r="263">
          <cell r="A263">
            <v>93584</v>
          </cell>
          <cell r="B263" t="str">
            <v>EXECUÇÃO DE DEPÓSITO EM CANTEIRO DE OBRA EM CHAPA DE MADEIRA COMPENSADA, NÃO INCLUSO MOBILIÁRIO. AF_04/2016</v>
          </cell>
          <cell r="C263" t="str">
            <v>M2</v>
          </cell>
          <cell r="D263">
            <v>571.42999999999995</v>
          </cell>
        </row>
        <row r="264">
          <cell r="A264">
            <v>93585</v>
          </cell>
          <cell r="B264" t="str">
            <v>EXECUÇÃO DE GUARITA EM CANTEIRO DE OBRA EM CHAPA DE MADEIRA COMPENSADA, NÃO INCLUSO MOBILIÁRIO. AF_04/2016</v>
          </cell>
          <cell r="C264" t="str">
            <v>M2</v>
          </cell>
          <cell r="D264">
            <v>708.53</v>
          </cell>
        </row>
        <row r="265">
          <cell r="A265">
            <v>98441</v>
          </cell>
          <cell r="B265" t="str">
            <v>PAREDE DE MADEIRA COMPENSADA PARA CONSTRUÇÃO TEMPORÁRIA EM CHAPA SIMPLES, EXTERNA, COM ÁREA LÍQUIDA MAIOR OU IGUAL A 6 M², SEM VÃO. AF_05/2018</v>
          </cell>
          <cell r="C265" t="str">
            <v>M2</v>
          </cell>
          <cell r="D265">
            <v>70.430000000000007</v>
          </cell>
        </row>
        <row r="266">
          <cell r="A266">
            <v>98442</v>
          </cell>
          <cell r="B266" t="str">
            <v>PAREDE DE MADEIRA COMPENSADA PARA CONSTRUÇÃO TEMPORÁRIA EM CHAPA SIMPLES, EXTERNA, COM ÁREA LÍQUIDA MENOR QUE 6 M², SEM VÃO. AF_05/2018</v>
          </cell>
          <cell r="C266" t="str">
            <v>M2</v>
          </cell>
          <cell r="D266">
            <v>72.95</v>
          </cell>
        </row>
        <row r="267">
          <cell r="A267">
            <v>98443</v>
          </cell>
          <cell r="B267" t="str">
            <v>PAREDE DE MADEIRA COMPENSADA PARA CONSTRUÇÃO TEMPORÁRIA EM CHAPA SIMPLES, INTERNA, COM ÁREA LÍQUIDA MAIOR OU IGUAL A 6 M², SEM VÃO. AF_05/2018</v>
          </cell>
          <cell r="C267" t="str">
            <v>M2</v>
          </cell>
          <cell r="D267">
            <v>59.09</v>
          </cell>
        </row>
        <row r="268">
          <cell r="A268">
            <v>98444</v>
          </cell>
          <cell r="B268" t="str">
            <v>PAREDE DE MADEIRA COMPENSADA PARA CONSTRUÇÃO TEMPORÁRIA EM CHAPA SIMPLES, INTERNA, COM ÁREA LÍQUIDA MENOR QUE 6 M², SEM VÃO. AF_05/2018</v>
          </cell>
          <cell r="C268" t="str">
            <v>M2</v>
          </cell>
          <cell r="D268">
            <v>60.88</v>
          </cell>
        </row>
        <row r="269">
          <cell r="A269">
            <v>98445</v>
          </cell>
          <cell r="B269" t="str">
            <v>PAREDE DE MADEIRA COMPENSADA PARA CONSTRUÇÃO TEMPORÁRIA EM CHAPA SIMPLES, EXTERNA, COM ÁREA LÍQUIDA MAIOR OU IGUAL A 6 M², COM VÃO. AF_05/2018</v>
          </cell>
          <cell r="C269" t="str">
            <v>M2</v>
          </cell>
          <cell r="D269">
            <v>85.3</v>
          </cell>
        </row>
        <row r="270">
          <cell r="A270">
            <v>98446</v>
          </cell>
          <cell r="B270" t="str">
            <v>PAREDE DE MADEIRA COMPENSADA PARA CONSTRUÇÃO TEMPORÁRIA EM CHAPA SIMPLES, EXTERNA, COM ÁREA LÍQUIDA MENOR QUE 6 M², COM VÃO. AF_05/2018</v>
          </cell>
          <cell r="C270" t="str">
            <v>M2</v>
          </cell>
          <cell r="D270">
            <v>112.26</v>
          </cell>
        </row>
        <row r="271">
          <cell r="A271">
            <v>98447</v>
          </cell>
          <cell r="B271" t="str">
            <v>PAREDE DE MADEIRA COMPENSADA PARA CONSTRUÇÃO TEMPORÁRIA EM CHAPA SIMPLES, INTERNA, COM ÁREA LÍQUIDA MAIOR OU IGUAL A 6 M², COM VÃO. AF_05/2018</v>
          </cell>
          <cell r="C271" t="str">
            <v>M2</v>
          </cell>
          <cell r="D271">
            <v>69.7</v>
          </cell>
        </row>
        <row r="272">
          <cell r="A272">
            <v>98448</v>
          </cell>
          <cell r="B272" t="str">
            <v>PAREDE DE MADEIRA COMPENSADA PARA CONSTRUÇÃO TEMPORÁRIA EM CHAPA SIMPLES, INTERNA, COM ÁREA LÍQUIDA MENOR QUE 6 M², COM VÃO. AF_05/2018</v>
          </cell>
          <cell r="C272" t="str">
            <v>M2</v>
          </cell>
          <cell r="D272">
            <v>89.88</v>
          </cell>
        </row>
        <row r="273">
          <cell r="A273">
            <v>98449</v>
          </cell>
          <cell r="B273" t="str">
            <v>PAREDE DE MADEIRA COMPENSADA PARA CONSTRUÇÃO TEMPORÁRIA EM CHAPA DUPLA, EXTERNA, COM ÁREA LÍQUIDA MAIOR OU IGUAL A 6 M², SEM VÃO. AF_05/2018</v>
          </cell>
          <cell r="C273" t="str">
            <v>M2</v>
          </cell>
          <cell r="D273">
            <v>90.72</v>
          </cell>
        </row>
        <row r="274">
          <cell r="A274">
            <v>98450</v>
          </cell>
          <cell r="B274" t="str">
            <v>PAREDE DE MADEIRA COMPENSADA PARA CONSTRUÇÃO TEMPORÁRIA EM CHAPA DUPLA, EXTERNA, COM ÁREA LÍQUIDA MENOR QUE 6 M², SEM VÃO. AF_05/2018</v>
          </cell>
          <cell r="C274" t="str">
            <v>M2</v>
          </cell>
          <cell r="D274">
            <v>94.38</v>
          </cell>
        </row>
        <row r="275">
          <cell r="A275">
            <v>98451</v>
          </cell>
          <cell r="B275" t="str">
            <v>PAREDE DE MADEIRA COMPENSADA PARA CONSTRUÇÃO TEMPORÁRIA EM CHAPA DUPLA, INTERNA, COM ÁREA LÍQUIDA MAIOR OU IGUAL A 6 M², SEM VÃO. AF_05/2018</v>
          </cell>
          <cell r="C275" t="str">
            <v>M2</v>
          </cell>
          <cell r="D275">
            <v>77.23</v>
          </cell>
        </row>
        <row r="276">
          <cell r="A276">
            <v>98452</v>
          </cell>
          <cell r="B276" t="str">
            <v>PAREDE DE MADEIRA COMPENSADA PARA CONSTRUÇÃO TEMPORÁRIA EM CHAPA DUPLA, INTERNA, COM ÁREA LÍQUIDA MENOR QUE 6 M², SEM VÃO. AF_05/2018</v>
          </cell>
          <cell r="C276" t="str">
            <v>M2</v>
          </cell>
          <cell r="D276">
            <v>79.45</v>
          </cell>
        </row>
        <row r="277">
          <cell r="A277">
            <v>98453</v>
          </cell>
          <cell r="B277" t="str">
            <v>PAREDE DE MADEIRA COMPENSADA PARA CONSTRUÇÃO TEMPORÁRIA EM CHAPA DUPLA, EXTERNA, COM ÁREA LÍQUIDA MAIOR OU IGUAL A QUE 6 M², COM VÃO. AF_05/2018</v>
          </cell>
          <cell r="C277" t="str">
            <v>M2</v>
          </cell>
          <cell r="D277">
            <v>109.81</v>
          </cell>
        </row>
        <row r="278">
          <cell r="A278">
            <v>98454</v>
          </cell>
          <cell r="B278" t="str">
            <v>PAREDE DE MADEIRA COMPENSADA PARA CONSTRUÇÃO TEMPORÁRIA EM CHAPA DUPLA, EXTERNA, COM ÁREA LÍQUIDA MENOR QUE 6 M², COM VÃO. AF_05/2018</v>
          </cell>
          <cell r="C278" t="str">
            <v>M2</v>
          </cell>
          <cell r="D278">
            <v>147.11000000000001</v>
          </cell>
        </row>
        <row r="279">
          <cell r="A279">
            <v>98455</v>
          </cell>
          <cell r="B279" t="str">
            <v>PAREDE DE MADEIRA COMPENSADA PARA CONSTRUÇÃO TEMPORÁRIA EM CHAPA DUPLA, INTERNA, COM ÁREA LÍQUIDA MAIOR OU IGUAL A 6 M², COM VÃO. AF_05/2018</v>
          </cell>
          <cell r="C279" t="str">
            <v>M2</v>
          </cell>
          <cell r="D279">
            <v>92.06</v>
          </cell>
        </row>
        <row r="280">
          <cell r="A280">
            <v>98456</v>
          </cell>
          <cell r="B280" t="str">
            <v>PAREDE DE MADEIRA COMPENSADA PARA CONSTRUÇÃO TEMPORÁRIA EM CHAPA DUPLA, INTERNA, COM ÁREA LÍQUIDA MENOR QUE 6 M², COM VÃO. AF_05/2018</v>
          </cell>
          <cell r="C280" t="str">
            <v>M2</v>
          </cell>
          <cell r="D280">
            <v>121.87</v>
          </cell>
        </row>
        <row r="281">
          <cell r="A281">
            <v>98458</v>
          </cell>
          <cell r="B281" t="str">
            <v>TAPUME COM COMPENSADO DE MADEIRA. AF_05/2018</v>
          </cell>
          <cell r="C281" t="str">
            <v>M2</v>
          </cell>
          <cell r="D281">
            <v>66.36</v>
          </cell>
        </row>
        <row r="282">
          <cell r="A282">
            <v>98459</v>
          </cell>
          <cell r="B282" t="str">
            <v>TAPUME COM TELHA METÁLICA. AF_05/2018</v>
          </cell>
          <cell r="C282" t="str">
            <v>M2</v>
          </cell>
          <cell r="D282">
            <v>54.71</v>
          </cell>
        </row>
        <row r="283">
          <cell r="A283">
            <v>98460</v>
          </cell>
          <cell r="B283" t="str">
            <v>PISO PARA CONSTRUÇÃO TEMPORÁRIA EM MADEIRA, SEM REAPROVEITAMENTO. AF_05/2018</v>
          </cell>
          <cell r="C283" t="str">
            <v>M2</v>
          </cell>
          <cell r="D283">
            <v>63.02</v>
          </cell>
        </row>
        <row r="284">
          <cell r="A284">
            <v>98461</v>
          </cell>
          <cell r="B284" t="str">
            <v>ESTRUTURA DE MADEIRA PROVISÓRIA PARA SUPORTE DE CAIXA DÁGUA ELEVADA DE 1000 LITROS. AF_05/2018</v>
          </cell>
          <cell r="C284" t="str">
            <v>UN</v>
          </cell>
          <cell r="D284">
            <v>2814.68</v>
          </cell>
        </row>
        <row r="285">
          <cell r="A285">
            <v>98462</v>
          </cell>
          <cell r="B285" t="str">
            <v>ESTRUTURA DE MADEIRA PROVISÓRIA PARA SUPORTE DE CAIXA DÁGUA ELEVADA DE 3000 LITROS. AF_05/2018</v>
          </cell>
          <cell r="C285" t="str">
            <v>UN</v>
          </cell>
          <cell r="D285">
            <v>4126.67</v>
          </cell>
        </row>
        <row r="286">
          <cell r="A286" t="str">
            <v>74209/1</v>
          </cell>
          <cell r="B286" t="str">
            <v>PLACA DE OBRA EM CHAPA DE ACO GALVANIZADO</v>
          </cell>
          <cell r="C286" t="str">
            <v>M2</v>
          </cell>
          <cell r="D286">
            <v>381</v>
          </cell>
        </row>
        <row r="287">
          <cell r="A287">
            <v>5631</v>
          </cell>
          <cell r="B287" t="str">
            <v>ESCAVADEIRA HIDRÁULICA SOBRE ESTEIRAS, CAÇAMBA 0,80 M3, PESO OPERACIONAL 17 T, POTENCIA BRUTA 111 HP - CHP DIURNO. AF_06/2014</v>
          </cell>
          <cell r="C287" t="str">
            <v>CHP</v>
          </cell>
          <cell r="D287">
            <v>134.38</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101.44</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93.96</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94.63</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15.67</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174.55</v>
          </cell>
        </row>
        <row r="294">
          <cell r="A294">
            <v>5823</v>
          </cell>
          <cell r="B294" t="str">
            <v>USINA DE CONCRETO FIXA, CAPACIDADE NOMINAL DE 90 A 120 M3/H, SEM SILO - CHP DIURNO. AF_07/2016</v>
          </cell>
          <cell r="C294" t="str">
            <v>CHP</v>
          </cell>
          <cell r="D294">
            <v>171.87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139.43</v>
          </cell>
        </row>
        <row r="296">
          <cell r="A296">
            <v>5835</v>
          </cell>
          <cell r="B296" t="str">
            <v>VIBROACABADORA DE ASFALTO SOBRE ESTEIRAS, LARGURA DE PAVIMENTAÇÃO 1,90 M A 5,30 M, POTÊNCIA 105 HP CAPACIDADE 450 T/H - CHP DIURNO. AF_11/2014</v>
          </cell>
          <cell r="C296" t="str">
            <v>CHP</v>
          </cell>
          <cell r="D296">
            <v>257.05</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101.06</v>
          </cell>
        </row>
        <row r="299">
          <cell r="A299">
            <v>5847</v>
          </cell>
          <cell r="B299" t="str">
            <v>TRATOR DE ESTEIRAS, POTÊNCIA 170 HP, PESO OPERACIONAL 19 T, CAÇAMBA 5,2 M3 - CHP DIURNO. AF_06/2014</v>
          </cell>
          <cell r="C299" t="str">
            <v>CHP</v>
          </cell>
          <cell r="D299">
            <v>174.99</v>
          </cell>
        </row>
        <row r="300">
          <cell r="A300">
            <v>5851</v>
          </cell>
          <cell r="B300" t="str">
            <v>TRATOR DE ESTEIRAS, POTÊNCIA 150 HP, PESO OPERACIONAL 16,7 T, COM RODA MOTRIZ ELEVADA E LÂMINA 3,18 M3 - CHP DIURNO. AF_06/2014</v>
          </cell>
          <cell r="C300" t="str">
            <v>CHP</v>
          </cell>
          <cell r="D300">
            <v>164.87</v>
          </cell>
        </row>
        <row r="301">
          <cell r="A301">
            <v>5855</v>
          </cell>
          <cell r="B301" t="str">
            <v>TRATOR DE ESTEIRAS, POTÊNCIA 347 HP, PESO OPERACIONAL 38,5 T, COM LÂMINA 8,70 M3 - CHP DIURNO. AF_06/2014</v>
          </cell>
          <cell r="C301" t="str">
            <v>CHP</v>
          </cell>
          <cell r="D301">
            <v>429.03</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91.54</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92.87</v>
          </cell>
        </row>
        <row r="305">
          <cell r="A305">
            <v>5879</v>
          </cell>
          <cell r="B305" t="str">
            <v>ROLO COMPACTADOR VIBRATÓRIO PÉ DE CARNEIRO, OPERADO POR CONTROLE REMOTO, POTÊNCIA 12,5 KW, PESO OPERACIONAL 1,675 T, LARGURA DE TRABALHO 0,85 M - CHP DIURNO. AF_02/2016</v>
          </cell>
          <cell r="C305" t="str">
            <v>CHP</v>
          </cell>
          <cell r="D305">
            <v>74.98</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81.040000000000006</v>
          </cell>
        </row>
        <row r="307">
          <cell r="A307">
            <v>5890</v>
          </cell>
          <cell r="B307" t="str">
            <v>CAMINHÃO TOCO, PESO BRUTO TOTAL 14.300 KG, CARGA ÚTIL MÁXIMA 9590 KG, DISTÂNCIA ENTRE EIXOS 4,76 M, POTÊNCIA 185 CV (NÃO INCLUI CARROCERIA) - CHP DIURNO. AF_06/2014</v>
          </cell>
          <cell r="C307" t="str">
            <v>CHP</v>
          </cell>
          <cell r="D307">
            <v>139.86000000000001</v>
          </cell>
        </row>
        <row r="308">
          <cell r="A308">
            <v>5894</v>
          </cell>
          <cell r="B308" t="str">
            <v>CAMINHÃO TOCO, PESO BRUTO TOTAL 16.000 KG, CARGA ÚTIL MÁXIMA DE 10.685 KG, DISTÂNCIA ENTRE EIXOS 4,80 M, POTÊNCIA 189 CV EXCLUSIVE CARROCERIA - CHP DIURNO. AF_06/2014</v>
          </cell>
          <cell r="C308" t="str">
            <v>CHP</v>
          </cell>
          <cell r="D308">
            <v>137.59</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175.46</v>
          </cell>
        </row>
        <row r="310">
          <cell r="A310">
            <v>5909</v>
          </cell>
          <cell r="B310" t="str">
            <v>ESPARGIDOR DE ASFALTO PRESSURIZADO COM TANQUE DE 2500 L, REBOCÁVEL COM MOTOR A GASOLINA POTÊNCIA 3,4 HP - CHP DIURNO. AF_07/2014</v>
          </cell>
          <cell r="C310" t="str">
            <v>CHP</v>
          </cell>
          <cell r="D310">
            <v>23.75</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148.01</v>
          </cell>
        </row>
        <row r="313">
          <cell r="A313">
            <v>5932</v>
          </cell>
          <cell r="B313" t="str">
            <v>MOTONIVELADORA POTÊNCIA BÁSICA LÍQUIDA (PRIMEIRA MARCHA) 125 HP, PESO BRUTO 13032 KG, LARGURA DA LÂMINA DE 3,7 M - CHP DIURNO. AF_06/2014</v>
          </cell>
          <cell r="C313" t="str">
            <v>CHP</v>
          </cell>
          <cell r="D313">
            <v>151.18</v>
          </cell>
        </row>
        <row r="314">
          <cell r="A314">
            <v>5940</v>
          </cell>
          <cell r="B314" t="str">
            <v>PÁ CARREGADEIRA SOBRE RODAS, POTÊNCIA LÍQUIDA 128 HP, CAPACIDADE DA CAÇAMBA 1,7 A 2,8 M3, PESO OPERACIONAL 11632 KG - CHP DIURNO. AF_06/2014</v>
          </cell>
          <cell r="C314" t="str">
            <v>CHP</v>
          </cell>
          <cell r="D314">
            <v>135.16999999999999</v>
          </cell>
        </row>
        <row r="315">
          <cell r="A315">
            <v>5944</v>
          </cell>
          <cell r="B315" t="str">
            <v>PÁ CARREGADEIRA SOBRE RODAS, POTÊNCIA 197 HP, CAPACIDADE DA CAÇAMBA 2,5 A 3,5 M3, PESO OPERACIONAL 18338 KG - CHP DIURNO. AF_06/2014</v>
          </cell>
          <cell r="C315" t="str">
            <v>CHP</v>
          </cell>
          <cell r="D315">
            <v>191.37</v>
          </cell>
        </row>
        <row r="316">
          <cell r="A316">
            <v>5953</v>
          </cell>
          <cell r="B316" t="str">
            <v>COMPRESSOR DE AR REBOCÁVEL, VAZÃO 189 PCM, PRESSÃO EFETIVA DE TRABALHO 102 PSI, MOTOR DIESEL, POTÊNCIA 63 CV - CHP DIURNO. AF_06/2015</v>
          </cell>
          <cell r="C316" t="str">
            <v>CHP</v>
          </cell>
          <cell r="D316">
            <v>38.590000000000003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145.35</v>
          </cell>
        </row>
        <row r="318">
          <cell r="A318">
            <v>6879</v>
          </cell>
          <cell r="B318" t="str">
            <v>ROLO COMPACTADOR DE PNEUS ESTÁTICO, PRESSÃO VARIÁVEL, POTÊNCIA 111 HP, PESO SEM/COM LASTRO 9,5 / 26 T, LARGURA DE TRABALHO 1,90 M - CHP DIURNO. AF_07/2014</v>
          </cell>
          <cell r="C318" t="str">
            <v>CHP</v>
          </cell>
          <cell r="D318">
            <v>131.91</v>
          </cell>
        </row>
        <row r="319">
          <cell r="A319">
            <v>7030</v>
          </cell>
          <cell r="B319" t="str">
            <v>TANQUE DE ASFALTO ESTACIONÁRIO COM SERPENTINA, CAPACIDADE 30.000 L - CHP DIURNO. AF_06/2014</v>
          </cell>
          <cell r="C319" t="str">
            <v>CHP</v>
          </cell>
          <cell r="D319">
            <v>177.21</v>
          </cell>
        </row>
        <row r="320">
          <cell r="A320">
            <v>7042</v>
          </cell>
          <cell r="B320" t="str">
            <v>MOTOBOMBA TRASH (PARA ÁGUA SUJA) AUTO ESCORVANTE, MOTOR GASOLINA DE 6,41 HP, DIÂMETROS DE SUCÇÃO X RECALQUE: 3" X 3", HM/Q = 10 MCA / 60 M3/H A 23 MCA / 0 M3/H - CHP DIURNO. AF_10/2014</v>
          </cell>
          <cell r="C320" t="str">
            <v>CHP</v>
          </cell>
          <cell r="D320">
            <v>4.71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132.69999999999999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149.37</v>
          </cell>
        </row>
        <row r="323">
          <cell r="A323">
            <v>73417</v>
          </cell>
          <cell r="B323" t="str">
            <v>GRUPO GERADOR ESTACIONÁRIO, MOTOR DIESEL POTÊNCIA 170 KVA - CHP DIURNO. AF_02/2016</v>
          </cell>
          <cell r="C323" t="str">
            <v>CHP</v>
          </cell>
          <cell r="D323">
            <v>118.44</v>
          </cell>
        </row>
        <row r="324">
          <cell r="A324">
            <v>73436</v>
          </cell>
          <cell r="B324" t="str">
            <v>ROLO COMPACTADOR VIBRATÓRIO PÉ DE CARNEIRO PARA SOLOS, POTÊNCIA 80 HP, PESO OPERACIONAL SEM/COM LASTRO 7,4 / 8,8 T, LARGURA DE TRABALHO 1,68 M - CHP DIURNO. AF_02/2016</v>
          </cell>
          <cell r="C324" t="str">
            <v>CHP</v>
          </cell>
          <cell r="D324">
            <v>126.76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142.06</v>
          </cell>
        </row>
        <row r="326">
          <cell r="A326">
            <v>73536</v>
          </cell>
          <cell r="B326" t="str">
            <v>MOTOBOMBA CENTRÍFUGA, MOTOR A GASOLINA, POTÊNCIA 5,42 HP, BOCAIS 1 1/2" X 1", DIÂMETRO ROTOR 143 MM HM/Q = 6 MCA / 16,8 M3/H A 38 MCA / 6,6 M3/H - CHP DIURNO. AF_06/2014</v>
          </cell>
          <cell r="C326" t="str">
            <v>CHP</v>
          </cell>
          <cell r="D326">
            <v>3.95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73.599999999999994</v>
          </cell>
        </row>
        <row r="329">
          <cell r="A329">
            <v>87445</v>
          </cell>
          <cell r="B329" t="str">
            <v>BETONEIRA CAPACIDADE NOMINAL 400 L, CAPACIDADE DE MISTURA 310 L, MOTOR A DIESEL POTÊNCIA 5,0 HP, SEM CARREGADOR - CHP DIURNO. AF_06/2014</v>
          </cell>
          <cell r="C329" t="str">
            <v>CHP</v>
          </cell>
          <cell r="D329">
            <v>3.31</v>
          </cell>
        </row>
        <row r="330">
          <cell r="A330">
            <v>88386</v>
          </cell>
          <cell r="B330" t="str">
            <v>MISTURADOR DE ARGAMASSA, EIXO HORIZONTAL, CAPACIDADE DE MISTURA 300 KG, MOTOR ELÉTRICO POTÊNCIA 5 CV - CHP DIURNO. AF_06/2014</v>
          </cell>
          <cell r="C330" t="str">
            <v>CHP</v>
          </cell>
          <cell r="D330">
            <v>3.4</v>
          </cell>
        </row>
        <row r="331">
          <cell r="A331">
            <v>88393</v>
          </cell>
          <cell r="B331" t="str">
            <v>MISTURADOR DE ARGAMASSA, EIXO HORIZONTAL, CAPACIDADE DE MISTURA 600 KG, MOTOR ELÉTRICO POTÊNCIA 7,5 CV - CHP DIURNO. AF_06/2014</v>
          </cell>
          <cell r="C331" t="str">
            <v>CHP</v>
          </cell>
          <cell r="D331">
            <v>4.6100000000000003</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11.82</v>
          </cell>
        </row>
        <row r="334">
          <cell r="A334">
            <v>88433</v>
          </cell>
          <cell r="B334" t="str">
            <v>PROJETOR DE ARGAMASSA, CAPACIDADE DE PROJEÇÃO 2 M3/H, ALCANCE ATÉ 50 M, MOTOR ELÉTRICO POTÊNCIA 7,5 HP - CHP DIURNO. AF_06/2014</v>
          </cell>
          <cell r="C334" t="str">
            <v>CHP</v>
          </cell>
          <cell r="D334">
            <v>14.77</v>
          </cell>
        </row>
        <row r="335">
          <cell r="A335">
            <v>88830</v>
          </cell>
          <cell r="B335" t="str">
            <v>BETONEIRA CAPACIDADE NOMINAL DE 400 L, CAPACIDADE DE MISTURA 280 L, MOTOR ELÉTRICO TRIFÁSICO POTÊNCIA DE 2 CV, SEM CARREGADOR - CHP DIURNO. AF_10/2014</v>
          </cell>
          <cell r="C335" t="str">
            <v>CHP</v>
          </cell>
          <cell r="D335">
            <v>1.23</v>
          </cell>
        </row>
        <row r="336">
          <cell r="A336">
            <v>88843</v>
          </cell>
          <cell r="B336" t="str">
            <v>TRATOR DE ESTEIRAS, POTÊNCIA 125 HP, PESO OPERACIONAL 12,9 T, COM LÂMINA 2,7 M3 - CHP DIURNO. AF_10/2014</v>
          </cell>
          <cell r="C336" t="str">
            <v>CHP</v>
          </cell>
          <cell r="D336">
            <v>138.16999999999999</v>
          </cell>
        </row>
        <row r="337">
          <cell r="A337">
            <v>88907</v>
          </cell>
          <cell r="B337" t="str">
            <v>ESCAVADEIRA HIDRÁULICA SOBRE ESTEIRAS, CAÇAMBA 1,20 M3, PESO OPERACIONAL 21 T, POTÊNCIA BRUTA 155 HP - CHP DIURNO. AF_06/2014</v>
          </cell>
          <cell r="C337" t="str">
            <v>CHP</v>
          </cell>
          <cell r="D337">
            <v>163.94</v>
          </cell>
        </row>
        <row r="338">
          <cell r="A338">
            <v>89021</v>
          </cell>
          <cell r="B338" t="str">
            <v>BOMBA SUBMERSÍVEL ELÉTRICA TRIFÁSICA, POTÊNCIA 2,96 HP, Ø ROTOR 144 MM SEMI-ABERTO, BOCAL DE SAÍDA Ø 2, HM/Q = 2 MCA / 38,8 M3/H A 28 MCA / 5 M3/H - CHP DIURNO. AF_06/2014</v>
          </cell>
          <cell r="C338" t="str">
            <v>CHP</v>
          </cell>
          <cell r="D338">
            <v>1.72</v>
          </cell>
        </row>
        <row r="339">
          <cell r="A339">
            <v>89028</v>
          </cell>
          <cell r="B339" t="str">
            <v>TANQUE DE ASFALTO ESTACIONÁRIO COM MAÇARICO, CAPACIDADE 20.000 L - CHP DIURNO. AF_06/2014</v>
          </cell>
          <cell r="C339" t="str">
            <v>CHP</v>
          </cell>
          <cell r="D339">
            <v>164.04</v>
          </cell>
        </row>
        <row r="340">
          <cell r="A340">
            <v>89032</v>
          </cell>
          <cell r="B340" t="str">
            <v>TRATOR DE ESTEIRAS, POTÊNCIA 100 HP, PESO OPERACIONAL 9,4 T, COM LÂMINA 2,19 M3 - CHP DIURNO. AF_06/2014</v>
          </cell>
          <cell r="C340" t="str">
            <v>CHP</v>
          </cell>
          <cell r="D340">
            <v>122.46</v>
          </cell>
        </row>
        <row r="341">
          <cell r="A341">
            <v>89035</v>
          </cell>
          <cell r="B341" t="str">
            <v>TRATOR DE PNEUS, POTÊNCIA 85 CV, TRAÇÃO 4X4, PESO COM LASTRO DE 4.675 KG - CHP DIURNO. AF_06/2014</v>
          </cell>
          <cell r="C341" t="str">
            <v>CHP</v>
          </cell>
          <cell r="D341">
            <v>75.89</v>
          </cell>
        </row>
        <row r="342">
          <cell r="A342">
            <v>89225</v>
          </cell>
          <cell r="B342" t="str">
            <v>BETONEIRA CAPACIDADE NOMINAL DE 600 L, CAPACIDADE DE MISTURA 360 L, MOTOR ELÉTRICO TRIFÁSICO POTÊNCIA DE 4 CV, SEM CARREGADOR - CHP DIURNO. AF_11/2014</v>
          </cell>
          <cell r="C342" t="str">
            <v>CHP</v>
          </cell>
          <cell r="D342">
            <v>3.56</v>
          </cell>
        </row>
        <row r="343">
          <cell r="A343">
            <v>89234</v>
          </cell>
          <cell r="B343" t="str">
            <v>FRESADORA DE ASFALTO A FRIO SOBRE RODAS, LARGURA FRESAGEM DE 1,0 M, POTÊNCIA 208 HP - CHP DIURNO. AF_11/2014</v>
          </cell>
          <cell r="C343" t="str">
            <v>CHP</v>
          </cell>
          <cell r="D343">
            <v>395.36</v>
          </cell>
        </row>
        <row r="344">
          <cell r="A344">
            <v>89242</v>
          </cell>
          <cell r="B344" t="str">
            <v>FRESADORA DE ASFALTO A FRIO SOBRE RODAS, LARGURA FRESAGEM DE 2,0 M, POTÊNCIA 550 HP - CHP DIURNO. AF_11/2014</v>
          </cell>
          <cell r="C344" t="str">
            <v>CHP</v>
          </cell>
          <cell r="D344">
            <v>933.04</v>
          </cell>
        </row>
        <row r="345">
          <cell r="A345">
            <v>89250</v>
          </cell>
          <cell r="B345" t="str">
            <v>RECICLADORA DE ASFALTO A FRIO SOBRE RODAS, LARGURA FRESAGEM DE 2,0 M, POTÊNCIA 422 HP - CHP DIURNO. AF_11/2014</v>
          </cell>
          <cell r="C345" t="str">
            <v>CHP</v>
          </cell>
          <cell r="D345">
            <v>783.69</v>
          </cell>
        </row>
        <row r="346">
          <cell r="A346">
            <v>89257</v>
          </cell>
          <cell r="B346" t="str">
            <v>VIBROACABADORA DE ASFALTO SOBRE ESTEIRAS, LARGURA DE PAVIMENTAÇÃO 2,13 M A 4,55 M, POTÊNCIA 100 HP CAPACIDADE 400 T/H - CHP DIURNO. AF_11/2014</v>
          </cell>
          <cell r="C346" t="str">
            <v>CHP</v>
          </cell>
          <cell r="D346">
            <v>221.28</v>
          </cell>
        </row>
        <row r="347">
          <cell r="A347">
            <v>89272</v>
          </cell>
          <cell r="B347" t="str">
            <v>GUINDASTE HIDRÁULICO AUTOPROPELIDO, COM LANÇA TELESCÓPICA 28,80 M, CAPACIDADE MÁXIMA 30 T, POTÊNCIA 97 KW, TRAÇÃO 4 X 4 - CHP DIURNO. AF_11/2014</v>
          </cell>
          <cell r="C347" t="str">
            <v>CHP</v>
          </cell>
          <cell r="D347">
            <v>161.22</v>
          </cell>
        </row>
        <row r="348">
          <cell r="A348">
            <v>89278</v>
          </cell>
          <cell r="B348" t="str">
            <v>BETONEIRA CAPACIDADE NOMINAL DE 600 L, CAPACIDADE DE MISTURA 440 L, MOTOR A DIESEL POTÊNCIA 10 HP, COM CARREGADOR - CHP DIURNO. AF_11/2014</v>
          </cell>
          <cell r="C348" t="str">
            <v>CHP</v>
          </cell>
          <cell r="D348">
            <v>7.79</v>
          </cell>
        </row>
        <row r="349">
          <cell r="A349">
            <v>89843</v>
          </cell>
          <cell r="B349" t="str">
            <v>BATE-ESTACAS POR GRAVIDADE, POTÊNCIA DE 160 HP, PESO DO MARTELO ATÉ 3 TONELADAS - CHP DIURNO. AF_11/2014</v>
          </cell>
          <cell r="C349" t="str">
            <v>CHP</v>
          </cell>
          <cell r="D349">
            <v>151.09</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229.59</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255.81</v>
          </cell>
        </row>
        <row r="352">
          <cell r="A352">
            <v>90586</v>
          </cell>
          <cell r="B352" t="str">
            <v>VIBRADOR DE IMERSÃO, DIÂMETRO DE PONTEIRA 45MM, MOTOR ELÉTRICO TRIFÁSICO POTÊNCIA DE 2 CV - CHP DIURNO. AF_06/2015</v>
          </cell>
          <cell r="C352" t="str">
            <v>CHP</v>
          </cell>
          <cell r="D352">
            <v>1.34</v>
          </cell>
        </row>
        <row r="353">
          <cell r="A353">
            <v>90625</v>
          </cell>
          <cell r="B353" t="str">
            <v>PERFURATRIZ MANUAL, TORQUE MÁXIMO 83 N.M, POTÊNCIA 5 CV, COM DIÂMETRO MÁXIMO 4" - CHP DIURNO. AF_06/2015</v>
          </cell>
          <cell r="C353" t="str">
            <v>CHP</v>
          </cell>
          <cell r="D353">
            <v>5.45</v>
          </cell>
        </row>
        <row r="354">
          <cell r="A354">
            <v>90631</v>
          </cell>
          <cell r="B354" t="str">
            <v>PERFURATRIZ SOBRE ESTEIRA, TORQUE MÁXIMO 600 KGF, PESO MÉDIO 1000 KG, POTÊNCIA 20 HP, DIÂMETRO MÁXIMO 10" - CHP DIURNO. AF_06/2015</v>
          </cell>
          <cell r="C354" t="str">
            <v>CHP</v>
          </cell>
          <cell r="D354">
            <v>81.12</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10.62</v>
          </cell>
        </row>
        <row r="356">
          <cell r="A356">
            <v>90643</v>
          </cell>
          <cell r="B356" t="str">
            <v>BOMBA TRIPLEX, PARA INJEÇÃO DE NATA DE CIMENTO, VAZÃO MÁXIMA DE 100 LITROS/MINUTO, PRESSÃO MÁXIMA DE 70 BAR - CHP DIURNO. AF_06/2015</v>
          </cell>
          <cell r="C356" t="str">
            <v>CHP</v>
          </cell>
          <cell r="D356">
            <v>16.079999999999998</v>
          </cell>
        </row>
        <row r="357">
          <cell r="A357">
            <v>90650</v>
          </cell>
          <cell r="B357" t="str">
            <v>BOMBA CENTRÍFUGA MONOESTÁGIO COM MOTOR ELÉTRICO MONOFÁSICO, POTÊNCIA 15 HP, DIÂMETRO DO ROTOR 173 MM, HM/Q = 30 MCA / 90 M3/H A 45 MCA / 55 M3/H - CHP DIURNO. AF_06/2015</v>
          </cell>
          <cell r="C357" t="str">
            <v>CHP</v>
          </cell>
          <cell r="D357">
            <v>6.88</v>
          </cell>
        </row>
        <row r="358">
          <cell r="A358">
            <v>90656</v>
          </cell>
          <cell r="B358" t="str">
            <v>BOMBA DE PROJEÇÃO DE CONCRETO SECO, POTÊNCIA 10 CV, VAZÃO 3 M3/H - CHP DIURNO. AF_06/2015</v>
          </cell>
          <cell r="C358" t="str">
            <v>CHP</v>
          </cell>
          <cell r="D358">
            <v>10.49</v>
          </cell>
        </row>
        <row r="359">
          <cell r="A359">
            <v>90662</v>
          </cell>
          <cell r="B359" t="str">
            <v>BOMBA DE PROJEÇÃO DE CONCRETO SECO, POTÊNCIA 10 CV, VAZÃO 6 M3/H - CHP DIURNO. AF_06/2015</v>
          </cell>
          <cell r="C359" t="str">
            <v>CHP</v>
          </cell>
          <cell r="D359">
            <v>10.98</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19.11</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423.98</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231.76</v>
          </cell>
        </row>
        <row r="363">
          <cell r="A363">
            <v>90686</v>
          </cell>
          <cell r="B363" t="str">
            <v>MANIPULADOR TELESCÓPICO, POTÊNCIA DE 85 HP, CAPACIDADE DE CARGA DE 3.500 KG, ALTURA MÁXIMA DE ELEVAÇÃO DE 12,3 M - CHP DIURNO. AF_06/2015</v>
          </cell>
          <cell r="C363" t="str">
            <v>CHP</v>
          </cell>
          <cell r="D363">
            <v>113.66</v>
          </cell>
        </row>
        <row r="364">
          <cell r="A364">
            <v>90692</v>
          </cell>
          <cell r="B364" t="str">
            <v>MINICARREGADEIRA SOBRE RODAS, POTÊNCIA LÍQUIDA DE 47 HP, CAPACIDADE NOMINAL DE OPERAÇÃO DE 646 KG - CHP DIURNO. AF_06/2015</v>
          </cell>
          <cell r="C364" t="str">
            <v>CHP</v>
          </cell>
          <cell r="D364">
            <v>69.36</v>
          </cell>
        </row>
        <row r="365">
          <cell r="A365">
            <v>90964</v>
          </cell>
          <cell r="B365" t="str">
            <v>COMPRESSOR DE AR REBOCÁVEL, VAZÃO 89 PCM, PRESSÃO EFETIVA DE TRABALHO 102 PSI, MOTOR DIESEL, POTÊNCIA 20 CV - CHP DIURNO. AF_06/2015</v>
          </cell>
          <cell r="C365" t="str">
            <v>CHP</v>
          </cell>
          <cell r="D365">
            <v>18.190000000000001</v>
          </cell>
        </row>
        <row r="366">
          <cell r="A366">
            <v>90972</v>
          </cell>
          <cell r="B366" t="str">
            <v>COMPRESSOR DE AR REBOCAVEL, VAZÃO 250 PCM, PRESSAO DE TRABALHO 102 PSI, MOTOR A DIESEL POTÊNCIA 81 CV - CHP DIURNO. AF_06/2015</v>
          </cell>
          <cell r="C366" t="str">
            <v>CHP</v>
          </cell>
          <cell r="D366">
            <v>49.91</v>
          </cell>
        </row>
        <row r="367">
          <cell r="A367">
            <v>90979</v>
          </cell>
          <cell r="B367" t="str">
            <v>COMPRESSOR DE AR REBOCÁVEL, VAZÃO 748 PCM, PRESSÃO EFETIVA DE TRABALHO 102 PSI, MOTOR DIESEL, POTÊNCIA 210 CV - CHP DIURNO. AF_06/2015</v>
          </cell>
          <cell r="C367" t="str">
            <v>CHP</v>
          </cell>
          <cell r="D367">
            <v>128.97999999999999</v>
          </cell>
        </row>
        <row r="368">
          <cell r="A368">
            <v>90991</v>
          </cell>
          <cell r="B368" t="str">
            <v>ESCAVADEIRA HIDRÁULICA SOBRE ESTEIRAS, CAÇAMBA 0,80 M3, PESO OPERACIONAL 17,8 T, POTÊNCIA LÍQUIDA 110 HP - CHP DIURNO. AF_10/2014</v>
          </cell>
          <cell r="C368" t="str">
            <v>CHP</v>
          </cell>
          <cell r="D368">
            <v>131.21</v>
          </cell>
        </row>
        <row r="369">
          <cell r="A369">
            <v>90999</v>
          </cell>
          <cell r="B369" t="str">
            <v>COMPRESSOR DE AR REBOCAVEL, VAZÃO 400 PCM, PRESSAO DE TRABALHO 102 PSI, MOTOR A DIESEL POTÊNCIA 110 CV - CHP DIURNO. AF_06/2015</v>
          </cell>
          <cell r="C369" t="str">
            <v>CHP</v>
          </cell>
          <cell r="D369">
            <v>66.41</v>
          </cell>
        </row>
        <row r="370">
          <cell r="A370">
            <v>91031</v>
          </cell>
          <cell r="B370" t="str">
            <v>CAMINHÃO TRUCADO (C/ TERCEIRO EIXO) ELETRÔNICO - POTÊNCIA 231CV - PBT = 22000KG - DIST. ENTRE EIXOS 5170 MM - INCLUI CARROCERIA FIXA ABERTA DE MADEIRA - CHP DIURNO. AF_06/2015</v>
          </cell>
          <cell r="C370" t="str">
            <v>CHP</v>
          </cell>
          <cell r="D370">
            <v>171.64</v>
          </cell>
        </row>
        <row r="371">
          <cell r="A371">
            <v>91277</v>
          </cell>
          <cell r="B371" t="str">
            <v>PLACA VIBRATÓRIA REVERSÍVEL COM MOTOR 4 TEMPOS A GASOLINA, FORÇA CENTRÍFUGA DE 25 KN (2500 KGF), POTÊNCIA 5,5 CV - CHP DIURNO. AF_08/2015</v>
          </cell>
          <cell r="C371" t="str">
            <v>CHP</v>
          </cell>
          <cell r="D371">
            <v>4.7699999999999996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10.83</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179.66</v>
          </cell>
        </row>
        <row r="374">
          <cell r="A374">
            <v>91533</v>
          </cell>
          <cell r="B374" t="str">
            <v>COMPACTADOR DE SOLOS DE PERCUSSÃO (SOQUETE) COM MOTOR A GASOLINA 4 TEMPOS, POTÊNCIA 4 CV - CHP DIURNO. AF_08/2015</v>
          </cell>
          <cell r="C374" t="str">
            <v>CHP</v>
          </cell>
          <cell r="D374">
            <v>19.7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130.57</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278.05</v>
          </cell>
        </row>
        <row r="377">
          <cell r="A377">
            <v>91692</v>
          </cell>
          <cell r="B377" t="str">
            <v>SERRA CIRCULAR DE BANCADA COM MOTOR ELÉTRICO POTÊNCIA DE 5HP, COM COIFA PARA DISCO 10" - CHP DIURNO. AF_08/2015</v>
          </cell>
          <cell r="C377" t="str">
            <v>CHP</v>
          </cell>
          <cell r="D377">
            <v>17.420000000000002</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181.27</v>
          </cell>
        </row>
        <row r="380">
          <cell r="A380">
            <v>92112</v>
          </cell>
          <cell r="B380" t="str">
            <v>PENEIRA ROTATIVA COM MOTOR ELÉTRICO TRIFÁSICO DE 2 CV, CILINDRO DE 1 M X 0,60 M, COM FUROS DE 3,17 MM - CHP DIURNO. AF_11/2015</v>
          </cell>
          <cell r="C380" t="str">
            <v>CHP</v>
          </cell>
          <cell r="D380">
            <v>2.12</v>
          </cell>
        </row>
        <row r="381">
          <cell r="A381">
            <v>92118</v>
          </cell>
          <cell r="B381" t="str">
            <v>DOSADOR DE AREIA, CAPACIDADE DE 26 LITROS - CHP DIURNO. AF_11/2015</v>
          </cell>
          <cell r="C381" t="str">
            <v>CHP</v>
          </cell>
          <cell r="D381">
            <v>0.17</v>
          </cell>
        </row>
        <row r="382">
          <cell r="A382">
            <v>92138</v>
          </cell>
          <cell r="B382" t="str">
            <v>CAMINHONETE COM MOTOR A DIESEL, POTÊNCIA 180 CV, CABINE DUPLA, 4X4 - CHP DIURNO. AF_11/2015</v>
          </cell>
          <cell r="C382" t="str">
            <v>CHP</v>
          </cell>
          <cell r="D382">
            <v>127.77</v>
          </cell>
        </row>
        <row r="383">
          <cell r="A383">
            <v>92145</v>
          </cell>
          <cell r="B383" t="str">
            <v>CAMINHONETE CABINE SIMPLES COM MOTOR 1.6 FLEX, CÂMBIO MANUAL, POTÊNCIA 101/104 CV, 2 PORTAS - CHP DIURNO. AF_11/2015</v>
          </cell>
          <cell r="C383" t="str">
            <v>CHP</v>
          </cell>
          <cell r="D383">
            <v>87.68</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243.35</v>
          </cell>
        </row>
        <row r="385">
          <cell r="A385">
            <v>92716</v>
          </cell>
          <cell r="B385" t="str">
            <v>APARELHO PARA CORTE E SOLDA OXI-ACETILENO SOBRE RODAS, INCLUSIVE CILINDROS E MAÇARICOS - CHP DIURNO. AF_12/2015</v>
          </cell>
          <cell r="C385" t="str">
            <v>CHP</v>
          </cell>
          <cell r="D385">
            <v>21.94</v>
          </cell>
        </row>
        <row r="386">
          <cell r="A386">
            <v>92960</v>
          </cell>
          <cell r="B386" t="str">
            <v>MÁQUINA EXTRUSORA DE CONCRETO PARA GUIAS E SARJETAS, MOTOR A DIESEL, POTÊNCIA 14 CV - CHP DIURNO. AF_12/2015</v>
          </cell>
          <cell r="C386" t="str">
            <v>CHP</v>
          </cell>
          <cell r="D386">
            <v>18.86</v>
          </cell>
        </row>
        <row r="387">
          <cell r="A387">
            <v>92966</v>
          </cell>
          <cell r="B387" t="str">
            <v>MARTELO PERFURADOR PNEUMÁTICO MANUAL, HASTE 25 X 75 MM, 21 KG - CHP DIURNO. AF_12/2015</v>
          </cell>
          <cell r="C387" t="str">
            <v>CHP</v>
          </cell>
          <cell r="D387">
            <v>15.75</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615.61</v>
          </cell>
        </row>
        <row r="389">
          <cell r="A389">
            <v>93233</v>
          </cell>
          <cell r="B389" t="str">
            <v>BETONEIRA CAPACIDADE NOMINAL 400 L, CAPACIDADE DE MISTURA 310 L, MOTOR A GASOLINA POTÊNCIA 5,5 HP, SEM CARREGADOR - CHP DIURNO. AF_02/2016</v>
          </cell>
          <cell r="C389" t="str">
            <v>CHP</v>
          </cell>
          <cell r="D389">
            <v>4.3</v>
          </cell>
        </row>
        <row r="390">
          <cell r="A390">
            <v>93272</v>
          </cell>
          <cell r="B390" t="str">
            <v>GRUA ASCENSIONAL, LANCA DE 30 M, CAPACIDADE DE 1,0 T A 30 M, ALTURA ATE 39 M - CHP DIURNO. AF_03/2016</v>
          </cell>
          <cell r="C390" t="str">
            <v>CHP</v>
          </cell>
          <cell r="D390">
            <v>75.099999999999994</v>
          </cell>
        </row>
        <row r="391">
          <cell r="A391">
            <v>93281</v>
          </cell>
          <cell r="B391" t="str">
            <v>GUINCHO ELÉTRICO DE COLUNA, CAPACIDADE 400 KG, COM MOTO FREIO, MOTOR TRIFÁSICO DE 1,25 CV - CHP DIURNO. AF_03/2016</v>
          </cell>
          <cell r="C391" t="str">
            <v>CHP</v>
          </cell>
          <cell r="D391">
            <v>15.81</v>
          </cell>
        </row>
        <row r="392">
          <cell r="A392">
            <v>93287</v>
          </cell>
          <cell r="B392" t="str">
            <v>GUINDASTE HIDRÁULICO AUTOPROPELIDO, COM LANÇA TELESCÓPICA 40 M, CAPACIDADE MÁXIMA 60 T, POTÊNCIA 260 KW - CHP DIURNO. AF_03/2016</v>
          </cell>
          <cell r="C392" t="str">
            <v>CHP</v>
          </cell>
          <cell r="D392">
            <v>295.14999999999998</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145.62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63.71</v>
          </cell>
        </row>
        <row r="395">
          <cell r="A395">
            <v>93415</v>
          </cell>
          <cell r="B395" t="str">
            <v>GERADOR PORTÁTIL MONOFÁSICO, POTÊNCIA 5500 VA, MOTOR A GASOLINA, POTÊNCIA DO MOTOR 13 CV - CHP DIURNO. AF_03/2016</v>
          </cell>
          <cell r="C395" t="str">
            <v>CHP</v>
          </cell>
          <cell r="D395">
            <v>8.98</v>
          </cell>
        </row>
        <row r="396">
          <cell r="A396">
            <v>93421</v>
          </cell>
          <cell r="B396" t="str">
            <v>GRUPO GERADOR REBOCÁVEL, POTÊNCIA 66 KVA, MOTOR A DIESEL - CHP DIURNO. AF_03/2016</v>
          </cell>
          <cell r="C396" t="str">
            <v>CHP</v>
          </cell>
          <cell r="D396">
            <v>47.49</v>
          </cell>
        </row>
        <row r="397">
          <cell r="A397">
            <v>93427</v>
          </cell>
          <cell r="B397" t="str">
            <v>GRUPO GERADOR ESTACIONÁRIO, POTÊNCIA 150 KVA, MOTOR A DIESEL- CHP DIURNO. AF_03/2016</v>
          </cell>
          <cell r="C397" t="str">
            <v>CHP</v>
          </cell>
          <cell r="D397">
            <v>107.79</v>
          </cell>
        </row>
        <row r="398">
          <cell r="A398">
            <v>93433</v>
          </cell>
          <cell r="B398" t="str">
            <v>USINA DE MISTURA ASFÁLTICA À QUENTE, TIPO CONTRA FLUXO, PROD 40 A 80 TON/HORA - CHP DIURNO. AF_03/2016</v>
          </cell>
          <cell r="C398" t="str">
            <v>CHP</v>
          </cell>
          <cell r="D398">
            <v>2144.56</v>
          </cell>
        </row>
        <row r="399">
          <cell r="A399">
            <v>93439</v>
          </cell>
          <cell r="B399" t="str">
            <v>USINA DE ASFALTO À FRIO, CAPACIDADE DE 40 A 60 TON/HORA, ELÉTRICA POTÊNCIA 30 CV - CHP DIURNO. AF_03/2016</v>
          </cell>
          <cell r="C399" t="str">
            <v>CHP</v>
          </cell>
          <cell r="D399">
            <v>110.62</v>
          </cell>
        </row>
        <row r="400">
          <cell r="A400">
            <v>95121</v>
          </cell>
          <cell r="B400" t="str">
            <v>USINA MISTURADORA DE SOLOS, CAPACIDADE DE 200 A 500 TON/H, POTENCIA 75KW - CHP DIURNO. AF_07/2016</v>
          </cell>
          <cell r="C400" t="str">
            <v>CHP</v>
          </cell>
          <cell r="D400">
            <v>201.23</v>
          </cell>
        </row>
        <row r="401">
          <cell r="A401">
            <v>95127</v>
          </cell>
          <cell r="B401" t="str">
            <v>DISTRIBUIDOR DE AGREGADOS AUTOPROPELIDO, CAP 3 M3, A DIESEL, POTÊNCIA 176CV - CHP DIURNO. AF_07/2016</v>
          </cell>
          <cell r="C401" t="str">
            <v>CHP</v>
          </cell>
          <cell r="D401">
            <v>134.05000000000001</v>
          </cell>
        </row>
        <row r="402">
          <cell r="A402">
            <v>95133</v>
          </cell>
          <cell r="B402" t="str">
            <v>MÁQUINA DEMARCADORA DE FAIXA DE TRÁFEGO À FRIO, AUTOPROPELIDA, POTÊNCIA 38 HP - CHP DIURNO. AF_07/2016</v>
          </cell>
          <cell r="C402" t="str">
            <v>CHP</v>
          </cell>
          <cell r="D402">
            <v>102.76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82.39</v>
          </cell>
        </row>
        <row r="405">
          <cell r="A405">
            <v>95218</v>
          </cell>
          <cell r="B405" t="str">
            <v>PULVERIZADOR DE TINTA ELÉTRICO/MÁQUINA DE PINTURA AIRLESS, VAZÃO 2 L/MIN - CHP DIURNO. AF_08/2016</v>
          </cell>
          <cell r="C405" t="str">
            <v>CHP</v>
          </cell>
          <cell r="D405">
            <v>22.65</v>
          </cell>
        </row>
        <row r="406">
          <cell r="A406">
            <v>95258</v>
          </cell>
          <cell r="B406" t="str">
            <v>MARTELO DEMOLIDOR PNEUMÁTICO MANUAL, 32 KG - CHP DIURNO. AF_09/2016</v>
          </cell>
          <cell r="C406" t="str">
            <v>CHP</v>
          </cell>
          <cell r="D406">
            <v>15.37</v>
          </cell>
        </row>
        <row r="407">
          <cell r="A407">
            <v>95264</v>
          </cell>
          <cell r="B407" t="str">
            <v>COMPACTADOR DE SOLOS DE PERCUSÃO (SOQUETE) COM MOTOR A GASOLINA, POTÊNCIA 3 CV - CHP DIURNO. AF_09/2016</v>
          </cell>
          <cell r="C407" t="str">
            <v>CHP</v>
          </cell>
          <cell r="D407">
            <v>3.73</v>
          </cell>
        </row>
        <row r="408">
          <cell r="A408">
            <v>95270</v>
          </cell>
          <cell r="B408" t="str">
            <v>RÉGUA VIBRATÓRIA DUPLA PARA CONCRETO, PESO DE 60KG, COMPRIMENTO 4 M, COM MOTOR A GASOLINA, POTÊNCIA 5,5 HP - CHP DIURNO. AF_09/2016</v>
          </cell>
          <cell r="C408" t="str">
            <v>CHP</v>
          </cell>
          <cell r="D408">
            <v>4.45</v>
          </cell>
        </row>
        <row r="409">
          <cell r="A409">
            <v>95276</v>
          </cell>
          <cell r="B409" t="str">
            <v>POLIDORA DE PISO (POLITRIZ), PESO DE 100KG, DIÂMETRO 450 MM, MOTOR ELÉTRICO, POTÊNCIA 4 HP - CHP DIURNO. AF_09/2016</v>
          </cell>
          <cell r="C409" t="str">
            <v>CHP</v>
          </cell>
          <cell r="D409">
            <v>2.2000000000000002</v>
          </cell>
        </row>
        <row r="410">
          <cell r="A410">
            <v>95282</v>
          </cell>
          <cell r="B410" t="str">
            <v>DESEMPENADEIRA DE CONCRETO, PESO DE 75KG, 4 PÁS, MOTOR A GASOLINA, POTÊNCIA 5,5 HP - CHP DIURNO. AF_09/2016</v>
          </cell>
          <cell r="C410" t="str">
            <v>CHP</v>
          </cell>
          <cell r="D410">
            <v>4.4400000000000004</v>
          </cell>
        </row>
        <row r="411">
          <cell r="A411">
            <v>95620</v>
          </cell>
          <cell r="B411" t="str">
            <v>PERFURATRIZ PNEUMATICA MANUAL DE PESO MEDIO, MARTELETE, 18KG, COMPRIMENTO MÁXIMO DE CURSO DE 6 M, DIAMETRO DO PISTAO DE 5,5 CM - CHP DIURNO. AF_11/2016</v>
          </cell>
          <cell r="C411" t="str">
            <v>CHP</v>
          </cell>
          <cell r="D411">
            <v>14.94</v>
          </cell>
        </row>
        <row r="412">
          <cell r="A412">
            <v>95631</v>
          </cell>
          <cell r="B412" t="str">
            <v>ROLO COMPACTADOR VIBRATORIO TANDEM, ACO LISO, POTENCIA 125 HP, PESO SEM/COM LASTRO 10,20/11,65 T, LARGURA DE TRABALHO 1,73 M - CHP DIURNO. AF_11/2016</v>
          </cell>
          <cell r="C412" t="str">
            <v>CHP</v>
          </cell>
          <cell r="D412">
            <v>136.79</v>
          </cell>
        </row>
        <row r="413">
          <cell r="A413">
            <v>95702</v>
          </cell>
          <cell r="B413" t="str">
            <v>PERFURATRIZ MANUAL, TORQUE MAXIMO 55 KGF.M, POTENCIA 5 CV, COM DIAMETRO MAXIMO 8 1/2" - CHP DIURNO. AF_11/2016</v>
          </cell>
          <cell r="C413" t="str">
            <v>CHP</v>
          </cell>
          <cell r="D413">
            <v>25.24</v>
          </cell>
        </row>
        <row r="414">
          <cell r="A414">
            <v>95708</v>
          </cell>
          <cell r="B414" t="str">
            <v>PERFURATRIZ SOBRE ESTEIRA, TORQUE MÁXIMO 600 KGF, POTÊNCIA ENTRE 50 E 60 HP, DIÂMETRO MÁXIMO 10 - CHP DIURNO. AF_11/2016</v>
          </cell>
          <cell r="C414" t="str">
            <v>CHP</v>
          </cell>
          <cell r="D414">
            <v>91.79</v>
          </cell>
        </row>
        <row r="415">
          <cell r="A415">
            <v>95714</v>
          </cell>
          <cell r="B415" t="str">
            <v>ESCAVADEIRA HIDRAULICA SOBRE ESTEIRA, COM GARRA GIRATORIA DE MANDIBULAS, PESO OPERACIONAL ENTRE 22,00 E 25,50 TON, POTENCIA LIQUIDA ENTRE 150 E 160 HP - CHP DIURNO. AF_11/2016</v>
          </cell>
          <cell r="C415" t="str">
            <v>CHP</v>
          </cell>
          <cell r="D415">
            <v>167.37</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164.87</v>
          </cell>
        </row>
        <row r="417">
          <cell r="A417">
            <v>95872</v>
          </cell>
          <cell r="B417" t="str">
            <v>GRUPO GERADOR COM CARENAGEM, MOTOR DIESEL POTÊNCIA STANDART ENTRE 250 E 260 KVA - CHP DIURNO. AF_12/2016</v>
          </cell>
          <cell r="C417" t="str">
            <v>CHP</v>
          </cell>
          <cell r="D417">
            <v>182.77</v>
          </cell>
        </row>
        <row r="418">
          <cell r="A418">
            <v>96013</v>
          </cell>
          <cell r="B418" t="str">
            <v>TRATOR DE PNEUS COM POTÊNCIA DE 122 CV, TRAÇÃO 4X4, COM VASSOURA MECÂNICA ACOPLADA - CHP DIURNO. AF_02/2017</v>
          </cell>
          <cell r="C418" t="str">
            <v>CHP</v>
          </cell>
          <cell r="D418">
            <v>105.5</v>
          </cell>
        </row>
        <row r="419">
          <cell r="A419">
            <v>96020</v>
          </cell>
          <cell r="B419" t="str">
            <v>TRATOR DE PNEUS COM POTÊNCIA DE 122 CV, TRAÇÃO 4X4, COM GRADE DE DISCOS ACOPLADA - CHP DIURNO. AF_02/2017</v>
          </cell>
          <cell r="C419" t="str">
            <v>CHP</v>
          </cell>
          <cell r="D419">
            <v>105.25</v>
          </cell>
        </row>
        <row r="420">
          <cell r="A420">
            <v>96028</v>
          </cell>
          <cell r="B420" t="str">
            <v>TRATOR DE PNEUS COM POTÊNCIA DE 85 CV, TRAÇÃO 4X4, COM GRADE DE DISCOS ACOPLADA - CHP DIURNO. AF_02/2017</v>
          </cell>
          <cell r="C420" t="str">
            <v>CHP</v>
          </cell>
          <cell r="D420">
            <v>80.08</v>
          </cell>
        </row>
        <row r="421">
          <cell r="A421">
            <v>96035</v>
          </cell>
          <cell r="B421" t="str">
            <v>CAMINHÃO BASCULANTE 10 M3, TRUCADO, POTÊNCIA 230 CV, INCLUSIVE CAÇAMBA METÁLICA, COM DISTRIBUIDOR DE AGREGADOS ACOPLADO - CHP DIURNO. AF_02/2017</v>
          </cell>
          <cell r="C421" t="str">
            <v>CHP</v>
          </cell>
          <cell r="D421">
            <v>187.21</v>
          </cell>
        </row>
        <row r="422">
          <cell r="A422">
            <v>96157</v>
          </cell>
          <cell r="B422" t="str">
            <v>TRATOR DE PNEUS COM POTÊNCIA DE 85 CV, TRAÇÃO 4X4, COM VASSOURA MECÂNICA ACOPLADA - CHP DIURNO. AF_03/2017</v>
          </cell>
          <cell r="C422" t="str">
            <v>CHP</v>
          </cell>
          <cell r="D422">
            <v>80.33</v>
          </cell>
        </row>
        <row r="423">
          <cell r="A423">
            <v>96158</v>
          </cell>
          <cell r="B423" t="str">
            <v>MINICARREGADEIRA SOBRE RODAS POTENCIA 47HP CAPACIDADE OPERACAO 646 KG, COM VASSOURA MECÂNICA ACOPLADA - CHP DIURNO. AF_03/2017</v>
          </cell>
          <cell r="C423" t="str">
            <v>CHP</v>
          </cell>
          <cell r="D423">
            <v>76.27</v>
          </cell>
        </row>
        <row r="424">
          <cell r="A424">
            <v>96245</v>
          </cell>
          <cell r="B424" t="str">
            <v>MINIESCAVADEIRA SOBRE ESTEIRAS, POTENCIA LIQUIDA DE *30* HP, PESO OPERACIONAL DE *3.500* KG - CHP DIURNO. AF_04/2017</v>
          </cell>
          <cell r="C424" t="str">
            <v>CHP</v>
          </cell>
          <cell r="D424">
            <v>65.489999999999995</v>
          </cell>
        </row>
        <row r="425">
          <cell r="A425">
            <v>96303</v>
          </cell>
          <cell r="B425" t="str">
            <v>PERFURATRIZ ROTATIVA SOBRE ESTEIRA, TORQUE MAXIMO 2500 KGM, POTENCIA 110 HP, MOTOR DIESEL- CHP DIURNO. AF_05/2017</v>
          </cell>
          <cell r="C425" t="str">
            <v>CHP</v>
          </cell>
          <cell r="D425">
            <v>160.47</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134.93</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1.4</v>
          </cell>
        </row>
        <row r="430">
          <cell r="A430">
            <v>5632</v>
          </cell>
          <cell r="B430" t="str">
            <v>ESCAVADEIRA HIDRÁULICA SOBRE ESTEIRAS, CAÇAMBA 0,80 M3, PESO OPERACIONAL 17 T, POTENCIA BRUTA 111 HP - CHI DIURNO. AF_06/2014</v>
          </cell>
          <cell r="C430" t="str">
            <v>CHI</v>
          </cell>
          <cell r="D430">
            <v>47.47</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35.979999999999997</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34.08</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34.01</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27.24</v>
          </cell>
        </row>
        <row r="437">
          <cell r="A437">
            <v>5829</v>
          </cell>
          <cell r="B437" t="str">
            <v>USINA DE CONCRETO FIXA, CAPACIDADE NOMINAL DE 90 A 120 M3/H, SEM SILO - CHI DIURNO. AF_07/2016</v>
          </cell>
          <cell r="C437" t="str">
            <v>CHI</v>
          </cell>
          <cell r="D437">
            <v>122.83</v>
          </cell>
        </row>
        <row r="438">
          <cell r="A438">
            <v>5837</v>
          </cell>
          <cell r="B438" t="str">
            <v>VIBROACABADORA DE ASFALTO SOBRE ESTEIRAS, LARGURA DE PAVIMENTAÇÃO 1,90 M A 5,30 M, POTÊNCIA 105 HP CAPACIDADE 450 T/H - CHI DIURNO. AF_11/2014</v>
          </cell>
          <cell r="C438" t="str">
            <v>CHI</v>
          </cell>
          <cell r="D438">
            <v>101.74</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27.38</v>
          </cell>
        </row>
        <row r="441">
          <cell r="A441">
            <v>5849</v>
          </cell>
          <cell r="B441" t="str">
            <v>TRATOR DE ESTEIRAS, POTÊNCIA 170 HP, PESO OPERACIONAL 19 T, CAÇAMBA 5,2 M3 - CHI DIURNO. AF_06/2014</v>
          </cell>
          <cell r="C441" t="str">
            <v>CHI</v>
          </cell>
          <cell r="D441">
            <v>46.55</v>
          </cell>
        </row>
        <row r="442">
          <cell r="A442">
            <v>5853</v>
          </cell>
          <cell r="B442" t="str">
            <v>TRATOR DE ESTEIRAS, POTÊNCIA 150 HP, PESO OPERACIONAL 16,7 T, COM RODA MOTRIZ ELEVADA E LÂMINA 3,18 M3 - CHI DIURNO. AF_06/2014</v>
          </cell>
          <cell r="C442" t="str">
            <v>CHI</v>
          </cell>
          <cell r="D442">
            <v>46.74</v>
          </cell>
        </row>
        <row r="443">
          <cell r="A443">
            <v>5857</v>
          </cell>
          <cell r="B443" t="str">
            <v>TRATOR DE ESTEIRAS, POTÊNCIA 347 HP, PESO OPERACIONAL 38,5 T, COM LÂMINA 8,70 M3 - CHI DIURNO. AF_06/2014</v>
          </cell>
          <cell r="C443" t="str">
            <v>CHI</v>
          </cell>
          <cell r="D443">
            <v>117.97</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38.270000000000003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35.380000000000003</v>
          </cell>
        </row>
        <row r="447">
          <cell r="A447">
            <v>5881</v>
          </cell>
          <cell r="B447" t="str">
            <v>ROLO COMPACTADOR VIBRATÓRIO PÉ DE CARNEIRO, OPERADO POR CONTROLE REMOTO, POTÊNCIA 12,5 KW, PESO OPERACIONAL 1,675 T, LARGURA DE TRABALHO 0,85 M - CHI DIURNO. AF_02/2016</v>
          </cell>
          <cell r="C447" t="str">
            <v>CHI</v>
          </cell>
          <cell r="D447">
            <v>40.86</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36.619999999999997</v>
          </cell>
        </row>
        <row r="449">
          <cell r="A449">
            <v>5892</v>
          </cell>
          <cell r="B449" t="str">
            <v>CAMINHÃO TOCO, PESO BRUTO TOTAL 14.300 KG, CARGA ÚTIL MÁXIMA 9590 KG, DISTÂNCIA ENTRE EIXOS 4,76 M, POTÊNCIA 185 CV (NÃO INCLUI CARROCERIA) - CHI DIURNO. AF_06/2014</v>
          </cell>
          <cell r="C449" t="str">
            <v>CHI</v>
          </cell>
          <cell r="D449">
            <v>28.35</v>
          </cell>
        </row>
        <row r="450">
          <cell r="A450">
            <v>5896</v>
          </cell>
          <cell r="B450" t="str">
            <v>CAMINHÃO TOCO, PESO BRUTO TOTAL 16.000 KG, CARGA ÚTIL MÁXIMA DE 10.685 KG, DISTÂNCIA ENTRE EIXOS 4,80 M, POTÊNCIA 189 CV EXCLUSIVE CARROCERIA - CHI DIURNO. AF_06/2014</v>
          </cell>
          <cell r="C450" t="str">
            <v>CHI</v>
          </cell>
          <cell r="D450">
            <v>26.43</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33.74</v>
          </cell>
        </row>
        <row r="452">
          <cell r="A452">
            <v>5911</v>
          </cell>
          <cell r="B452" t="str">
            <v>ESPARGIDOR DE ASFALTO PRESSURIZADO COM TANQUE DE 2500 L, REBOCÁVEL COM MOTOR A GASOLINA POTÊNCIA 3,4 HP - CHI DIURNO. AF_07/2014</v>
          </cell>
          <cell r="C452" t="str">
            <v>CHI</v>
          </cell>
          <cell r="D452">
            <v>19.55</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32.25</v>
          </cell>
        </row>
        <row r="455">
          <cell r="A455">
            <v>5934</v>
          </cell>
          <cell r="B455" t="str">
            <v>MOTONIVELADORA POTÊNCIA BÁSICA LÍQUIDA (PRIMEIRA MARCHA) 125 HP, PESO BRUTO 13032 KG, LARGURA DA LÂMINA DE 3,7 M - CHI DIURNO. AF_06/2014</v>
          </cell>
          <cell r="C455" t="str">
            <v>CHI</v>
          </cell>
          <cell r="D455">
            <v>50.2</v>
          </cell>
        </row>
        <row r="456">
          <cell r="A456">
            <v>5942</v>
          </cell>
          <cell r="B456" t="str">
            <v>PÁ CARREGADEIRA SOBRE RODAS, POTÊNCIA LÍQUIDA 128 HP, CAPACIDADE DA CAÇAMBA 1,7 A 2,8 M3, PESO OPERACIONAL 11632 KG - CHI DIURNO. AF_06/2014</v>
          </cell>
          <cell r="C456" t="str">
            <v>CHI</v>
          </cell>
          <cell r="D456">
            <v>42.13</v>
          </cell>
        </row>
        <row r="457">
          <cell r="A457">
            <v>5946</v>
          </cell>
          <cell r="B457" t="str">
            <v>PÁ CARREGADEIRA SOBRE RODAS, POTÊNCIA 197 HP, CAPACIDADE DA CAÇAMBA 2,5 A 3,5 M3, PESO OPERACIONAL 18338 KG - CHI DIURNO. AF_06/2014</v>
          </cell>
          <cell r="C457" t="str">
            <v>CHI</v>
          </cell>
          <cell r="D457">
            <v>52.11</v>
          </cell>
        </row>
        <row r="458">
          <cell r="A458">
            <v>5952</v>
          </cell>
          <cell r="B458" t="str">
            <v>MARTELETE OU ROMPEDOR PNEUMÁTICO MANUAL, 28 KG, COM SILENCIADOR - CHI DIURNO. AF_07/2016</v>
          </cell>
          <cell r="C458" t="str">
            <v>CHI</v>
          </cell>
          <cell r="D458">
            <v>14.3</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32.57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29.85</v>
          </cell>
        </row>
        <row r="462">
          <cell r="A462">
            <v>6880</v>
          </cell>
          <cell r="B462" t="str">
            <v>ROLO COMPACTADOR DE PNEUS ESTÁTICO, PRESSÃO VARIÁVEL, POTÊNCIA 111 HP, PESO SEM/COM LASTRO 9,5 / 26 T, LARGURA DE TRABALHO 1,90 M - CHI DIURNO. AF_07/2014</v>
          </cell>
          <cell r="C462" t="str">
            <v>CHI</v>
          </cell>
          <cell r="D462">
            <v>44.53</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41.22</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31.78</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31.31</v>
          </cell>
        </row>
        <row r="469">
          <cell r="A469">
            <v>84013</v>
          </cell>
          <cell r="B469" t="str">
            <v>ESCAVADEIRA HIDRÁULICA SOBRE ESTEIRAS, CAÇAMBA 0,80 M3, PESO OPERACIONAL 17,8 T, POTÊNCIA LÍQUIDA 110 HP - CHI DIURNO. AF_10/2014</v>
          </cell>
          <cell r="C469" t="str">
            <v>CHI</v>
          </cell>
          <cell r="D469">
            <v>46.15</v>
          </cell>
        </row>
        <row r="470">
          <cell r="A470">
            <v>87446</v>
          </cell>
          <cell r="B470" t="str">
            <v>BETONEIRA CAPACIDADE NOMINAL 400 L, CAPACIDADE DE MISTURA 310 L, MOTOR A DIESEL POTÊNCIA 5,0 HP, SEM CARREGADOR - CHI DIURNO. AF_06/2014</v>
          </cell>
          <cell r="C470" t="str">
            <v>CHI</v>
          </cell>
          <cell r="D470">
            <v>0.39</v>
          </cell>
        </row>
        <row r="471">
          <cell r="A471">
            <v>88392</v>
          </cell>
          <cell r="B471" t="str">
            <v>MISTURADOR DE ARGAMASSA, EIXO HORIZONTAL, CAPACIDADE DE MISTURA 300 KG, MOTOR ELÉTRICO POTÊNCIA 5 CV - CHI DIURNO. AF_06/2014</v>
          </cell>
          <cell r="C471" t="str">
            <v>CHI</v>
          </cell>
          <cell r="D471">
            <v>0.77</v>
          </cell>
        </row>
        <row r="472">
          <cell r="A472">
            <v>88398</v>
          </cell>
          <cell r="B472" t="str">
            <v>MISTURADOR DE ARGAMASSA, EIXO HORIZONTAL, CAPACIDADE DE MISTURA 600 KG, MOTOR ELÉTRICO POTÊNCIA 7,5 CV - CHI DIURNO. AF_06/2014</v>
          </cell>
          <cell r="C472" t="str">
            <v>CHI</v>
          </cell>
          <cell r="D472">
            <v>0.91</v>
          </cell>
        </row>
        <row r="473">
          <cell r="A473">
            <v>88404</v>
          </cell>
          <cell r="B473" t="str">
            <v>MISTURADOR DE ARGAMASSA, EIXO HORIZONTAL, CAPACIDADE DE MISTURA 160 KG, MOTOR ELÉTRICO POTÊNCIA 3 CV - CHI DIURNO. AF_06/2014</v>
          </cell>
          <cell r="C473" t="str">
            <v>CHI</v>
          </cell>
          <cell r="D473">
            <v>0.72</v>
          </cell>
        </row>
        <row r="474">
          <cell r="A474">
            <v>88430</v>
          </cell>
          <cell r="B474" t="str">
            <v>PROJETOR DE ARGAMASSA, CAPACIDADE DE PROJEÇÃO 1,5 M3/H, ALCANCE DE 30 ATÉ 60 M, MOTOR ELÉTRICO POTÊNCIA 7,5 HP - CHI DIURNO. AF_06/2014</v>
          </cell>
          <cell r="C474" t="str">
            <v>CHI</v>
          </cell>
          <cell r="D474">
            <v>4.76</v>
          </cell>
        </row>
        <row r="475">
          <cell r="A475">
            <v>88438</v>
          </cell>
          <cell r="B475" t="str">
            <v>PROJETOR DE ARGAMASSA, CAPACIDADE DE PROJEÇÃO 2 M3/H, ALCANCE ATÉ 50 M, MOTOR ELÉTRICO POTÊNCIA 7,5 HP - CHI DIURNO. AF_06/2014</v>
          </cell>
          <cell r="C475" t="str">
            <v>CHI</v>
          </cell>
          <cell r="D475">
            <v>6.32</v>
          </cell>
        </row>
        <row r="476">
          <cell r="A476">
            <v>88831</v>
          </cell>
          <cell r="B476" t="str">
            <v>BETONEIRA CAPACIDADE NOMINAL DE 400 L, CAPACIDADE DE MISTURA 280 L, MOTOR ELÉTRICO TRIFÁSICO POTÊNCIA DE 2 CV, SEM CARREGADOR - CHI DIURNO. AF_10/2014</v>
          </cell>
          <cell r="C476" t="str">
            <v>CHI</v>
          </cell>
          <cell r="D476">
            <v>0.28000000000000003</v>
          </cell>
        </row>
        <row r="477">
          <cell r="A477">
            <v>88844</v>
          </cell>
          <cell r="B477" t="str">
            <v>TRATOR DE ESTEIRAS, POTÊNCIA 125 HP, PESO OPERACIONAL 12,9 T, COM LÂMINA 2,7 M3 - CHI DIURNO. AF_10/2014</v>
          </cell>
          <cell r="C477" t="str">
            <v>CHI</v>
          </cell>
          <cell r="D477">
            <v>40.72</v>
          </cell>
        </row>
        <row r="478">
          <cell r="A478">
            <v>88908</v>
          </cell>
          <cell r="B478" t="str">
            <v>ESCAVADEIRA HIDRÁULICA SOBRE ESTEIRAS, CAÇAMBA 1,20 M3, PESO OPERACIONAL 21 T, POTÊNCIA BRUTA 155 HP - CHI DIURNO. AF_06/2014</v>
          </cell>
          <cell r="C478" t="str">
            <v>CHI</v>
          </cell>
          <cell r="D478">
            <v>50.69</v>
          </cell>
        </row>
        <row r="479">
          <cell r="A479">
            <v>89022</v>
          </cell>
          <cell r="B479" t="str">
            <v>BOMBA SUBMERSÍVEL ELÉTRICA TRIFÁSICA, POTÊNCIA 2,96 HP, Ø ROTOR 144 MM SEMI-ABERTO, BOCAL DE SAÍDA Ø 2, HM/Q = 2 MCA / 38,8 M3/H A 28 MCA / 5 M3/H - CHI DIURNO. AF_06/2014</v>
          </cell>
          <cell r="C479" t="str">
            <v>CHI</v>
          </cell>
          <cell r="D479">
            <v>0.31</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39.590000000000003</v>
          </cell>
        </row>
        <row r="482">
          <cell r="A482">
            <v>89036</v>
          </cell>
          <cell r="B482" t="str">
            <v>TRATOR DE PNEUS, POTÊNCIA 85 CV, TRAÇÃO 4X4, PESO COM LASTRO DE 4.675 KG - CHI DIURNO. AF_06/2014</v>
          </cell>
          <cell r="C482" t="str">
            <v>CHI</v>
          </cell>
          <cell r="D482">
            <v>24.19</v>
          </cell>
        </row>
        <row r="483">
          <cell r="A483">
            <v>89218</v>
          </cell>
          <cell r="B483" t="str">
            <v>BATE-ESTACAS POR GRAVIDADE, POTÊNCIA DE 160 HP, PESO DO MARTELO ATÉ 3 TONELADAS - CHI DIURNO. AF_11/2014</v>
          </cell>
          <cell r="C483" t="str">
            <v>CHI</v>
          </cell>
          <cell r="D483">
            <v>52.93</v>
          </cell>
        </row>
        <row r="484">
          <cell r="A484">
            <v>89226</v>
          </cell>
          <cell r="B484" t="str">
            <v>BETONEIRA CAPACIDADE NOMINAL DE 600 L, CAPACIDADE DE MISTURA 360 L, MOTOR ELÉTRICO TRIFÁSICO POTÊNCIA DE 4 CV, SEM CARREGADOR - CHI DIURNO. AF_11/2014</v>
          </cell>
          <cell r="C484" t="str">
            <v>CHI</v>
          </cell>
          <cell r="D484">
            <v>1.18</v>
          </cell>
        </row>
        <row r="485">
          <cell r="A485">
            <v>89235</v>
          </cell>
          <cell r="B485" t="str">
            <v>FRESADORA DE ASFALTO A FRIO SOBRE RODAS, LARGURA FRESAGEM DE 1,0 M, POTÊNCIA 208 HP - CHI DIURNO. AF_11/2014</v>
          </cell>
          <cell r="C485" t="str">
            <v>CHI</v>
          </cell>
          <cell r="D485">
            <v>131.03</v>
          </cell>
        </row>
        <row r="486">
          <cell r="A486">
            <v>89243</v>
          </cell>
          <cell r="B486" t="str">
            <v>FRESADORA DE ASFALTO A FRIO SOBRE RODAS, LARGURA FRESAGEM DE 2,0 M, POTÊNCIA 550 HP - CHI DIURNO. AF_11/2014</v>
          </cell>
          <cell r="C486" t="str">
            <v>CHI</v>
          </cell>
          <cell r="D486">
            <v>281.77999999999997</v>
          </cell>
        </row>
        <row r="487">
          <cell r="A487">
            <v>89251</v>
          </cell>
          <cell r="B487" t="str">
            <v>RECICLADORA DE ASFALTO A FRIO SOBRE RODAS, LARGURA FRESAGEM DE 2,0 M, POTÊNCIA 422 HP - CHI DIURNO. AF_11/2014</v>
          </cell>
          <cell r="C487" t="str">
            <v>CHI</v>
          </cell>
          <cell r="D487">
            <v>247.23</v>
          </cell>
        </row>
        <row r="488">
          <cell r="A488">
            <v>89258</v>
          </cell>
          <cell r="B488" t="str">
            <v>VIBROACABADORA DE ASFALTO SOBRE ESTEIRAS, LARGURA DE PAVIMENTAÇÃO 2,13 M A 4,55 M, POTÊNCIA 100 HP, CAPACIDADE 400 T/H - CHI DIURNO. AF_11/2014</v>
          </cell>
          <cell r="C488" t="str">
            <v>CHI</v>
          </cell>
          <cell r="D488">
            <v>86.66</v>
          </cell>
        </row>
        <row r="489">
          <cell r="A489">
            <v>89273</v>
          </cell>
          <cell r="B489" t="str">
            <v>GUINDASTE HIDRÁULICO AUTOPROPELIDO, COM LANÇA TELESCÓPICA 28,80 M, CAPACIDADE MÁXIMA 30 T, POTÊNCIA 97 KW, TRAÇÃO 4 X 4 - CHI DIURNO. AF_11/2014</v>
          </cell>
          <cell r="C489" t="str">
            <v>CHI</v>
          </cell>
          <cell r="D489">
            <v>51.28</v>
          </cell>
        </row>
        <row r="490">
          <cell r="A490">
            <v>89279</v>
          </cell>
          <cell r="B490" t="str">
            <v>BETONEIRA CAPACIDADE NOMINAL DE 600 L, CAPACIDADE DE MISTURA 440 L, MOTOR A DIESEL POTÊNCIA 10 HP, COM CARREGADOR - CHI DIURNO. AF_11/2014</v>
          </cell>
          <cell r="C490" t="str">
            <v>CHI</v>
          </cell>
          <cell r="D490">
            <v>1.44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43.77</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45.22</v>
          </cell>
        </row>
        <row r="493">
          <cell r="A493">
            <v>90587</v>
          </cell>
          <cell r="B493" t="str">
            <v>VIBRADOR DE IMERSÃO, DIÂMETRO DE PONTEIRA 45MM, MOTOR ELÉTRICO TRIFÁSICO POTÊNCIA DE 2 CV - CHI DIURNO. AF_06/2015</v>
          </cell>
          <cell r="C493" t="str">
            <v>CHI</v>
          </cell>
          <cell r="D493">
            <v>0.37</v>
          </cell>
        </row>
        <row r="494">
          <cell r="A494">
            <v>90626</v>
          </cell>
          <cell r="B494" t="str">
            <v>PERFURATRIZ MANUAL, TORQUE MÁXIMO 83 N.M, POTÊNCIA 5 CV, COM DIÂMETRO MÁXIMO 4" - CHI DIURNO. AF_06/2015</v>
          </cell>
          <cell r="C494" t="str">
            <v>CHI</v>
          </cell>
          <cell r="D494">
            <v>1.78</v>
          </cell>
        </row>
        <row r="495">
          <cell r="A495">
            <v>90632</v>
          </cell>
          <cell r="B495" t="str">
            <v>PERFURATRIZ SOBRE ESTEIRA, TORQUE MÁXIMO 600 KGF, PESO MÉDIO 1000 KG, POTÊNCIA 20 HP, DIÂMETRO MÁXIMO 10" - CHI DIURNO. AF_06/2015</v>
          </cell>
          <cell r="C495" t="str">
            <v>CHI</v>
          </cell>
          <cell r="D495">
            <v>44.63</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3.66</v>
          </cell>
        </row>
        <row r="497">
          <cell r="A497">
            <v>90644</v>
          </cell>
          <cell r="B497" t="str">
            <v>BOMBA TRIPLEX, PARA INJEÇÃO DE NATA DE CIMENTO, VAZÃO MÁXIMA DE 100 LITROS/MINUTO, PRESSÃO MÁXIMA DE 70 BAR - CHI DIURNO. AF_06/2015</v>
          </cell>
          <cell r="C497" t="str">
            <v>CHI</v>
          </cell>
          <cell r="D497">
            <v>5.47</v>
          </cell>
        </row>
        <row r="498">
          <cell r="A498">
            <v>90651</v>
          </cell>
          <cell r="B498" t="str">
            <v>BOMBA CENTRÍFUGA MONOESTÁGIO COM MOTOR ELÉTRICO MONOFÁSICO, POTÊNCIA 15 HP, DIÂMETRO DO ROTOR 173 MM, HM/Q = 30 MCA / 90 M3/H A 45 MCA / 55 M3/H - CHI DIURNO. AF_06/2015</v>
          </cell>
          <cell r="C498" t="str">
            <v>CHI</v>
          </cell>
          <cell r="D498">
            <v>0.62</v>
          </cell>
        </row>
        <row r="499">
          <cell r="A499">
            <v>90657</v>
          </cell>
          <cell r="B499" t="str">
            <v>BOMBA DE PROJEÇÃO DE CONCRETO SECO, POTÊNCIA 10 CV, VAZÃO 3 M3/H - CHI DIURNO. AF_06/2015</v>
          </cell>
          <cell r="C499" t="str">
            <v>CHI</v>
          </cell>
          <cell r="D499">
            <v>3.56</v>
          </cell>
        </row>
        <row r="500">
          <cell r="A500">
            <v>90663</v>
          </cell>
          <cell r="B500" t="str">
            <v>BOMBA DE PROJEÇÃO DE CONCRETO SECO, POTÊNCIA 10 CV, VAZÃO 6 M3/H - CHI DIURNO. AF_06/2015</v>
          </cell>
          <cell r="C500" t="str">
            <v>CHI</v>
          </cell>
          <cell r="D500">
            <v>3.82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149.72999999999999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89.34</v>
          </cell>
        </row>
        <row r="504">
          <cell r="A504">
            <v>90687</v>
          </cell>
          <cell r="B504" t="str">
            <v>MANIPULADOR TELESCÓPICO, POTÊNCIA DE 85 HP, CAPACIDADE DE CARGA DE 3.500 KG, ALTURA MÁXIMA DE ELEVAÇÃO DE 12,3 M - CHI DIURNO. AF_06/2015</v>
          </cell>
          <cell r="C504" t="str">
            <v>CHI</v>
          </cell>
          <cell r="D504">
            <v>44.12</v>
          </cell>
        </row>
        <row r="505">
          <cell r="A505">
            <v>90693</v>
          </cell>
          <cell r="B505" t="str">
            <v>MINICARREGADEIRA SOBRE RODAS, POTÊNCIA LÍQUIDA DE 47 HP, CAPACIDADE NOMINAL DE OPERAÇÃO DE 646 KG - CHI DIURNO. AF_06/2015</v>
          </cell>
          <cell r="C505" t="str">
            <v>CHI</v>
          </cell>
          <cell r="D505">
            <v>30.15</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31.83</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34.78</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29.31</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34.770000000000003</v>
          </cell>
        </row>
        <row r="516">
          <cell r="A516">
            <v>91534</v>
          </cell>
          <cell r="B516" t="str">
            <v>COMPACTADOR DE SOLOS DE PERCUSSÃO (SOQUETE) COM MOTOR A GASOLINA 4 TEMPOS, POTÊNCIA 4 CV - CHI DIURNO. AF_08/2015</v>
          </cell>
          <cell r="C516" t="str">
            <v>CHI</v>
          </cell>
          <cell r="D516">
            <v>16.21</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31.19</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51.48</v>
          </cell>
        </row>
        <row r="519">
          <cell r="A519">
            <v>91693</v>
          </cell>
          <cell r="B519" t="str">
            <v>SERRA CIRCULAR DE BANCADA COM MOTOR ELÉTRICO POTÊNCIA DE 5HP, COM COIFA PARA DISCO 10" - CHI DIURNO. AF_08/2015</v>
          </cell>
          <cell r="C519" t="str">
            <v>CHI</v>
          </cell>
          <cell r="D519">
            <v>15.48</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36.299999999999997</v>
          </cell>
        </row>
        <row r="522">
          <cell r="A522">
            <v>92113</v>
          </cell>
          <cell r="B522" t="str">
            <v>PENEIRA ROTATIVA COM MOTOR ELÉTRICO TRIFÁSICO DE 2 CV, CILINDRO DE 1 M X 0,60 M, COM FUROS DE 3,17 MM - CHI DIURNO. AF_11/2015</v>
          </cell>
          <cell r="C522" t="str">
            <v>CHI</v>
          </cell>
          <cell r="D522">
            <v>0.85</v>
          </cell>
        </row>
        <row r="523">
          <cell r="A523">
            <v>92119</v>
          </cell>
          <cell r="B523" t="str">
            <v>DOSADOR DE AREIA, CAPACIDADE DE 26 LITROS - CHI DIURNO. AF_11/2015</v>
          </cell>
          <cell r="C523" t="str">
            <v>CHI</v>
          </cell>
          <cell r="D523">
            <v>0.08</v>
          </cell>
        </row>
        <row r="524">
          <cell r="A524">
            <v>92139</v>
          </cell>
          <cell r="B524" t="str">
            <v>CAMINHONETE COM MOTOR A DIESEL, POTÊNCIA 180 CV, CABINE DUPLA, 4X4 - CHI DIURNO. AF_11/2015</v>
          </cell>
          <cell r="C524" t="str">
            <v>CHI</v>
          </cell>
          <cell r="D524">
            <v>25.2</v>
          </cell>
        </row>
        <row r="525">
          <cell r="A525">
            <v>92146</v>
          </cell>
          <cell r="B525" t="str">
            <v>CAMINHONETE CABINE SIMPLES COM MOTOR 1.6 FLEX, CÂMBIO MANUAL, POTÊNCIA 101/104 CV, 2 PORTAS - CHI DIURNO. AF_11/2015</v>
          </cell>
          <cell r="C525" t="str">
            <v>CHI</v>
          </cell>
          <cell r="D525">
            <v>18.3</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43.03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14.34</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224.29</v>
          </cell>
        </row>
        <row r="531">
          <cell r="A531">
            <v>93234</v>
          </cell>
          <cell r="B531" t="str">
            <v>BETONEIRA CAPACIDADE NOMINAL 400 L, CAPACIDADE DE MISTURA 310 L, MOTOR A GASOLINA POTÊNCIA 5,5 HP, SEM CARREGADOR - CHI DIURNO. AF_02/2016</v>
          </cell>
          <cell r="C531" t="str">
            <v>CHI</v>
          </cell>
          <cell r="D531">
            <v>0.35</v>
          </cell>
        </row>
        <row r="532">
          <cell r="A532">
            <v>93244</v>
          </cell>
          <cell r="B532" t="str">
            <v>ROLO COMPACTADOR VIBRATÓRIO PÉ DE CARNEIRO PARA SOLOS, POTÊNCIA 80 HP, PESO OPERACIONAL SEM/COM LASTRO 7,4 / 8,8 T, LARGURA DE TRABALHO 1,68 M - CHI DIURNO. AF_02/2016</v>
          </cell>
          <cell r="C532" t="str">
            <v>CHI</v>
          </cell>
          <cell r="D532">
            <v>34.75</v>
          </cell>
        </row>
        <row r="533">
          <cell r="A533">
            <v>93274</v>
          </cell>
          <cell r="B533" t="str">
            <v>GRUA ASCENSIONAL, LANÇA DE 30 M, CAPACIDADE DE 1,0 T A 30 M, ALTURA ATÉ 39 M - CHI DIURNO. AF_03/2016</v>
          </cell>
          <cell r="C533" t="str">
            <v>CHI</v>
          </cell>
          <cell r="D533">
            <v>43.76</v>
          </cell>
        </row>
        <row r="534">
          <cell r="A534">
            <v>93282</v>
          </cell>
          <cell r="B534" t="str">
            <v>GUINCHO ELÉTRICO DE COLUNA, CAPACIDADE 400 KG, COM MOTO FREIO, MOTOR TRIFÁSICO DE 1,25 CV - CHI DIURNO. AF_03/2016</v>
          </cell>
          <cell r="C534" t="str">
            <v>CHI</v>
          </cell>
          <cell r="D534">
            <v>15.09</v>
          </cell>
        </row>
        <row r="535">
          <cell r="A535">
            <v>93288</v>
          </cell>
          <cell r="B535" t="str">
            <v>GUINDASTE HIDRÁULICO AUTOPROPELIDO, COM LANÇA TELESCÓPICA 40 M, CAPACIDADE MÁXIMA 60 T, POTÊNCIA 260 KW - CHI DIURNO. AF_03/2016</v>
          </cell>
          <cell r="C535" t="str">
            <v>CHI</v>
          </cell>
          <cell r="D535">
            <v>84.95</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31.19</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25.49</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163.94</v>
          </cell>
        </row>
        <row r="542">
          <cell r="A542">
            <v>93440</v>
          </cell>
          <cell r="B542" t="str">
            <v>USINA DE ASFALTO À FRIO, CAPACIDADE DE 40 A 60 TON/HORA, ELÉTRICA POTÊNCIA 30 CV - CHI DIURNO. AF_03/2016</v>
          </cell>
          <cell r="C542" t="str">
            <v>CHI</v>
          </cell>
          <cell r="D542">
            <v>85.91</v>
          </cell>
        </row>
        <row r="543">
          <cell r="A543">
            <v>95122</v>
          </cell>
          <cell r="B543" t="str">
            <v>USINA MISTURADORA DE SOLOS, CAPACIDADE DE 200 A 500 TON/H, POTENCIA 75KW - CHI DIURNO. AF_07/2016</v>
          </cell>
          <cell r="C543" t="str">
            <v>CHI</v>
          </cell>
          <cell r="D543">
            <v>123.9</v>
          </cell>
        </row>
        <row r="544">
          <cell r="A544">
            <v>95128</v>
          </cell>
          <cell r="B544" t="str">
            <v>DISTRIBUIDOR DE AGREGADOS AUTOPROPELIDO, CAP 3 M3, A DIESEL, POTÊNCIA 176CV - CHI DIURNO. AF_07/2016</v>
          </cell>
          <cell r="C544" t="str">
            <v>CHI</v>
          </cell>
          <cell r="D544">
            <v>30.17</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47.61</v>
          </cell>
        </row>
        <row r="547">
          <cell r="A547">
            <v>95219</v>
          </cell>
          <cell r="B547" t="str">
            <v>PULVERIZADOR DE TINTA ELÉTRICO/MÁQUINA DE PINTURA AIRLESS, VAZÃO 2 L/MIN - CHI DIURNO. AF_08/2016</v>
          </cell>
          <cell r="C547" t="str">
            <v>CHI</v>
          </cell>
          <cell r="D547">
            <v>21.94</v>
          </cell>
        </row>
        <row r="548">
          <cell r="A548">
            <v>95259</v>
          </cell>
          <cell r="B548" t="str">
            <v>MARTELO DEMOLIDOR PNEUMÁTICO MANUAL, 32 KG - CHI DIURNO. AF_09/2016</v>
          </cell>
          <cell r="C548" t="str">
            <v>CHI</v>
          </cell>
          <cell r="D548">
            <v>14.15</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0.43</v>
          </cell>
        </row>
        <row r="551">
          <cell r="A551">
            <v>95277</v>
          </cell>
          <cell r="B551" t="str">
            <v>POLIDORA DE PISO (POLITRIZ), PESO DE 100KG, DIÂMETRO 450 MM, MOTOR ELÉTRICO, POTÊNCIA 4 HP - CHI DIURNO. AF_09/2016</v>
          </cell>
          <cell r="C551" t="str">
            <v>CHI</v>
          </cell>
          <cell r="D551">
            <v>0.43</v>
          </cell>
        </row>
        <row r="552">
          <cell r="A552">
            <v>95283</v>
          </cell>
          <cell r="B552" t="str">
            <v>DESEMPENADEIRA DE CONCRETO, PESO DE 75KG, 4 PÁS, MOTOR A GASOLINA, POTÊNCIA 5,5 HP - CHI DIURNO. AF_09/2016</v>
          </cell>
          <cell r="C552" t="str">
            <v>CHI</v>
          </cell>
          <cell r="D552">
            <v>0.47</v>
          </cell>
        </row>
        <row r="553">
          <cell r="A553">
            <v>95621</v>
          </cell>
          <cell r="B553" t="str">
            <v>PERFURATRIZ PNEUMATICA MANUAL DE PESO MEDIO, MARTELETE, 18KG, COMPRIMENTO MÁXIMO DE CURSO DE 6 M, DIAMETRO DO PISTAO DE 5,5 CM - CHI DIURNO. AF_11/2016</v>
          </cell>
          <cell r="C553" t="str">
            <v>CHI</v>
          </cell>
          <cell r="D553">
            <v>13.94</v>
          </cell>
        </row>
        <row r="554">
          <cell r="A554">
            <v>95632</v>
          </cell>
          <cell r="B554" t="str">
            <v>ROLO COMPACTADOR VIBRATORIO TANDEM, ACO LISO, POTENCIA 125 HP, PESO SEM/COM LASTRO 10,20/11,65 T, LARGURA DE TRABALHO 1,73 M - CHI DIURNO. AF_11/2016</v>
          </cell>
          <cell r="C554" t="str">
            <v>CHI</v>
          </cell>
          <cell r="D554">
            <v>43.28</v>
          </cell>
        </row>
        <row r="555">
          <cell r="A555">
            <v>95703</v>
          </cell>
          <cell r="B555" t="str">
            <v>PERFURATRIZ MANUAL, TORQUE MAXIMO 55 KGF.M, POTENCIA 5 CV, COM DIAMETRO MAXIMO 8 1/2" - CHI DIURNO. AF_11/2016</v>
          </cell>
          <cell r="C555" t="str">
            <v>CHI</v>
          </cell>
          <cell r="D555">
            <v>19.34</v>
          </cell>
        </row>
        <row r="556">
          <cell r="A556">
            <v>95709</v>
          </cell>
          <cell r="B556" t="str">
            <v>PERFURATRIZ SOBRE ESTEIRA, TORQUE MÁXIMO 600 KGF, POTÊNCIA ENTRE 50 E 60 HP, DIÂMETRO MÁXIMO 10 - CHI DIURNO. AF_11/2016</v>
          </cell>
          <cell r="C556" t="str">
            <v>CHI</v>
          </cell>
          <cell r="D556">
            <v>43.41</v>
          </cell>
        </row>
        <row r="557">
          <cell r="A557">
            <v>95715</v>
          </cell>
          <cell r="B557" t="str">
            <v>ESCAVADEIRA HIDRAULICA SOBRE ESTEIRA, COM GARRA GIRATORIA DE MANDIBULAS, PESO OPERACIONAL ENTRE 22,00 E 25,50 TON, POTENCIA LIQUIDA ENTRE 150 E 160 HP - CHI DIURNO. AF_11/2016</v>
          </cell>
          <cell r="C557" t="str">
            <v>CHI</v>
          </cell>
          <cell r="D557">
            <v>52.41</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51.16</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29.76</v>
          </cell>
        </row>
        <row r="561">
          <cell r="A561">
            <v>96021</v>
          </cell>
          <cell r="B561" t="str">
            <v>TRATOR DE PNEUS COM POTÊNCIA DE 122 CV, TRAÇÃO 4X4, COM GRADE DE DISCOS ACOPLADA - CHI DIURNO. AF_02/2017</v>
          </cell>
          <cell r="C561" t="str">
            <v>CHI</v>
          </cell>
          <cell r="D561">
            <v>29.62</v>
          </cell>
        </row>
        <row r="562">
          <cell r="A562">
            <v>96029</v>
          </cell>
          <cell r="B562" t="str">
            <v>TRATOR DE PNEUS COM POTÊNCIA DE 85 CV, TRAÇÃO 4X4, COM GRADE DE DISCOS ACOPLADA - CHI DIURNO. AF_02/2017</v>
          </cell>
          <cell r="C562" t="str">
            <v>CHI</v>
          </cell>
          <cell r="D562">
            <v>26.43</v>
          </cell>
        </row>
        <row r="563">
          <cell r="A563">
            <v>96036</v>
          </cell>
          <cell r="B563" t="str">
            <v>CAMINHÃO BASCULANTE 10 M3, TRUCADO, POTÊNCIA 230 CV, INCLUSIVE CAÇAMBA METÁLICA, COM DISTRIBUIDOR DE AGREGADOS ACOPLADO - CHI DIURNO. AF_02/2017</v>
          </cell>
          <cell r="C563" t="str">
            <v>CHI</v>
          </cell>
          <cell r="D563">
            <v>38.03</v>
          </cell>
        </row>
        <row r="564">
          <cell r="A564">
            <v>96155</v>
          </cell>
          <cell r="B564" t="str">
            <v>TRATOR DE PNEUS COM POTÊNCIA DE 85 CV, TRAÇÃO 4X4, COM VASSOURA MECÂNICA ACOPLADA - CHI DIURNO. AF_02/2017</v>
          </cell>
          <cell r="C564" t="str">
            <v>CHI</v>
          </cell>
          <cell r="D564">
            <v>26.57</v>
          </cell>
        </row>
        <row r="565">
          <cell r="A565">
            <v>96156</v>
          </cell>
          <cell r="B565" t="str">
            <v>MINICARREGADEIRA SOBRE RODAS POTENCIA 47HP CAPACIDADE OPERACAO 646 KG, COM VASSOURA MECÂNICA ACOPLADA - CHI DIURNO. AF_03/2017</v>
          </cell>
          <cell r="C565" t="str">
            <v>CHI</v>
          </cell>
          <cell r="D565">
            <v>33.520000000000003</v>
          </cell>
        </row>
        <row r="566">
          <cell r="A566">
            <v>96159</v>
          </cell>
          <cell r="B566" t="str">
            <v>MÁQUINA DEMARCADORA DE FAIXA DE TRÁFEGO À FRIO, AUTOPROPELIDA, POTÊNCIA 38 HP - CHI DIURNO. AF_07/2016</v>
          </cell>
          <cell r="C566" t="str">
            <v>CHI</v>
          </cell>
          <cell r="D566">
            <v>44.83</v>
          </cell>
        </row>
        <row r="567">
          <cell r="A567">
            <v>96246</v>
          </cell>
          <cell r="B567" t="str">
            <v>MINIESCAVADEIRA SOBRE ESTEIRAS, POTENCIA LIQUIDA DE *30* HP, PESO OPERACIONAL DE *3.500* KG - CHI DIURNO. AF_04/2017</v>
          </cell>
          <cell r="C567" t="str">
            <v>CHI</v>
          </cell>
          <cell r="D567">
            <v>34.31</v>
          </cell>
        </row>
        <row r="568">
          <cell r="A568">
            <v>96302</v>
          </cell>
          <cell r="B568" t="str">
            <v>PERFURATRIZ ROTATIVA SOBRE ESTEIRA, TORQUE MAXIMO 2500 KGM, POTENCIA 110 HP, MOTOR DIESEL - CHI DIURNO. AF_05/2017</v>
          </cell>
          <cell r="C568" t="str">
            <v>CHI</v>
          </cell>
          <cell r="D568">
            <v>59.16</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46.32</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58.44</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44.72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3.62</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22.54</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14.04</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100.04</v>
          </cell>
        </row>
        <row r="590">
          <cell r="A590">
            <v>5711</v>
          </cell>
          <cell r="B590" t="str">
            <v>VIBROACABADORA DE ASFALTO SOBRE ESTEIRAS, LARGURA DE PAVIMENTAÇÃO 1,90 M A 5,30 M, POTÊNCIA 105 HP CAPACIDADE 450 T/H - MATERIAIS NA OPERAÇÃO. AF_11/2014</v>
          </cell>
          <cell r="C590" t="str">
            <v>H</v>
          </cell>
          <cell r="D590">
            <v>55.27</v>
          </cell>
        </row>
        <row r="591">
          <cell r="A591">
            <v>5714</v>
          </cell>
          <cell r="B591" t="str">
            <v>TRATOR DE PNEUS, POTÊNCIA 85 CV, TRAÇÃO 4X4, PESO COM LASTRO DE 4.675 KG - MANUTENÇÃO. AF_06/2014</v>
          </cell>
          <cell r="C591" t="str">
            <v>H</v>
          </cell>
          <cell r="D591">
            <v>7.57</v>
          </cell>
        </row>
        <row r="592">
          <cell r="A592">
            <v>5715</v>
          </cell>
          <cell r="B592" t="str">
            <v>TRATOR DE PNEUS, POTÊNCIA 85 CV, TRAÇÃO 4X4, PESO COM LASTRO DE 4.675 KG - MATERIAIS NA OPERAÇÃO. AF_06/2014</v>
          </cell>
          <cell r="C592" t="str">
            <v>H</v>
          </cell>
          <cell r="D592">
            <v>44.13</v>
          </cell>
        </row>
        <row r="593">
          <cell r="A593">
            <v>5718</v>
          </cell>
          <cell r="B593" t="str">
            <v>TRATOR DE ESTEIRAS, POTÊNCIA 170 HP, PESO OPERACIONAL 19 T, CAÇAMBA 5,2 M3 - MATERIAIS NA OPERAÇÃO. AF_06/2014</v>
          </cell>
          <cell r="C593" t="str">
            <v>H</v>
          </cell>
          <cell r="D593">
            <v>89.49</v>
          </cell>
        </row>
        <row r="594">
          <cell r="A594">
            <v>5721</v>
          </cell>
          <cell r="B594" t="str">
            <v>TRATOR DE ESTEIRAS, POTÊNCIA 150 HP, PESO OPERACIONAL 16,7 T, COM RODA MOTRIZ ELEVADA E LÂMINA 3,18 M3 - MATERIAIS NA OPERAÇÃO. AF_06/2014</v>
          </cell>
          <cell r="C594" t="str">
            <v>H</v>
          </cell>
          <cell r="D594">
            <v>78.94</v>
          </cell>
        </row>
        <row r="595">
          <cell r="A595">
            <v>5722</v>
          </cell>
          <cell r="B595" t="str">
            <v>TRATOR DE ESTEIRAS, POTÊNCIA 347 HP, PESO OPERACIONAL 38,5 T, COM LÂMINA 8,70 M3 - MATERIAIS NA OPERAÇÃO. AF_06/2014</v>
          </cell>
          <cell r="C595" t="str">
            <v>H</v>
          </cell>
          <cell r="D595">
            <v>182.67</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30.53</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41.04</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17.13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98.15</v>
          </cell>
        </row>
        <row r="607">
          <cell r="A607">
            <v>5751</v>
          </cell>
          <cell r="B607" t="str">
            <v>CAMINHÃO TOCO, PESO BRUTO TOTAL 14.300 KG, CARGA ÚTIL MÁXIMA 9590 KG, DISTÂNCIA ENTRE EIXOS 4,76 M, POTÊNCIA 185 CV (NÃO INCLUI CARROCERIA) - MANUTENÇÃO. AF_06/2014</v>
          </cell>
          <cell r="C607" t="str">
            <v>H</v>
          </cell>
          <cell r="D607">
            <v>15.44</v>
          </cell>
        </row>
        <row r="608">
          <cell r="A608">
            <v>5754</v>
          </cell>
          <cell r="B608" t="str">
            <v>CAMINHÃO TOCO, PESO BRUTO TOTAL 16.000 KG, CARGA ÚTIL MÁXIMA DE 10.685 KG, DISTÂNCIA ENTRE EIXOS 4,80 M, POTÊNCIA 189 CV EXCLUSIVE CARROCERIA - MANUTENÇÃO. AF_06/2014</v>
          </cell>
          <cell r="C608" t="str">
            <v>H</v>
          </cell>
          <cell r="D608">
            <v>13.01</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22.28</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2.2799999999999998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103.68</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0.28999999999999998</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168.01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0.19</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65.81</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11.47</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4</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21.52</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96.07</v>
          </cell>
        </row>
        <row r="635">
          <cell r="A635">
            <v>7063</v>
          </cell>
          <cell r="B635" t="str">
            <v>TRATOR DE PNEUS, POTÊNCIA 122 CV, TRAÇÃO 4X4, PESO COM LASTRO DE 4.510 KG - DEPRECIAÇÃO. AF_06/2014</v>
          </cell>
          <cell r="C635" t="str">
            <v>H</v>
          </cell>
          <cell r="D635">
            <v>9.4499999999999993</v>
          </cell>
        </row>
        <row r="636">
          <cell r="A636">
            <v>7064</v>
          </cell>
          <cell r="B636" t="str">
            <v>TRATOR DE PNEUS, POTÊNCIA 122 CV, TRAÇÃO 4X4, PESO COM LASTRO DE 4.510 KG - JUROS. AF_06/2014</v>
          </cell>
          <cell r="C636" t="str">
            <v>H</v>
          </cell>
          <cell r="D636">
            <v>2.48</v>
          </cell>
        </row>
        <row r="637">
          <cell r="A637">
            <v>7065</v>
          </cell>
          <cell r="B637" t="str">
            <v>TRATOR DE PNEUS, POTÊNCIA 122 CV, TRAÇÃO 4X4, PESO COM LASTRO DE 4.510 KG - MANUTENÇÃO. AF_06/2014</v>
          </cell>
          <cell r="C637" t="str">
            <v>H</v>
          </cell>
          <cell r="D637">
            <v>10.34</v>
          </cell>
        </row>
        <row r="638">
          <cell r="A638">
            <v>7066</v>
          </cell>
          <cell r="B638" t="str">
            <v>TRATOR DE PNEUS, POTÊNCIA 122 CV, TRAÇÃO 4X4, PESO COM LASTRO DE 4.510 KG - MATERIAIS NA OPERAÇÃO. AF_06/2014</v>
          </cell>
          <cell r="C638" t="str">
            <v>H</v>
          </cell>
          <cell r="D638">
            <v>63.34</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48.41</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42.1</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119.44</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98.15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52.64</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96.07</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98.15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119.44</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65.81</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67.38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1.37</v>
          </cell>
        </row>
        <row r="660">
          <cell r="A660">
            <v>53865</v>
          </cell>
          <cell r="B660" t="str">
            <v>COMPRESSOR DE AR REBOCÁVEL, VAZÃO 189 PCM, PRESSÃO EFETIVA DE TRABALHO 102 PSI, MOTOR DIESEL, POTÊNCIA 63 CV - MATERIAIS NA OPERAÇÃO. AF_06/2015</v>
          </cell>
          <cell r="C660" t="str">
            <v>H</v>
          </cell>
          <cell r="D660">
            <v>32.729999999999997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17.350000000000001</v>
          </cell>
        </row>
        <row r="663">
          <cell r="A663">
            <v>55263</v>
          </cell>
          <cell r="B663" t="str">
            <v>ROLO COMPACTADOR DE PNEUS ESTÁTICO, PRESSÃO VARIÁVEL, POTÊNCIA 111 HP, PESO SEM/COM LASTRO 9,5 / 26 T, LARGURA DE TRABALHO 1,90 M - MATERIAIS NA OPERAÇÃO. AF_07/2014</v>
          </cell>
          <cell r="C663" t="str">
            <v>H</v>
          </cell>
          <cell r="D663">
            <v>58.44</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110.54</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42.1</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16.68</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96.07</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10.32</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31.16</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0.32</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v>
          </cell>
        </row>
        <row r="681">
          <cell r="A681">
            <v>87444</v>
          </cell>
          <cell r="B681" t="str">
            <v>BETONEIRA CAPACIDADE NOMINAL 400 L, CAPACIDADE DE MISTURA 310 L, MOTOR A DIESEL POTÊNCIA 5,0 HP, SEM CARREGADOR - MATERIAIS NA OPERAÇÃO. AF_06/2014</v>
          </cell>
          <cell r="C681" t="str">
            <v>H</v>
          </cell>
          <cell r="D681">
            <v>2.62</v>
          </cell>
        </row>
        <row r="682">
          <cell r="A682">
            <v>88387</v>
          </cell>
          <cell r="B682" t="str">
            <v>MISTURADOR DE ARGAMASSA, EIXO HORIZONTAL, CAPACIDADE DE MISTURA 300 KG, MOTOR ELÉTRICO POTÊNCIA 5 CV - DEPRECIAÇÃO. AF_06/2014</v>
          </cell>
          <cell r="C682" t="str">
            <v>H</v>
          </cell>
          <cell r="D682">
            <v>0.63</v>
          </cell>
        </row>
        <row r="683">
          <cell r="A683">
            <v>88389</v>
          </cell>
          <cell r="B683" t="str">
            <v>MISTURADOR DE ARGAMASSA, EIXO HORIZONTAL, CAPACIDADE DE MISTURA 300 KG, MOTOR ELÉTRICO POTÊNCIA 5 CV - JUROS. AF_06/2014</v>
          </cell>
          <cell r="C683" t="str">
            <v>H</v>
          </cell>
          <cell r="D683">
            <v>0.14000000000000001</v>
          </cell>
        </row>
        <row r="684">
          <cell r="A684">
            <v>88390</v>
          </cell>
          <cell r="B684" t="str">
            <v>MISTURADOR DE ARGAMASSA, EIXO HORIZONTAL, CAPACIDADE DE MISTURA 300 KG, MOTOR ELÉTRICO POTÊNCIA 5 CV - MANUTENÇÃO. AF_06/2014</v>
          </cell>
          <cell r="C684" t="str">
            <v>H</v>
          </cell>
          <cell r="D684">
            <v>0.79</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0.75</v>
          </cell>
        </row>
        <row r="687">
          <cell r="A687">
            <v>88395</v>
          </cell>
          <cell r="B687" t="str">
            <v>MISTURADOR DE ARGAMASSA, EIXO HORIZONTAL, CAPACIDADE DE MISTURA 600 KG, MOTOR ELÉTRICO POTÊNCIA 7,5 CV - JUROS. AF_06/2014</v>
          </cell>
          <cell r="C687" t="str">
            <v>H</v>
          </cell>
          <cell r="D687">
            <v>0.16</v>
          </cell>
        </row>
        <row r="688">
          <cell r="A688">
            <v>88396</v>
          </cell>
          <cell r="B688" t="str">
            <v>MISTURADOR DE ARGAMASSA, EIXO HORIZONTAL, CAPACIDADE DE MISTURA 600 KG, MOTOR ELÉTRICO POTÊNCIA 7,5 CV - MANUTENÇÃO. AF_06/2014</v>
          </cell>
          <cell r="C688" t="str">
            <v>H</v>
          </cell>
          <cell r="D688">
            <v>0.94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0.59</v>
          </cell>
        </row>
        <row r="691">
          <cell r="A691">
            <v>88401</v>
          </cell>
          <cell r="B691" t="str">
            <v>MISTURADOR DE ARGAMASSA, EIXO HORIZONTAL, CAPACIDADE DE MISTURA 160 KG, MOTOR ELÉTRICO POTÊNCIA 3 CV - JUROS. AF_06/2014</v>
          </cell>
          <cell r="C691" t="str">
            <v>H</v>
          </cell>
          <cell r="D691">
            <v>0.13</v>
          </cell>
        </row>
        <row r="692">
          <cell r="A692">
            <v>88402</v>
          </cell>
          <cell r="B692" t="str">
            <v>MISTURADOR DE ARGAMASSA, EIXO HORIZONTAL, CAPACIDADE DE MISTURA 160 KG, MOTOR ELÉTRICO POTÊNCIA 3 CV - MANUTENÇÃO. AF_06/2014</v>
          </cell>
          <cell r="C692" t="str">
            <v>H</v>
          </cell>
          <cell r="D692">
            <v>0.74</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3.89</v>
          </cell>
        </row>
        <row r="695">
          <cell r="A695">
            <v>88422</v>
          </cell>
          <cell r="B695" t="str">
            <v>PROJETOR DE ARGAMASSA, CAPACIDADE DE PROJEÇÃO 1,5 M3/H, ALCANCE DE 30 ATÉ 60 M, MOTOR ELÉTRICO POTÊNCIA 7,5 HP - JUROS. AF_06/2014</v>
          </cell>
          <cell r="C695" t="str">
            <v>H</v>
          </cell>
          <cell r="D695">
            <v>0.87</v>
          </cell>
        </row>
        <row r="696">
          <cell r="A696">
            <v>88425</v>
          </cell>
          <cell r="B696" t="str">
            <v>PROJETOR DE ARGAMASSA, CAPACIDADE DE PROJEÇÃO 1,5 M3/H, ALCANCE DE 30 ATÉ 60 M, MOTOR ELÉTRICO POTÊNCIA 7,5 HP - MANUTENÇÃO. AF_06/2014</v>
          </cell>
          <cell r="C696" t="str">
            <v>H</v>
          </cell>
          <cell r="D696">
            <v>4.26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5.16</v>
          </cell>
        </row>
        <row r="699">
          <cell r="A699">
            <v>88435</v>
          </cell>
          <cell r="B699" t="str">
            <v>PROJETOR DE ARGAMASSA, CAPACIDADE DE PROJEÇÃO 2 M3/H, ALCANCE ATÉ 50 M, MOTOR ELÉTRICO POTÊNCIA 7,5 HP - JUROS. AF_06/2014</v>
          </cell>
          <cell r="C699" t="str">
            <v>H</v>
          </cell>
          <cell r="D699">
            <v>1.1599999999999999</v>
          </cell>
        </row>
        <row r="700">
          <cell r="A700">
            <v>88436</v>
          </cell>
          <cell r="B700" t="str">
            <v>PROJETOR DE ARGAMASSA, CAPACIDADE DE PROJEÇÃO 2 M3/H, ALCANCE ATÉ 50 M, MOTOR ELÉTRICO POTÊNCIA 7,5 HP - MANUTENÇÃO. AF_06/2014</v>
          </cell>
          <cell r="C700" t="str">
            <v>H</v>
          </cell>
          <cell r="D700">
            <v>5.65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0.23</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0.22</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57.89</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65.81</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81.569999999999993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0.26</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156.56</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6.92</v>
          </cell>
        </row>
        <row r="749">
          <cell r="A749">
            <v>89034</v>
          </cell>
          <cell r="B749" t="str">
            <v>TRATOR DE PNEUS, POTÊNCIA 85 CV, TRAÇÃO 4X4, PESO COM LASTRO DE 4.675 KG - JUROS. AF_06/2014</v>
          </cell>
          <cell r="C749" t="str">
            <v>H</v>
          </cell>
          <cell r="D749">
            <v>1.82</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84.24</v>
          </cell>
        </row>
        <row r="760">
          <cell r="A760">
            <v>89221</v>
          </cell>
          <cell r="B760" t="str">
            <v>BETONEIRA CAPACIDADE NOMINAL DE 600 L, CAPACIDADE DE MISTURA 360 L, MOTOR ELÉTRICO TRIFÁSICO POTÊNCIA DE 4 CV, SEM CARREGADOR - DEPRECIAÇÃO. AF_11/2014</v>
          </cell>
          <cell r="C760" t="str">
            <v>H</v>
          </cell>
          <cell r="D760">
            <v>0.97</v>
          </cell>
        </row>
        <row r="761">
          <cell r="A761">
            <v>89222</v>
          </cell>
          <cell r="B761" t="str">
            <v>BETONEIRA CAPACIDADE NOMINAL DE 600 L, CAPACIDADE DE MISTURA 360 L, MOTOR ELÉTRICO TRIFÁSICO POTÊNCIA DE 4 CV, SEM CARREGADOR - JUROS. AF_11/2014</v>
          </cell>
          <cell r="C761" t="str">
            <v>H</v>
          </cell>
          <cell r="D761">
            <v>0.21</v>
          </cell>
        </row>
        <row r="762">
          <cell r="A762">
            <v>89223</v>
          </cell>
          <cell r="B762" t="str">
            <v>BETONEIRA CAPACIDADE NOMINAL DE 600 L, CAPACIDADE DE MISTURA 360 L, MOTOR ELÉTRICO TRIFÁSICO POTÊNCIA DE 4 CV, SEM CARREGADOR - MANUTENÇÃO. AF_11/2014</v>
          </cell>
          <cell r="C762" t="str">
            <v>H</v>
          </cell>
          <cell r="D762">
            <v>0.91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86.81</v>
          </cell>
        </row>
        <row r="767">
          <cell r="A767">
            <v>89231</v>
          </cell>
          <cell r="B767" t="str">
            <v>FRESADORA DE ASFALTO A FRIO SOBRE RODAS, LARGURA FRESAGEM DE 1,0 M, POTÊNCIA 208 HP - JUROS. AF_11/2014</v>
          </cell>
          <cell r="C767" t="str">
            <v>H</v>
          </cell>
          <cell r="D767">
            <v>26.02</v>
          </cell>
        </row>
        <row r="768">
          <cell r="A768">
            <v>89232</v>
          </cell>
          <cell r="B768" t="str">
            <v>FRESADORA DE ASFALTO A FRIO SOBRE RODAS, LARGURA FRESAGEM DE 1,0 M, POTÊNCIA 208 HP - MANUTENÇÃO. AF_11/2014</v>
          </cell>
          <cell r="C768" t="str">
            <v>H</v>
          </cell>
          <cell r="D768">
            <v>154.85</v>
          </cell>
        </row>
        <row r="769">
          <cell r="A769">
            <v>89233</v>
          </cell>
          <cell r="B769" t="str">
            <v>FRESADORA DE ASFALTO A FRIO SOBRE RODAS, LARGURA FRESAGEM DE 1,0 M, POTÊNCIA 208 HP - MATERIAIS NA OPERAÇÃO. AF_11/2014</v>
          </cell>
          <cell r="C769" t="str">
            <v>H</v>
          </cell>
          <cell r="D769">
            <v>109.48</v>
          </cell>
        </row>
        <row r="770">
          <cell r="A770">
            <v>89236</v>
          </cell>
          <cell r="B770" t="str">
            <v>FRESADORA DE ASFALTO A FRIO SOBRE RODAS, LARGURA FRESAGEM DE 2,0 M, POTÊNCIA 550 HP - DEPRECIAÇÃO. AF_11/2014</v>
          </cell>
          <cell r="C770" t="str">
            <v>H</v>
          </cell>
          <cell r="D770">
            <v>202.79</v>
          </cell>
        </row>
        <row r="771">
          <cell r="A771">
            <v>89237</v>
          </cell>
          <cell r="B771" t="str">
            <v>FRESADORA DE ASFALTO A FRIO SOBRE RODAS, LARGURA FRESAGEM DE 2,0 M, POTÊNCIA 550 HP - JUROS. AF_11/2014</v>
          </cell>
          <cell r="C771" t="str">
            <v>H</v>
          </cell>
          <cell r="D771">
            <v>60.79</v>
          </cell>
        </row>
        <row r="772">
          <cell r="A772">
            <v>89238</v>
          </cell>
          <cell r="B772" t="str">
            <v>FRESADORA DE ASFALTO A FRIO SOBRE RODAS, LARGURA FRESAGEM DE 2,0 M, POTÊNCIA 550 HP - MANUTENÇÃO. AF_11/2014</v>
          </cell>
          <cell r="C772" t="str">
            <v>H</v>
          </cell>
          <cell r="D772">
            <v>361.73</v>
          </cell>
        </row>
        <row r="773">
          <cell r="A773">
            <v>89239</v>
          </cell>
          <cell r="B773" t="str">
            <v>FRESADORA DE ASFALTO A FRIO SOBRE RODAS, LARGURA FRESAGEM DE 2,0 M, POTÊNCIA 550 HP - MATERIAIS NA OPERAÇÃO. AF_11/2014</v>
          </cell>
          <cell r="C773" t="str">
            <v>H</v>
          </cell>
          <cell r="D773">
            <v>289.52999999999997</v>
          </cell>
        </row>
        <row r="774">
          <cell r="A774">
            <v>89240</v>
          </cell>
          <cell r="B774" t="str">
            <v>VIBROACABADORA DE ASFALTO SOBRE ESTEIRAS, LARGURA DE PAVIMENTAÇÃO 1,90 M A 5,30 M, POTÊNCIA 105 HP CAPACIDADE 450 T/H - DEPRECIAÇÃO. AF_11/2014</v>
          </cell>
          <cell r="C774" t="str">
            <v>H</v>
          </cell>
          <cell r="D774">
            <v>62.23</v>
          </cell>
        </row>
        <row r="775">
          <cell r="A775">
            <v>89241</v>
          </cell>
          <cell r="B775" t="str">
            <v>VIBROACABADORA DE ASFALTO SOBRE ESTEIRAS, LARGURA DE PAVIMENTAÇÃO 1,90 M A 5,30 M, POTÊNCIA 105 HP CAPACIDADE 450 T/H - JUROS. AF_11/2014</v>
          </cell>
          <cell r="C775" t="str">
            <v>H</v>
          </cell>
          <cell r="D775">
            <v>21.31</v>
          </cell>
        </row>
        <row r="776">
          <cell r="A776">
            <v>89246</v>
          </cell>
          <cell r="B776" t="str">
            <v>RECICLADORA DE ASFALTO A FRIO SOBRE RODAS, LARGURA FRESAGEM DE 2,0 M, POTÊNCIA 422 HP - DEPRECIAÇÃO. AF_11/2014</v>
          </cell>
          <cell r="C776" t="str">
            <v>H</v>
          </cell>
          <cell r="D776">
            <v>176.21</v>
          </cell>
        </row>
        <row r="777">
          <cell r="A777">
            <v>89247</v>
          </cell>
          <cell r="B777" t="str">
            <v>RECICLADORA DE ASFALTO A FRIO SOBRE RODAS, LARGURA FRESAGEM DE 2,0 M, POTÊNCIA 422 HP - JUROS. AF_11/2014</v>
          </cell>
          <cell r="C777" t="str">
            <v>H</v>
          </cell>
          <cell r="D777">
            <v>52.82</v>
          </cell>
        </row>
        <row r="778">
          <cell r="A778">
            <v>89248</v>
          </cell>
          <cell r="B778" t="str">
            <v>RECICLADORA DE ASFALTO A FRIO SOBRE RODAS, LARGURA FRESAGEM DE 2,0 M, POTÊNCIA 422 HP - MANUTENÇÃO. AF_11/2014</v>
          </cell>
          <cell r="C778" t="str">
            <v>H</v>
          </cell>
          <cell r="D778">
            <v>314.32</v>
          </cell>
        </row>
        <row r="779">
          <cell r="A779">
            <v>89249</v>
          </cell>
          <cell r="B779" t="str">
            <v>RECICLADORA DE ASFALTO A FRIO SOBRE RODAS, LARGURA FRESAGEM DE 2,0 M, POTÊNCIA 422 HP - MATERIAIS NA OPERAÇÃO. AF_11/2014</v>
          </cell>
          <cell r="C779" t="str">
            <v>H</v>
          </cell>
          <cell r="D779">
            <v>222.14</v>
          </cell>
        </row>
        <row r="780">
          <cell r="A780">
            <v>89253</v>
          </cell>
          <cell r="B780" t="str">
            <v>VIBROACABADORA DE ASFALTO SOBRE ESTEIRAS, LARGURA DE PAVIMENTAÇÃO 2,13 M A 4,55 M, POTÊNCIA 100 HP, CAPACIDADE 400 T/H - DEPRECIAÇÃO. AF_11/2014</v>
          </cell>
          <cell r="C780" t="str">
            <v>H</v>
          </cell>
          <cell r="D780">
            <v>51</v>
          </cell>
        </row>
        <row r="781">
          <cell r="A781">
            <v>89254</v>
          </cell>
          <cell r="B781" t="str">
            <v>VIBROACABADORA DE ASFALTO SOBRE ESTEIRAS, LARGURA DE PAVIMENTAÇÃO 2,13 M A 4,55 M, POTÊNCIA 100 HP, CAPACIDADE 400 T/H - JUROS. AF_11/2014</v>
          </cell>
          <cell r="C781" t="str">
            <v>H</v>
          </cell>
          <cell r="D781">
            <v>17.46</v>
          </cell>
        </row>
        <row r="782">
          <cell r="A782">
            <v>89255</v>
          </cell>
          <cell r="B782" t="str">
            <v>VIBROACABADORA DE ASFALTO SOBRE ESTEIRAS, LARGURA DE PAVIMENTAÇÃO 2,13 M A 4,55 M, POTÊNCIA 100 HP, CAPACIDADE 400 T/H - MANUTENÇÃO. AF_11/2014</v>
          </cell>
          <cell r="C782" t="str">
            <v>H</v>
          </cell>
          <cell r="D782">
            <v>81.98</v>
          </cell>
        </row>
        <row r="783">
          <cell r="A783">
            <v>89256</v>
          </cell>
          <cell r="B783" t="str">
            <v>VIBROACABADORA DE ASFALTO SOBRE ESTEIRAS, LARGURA DE PAVIMENTAÇÃO 2,13 M A 4,55 M, POTÊNCIA 100 HP, CAPACIDADE 400 T/H - MATERIAIS NA OPERAÇÃO. AF_11/2014</v>
          </cell>
          <cell r="C783" t="str">
            <v>H</v>
          </cell>
          <cell r="D783">
            <v>52.64</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9.39</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17.61</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7.49</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2.99</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68.44</v>
          </cell>
        </row>
        <row r="795">
          <cell r="A795">
            <v>89274</v>
          </cell>
          <cell r="B795" t="str">
            <v>BETONEIRA CAPACIDADE NOMINAL DE 600 L, CAPACIDADE DE MISTURA 440 L, MOTOR A DIESEL POTÊNCIA 10 HP, COM CARREGADOR - DEPRECIAÇÃO. AF_11/2014</v>
          </cell>
          <cell r="C795" t="str">
            <v>H</v>
          </cell>
          <cell r="D795">
            <v>1.18</v>
          </cell>
        </row>
        <row r="796">
          <cell r="A796">
            <v>89275</v>
          </cell>
          <cell r="B796" t="str">
            <v>BETONEIRA CAPACIDADE NOMINAL DE 600 L, CAPACIDADE DE MISTURA 440 L, MOTOR A DIESEL POTÊNCIA 10 HP, COM CARREGADOR - JUROS. AF_11/2014</v>
          </cell>
          <cell r="C796" t="str">
            <v>H</v>
          </cell>
          <cell r="D796">
            <v>0.26</v>
          </cell>
        </row>
        <row r="797">
          <cell r="A797">
            <v>89276</v>
          </cell>
          <cell r="B797" t="str">
            <v>BETONEIRA CAPACIDADE NOMINAL DE 600 L, CAPACIDADE DE MISTURA 440 L, MOTOR A DIESEL POTÊNCIA 10 HP, COM CARREGADOR - MANUTENÇÃO. AF_11/2014</v>
          </cell>
          <cell r="C797" t="str">
            <v>H</v>
          </cell>
          <cell r="D797">
            <v>1.1000000000000001</v>
          </cell>
        </row>
        <row r="798">
          <cell r="A798">
            <v>89277</v>
          </cell>
          <cell r="B798" t="str">
            <v>BETONEIRA CAPACIDADE NOMINAL DE 600 L, CAPACIDADE DE MISTURA 440 L, MOTOR A DIESEL POTÊNCIA 10 HP, COM CARREGADOR - MATERIAIS NA OPERAÇÃO. AF_11/2014</v>
          </cell>
          <cell r="C798" t="str">
            <v>H</v>
          </cell>
          <cell r="D798">
            <v>5.25</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148.52000000000001</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171.38</v>
          </cell>
        </row>
        <row r="811">
          <cell r="A811">
            <v>90582</v>
          </cell>
          <cell r="B811" t="str">
            <v>VIBRADOR DE IMERSÃO, DIÂMETRO DE PONTEIRA 45MM, MOTOR ELÉTRICO TRIFÁSICO POTÊNCIA DE 2 CV - DEPRECIAÇÃO. AF_06/2015</v>
          </cell>
          <cell r="C811" t="str">
            <v>H</v>
          </cell>
          <cell r="D811">
            <v>0.31</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0.24</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1.46</v>
          </cell>
        </row>
        <row r="816">
          <cell r="A816">
            <v>90622</v>
          </cell>
          <cell r="B816" t="str">
            <v>PERFURATRIZ MANUAL, TORQUE MÁXIMO 83 N.M, POTÊNCIA 5 CV, COM DIÂMETRO MÁXIMO 4" - JUROS. AF_06/2015</v>
          </cell>
          <cell r="C816" t="str">
            <v>H</v>
          </cell>
          <cell r="D816">
            <v>0.32</v>
          </cell>
        </row>
        <row r="817">
          <cell r="A817">
            <v>90623</v>
          </cell>
          <cell r="B817" t="str">
            <v>PERFURATRIZ MANUAL, TORQUE MÁXIMO 83 N.M, POTÊNCIA 5 CV, COM DIÂMETRO MÁXIMO 4" - MANUTENÇÃO. AF_06/2015</v>
          </cell>
          <cell r="C817" t="str">
            <v>H</v>
          </cell>
          <cell r="D817">
            <v>1.83</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2.99</v>
          </cell>
        </row>
        <row r="824">
          <cell r="A824">
            <v>90634</v>
          </cell>
          <cell r="B824" t="str">
            <v>MISTURADOR DUPLO HORIZONTAL DE ALTA TURBULÊNCIA, CAPACIDADE / VOLUME 2 X 500 LITROS, MOTORES ELÉTRICOS MÍNIMO 5 CV CADA, PARA NATA CIMENTO, ARGAMASSA E OUTROS - JUROS. AF_06/2015</v>
          </cell>
          <cell r="C824" t="str">
            <v>H</v>
          </cell>
          <cell r="D824">
            <v>0.67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3.27</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4.47</v>
          </cell>
        </row>
        <row r="828">
          <cell r="A828">
            <v>90640</v>
          </cell>
          <cell r="B828" t="str">
            <v>BOMBA TRIPLEX, PARA INJEÇÃO DE NATA DE CIMENTO, VAZÃO MÁXIMA DE 100 LITROS/MINUTO, PRESSÃO MÁXIMA DE 70 BAR - JUROS. AF_06/2015</v>
          </cell>
          <cell r="C828" t="str">
            <v>H</v>
          </cell>
          <cell r="D828">
            <v>1</v>
          </cell>
        </row>
        <row r="829">
          <cell r="A829">
            <v>90641</v>
          </cell>
          <cell r="B829" t="str">
            <v>BOMBA TRIPLEX, PARA INJEÇÃO DE NATA DE CIMENTO, VAZÃO MÁXIMA DE 100 LITROS/MINUTO, PRESSÃO MÁXIMA DE 70 BAR - MANUTENÇÃO. AF_06/2015</v>
          </cell>
          <cell r="C829" t="str">
            <v>H</v>
          </cell>
          <cell r="D829">
            <v>4.8899999999999997</v>
          </cell>
        </row>
        <row r="830">
          <cell r="A830">
            <v>90642</v>
          </cell>
          <cell r="B830" t="str">
            <v>BOMBA TRIPLEX, PARA INJEÇÃO DE NATA DE CIMENTO, VAZÃO MÁXIMA DE 100 LITROS/MINUTO, PRESSÃO MÁXIMA DE 70 BAR - MATERIAIS NA OPERAÇÃO. AF_06/2015</v>
          </cell>
          <cell r="C830" t="str">
            <v>H</v>
          </cell>
          <cell r="D830">
            <v>5.72</v>
          </cell>
        </row>
        <row r="831">
          <cell r="A831">
            <v>90646</v>
          </cell>
          <cell r="B831" t="str">
            <v>BOMBA CENTRÍFUGA MONOESTÁGIO COM MOTOR ELÉTRICO MONOFÁSICO, POTÊNCIA 15 HP, DIÂMETRO DO ROTOR 173 MM, HM/Q = 30 MCA / 90 M3/H A 45 MCA / 55 M3/H - DEPRECIAÇÃO. AF_06/2015</v>
          </cell>
          <cell r="C831" t="str">
            <v>H</v>
          </cell>
          <cell r="D831">
            <v>0.51</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0.56000000000000005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2.91</v>
          </cell>
        </row>
        <row r="836">
          <cell r="A836">
            <v>90653</v>
          </cell>
          <cell r="B836" t="str">
            <v>BOMBA DE PROJEÇÃO DE CONCRETO SECO, POTÊNCIA 10 CV, VAZÃO 3 M3/H - JUROS. AF_06/2015</v>
          </cell>
          <cell r="C836" t="str">
            <v>H</v>
          </cell>
          <cell r="D836">
            <v>0.65</v>
          </cell>
        </row>
        <row r="837">
          <cell r="A837">
            <v>90654</v>
          </cell>
          <cell r="B837" t="str">
            <v>BOMBA DE PROJEÇÃO DE CONCRETO SECO, POTÊNCIA 10 CV, VAZÃO 3 M3/H - MANUTENÇÃO. AF_06/2015</v>
          </cell>
          <cell r="C837" t="str">
            <v>H</v>
          </cell>
          <cell r="D837">
            <v>3.18</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3.12</v>
          </cell>
        </row>
        <row r="840">
          <cell r="A840">
            <v>90659</v>
          </cell>
          <cell r="B840" t="str">
            <v>BOMBA DE PROJEÇÃO DE CONCRETO SECO, POTÊNCIA 10 CV, VAZÃO 6 M3/H - JUROS. AF_06/2015</v>
          </cell>
          <cell r="C840" t="str">
            <v>H</v>
          </cell>
          <cell r="D840">
            <v>0.7</v>
          </cell>
        </row>
        <row r="841">
          <cell r="A841">
            <v>90660</v>
          </cell>
          <cell r="B841" t="str">
            <v>BOMBA DE PROJEÇÃO DE CONCRETO SECO, POTÊNCIA 10 CV, VAZÃO 6 M3/H - MANUTENÇÃO. AF_06/2015</v>
          </cell>
          <cell r="C841" t="str">
            <v>H</v>
          </cell>
          <cell r="D841">
            <v>3.41</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10.38</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141.08000000000001</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56.18</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14.75</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72.12</v>
          </cell>
        </row>
        <row r="855">
          <cell r="A855">
            <v>90682</v>
          </cell>
          <cell r="B855" t="str">
            <v>MANIPULADOR TELESCÓPICO, POTÊNCIA DE 85 HP, CAPACIDADE DE CARGA DE 3.500 KG, ALTURA MÁXIMA DE ELEVAÇÃO DE 12,3 M - DEPRECIAÇÃO. AF_06/2015</v>
          </cell>
          <cell r="C855" t="str">
            <v>H</v>
          </cell>
          <cell r="D855">
            <v>22.69</v>
          </cell>
        </row>
        <row r="856">
          <cell r="A856">
            <v>90683</v>
          </cell>
          <cell r="B856" t="str">
            <v>MANIPULADOR TELESCÓPICO, POTÊNCIA DE 85 HP, CAPACIDADE DE CARGA DE 3.500 KG, ALTURA MÁXIMA DE ELEVAÇÃO DE 12,3 M - JUROS. AF_06/2015</v>
          </cell>
          <cell r="C856" t="str">
            <v>H</v>
          </cell>
          <cell r="D856">
            <v>5.0999999999999996</v>
          </cell>
        </row>
        <row r="857">
          <cell r="A857">
            <v>90684</v>
          </cell>
          <cell r="B857" t="str">
            <v>MANIPULADOR TELESCÓPICO, POTÊNCIA DE 85 HP, CAPACIDADE DE CARGA DE 3.500 KG, ALTURA MÁXIMA DE ELEVAÇÃO DE 12,3 M - MANUTENÇÃO. AF_06/2015</v>
          </cell>
          <cell r="C857" t="str">
            <v>H</v>
          </cell>
          <cell r="D857">
            <v>24.82</v>
          </cell>
        </row>
        <row r="858">
          <cell r="A858">
            <v>90685</v>
          </cell>
          <cell r="B858" t="str">
            <v>MANIPULADOR TELESCÓPICO, POTÊNCIA DE 85 HP, CAPACIDADE DE CARGA DE 3.500 KG, ALTURA MÁXIMA DE ELEVAÇÃO DE 12,3 M - MATERIAIS NA OPERAÇÃO. AF_06/2015</v>
          </cell>
          <cell r="C858" t="str">
            <v>H</v>
          </cell>
          <cell r="D858">
            <v>44.72</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24.73</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10.38</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42.06</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109.05</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57.11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3.05</v>
          </cell>
        </row>
        <row r="882">
          <cell r="A882">
            <v>91026</v>
          </cell>
          <cell r="B882" t="str">
            <v>CAMINHÃO TRUCADO (C/ TERCEIRO EIXO) ELETRÔNICO - POTÊNCIA 231CV - PBT = 22000KG - DIST. ENTRE EIXOS 5170 MM - INCLUI CARROCERIA FIXA ABERTA DE MADEIRA - DEPRECIAÇÃO. AF_06/2015</v>
          </cell>
          <cell r="C882" t="str">
            <v>H</v>
          </cell>
          <cell r="D882">
            <v>10.59</v>
          </cell>
        </row>
        <row r="883">
          <cell r="A883">
            <v>91027</v>
          </cell>
          <cell r="B883" t="str">
            <v>CAMINHÃO TRUCADO (C/ TERCEIRO EIXO) ELETRÔNICO - POTÊNCIA 231CV - PBT = 22000KG - DIST. ENTRE EIXOS 5170 MM - INCLUI CARROCERIA FIXA ABERTA DE MADEIRA - JUROS. AF_06/2015</v>
          </cell>
          <cell r="C883" t="str">
            <v>H</v>
          </cell>
          <cell r="D883">
            <v>4.22</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0.86</v>
          </cell>
        </row>
        <row r="885">
          <cell r="A885">
            <v>91029</v>
          </cell>
          <cell r="B885" t="str">
            <v>CAMINHÃO TRUCADO (C/ TERCEIRO EIXO) ELETRÔNICO - POTÊNCIA 231CV - PBT = 22000KG - DIST. ENTRE EIXOS 5170 MM - INCLUI CARROCERIA FIXA ABERTA DE MADEIRA - MANUTENÇÃO. AF_06/2015</v>
          </cell>
          <cell r="C885" t="str">
            <v>H</v>
          </cell>
          <cell r="D885">
            <v>19.86</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119.95</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3.62</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8.69</v>
          </cell>
        </row>
        <row r="895">
          <cell r="A895">
            <v>91354</v>
          </cell>
          <cell r="B895" t="str">
            <v>CAMINHÃO TOCO, PESO BRUTO TOTAL 14.300 KG, CARGA ÚTIL MÁXIMA 9590 KG, DISTÂNCIA ENTRE EIXOS 4,76 M, POTÊNCIA 185 CV (NÃO INCLUI CARROCERIA) - DEPRECIAÇÃO. AF_06/2014</v>
          </cell>
          <cell r="C895" t="str">
            <v>H</v>
          </cell>
          <cell r="D895">
            <v>8.23</v>
          </cell>
        </row>
        <row r="896">
          <cell r="A896">
            <v>91355</v>
          </cell>
          <cell r="B896" t="str">
            <v>CAMINHÃO TOCO, PESO BRUTO TOTAL 14.300 KG, CARGA ÚTIL MÁXIMA 9590 KG, DISTÂNCIA ENTRE EIXOS 4,76 M, POTÊNCIA 185 CV (NÃO INCLUI CARROCERIA) - JUROS. AF_06/2014</v>
          </cell>
          <cell r="C896" t="str">
            <v>H</v>
          </cell>
          <cell r="D896">
            <v>3.29</v>
          </cell>
        </row>
        <row r="897">
          <cell r="A897">
            <v>91356</v>
          </cell>
          <cell r="B897" t="str">
            <v>CAMINHÃO TOCO, PESO BRUTO TOTAL 14.300 KG, CARGA ÚTIL MÁXIMA 9590 KG, DISTÂNCIA ENTRE EIXOS 4,76 M, POTÊNCIA 185 CV (NÃO INCLUI CARROCERIA) - IMPOSTOS E SEGUROS. AF_06/2014</v>
          </cell>
          <cell r="C897" t="str">
            <v>H</v>
          </cell>
          <cell r="D897">
            <v>0.67</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9.25</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3.69</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0.75</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12.02</v>
          </cell>
        </row>
        <row r="902">
          <cell r="A902">
            <v>91368</v>
          </cell>
          <cell r="B902" t="str">
            <v>CAMINHÃO BASCULANTE 6 M3, PESO BRUTO TOTAL 16.000 KG, CARGA ÚTIL MÁXIMA 13.071 KG, DISTÂNCIA ENTRE EIXOS 4,80 M, POTÊNCIA 230 CV INCLUSIVE CAÇAMBA METÁLICA - JUROS. AF_06/2014</v>
          </cell>
          <cell r="C902" t="str">
            <v>H</v>
          </cell>
          <cell r="D902">
            <v>4.2</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0.86</v>
          </cell>
        </row>
        <row r="904">
          <cell r="A904">
            <v>91375</v>
          </cell>
          <cell r="B904" t="str">
            <v>CAMINHÃO TOCO, PESO BRUTO TOTAL 16.000 KG, CARGA ÚTIL MÁXIMA DE 10.685 KG, DISTÂNCIA ENTRE EIXOS 4,80 M, POTÊNCIA 189 CV EXCLUSIVE CARROCERIA - DEPRECIAÇÃO. AF_06/2014</v>
          </cell>
          <cell r="C904" t="str">
            <v>H</v>
          </cell>
          <cell r="D904">
            <v>6.94</v>
          </cell>
        </row>
        <row r="905">
          <cell r="A905">
            <v>91376</v>
          </cell>
          <cell r="B905" t="str">
            <v>CAMINHÃO TOCO, PESO BRUTO TOTAL 16.000 KG, CARGA ÚTIL MÁXIMA DE 10.685 KG, DISTÂNCIA ENTRE EIXOS 4,80 M, POTÊNCIA 189 CV EXCLUSIVE CARROCERIA - JUROS. AF_06/2014</v>
          </cell>
          <cell r="C905" t="str">
            <v>H</v>
          </cell>
          <cell r="D905">
            <v>2.77</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13.57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4.75</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0.97</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25.44</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119.44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3.54</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11.88</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4.74</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0.96</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0.82</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98.15</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13.22</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4.4800000000000004</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0.91</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135.27000000000001</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2.64</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8.68</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3.46</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16.28</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83.1</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186.94</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13.61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5.43</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1.1000000000000001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25.53</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119.44</v>
          </cell>
        </row>
        <row r="951">
          <cell r="A951">
            <v>92108</v>
          </cell>
          <cell r="B951" t="str">
            <v>PENEIRA ROTATIVA COM MOTOR ELÉTRICO TRIFÁSICO DE 2 CV, CILINDRO DE 1 M X 0,60 M, COM FUROS DE 3,17 MM - DEPRECIAÇÃO. AF_11/2015</v>
          </cell>
          <cell r="C951" t="str">
            <v>H</v>
          </cell>
          <cell r="D951">
            <v>0.7</v>
          </cell>
        </row>
        <row r="952">
          <cell r="A952">
            <v>92109</v>
          </cell>
          <cell r="B952" t="str">
            <v>PENEIRA ROTATIVA COM MOTOR ELÉTRICO TRIFÁSICO DE 2 CV, CILINDRO DE 1 M X 0,60 M, COM FUROS DE 3,17 MM - JUROS. AF_11/2015</v>
          </cell>
          <cell r="C952" t="str">
            <v>H</v>
          </cell>
          <cell r="D952">
            <v>0.15</v>
          </cell>
        </row>
        <row r="953">
          <cell r="A953">
            <v>92110</v>
          </cell>
          <cell r="B953" t="str">
            <v>PENEIRA ROTATIVA COM MOTOR ELÉTRICO TRIFÁSICO DE 2 CV, CILINDRO DE 1 M X 0,60 M, COM FUROS DE 3,17 MM - MANUTENÇÃO. AF_11/2015</v>
          </cell>
          <cell r="C953" t="str">
            <v>H</v>
          </cell>
          <cell r="D953">
            <v>0.54</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7.0000000000000007E-2</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0.09</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93.49</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66.61</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171.38</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21.33</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7.25</v>
          </cell>
        </row>
        <row r="981">
          <cell r="A981">
            <v>92963</v>
          </cell>
          <cell r="B981" t="str">
            <v>MARTELO PERFURADOR PNEUMÁTICO MANUAL, HASTE 25 X 75 MM, 21 KG - DEPRECIAÇÃO. AF_12/2015</v>
          </cell>
          <cell r="C981" t="str">
            <v>H</v>
          </cell>
          <cell r="D981">
            <v>1.1299999999999999</v>
          </cell>
        </row>
        <row r="982">
          <cell r="A982">
            <v>92964</v>
          </cell>
          <cell r="B982" t="str">
            <v>MARTELO PERFURADOR PNEUMÁTICO MANUAL, HASTE 25 X 75 MM, 21 KG - JUROS. AF_12/2015</v>
          </cell>
          <cell r="C982" t="str">
            <v>H</v>
          </cell>
          <cell r="D982">
            <v>0.25</v>
          </cell>
        </row>
        <row r="983">
          <cell r="A983">
            <v>92965</v>
          </cell>
          <cell r="B983" t="str">
            <v>MARTELO PERFURADOR PNEUMÁTICO MANUAL, HASTE 25 X 75 MM, 21 KG - MANUTENÇÃO. AF_12/2015</v>
          </cell>
          <cell r="C983" t="str">
            <v>H</v>
          </cell>
          <cell r="D983">
            <v>1.41</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184.24</v>
          </cell>
        </row>
        <row r="988">
          <cell r="A988">
            <v>93229</v>
          </cell>
          <cell r="B988" t="str">
            <v>BETONEIRA CAPACIDADE NOMINAL 400 L, CAPACIDADE DE MISTURA 310 L, MOTOR A GASOLINA POTÊNCIA 5,5 HP, SEM CARREGADOR - DEPRECIAÇÃO. AF_02/2016</v>
          </cell>
          <cell r="C988" t="str">
            <v>H</v>
          </cell>
          <cell r="D988">
            <v>0.28999999999999998</v>
          </cell>
        </row>
        <row r="989">
          <cell r="A989">
            <v>93230</v>
          </cell>
          <cell r="B989" t="str">
            <v>BETONEIRA CAPACIDADE NOMINAL 400 L, CAPACIDADE DE MISTURA 310 L, MOTOR A GASOLINA POTÊNCIA 5,5 HP, SEM CARREGADOR - JUROS. AF_02/2016</v>
          </cell>
          <cell r="C989" t="str">
            <v>H</v>
          </cell>
          <cell r="D989">
            <v>0.06</v>
          </cell>
        </row>
        <row r="990">
          <cell r="A990">
            <v>93231</v>
          </cell>
          <cell r="B990" t="str">
            <v>BETONEIRA CAPACIDADE NOMINAL 400 L, CAPACIDADE DE MISTURA 310 L, MOTOR A GASOLINA POTÊNCIA 5,5 HP, SEM CARREGADOR - MANUTENÇÃO. AF_02/2016</v>
          </cell>
          <cell r="C990" t="str">
            <v>H</v>
          </cell>
          <cell r="D990">
            <v>0.28000000000000003</v>
          </cell>
        </row>
        <row r="991">
          <cell r="A991">
            <v>93232</v>
          </cell>
          <cell r="B991" t="str">
            <v>BETONEIRA CAPACIDADE NOMINAL 400 L, CAPACIDADE DE MISTURA 310 L, MOTOR A GASOLINA POTÊNCIA 5,5 HP, SEM CARREGADOR - MATERIAIS NA OPERAÇÃO. AF_02/2016</v>
          </cell>
          <cell r="C991" t="str">
            <v>H</v>
          </cell>
          <cell r="D991">
            <v>3.67</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8.82</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8.68</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3.46</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16.28</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98.15</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32.729999999999997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8.5500000000000007</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41.63</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99.48</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1881.6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18.46</v>
          </cell>
        </row>
        <row r="1038">
          <cell r="A1038">
            <v>95114</v>
          </cell>
          <cell r="B1038" t="str">
            <v>MARTELETE OU ROMPEDOR PNEUMÁTICO MANUAL, 28 KG, COM SILENCIADOR - DEPRECIAÇÃO. AF_07/2016</v>
          </cell>
          <cell r="C1038" t="str">
            <v>H</v>
          </cell>
          <cell r="D1038">
            <v>1.1000000000000001</v>
          </cell>
        </row>
        <row r="1039">
          <cell r="A1039">
            <v>95115</v>
          </cell>
          <cell r="B1039" t="str">
            <v>MARTELETE OU ROMPEDOR PNEUMÁTICO MANUAL, 28 KG, COM SILENCIADOR - JUROS. AF_07/2016</v>
          </cell>
          <cell r="C1039" t="str">
            <v>H</v>
          </cell>
          <cell r="D1039">
            <v>0.24</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91.41</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19.989999999999998</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0.49</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0.34</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0.97</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1.22</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1.01</v>
          </cell>
        </row>
        <row r="1070">
          <cell r="A1070">
            <v>95263</v>
          </cell>
          <cell r="B1070" t="str">
            <v>COMPACTADOR DE SOLOS DE PERCUSÃO (SOQUETE) COM MOTOR A GASOLINA, POTÊNCIA 3 CV - MATERIAIS NA OPERAÇÃO. AF_09/2016</v>
          </cell>
          <cell r="C1070" t="str">
            <v>H</v>
          </cell>
          <cell r="D1070">
            <v>1.97</v>
          </cell>
        </row>
        <row r="1071">
          <cell r="A1071">
            <v>95266</v>
          </cell>
          <cell r="B1071" t="str">
            <v>RÉGUA VIBRATÓRIA DUPLA PARA CONCRETO, PESO DE 60KG, COMPRIMENTO 4 M, COM MOTOR A GASOLINA, POTÊNCIA 5,5 HP - DEPRECIAÇÃO. AF_09/2016</v>
          </cell>
          <cell r="C1071" t="str">
            <v>H</v>
          </cell>
          <cell r="D1071">
            <v>0.36</v>
          </cell>
        </row>
        <row r="1072">
          <cell r="A1072">
            <v>95267</v>
          </cell>
          <cell r="B1072" t="str">
            <v>RÉGUA VIBRATÓRIA DUPLA PARA CONCRETO, PESO DE 60KG, COMPRIMENTO 4 M, COM MOTOR A GASOLINA, POTÊNCIA 5,5 HP - JUROS. AF_09/2016</v>
          </cell>
          <cell r="C1072" t="str">
            <v>H</v>
          </cell>
          <cell r="D1072">
            <v>7.0000000000000007E-2</v>
          </cell>
        </row>
        <row r="1073">
          <cell r="A1073">
            <v>95268</v>
          </cell>
          <cell r="B1073" t="str">
            <v>RÉGUA VIBRATÓRIA DUPLA PARA CONCRETO, PESO DE 60KG, COMPRIMENTO 4 M, COM MOTOR A GASOLINA, POTÊNCIA 5,5 HP - MANUTENÇÃO. AF_09/2016</v>
          </cell>
          <cell r="C1073" t="str">
            <v>H</v>
          </cell>
          <cell r="D1073">
            <v>0.35</v>
          </cell>
        </row>
        <row r="1074">
          <cell r="A1074">
            <v>95269</v>
          </cell>
          <cell r="B1074" t="str">
            <v>RÉGUA VIBRATÓRIA DUPLA PARA CONCRETO, PESO DE 60KG, COMPRIMENTO 4 M, COM MOTOR A GASOLINA, POTÊNCIA 5,5 HP  MATERIAIS NA OPERAÇÃO. AF_09/2016</v>
          </cell>
          <cell r="C1074" t="str">
            <v>H</v>
          </cell>
          <cell r="D1074">
            <v>3.67</v>
          </cell>
        </row>
        <row r="1075">
          <cell r="A1075">
            <v>95272</v>
          </cell>
          <cell r="B1075" t="str">
            <v>POLIDORA DE PISO (POLITRIZ), PESO DE 100KG, DIÂMETRO 450 MM, MOTOR ELÉTRICO, POTÊNCIA 4 HP - DEPRECIAÇÃO. AF_09/2016</v>
          </cell>
          <cell r="C1075" t="str">
            <v>H</v>
          </cell>
          <cell r="D1075">
            <v>0.35</v>
          </cell>
        </row>
        <row r="1076">
          <cell r="A1076">
            <v>95273</v>
          </cell>
          <cell r="B1076" t="str">
            <v>POLIDORA DE PISO (POLITRIZ), PESO DE 100KG, DIÂMETRO 450 MM, MOTOR ELÉTRICO, POTÊNCIA 4 HP - JUROS. AF_09/2016</v>
          </cell>
          <cell r="C1076" t="str">
            <v>H</v>
          </cell>
          <cell r="D1076">
            <v>0.08</v>
          </cell>
        </row>
        <row r="1077">
          <cell r="A1077">
            <v>95274</v>
          </cell>
          <cell r="B1077" t="str">
            <v>POLIDORA DE PISO (POLITRIZ), PESO DE 100KG, DIÂMETRO 450 MM, MOTOR ELÉTRICO, POTÊNCIA 4 HP - MANUTENÇÃO. AF_09/2016</v>
          </cell>
          <cell r="C1077" t="str">
            <v>H</v>
          </cell>
          <cell r="D1077">
            <v>0.28000000000000003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0.39</v>
          </cell>
        </row>
        <row r="1080">
          <cell r="A1080">
            <v>95279</v>
          </cell>
          <cell r="B1080" t="str">
            <v>DESEMPENADEIRA DE CONCRETO, PESO DE 75KG, 4 PÁS, MOTOR A GASOLINA, POTÊNCIA 5,5 HP - JUROS. AF_09/2016</v>
          </cell>
          <cell r="C1080" t="str">
            <v>H</v>
          </cell>
          <cell r="D1080">
            <v>0.08</v>
          </cell>
        </row>
        <row r="1081">
          <cell r="A1081">
            <v>95280</v>
          </cell>
          <cell r="B1081" t="str">
            <v>DESEMPENADEIRA DE CONCRETO, PESO DE 75KG, 4 PÁS, MOTOR A GASOLINA, POTÊNCIA 5,5 HP - MANUTENÇÃO. AF_09/2016</v>
          </cell>
          <cell r="C1081" t="str">
            <v>H</v>
          </cell>
          <cell r="D1081">
            <v>0.3</v>
          </cell>
        </row>
        <row r="1082">
          <cell r="A1082">
            <v>95281</v>
          </cell>
          <cell r="B1082" t="str">
            <v>DESEMPENADEIRA DE CONCRETO, PESO DE 75KG, 4 PÁS, MOTOR A GASOLINA, POTÊNCIA 5,5 HP  MATERIAIS NA OPERAÇÃO. AF_09/2016</v>
          </cell>
          <cell r="C1082" t="str">
            <v>H</v>
          </cell>
          <cell r="D1082">
            <v>3.67</v>
          </cell>
        </row>
        <row r="1083">
          <cell r="A1083">
            <v>95617</v>
          </cell>
          <cell r="B1083" t="str">
            <v>PERFURATRIZ PNEUMATICA MANUAL DE PESO MEDIO, MARTELETE, 18KG, COMPRIMENTO MÁXIMO DE CURSO DE 6 M, DIAMETRO DO PISTAO DE 5,5 CM - DEPRECIAÇÃO. AF_11/2016</v>
          </cell>
          <cell r="C1083" t="str">
            <v>H</v>
          </cell>
          <cell r="D1083">
            <v>0.8</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65.81</v>
          </cell>
        </row>
        <row r="1090">
          <cell r="A1090">
            <v>95698</v>
          </cell>
          <cell r="B1090" t="str">
            <v>PERFURATRIZ MANUAL, TORQUE MAXIMO 55 KGF.M, POTENCIA 5 CV, COM DIAMETRO MAXIMO 8 1/2" - DEPRECIAÇÃO. AF_11/2016</v>
          </cell>
          <cell r="C1090" t="str">
            <v>H</v>
          </cell>
          <cell r="D1090">
            <v>3.25</v>
          </cell>
        </row>
        <row r="1091">
          <cell r="A1091">
            <v>95699</v>
          </cell>
          <cell r="B1091" t="str">
            <v>PERFURATRIZ MANUAL, TORQUE MAXIMO 55 KGF.M, POTENCIA 5 CV, COM DIAMETRO MAXIMO 8 1/2" - JUROS. AF_11/2016</v>
          </cell>
          <cell r="C1091" t="str">
            <v>H</v>
          </cell>
          <cell r="D1091">
            <v>0.73</v>
          </cell>
        </row>
        <row r="1092">
          <cell r="A1092">
            <v>95700</v>
          </cell>
          <cell r="B1092" t="str">
            <v>PERFURATRIZ MANUAL, TORQUE MAXIMO 55 KGF.M, POTENCIA 5 CV, COM DIAMETRO MAXIMO 8 1/2" - MANUTENÇÃO. AF_11/2016</v>
          </cell>
          <cell r="C1092" t="str">
            <v>H</v>
          </cell>
          <cell r="D1092">
            <v>4.0599999999999996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81.569999999999993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81.569999999999993</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169.5</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11.34</v>
          </cell>
        </row>
        <row r="1111">
          <cell r="A1111">
            <v>96009</v>
          </cell>
          <cell r="B1111" t="str">
            <v>TRATOR DE PNEUS COM POTÊNCIA DE 122 CV, TRAÇÃO 4X4, COM VASSOURA MECÂNICA ACOPLADA - JUROS. AF_02/2017</v>
          </cell>
          <cell r="C1111" t="str">
            <v>H</v>
          </cell>
          <cell r="D1111">
            <v>2.97</v>
          </cell>
        </row>
        <row r="1112">
          <cell r="A1112">
            <v>96011</v>
          </cell>
          <cell r="B1112" t="str">
            <v>TRATOR DE PNEUS COM POTÊNCIA DE 122 CV, TRAÇÃO 4X4, COM VASSOURA MECÂNICA ACOPLADA - MANUTENÇÃO. AF_02/2017</v>
          </cell>
          <cell r="C1112" t="str">
            <v>H</v>
          </cell>
          <cell r="D1112">
            <v>12.4</v>
          </cell>
        </row>
        <row r="1113">
          <cell r="A1113">
            <v>96012</v>
          </cell>
          <cell r="B1113" t="str">
            <v>TRATOR DE PNEUS COM POTÊNCIA DE 122 CV, TRAÇÃO 4X4, COM VASSOURA MECÂNICA ACOPLADA - MATERIAIS NA OPERAÇÃO. AF_02/2017</v>
          </cell>
          <cell r="C1113" t="str">
            <v>H</v>
          </cell>
          <cell r="D1113">
            <v>63.34</v>
          </cell>
        </row>
        <row r="1114">
          <cell r="A1114">
            <v>96015</v>
          </cell>
          <cell r="B1114" t="str">
            <v>TRATOR DE PNEUS COM POTÊNCIA DE 122 CV, TRAÇÃO 4X4, COM GRADE DE DISCOS ACOPLADA - DEPRECIAÇÃO. AF_02/2017</v>
          </cell>
          <cell r="C1114" t="str">
            <v>H</v>
          </cell>
          <cell r="D1114">
            <v>11.23</v>
          </cell>
        </row>
        <row r="1115">
          <cell r="A1115">
            <v>96016</v>
          </cell>
          <cell r="B1115" t="str">
            <v>TRATOR DE PNEUS COM POTÊNCIA DE 122 CV, TRAÇÃO 4X4, COM GRADE DE DISCOS ACOPLADA - JUROS. AF_02/2017</v>
          </cell>
          <cell r="C1115" t="str">
            <v>H</v>
          </cell>
          <cell r="D1115">
            <v>2.94</v>
          </cell>
        </row>
        <row r="1116">
          <cell r="A1116">
            <v>96018</v>
          </cell>
          <cell r="B1116" t="str">
            <v>TRATOR DE PNEUS COM POTÊNCIA DE 122 CV, TRAÇÃO 4X4, COM GRADE DE DISCOS ACOPLADA - MANUTENÇÃO. AF_02/2017</v>
          </cell>
          <cell r="C1116" t="str">
            <v>H</v>
          </cell>
          <cell r="D1116">
            <v>12.29</v>
          </cell>
        </row>
        <row r="1117">
          <cell r="A1117">
            <v>96019</v>
          </cell>
          <cell r="B1117" t="str">
            <v>TRATOR DE PNEUS COM POTÊNCIA DE 122 CV, TRAÇÃO 4X4, COM GRADE DE DISCOS ACOPLADA - MATERIAIS NA OPERAÇÃO. AF_02/2017</v>
          </cell>
          <cell r="C1117" t="str">
            <v>H</v>
          </cell>
          <cell r="D1117">
            <v>63.34</v>
          </cell>
        </row>
        <row r="1118">
          <cell r="A1118">
            <v>96023</v>
          </cell>
          <cell r="B1118" t="str">
            <v>TRATOR DE PNEUS COM POTÊNCIA DE 85 CV, TRAÇÃO 4X4, COM GRADE DE DISCOS ACOPLADA - DEPRECIAÇÃO. AF_02/2017</v>
          </cell>
          <cell r="C1118" t="str">
            <v>H</v>
          </cell>
          <cell r="D1118">
            <v>8.6999999999999993</v>
          </cell>
        </row>
        <row r="1119">
          <cell r="A1119">
            <v>96024</v>
          </cell>
          <cell r="B1119" t="str">
            <v>TRATOR DE PNEUS COM POTÊNCIA DE 85 CV, TRAÇÃO 4X4, COM GRADE DE DISCOS ACOPLADA - JUROS. AF_02/2017</v>
          </cell>
          <cell r="C1119" t="str">
            <v>H</v>
          </cell>
          <cell r="D1119">
            <v>2.2799999999999998</v>
          </cell>
        </row>
        <row r="1120">
          <cell r="A1120">
            <v>96026</v>
          </cell>
          <cell r="B1120" t="str">
            <v>TRATOR DE PNEUS COM POTÊNCIA DE 85 CV, TRAÇÃO 4X4, COM GRADE DE DISCOS ACOPLADA - MANUTENÇÃO. AF_02/2017</v>
          </cell>
          <cell r="C1120" t="str">
            <v>H</v>
          </cell>
          <cell r="D1120">
            <v>9.52</v>
          </cell>
        </row>
        <row r="1121">
          <cell r="A1121">
            <v>96027</v>
          </cell>
          <cell r="B1121" t="str">
            <v>TRATOR DE PNEUS COM POTÊNCIA DE 85 CV, TRAÇÃO 4X4, COM GRADE DE DISCOS ACOPLADA - MATERIAIS NA OPERAÇÃO. AF_02/2017</v>
          </cell>
          <cell r="C1121" t="str">
            <v>H</v>
          </cell>
          <cell r="D1121">
            <v>44.13</v>
          </cell>
        </row>
        <row r="1122">
          <cell r="A1122">
            <v>96030</v>
          </cell>
          <cell r="B1122" t="str">
            <v>CAMINHÃO BASCULANTE 10 M3, TRUCADO, POTÊNCIA 230 CV, INCLUSIVE CAÇAMBA METÁLICA, COM DISTRIBUIDOR DE AGREGADOS ACOPLADO - DEPRECIAÇÃO. AF_02/2017</v>
          </cell>
          <cell r="C1122" t="str">
            <v>H</v>
          </cell>
          <cell r="D1122">
            <v>15.86</v>
          </cell>
        </row>
        <row r="1123">
          <cell r="A1123">
            <v>96031</v>
          </cell>
          <cell r="B1123" t="str">
            <v>CAMINHÃO BASCULANTE 10 M3, TRUCADO, POTÊNCIA 230 CV, INCLUSIVE CAÇAMBA METÁLICA, COM DISTRIBUIDOR DE AGREGADOS ACOPLADO - JUROS. AF_02/2017</v>
          </cell>
          <cell r="C1123" t="str">
            <v>H</v>
          </cell>
          <cell r="D1123">
            <v>5.55</v>
          </cell>
        </row>
        <row r="1124">
          <cell r="A1124">
            <v>96032</v>
          </cell>
          <cell r="B1124" t="str">
            <v>CAMINHÃO BASCULANTE 10 M3, TRUCADO, POTÊNCIA 230 CV, INCLUSIVE CAÇAMBA METÁLICA, COM DISTRIBUIDOR DE AGREGADOS ACOPLADO - IMPOSTOS E SEGUROS. AF_02/2017</v>
          </cell>
          <cell r="C1124" t="str">
            <v>H</v>
          </cell>
          <cell r="D1124">
            <v>1.1299999999999999</v>
          </cell>
        </row>
        <row r="1125">
          <cell r="A1125">
            <v>96033</v>
          </cell>
          <cell r="B1125" t="str">
            <v>CAMINHÃO BASCULANTE 10 M3, TRUCADO, POTÊNCIA 230 CV, INCLUSIVE CAÇAMBA METÁLICA, COM DISTRIBUIDOR DE AGREGADOS ACOPLADO - MANUTENÇÃO. AF_02/2017</v>
          </cell>
          <cell r="C1125" t="str">
            <v>H</v>
          </cell>
          <cell r="D1125">
            <v>29.74</v>
          </cell>
        </row>
        <row r="1126">
          <cell r="A1126">
            <v>96034</v>
          </cell>
          <cell r="B1126" t="str">
            <v>CAMINHÃO BASCULANTE 10 M3, TRUCADO, POTÊNCIA 230 CV, INCLUSIVE CAÇAMBA METÁLICA, COM DISTRIBUIDOR DE AGREGADOS ACOPLADO - MATERIAIS NA OPERAÇÃO. AF_02/2017</v>
          </cell>
          <cell r="C1126" t="str">
            <v>H</v>
          </cell>
          <cell r="D1126">
            <v>119.44</v>
          </cell>
        </row>
        <row r="1127">
          <cell r="A1127">
            <v>96053</v>
          </cell>
          <cell r="B1127" t="str">
            <v>TRATOR DE PNEUS COM POTÊNCIA DE 85 CV, TRAÇÃO 4X4, COM VASSOURA MECÂNICA ACOPLADA - DEPRECIAÇÃO. AF_03/2017</v>
          </cell>
          <cell r="C1127" t="str">
            <v>H</v>
          </cell>
          <cell r="D1127">
            <v>8.81</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2.31</v>
          </cell>
        </row>
        <row r="1130">
          <cell r="A1130">
            <v>96056</v>
          </cell>
          <cell r="B1130" t="str">
            <v>TRATOR DE PNEUS COM POTÊNCIA DE 85 CV, TRAÇÃO 4X4, COM VASSOURA MECÂNICA ACOPLADA - MANUTENÇÃO. AF_03/2017</v>
          </cell>
          <cell r="C1130" t="str">
            <v>H</v>
          </cell>
          <cell r="D1130">
            <v>9.6300000000000008</v>
          </cell>
        </row>
        <row r="1131">
          <cell r="A1131">
            <v>96057</v>
          </cell>
          <cell r="B1131" t="str">
            <v>TRATOR DE PNEUS COM POTÊNCIA DE 85 CV, TRAÇÃO 4X4, COM VASSOURA MECÂNICA ACOPLADA - MATERIAIS NA OPERAÇÃO. AF_03/2017</v>
          </cell>
          <cell r="C1131" t="str">
            <v>H</v>
          </cell>
          <cell r="D1131">
            <v>44.13</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24.73</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15.79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57.89</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57.89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0.27</v>
          </cell>
        </row>
        <row r="1156">
          <cell r="A1156">
            <v>99830</v>
          </cell>
          <cell r="B1156" t="str">
            <v>LAVADORA DE ALTA PRESSAO (LAVA-JATO) PARA AGUA FRIA, PRESSAO DE OPERACAO ENTRE 1400 E 1900 LIB/POL2, VAZAO MAXIMA ENTRE 400 E 700 L/H - JUROS. AF_04/2019</v>
          </cell>
          <cell r="C1156" t="str">
            <v>H</v>
          </cell>
          <cell r="D1156">
            <v>0.06</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4.8899999999999997</v>
          </cell>
        </row>
        <row r="1160">
          <cell r="A1160">
            <v>92259</v>
          </cell>
          <cell r="B1160" t="str">
            <v>INSTALAÇÃO DE TESOURA (INTEIRA OU MEIA), BIAPOIADA, EM MADEIRA NÃO APARELHADA, PARA VÃOS MAIORES OU IGUAIS A 3,0 M E MENORES QUE 6,0 M, INCLUSO IÇAMENTO. AF_07/2019</v>
          </cell>
          <cell r="C1160" t="str">
            <v>UN</v>
          </cell>
          <cell r="D1160">
            <v>250.49</v>
          </cell>
        </row>
        <row r="1161">
          <cell r="A1161">
            <v>92260</v>
          </cell>
          <cell r="B1161" t="str">
            <v>INSTALAÇÃO DE TESOURA (INTEIRA OU MEIA), BIAPOIADA, EM MADEIRA NÃO APARELHADA, PARA VÃOS MAIORES OU IGUAIS A 6,0 M E MENORES QUE 8,0 M, INCLUSO IÇAMENTO. AF_07/2019</v>
          </cell>
          <cell r="C1161" t="str">
            <v>UN</v>
          </cell>
          <cell r="D1161">
            <v>298.44</v>
          </cell>
        </row>
        <row r="1162">
          <cell r="A1162">
            <v>92261</v>
          </cell>
          <cell r="B1162" t="str">
            <v>INSTALAÇÃO DE TESOURA (INTEIRA OU MEIA), BIAPOIADA, EM MADEIRA NÃO APARELHADA, PARA VÃOS MAIORES OU IGUAIS A 8,0 M E MENORES QUE 10,0 M, INCLUSO IÇAMENTO. AF_07/2019</v>
          </cell>
          <cell r="C1162" t="str">
            <v>UN</v>
          </cell>
          <cell r="D1162">
            <v>344.92</v>
          </cell>
        </row>
        <row r="1163">
          <cell r="A1163">
            <v>92262</v>
          </cell>
          <cell r="B1163" t="str">
            <v>INSTALAÇÃO DE TESOURA (INTEIRA OU MEIA), BIAPOIADA, EM MADEIRA NÃO APARELHADA, PARA VÃOS MAIORES OU IGUAIS A 10,0 M E MENORES QUE 12,0 M, INCLUSO IÇAMENTO. AF_07/2019</v>
          </cell>
          <cell r="C1163" t="str">
            <v>UN</v>
          </cell>
          <cell r="D1163">
            <v>419.77</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39.28</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46.27</v>
          </cell>
        </row>
        <row r="1166">
          <cell r="A1166">
            <v>92541</v>
          </cell>
          <cell r="B1166" t="str">
            <v>TRAMA DE MADEIRA COMPOSTA POR RIPAS, CAIBROS E TERÇAS PARA TELHADOS DE ATÉ 2 ÁGUAS PARA TELHA CERÂMICA CAPA-CANAL, INCLUSO TRANSPORTE VERTICAL. AF_07/2019</v>
          </cell>
          <cell r="C1166" t="str">
            <v>M2</v>
          </cell>
          <cell r="D1166">
            <v>41.83</v>
          </cell>
        </row>
        <row r="1167">
          <cell r="A1167">
            <v>92542</v>
          </cell>
          <cell r="B1167" t="str">
            <v>TRAMA DE MADEIRA COMPOSTA POR RIPAS, CAIBROS E TERÇAS PARA TELHADOS DE MAIS QUE 2 ÁGUAS PARA TELHA CERÂMICA CAPA-CANAL, INCLUSO TRANSPORTE VERTICAL. AF_07/2019</v>
          </cell>
          <cell r="C1167" t="str">
            <v>M2</v>
          </cell>
          <cell r="D1167">
            <v>52.18</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10.7</v>
          </cell>
        </row>
        <row r="1169">
          <cell r="A1169">
            <v>92544</v>
          </cell>
          <cell r="B1169" t="str">
            <v>TRAMA DE MADEIRA COMPOSTA POR TERÇAS PARA TELHADOS DE ATÉ 2 ÁGUAS PARA TELHA ESTRUTURAL DE FIBROCIMENTO, INCLUSO TRANSPORTE VERTICAL. AF_07/2019</v>
          </cell>
          <cell r="C1169" t="str">
            <v>M2</v>
          </cell>
          <cell r="D1169">
            <v>8.99</v>
          </cell>
        </row>
        <row r="1170">
          <cell r="A1170">
            <v>92545</v>
          </cell>
          <cell r="B1170" t="str">
            <v>FABRICAÇÃO E INSTALAÇÃO DE TESOURA INTEIRA EM MADEIRA NÃO APARELHADA, VÃO DE 3 M, PARA TELHA CERÂMICA OU DE CONCRETO, INCLUSO IÇAMENTO. AF_07/2019</v>
          </cell>
          <cell r="C1170" t="str">
            <v>UN</v>
          </cell>
          <cell r="D1170">
            <v>555.77</v>
          </cell>
        </row>
        <row r="1171">
          <cell r="A1171">
            <v>92546</v>
          </cell>
          <cell r="B1171" t="str">
            <v>FABRICAÇÃO E INSTALAÇÃO DE TESOURA INTEIRA EM MADEIRA NÃO APARELHADA, VÃO DE 4 M, PARA TELHA CERÂMICA OU DE CONCRETO, INCLUSO IÇAMENTO. AF_07/2019</v>
          </cell>
          <cell r="C1171" t="str">
            <v>UN</v>
          </cell>
          <cell r="D1171">
            <v>687.35</v>
          </cell>
        </row>
        <row r="1172">
          <cell r="A1172">
            <v>92547</v>
          </cell>
          <cell r="B1172" t="str">
            <v>FABRICAÇÃO E INSTALAÇÃO DE TESOURA INTEIRA EM MADEIRA NÃO APARELHADA, VÃO DE 5 M, PARA TELHA CERÂMICA OU DE CONCRETO, INCLUSO IÇAMENTO. AF_07/2019</v>
          </cell>
          <cell r="C1172" t="str">
            <v>UN</v>
          </cell>
          <cell r="D1172">
            <v>715.17</v>
          </cell>
        </row>
        <row r="1173">
          <cell r="A1173">
            <v>92548</v>
          </cell>
          <cell r="B1173" t="str">
            <v>FABRICAÇÃO E INSTALAÇÃO DE TESOURA INTEIRA EM MADEIRA NÃO APARELHADA, VÃO DE 6 M, PARA TELHA CERÂMICA OU DE CONCRETO, INCLUSO IÇAMENTO. AF_07/2019</v>
          </cell>
          <cell r="C1173" t="str">
            <v>UN</v>
          </cell>
          <cell r="D1173">
            <v>796.26</v>
          </cell>
        </row>
        <row r="1174">
          <cell r="A1174">
            <v>92549</v>
          </cell>
          <cell r="B1174" t="str">
            <v>FABRICAÇÃO E INSTALAÇÃO DE TESOURA INTEIRA EM MADEIRA NÃO APARELHADA, VÃO DE 7 M, PARA TELHA CERÂMICA OU DE CONCRETO, INCLUSO IÇAMENTO. AF_07/2019</v>
          </cell>
          <cell r="C1174" t="str">
            <v>UN</v>
          </cell>
          <cell r="D1174">
            <v>1026.22</v>
          </cell>
        </row>
        <row r="1175">
          <cell r="A1175">
            <v>92550</v>
          </cell>
          <cell r="B1175" t="str">
            <v>FABRICAÇÃO E INSTALAÇÃO DE TESOURA INTEIRA EM MADEIRA NÃO APARELHADA, VÃO DE 8 M, PARA TELHA CERÂMICA OU DE CONCRETO, INCLUSO IÇAMENTO. AF_07/2019</v>
          </cell>
          <cell r="C1175" t="str">
            <v>UN</v>
          </cell>
          <cell r="D1175">
            <v>1246.92</v>
          </cell>
        </row>
        <row r="1176">
          <cell r="A1176">
            <v>92551</v>
          </cell>
          <cell r="B1176" t="str">
            <v>FABRICAÇÃO E INSTALAÇÃO DE TESOURA INTEIRA EM MADEIRA NÃO APARELHADA, VÃO DE 9 M, PARA TELHA CERÂMICA OU DE CONCRETO, INCLUSO IÇAMENTO. AF_07/2019</v>
          </cell>
          <cell r="C1176" t="str">
            <v>UN</v>
          </cell>
          <cell r="D1176">
            <v>1283.54</v>
          </cell>
        </row>
        <row r="1177">
          <cell r="A1177">
            <v>92552</v>
          </cell>
          <cell r="B1177" t="str">
            <v>FABRICAÇÃO E INSTALAÇÃO DE TESOURA INTEIRA EM MADEIRA NÃO APARELHADA, VÃO DE 10 M, PARA TELHA CERÂMICA OU DE CONCRETO, INCLUSO IÇAMENTO. AF_07/2019</v>
          </cell>
          <cell r="C1177" t="str">
            <v>UN</v>
          </cell>
          <cell r="D1177">
            <v>1400.35</v>
          </cell>
        </row>
        <row r="1178">
          <cell r="A1178">
            <v>92553</v>
          </cell>
          <cell r="B1178" t="str">
            <v>FABRICAÇÃO E INSTALAÇÃO DE TESOURA INTEIRA EM MADEIRA NÃO APARELHADA, VÃO DE 11 M, PARA TELHA CERÂMICA OU DE CONCRETO, INCLUSO IÇAMENTO. AF_07/2019</v>
          </cell>
          <cell r="C1178" t="str">
            <v>UN</v>
          </cell>
          <cell r="D1178">
            <v>1637.69</v>
          </cell>
        </row>
        <row r="1179">
          <cell r="A1179">
            <v>92554</v>
          </cell>
          <cell r="B1179" t="str">
            <v>FABRICAÇÃO E INSTALAÇÃO DE TESOURA INTEIRA EM MADEIRA NÃO APARELHADA, VÃO DE 12 M, PARA TELHA CERÂMICA OU DE CONCRETO, INCLUSO IÇAMENTO. AF_07/2019</v>
          </cell>
          <cell r="C1179" t="str">
            <v>UN</v>
          </cell>
          <cell r="D1179">
            <v>1679.28</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550.45000000000005</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678.56</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706.38</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790.93</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1016.85</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1232.6199999999999</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1269.8800000000001</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1377.9</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1610.38</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1646.07</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20.83</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11.59</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18.079999999999998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20.83</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28.68</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32.909999999999997</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12.77</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13.75</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18.079999999999998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23.92</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29.21</v>
          </cell>
        </row>
        <row r="1201">
          <cell r="A1201">
            <v>100388</v>
          </cell>
          <cell r="B1201" t="str">
            <v>RETIRADA E RECOLOCAÇÃO DE RIPA EM TELHADOS DE ATÉ 2 ÁGUAS COM TELHA CERÂMICA OU DE CONCRETO DE ENCAIXE, INCLUSO TRANSPORTE VERTICAL. AF_07/2019</v>
          </cell>
          <cell r="C1201" t="str">
            <v>M2</v>
          </cell>
          <cell r="D1201">
            <v>12.05</v>
          </cell>
        </row>
        <row r="1202">
          <cell r="A1202">
            <v>100389</v>
          </cell>
          <cell r="B1202" t="str">
            <v>RETIRADA E RECOLOCAÇÃO DE CAIBRO EM TELHADOS DE ATÉ 2 ÁGUAS COM TELHA CERÂMICA OU DE CONCRETO DE ENCAIXE, INCLUSO TRANSPORTE VERTICAL. AF_07/2019</v>
          </cell>
          <cell r="C1202" t="str">
            <v>M2</v>
          </cell>
          <cell r="D1202">
            <v>11.03</v>
          </cell>
        </row>
        <row r="1203">
          <cell r="A1203">
            <v>100390</v>
          </cell>
          <cell r="B1203" t="str">
            <v>RETIRADA E RECOLOCAÇÃO DE RIPA EM TELHADOS DE MAIS DE 2 ÁGUAS COM TELHA CERÂMICA OU DE CONCRETO DE ENCAIXE, INCLUSO TRANSPORTE VERTICAL. AF_07/2019</v>
          </cell>
          <cell r="C1203" t="str">
            <v>M2</v>
          </cell>
          <cell r="D1203">
            <v>14.87</v>
          </cell>
        </row>
        <row r="1204">
          <cell r="A1204">
            <v>100391</v>
          </cell>
          <cell r="B1204" t="str">
            <v>RETIRADA E RECOLOCAÇÃO DE CAIBRO EM TELHADOS DE MAIS DE 2 ÁGUAS COM TELHA CERÂMICA OU DE CONCRETO DE ENCAIXE, INCLUSO TRANSPORTE VERTICAL. AF_07/2019</v>
          </cell>
          <cell r="C1204" t="str">
            <v>M2</v>
          </cell>
          <cell r="D1204">
            <v>12.98</v>
          </cell>
        </row>
        <row r="1205">
          <cell r="A1205">
            <v>100392</v>
          </cell>
          <cell r="B1205" t="str">
            <v>RETIRADA E RECOLOCAÇÃO DE RIPA EM TELHADOS DE ATÉ 2 ÁGUAS COM TELHA CERÂMICA CAPA-CANAL, INCLUSO TRANSPORTE VERTICAL. AF_07/2019</v>
          </cell>
          <cell r="C1205" t="str">
            <v>M2</v>
          </cell>
          <cell r="D1205">
            <v>9.48</v>
          </cell>
        </row>
        <row r="1206">
          <cell r="A1206">
            <v>100393</v>
          </cell>
          <cell r="B1206" t="str">
            <v>RETIRADA E RECOLOCAÇÃO DE CAIBRO EM TELHADOS DE ATÉ 2 ÁGUAS COM TELHA CERÂMICA CAPA-CANAL, INCLUSO TRANSPORTE VERTICAL. AF_07/2019</v>
          </cell>
          <cell r="C1206" t="str">
            <v>M2</v>
          </cell>
          <cell r="D1206">
            <v>12.67</v>
          </cell>
        </row>
        <row r="1207">
          <cell r="A1207">
            <v>100394</v>
          </cell>
          <cell r="B1207" t="str">
            <v>RETIRADA E RECOLOCAÇÃO DE RIPA EM TELHADOS DE MAIS DE 2 ÁGUAS COM TELHA CERÂMICA CAPA-CANAL, INCLUSO TRANSPORTE VERTICAL. AF_07/2019</v>
          </cell>
          <cell r="C1207" t="str">
            <v>M2</v>
          </cell>
          <cell r="D1207">
            <v>11.7</v>
          </cell>
        </row>
        <row r="1208">
          <cell r="A1208">
            <v>100395</v>
          </cell>
          <cell r="B1208" t="str">
            <v>RETIRADA E RECOLOCAÇÃO DE CAIBRO EM TELHADOS DE MAIS DE 2 ÁGUAS COM TELHA CERÂMICA CAPA-CANAL, INCLUSO TRANSPORTE VERTICAL. AF_07/2019</v>
          </cell>
          <cell r="C1208" t="str">
            <v>M2</v>
          </cell>
          <cell r="D1208">
            <v>15.49</v>
          </cell>
        </row>
        <row r="1209">
          <cell r="A1209">
            <v>94189</v>
          </cell>
          <cell r="B1209" t="str">
            <v>TELHAMENTO COM TELHA DE CONCRETO DE ENCAIXE, COM ATÉ 2 ÁGUAS, INCLUSO TRANSPORTE VERTICAL. AF_07/2019</v>
          </cell>
          <cell r="C1209" t="str">
            <v>M2</v>
          </cell>
          <cell r="D1209">
            <v>27.02</v>
          </cell>
        </row>
        <row r="1210">
          <cell r="A1210">
            <v>94192</v>
          </cell>
          <cell r="B1210" t="str">
            <v>TELHAMENTO COM TELHA DE CONCRETO DE ENCAIXE, COM MAIS DE 2 ÁGUAS, INCLUSO TRANSPORTE VERTICAL. AF_07/2019</v>
          </cell>
          <cell r="C1210" t="str">
            <v>M2</v>
          </cell>
          <cell r="D1210">
            <v>29.06</v>
          </cell>
        </row>
        <row r="1211">
          <cell r="A1211">
            <v>94195</v>
          </cell>
          <cell r="B1211" t="str">
            <v>TELHAMENTO COM TELHA CERÂMICA DE ENCAIXE, TIPO PORTUGUESA, COM ATÉ 2 ÁGUAS, INCLUSO TRANSPORTE VERTICAL. AF_07/2019</v>
          </cell>
          <cell r="C1211" t="str">
            <v>M2</v>
          </cell>
          <cell r="D1211">
            <v>37.799999999999997</v>
          </cell>
        </row>
        <row r="1212">
          <cell r="A1212">
            <v>94198</v>
          </cell>
          <cell r="B1212" t="str">
            <v>TELHAMENTO COM TELHA CERÂMICA DE ENCAIXE, TIPO PORTUGUESA, COM MAIS DE 2 ÁGUAS, INCLUSO TRANSPORTE VERTICAL. AF_07/2019</v>
          </cell>
          <cell r="C1212" t="str">
            <v>M2</v>
          </cell>
          <cell r="D1212">
            <v>40.49</v>
          </cell>
        </row>
        <row r="1213">
          <cell r="A1213">
            <v>94201</v>
          </cell>
          <cell r="B1213" t="str">
            <v>TELHAMENTO COM TELHA CERÂMICA CAPA-CANAL, TIPO COLONIAL, COM ATÉ 2 ÁGUAS, INCLUSO TRANSPORTE VERTICAL. AF_07/2019</v>
          </cell>
          <cell r="C1213" t="str">
            <v>M2</v>
          </cell>
          <cell r="D1213">
            <v>53.3</v>
          </cell>
        </row>
        <row r="1214">
          <cell r="A1214">
            <v>94204</v>
          </cell>
          <cell r="B1214" t="str">
            <v>TELHAMENTO COM TELHA CERÂMICA CAPA-CANAL, TIPO COLONIAL, COM MAIS DE 2 ÁGUAS, INCLUSO TRANSPORTE VERTICAL. AF_07/2019</v>
          </cell>
          <cell r="C1214" t="str">
            <v>M2</v>
          </cell>
          <cell r="D1214">
            <v>57.89</v>
          </cell>
        </row>
        <row r="1215">
          <cell r="A1215">
            <v>94224</v>
          </cell>
          <cell r="B1215" t="str">
            <v>EMBOÇAMENTO COM ARGAMASSA TRAÇO 1:2:9 (CIMENTO, CAL E AREIA). AF_07/2019</v>
          </cell>
          <cell r="C1215" t="str">
            <v>M</v>
          </cell>
          <cell r="D1215">
            <v>19.34</v>
          </cell>
        </row>
        <row r="1216">
          <cell r="A1216">
            <v>94225</v>
          </cell>
          <cell r="B1216" t="str">
            <v>ISOLAMENTO TERMOACÚSTICO COM LÃ MINERAL NA SUBCOBERTURA, INCLUSO TRANSPORTE VERTICAL. AF_07/2019</v>
          </cell>
          <cell r="C1216" t="str">
            <v>M2</v>
          </cell>
          <cell r="D1216">
            <v>27.89</v>
          </cell>
        </row>
        <row r="1217">
          <cell r="A1217">
            <v>94226</v>
          </cell>
          <cell r="B1217" t="str">
            <v>SUBCOBERTURA COM MANTA PLÁSTICA REVESTIDA POR PELÍCULA DE ALUMÍNO, INCLUSO TRANSPORTE VERTICAL. AF_07/2019</v>
          </cell>
          <cell r="C1217" t="str">
            <v>M2</v>
          </cell>
          <cell r="D1217">
            <v>14.5</v>
          </cell>
        </row>
        <row r="1218">
          <cell r="A1218">
            <v>94232</v>
          </cell>
          <cell r="B1218" t="str">
            <v>AMARRAÇÃO DE TELHAS CERÂMICAS OU DE CONCRETO. AF_07/2019</v>
          </cell>
          <cell r="C1218" t="str">
            <v>UN</v>
          </cell>
          <cell r="D1218">
            <v>2.27</v>
          </cell>
        </row>
        <row r="1219">
          <cell r="A1219">
            <v>94440</v>
          </cell>
          <cell r="B1219" t="str">
            <v>TELHAMENTO COM TELHA CERÂMICA DE ENCAIXE, TIPO FRANCESA, COM ATÉ 2 ÁGUAS, INCLUSO TRANSPORTE VERTICAL. AF_07/2019</v>
          </cell>
          <cell r="C1219" t="str">
            <v>M2</v>
          </cell>
          <cell r="D1219">
            <v>37.799999999999997</v>
          </cell>
        </row>
        <row r="1220">
          <cell r="A1220">
            <v>94441</v>
          </cell>
          <cell r="B1220" t="str">
            <v>TELHAMENTO COM TELHA CERÂMICA DE ENCAIXE, TIPO FRANCESA, COM MAIS DE 2 ÁGUAS, INCLUSO TRANSPORTE VERTICAL. AF_07/2019</v>
          </cell>
          <cell r="C1220" t="str">
            <v>M2</v>
          </cell>
          <cell r="D1220">
            <v>40.49</v>
          </cell>
        </row>
        <row r="1221">
          <cell r="A1221">
            <v>94442</v>
          </cell>
          <cell r="B1221" t="str">
            <v>TELHAMENTO COM TELHA CERÂMICA DE ENCAIXE, TIPO ROMANA, COM ATÉ 2 ÁGUAS, INCLUSO TRANSPORTE VERTICAL. AF_07/2019</v>
          </cell>
          <cell r="C1221" t="str">
            <v>M2</v>
          </cell>
          <cell r="D1221">
            <v>37.799999999999997</v>
          </cell>
        </row>
        <row r="1222">
          <cell r="A1222">
            <v>94443</v>
          </cell>
          <cell r="B1222" t="str">
            <v>TELHAMENTO COM TELHA CERÂMICA DE ENCAIXE, TIPO ROMANA, COM MAIS DE 2 ÁGUAS, INCLUSO TRANSPORTE VERTICAL. AF_07/2019</v>
          </cell>
          <cell r="C1222" t="str">
            <v>M2</v>
          </cell>
          <cell r="D1222">
            <v>40.49</v>
          </cell>
        </row>
        <row r="1223">
          <cell r="A1223">
            <v>94445</v>
          </cell>
          <cell r="B1223" t="str">
            <v>TELHAMENTO COM TELHA CERÂMICA CAPA-CANAL, TIPO PLAN, COM ATÉ 2 ÁGUAS, INCLUSO TRANSPORTE VERTICAL. AF_07/2019</v>
          </cell>
          <cell r="C1223" t="str">
            <v>M2</v>
          </cell>
          <cell r="D1223">
            <v>53.3</v>
          </cell>
        </row>
        <row r="1224">
          <cell r="A1224">
            <v>94446</v>
          </cell>
          <cell r="B1224" t="str">
            <v>TELHAMENTO COM TELHA CERÂMICA CAPA-CANAL, TIPO PLAN, COM MAIS DE 2 ÁGUAS, INCLUSO TRANSPORTE VERTICAL. AF_07/2019</v>
          </cell>
          <cell r="C1224" t="str">
            <v>M2</v>
          </cell>
          <cell r="D1224">
            <v>57.89</v>
          </cell>
        </row>
        <row r="1225">
          <cell r="A1225">
            <v>94447</v>
          </cell>
          <cell r="B1225" t="str">
            <v>TELHAMENTO COM TELHA CERÂMICA CAPA-CANAL, TIPO PAULISTA, COM ATÉ 2 ÁGUAS, INCLUSO TRANSPORTE VERTICAL. AF_07/2019</v>
          </cell>
          <cell r="C1225" t="str">
            <v>M2</v>
          </cell>
          <cell r="D1225">
            <v>53.3</v>
          </cell>
        </row>
        <row r="1226">
          <cell r="A1226">
            <v>94448</v>
          </cell>
          <cell r="B1226" t="str">
            <v>TELHAMENTO COM TELHA CERÂMICA CAPA-CANAL, TIPO PAULISTA, COM MAIS DE 2 ÁGUAS, INCLUSO TRANSPORTE VERTICAL. AF_07/2019</v>
          </cell>
          <cell r="C1226" t="str">
            <v>M2</v>
          </cell>
          <cell r="D1226">
            <v>57.89</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32.869999999999997</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34.979999999999997</v>
          </cell>
        </row>
        <row r="1229">
          <cell r="A1229">
            <v>94218</v>
          </cell>
          <cell r="B1229" t="str">
            <v>TELHAMENTO COM TELHA ESTRUTURAL DE FIBROCIMENTO E= 6 MM, COM ATÉ 2 ÁGUAS, INCLUSO IÇAMENTO. AF_07/2019</v>
          </cell>
          <cell r="C1229" t="str">
            <v>M2</v>
          </cell>
          <cell r="D1229">
            <v>71.569999999999993</v>
          </cell>
        </row>
        <row r="1230">
          <cell r="A1230" t="str">
            <v>73866/4</v>
          </cell>
          <cell r="B1230" t="str">
            <v>ESTRUTURA PARA COBERTURA EM ARCO, EM ALUMINIO ANODIZADO, VAO DE 20M, ESPACAMENTO DE 5M ATE 6,5M</v>
          </cell>
          <cell r="C1230" t="str">
            <v>M2</v>
          </cell>
          <cell r="D1230">
            <v>433.88</v>
          </cell>
        </row>
        <row r="1231">
          <cell r="A1231" t="str">
            <v>73866/5</v>
          </cell>
          <cell r="B1231" t="str">
            <v>ESTRUTURA PARA COBERTURA EM ARCO, EM ALUMINIO ANODIZADO, VAO DE 30M, ESPACAMENTO DE 5M ATE 6,5M</v>
          </cell>
          <cell r="C1231" t="str">
            <v>M2</v>
          </cell>
          <cell r="D1231">
            <v>461.6</v>
          </cell>
        </row>
        <row r="1232">
          <cell r="A1232" t="str">
            <v>73866/6</v>
          </cell>
          <cell r="B1232" t="str">
            <v>ESTRUTURA PARA COBERTURA EM ARCO, EM ALUMINIO ANODIZADO, VAO DE 40M, ESPACAMENTO DE 5M ATE 6,5M</v>
          </cell>
          <cell r="C1232" t="str">
            <v>M2</v>
          </cell>
          <cell r="D1232">
            <v>483.76</v>
          </cell>
        </row>
        <row r="1233">
          <cell r="A1233" t="str">
            <v>73866/7</v>
          </cell>
          <cell r="B1233" t="str">
            <v>ESTRUTURA PARA COBERTURA TIPO SHED, EM ALUMINIO ANODIZADO, VAO DE 20M, ESPACAMENTO DAS TESOURAS DE 5M ATE 6,5M</v>
          </cell>
          <cell r="C1233" t="str">
            <v>M2</v>
          </cell>
          <cell r="D1233">
            <v>520.04</v>
          </cell>
        </row>
        <row r="1234">
          <cell r="A1234" t="str">
            <v>73866/8</v>
          </cell>
          <cell r="B1234" t="str">
            <v>ESTRUTURA PARA COBERTURA TIPO SHED, EM ALUMINIO ANODIZADO, VAO DE 30M, ESPACAMENTO DAS TESOURAS DE 5M ATE 6,5M</v>
          </cell>
          <cell r="C1234" t="str">
            <v>M2</v>
          </cell>
          <cell r="D1234">
            <v>626.29999999999995</v>
          </cell>
        </row>
        <row r="1235">
          <cell r="A1235" t="str">
            <v>73866/9</v>
          </cell>
          <cell r="B1235" t="str">
            <v>ESTRUTURA PARA COBERTURA TIPO SHED, EM ALUMINIO ANODIZADO, VAO DE 40M, ESPACAMENTO DAS TESOURAS DE 5M ATE 6,5M</v>
          </cell>
          <cell r="C1235" t="str">
            <v>M2</v>
          </cell>
          <cell r="D1235">
            <v>649.62</v>
          </cell>
        </row>
        <row r="1236">
          <cell r="A1236" t="str">
            <v>73867/1</v>
          </cell>
          <cell r="B1236" t="str">
            <v>ESTRUTURA TIPO ESPACIAL EM ALUMINIO ANODIZADO, VAO DE 20M</v>
          </cell>
          <cell r="C1236" t="str">
            <v>M2</v>
          </cell>
          <cell r="D1236">
            <v>201.03</v>
          </cell>
        </row>
        <row r="1237">
          <cell r="A1237" t="str">
            <v>73867/2</v>
          </cell>
          <cell r="B1237" t="str">
            <v>ESTRUTURA TIPO ESPACIAL EM ALUMINIO ANODIZADO, VAO DE 30M</v>
          </cell>
          <cell r="C1237" t="str">
            <v>M2</v>
          </cell>
          <cell r="D1237">
            <v>225.87</v>
          </cell>
        </row>
        <row r="1238">
          <cell r="A1238" t="str">
            <v>73867/3</v>
          </cell>
          <cell r="B1238" t="str">
            <v>ESTRUTURA TIPO ESPACIAL EM ALUMINIO ANODIZADO, VAO DE 40M</v>
          </cell>
          <cell r="C1238" t="str">
            <v>M2</v>
          </cell>
          <cell r="D1238">
            <v>281.07</v>
          </cell>
        </row>
        <row r="1239">
          <cell r="A1239" t="str">
            <v>73867/4</v>
          </cell>
          <cell r="B1239" t="str">
            <v>ESTRUTURA TIPO ESPACIAL EM ALUMINIO ANODIZADO, VAO DE 50M</v>
          </cell>
          <cell r="C1239" t="str">
            <v>M2</v>
          </cell>
          <cell r="D1239">
            <v>292.11</v>
          </cell>
        </row>
        <row r="1240">
          <cell r="A1240">
            <v>94213</v>
          </cell>
          <cell r="B1240" t="str">
            <v>TELHAMENTO COM TELHA DE AÇO/ALUMÍNIO E = 0,5 MM, COM ATÉ 2 ÁGUAS, INCLUSO IÇAMENTO. AF_07/2019</v>
          </cell>
          <cell r="C1240" t="str">
            <v>M2</v>
          </cell>
          <cell r="D1240">
            <v>40.020000000000003</v>
          </cell>
        </row>
        <row r="1241">
          <cell r="A1241">
            <v>94216</v>
          </cell>
          <cell r="B1241" t="str">
            <v>TELHAMENTO COM TELHA METÁLICA TERMOACÚSTICA E = 30 MM, COM ATÉ 2 ÁGUAS, INCLUSO IÇAMENTO. AF_07/2019</v>
          </cell>
          <cell r="C1241" t="str">
            <v>M2</v>
          </cell>
          <cell r="D1241">
            <v>166.91</v>
          </cell>
        </row>
        <row r="1242">
          <cell r="A1242">
            <v>94219</v>
          </cell>
          <cell r="B1242" t="str">
            <v>CUMEEIRA E ESPIGÃO PARA TELHA CERÂMICA EMBOÇADA COM ARGAMASSA TRAÇO 1:2:9 (CIMENTO, CAL E AREIA), PARA TELHADOS COM MAIS DE 2 ÁGUAS, INCLUSO TRANSPORTE VERTICAL. AF_07/2019</v>
          </cell>
          <cell r="C1242" t="str">
            <v>M</v>
          </cell>
          <cell r="D1242">
            <v>28.19</v>
          </cell>
        </row>
        <row r="1243">
          <cell r="A1243">
            <v>94220</v>
          </cell>
          <cell r="B1243" t="str">
            <v>CUMEEIRA E ESPIGÃO PARA TELHA DE CONCRETO EMBOÇADA COM ARGAMASSA TRAÇO 1:2:9 (CIMENTO, CAL E AREIA), PARA TELHADOS COM MAIS DE 2 ÁGUAS, INCLUSO TRANSPORTE VERTICAL. AF_07/2019</v>
          </cell>
          <cell r="C1243" t="str">
            <v>M</v>
          </cell>
          <cell r="D1243">
            <v>38.450000000000003</v>
          </cell>
        </row>
        <row r="1244">
          <cell r="A1244">
            <v>94221</v>
          </cell>
          <cell r="B1244" t="str">
            <v>CUMEEIRA PARA TELHA CERÂMICA EMBOÇADA COM ARGAMASSA TRAÇO 1:2:9 (CIMENTO, CAL E AREIA) PARA TELHADOS COM ATÉ 2 ÁGUAS, INCLUSO TRANSPORTE VERTICAL. AF_07/2019</v>
          </cell>
          <cell r="C1244" t="str">
            <v>M</v>
          </cell>
          <cell r="D1244">
            <v>22.87</v>
          </cell>
        </row>
        <row r="1245">
          <cell r="A1245">
            <v>94222</v>
          </cell>
          <cell r="B1245" t="str">
            <v>CUMEEIRA PARA TELHA DE CONCRETO EMBOÇADA COM ARGAMASSA TRAÇO 1:2:9 (CIMENTO, CAL E AREIA) PARA TELHADOS COM ATÉ 2 ÁGUAS, INCLUSO TRANSPORTE VERTICAL. AF_07/2019</v>
          </cell>
          <cell r="C1245" t="str">
            <v>M</v>
          </cell>
          <cell r="D1245">
            <v>33.130000000000003</v>
          </cell>
        </row>
        <row r="1246">
          <cell r="A1246">
            <v>94223</v>
          </cell>
          <cell r="B1246" t="str">
            <v>CUMEEIRA PARA TELHA DE FIBROCIMENTO ONDULADA E = 6 MM, INCLUSO ACESSÓRIOS DE FIXAÇÃO E IÇAMENTO. AF_07/2019</v>
          </cell>
          <cell r="C1246" t="str">
            <v>M</v>
          </cell>
          <cell r="D1246">
            <v>41.22</v>
          </cell>
        </row>
        <row r="1247">
          <cell r="A1247">
            <v>94451</v>
          </cell>
          <cell r="B1247" t="str">
            <v>CUMEEIRA PARA TELHA DE FIBROCIMENTO ESTRUTURAL E = 6 MM, INCLUSO ACESSÓRIOS DE FIXAÇÃO E IÇAMENTO. AF_07/2019</v>
          </cell>
          <cell r="C1247" t="str">
            <v>M</v>
          </cell>
          <cell r="D1247">
            <v>92.72</v>
          </cell>
        </row>
        <row r="1248">
          <cell r="A1248">
            <v>100325</v>
          </cell>
          <cell r="B1248" t="str">
            <v>CUMEEIRA SHED PARA TELHA ONDULADA DE FIBROCIMENTO, E = 6 MM, INCLUSO ACESSÓRIOS DE FIXAÇÃO E IÇAMENTO. AF_07/2019</v>
          </cell>
          <cell r="C1248" t="str">
            <v>M</v>
          </cell>
          <cell r="D1248">
            <v>39.57</v>
          </cell>
        </row>
        <row r="1249">
          <cell r="A1249">
            <v>100327</v>
          </cell>
          <cell r="B1249" t="str">
            <v>RUFO EXTERNO/INTERNO EM CHAPA DE AÇO GALVANIZADO NÚMERO 26, CORTE DE 33 CM, INCLUSO IÇAMENTO. AF_07/2019</v>
          </cell>
          <cell r="C1249" t="str">
            <v>M</v>
          </cell>
          <cell r="D1249">
            <v>42.42</v>
          </cell>
        </row>
        <row r="1250">
          <cell r="A1250">
            <v>100328</v>
          </cell>
          <cell r="B1250" t="str">
            <v>RETIRADA E RECOLOCAÇÃO DE  TELHA CERÂMICA DE ENCAIXE, COM ATÉ DUAS ÁGUAS, INCLUSO IÇAMENTO. AF_07/2019</v>
          </cell>
          <cell r="C1250" t="str">
            <v>M2</v>
          </cell>
          <cell r="D1250">
            <v>12.77</v>
          </cell>
        </row>
        <row r="1251">
          <cell r="A1251">
            <v>100329</v>
          </cell>
          <cell r="B1251" t="str">
            <v>RETIRADA E RECOLOCAÇÃO DE  TELHA CERÂMICA DE ENCAIXE, COM MAIS DE DUAS ÁGUAS, INCLUSO IÇAMENTO. AF_07/2019</v>
          </cell>
          <cell r="C1251" t="str">
            <v>M2</v>
          </cell>
          <cell r="D1251">
            <v>15.47</v>
          </cell>
        </row>
        <row r="1252">
          <cell r="A1252">
            <v>100330</v>
          </cell>
          <cell r="B1252" t="str">
            <v>RETIRADA E RECOLOCAÇÃO DE  TELHA CERÂMICA CAPA-CANAL, COM ATÉ DUAS ÁGUAS, INCLUSO IÇAMENTO. AF_07/2019</v>
          </cell>
          <cell r="C1252" t="str">
            <v>M2</v>
          </cell>
          <cell r="D1252">
            <v>17.329999999999998</v>
          </cell>
        </row>
        <row r="1253">
          <cell r="A1253">
            <v>100331</v>
          </cell>
          <cell r="B1253" t="str">
            <v>RETIRADA E RECOLOCAÇÃO DE  TELHA CERÂMICA CAPA-CANAL, COM MAIS DE DUAS ÁGUAS, INCLUSO IÇAMENTO. AF_07/2019</v>
          </cell>
          <cell r="C1253" t="str">
            <v>M2</v>
          </cell>
          <cell r="D1253">
            <v>21.93</v>
          </cell>
        </row>
        <row r="1254">
          <cell r="A1254">
            <v>100434</v>
          </cell>
          <cell r="B1254" t="str">
            <v>CALHA DE BEIRAL, SEMICIRCULAR DE PVC, DIAMETRO 125 MM, INCLUINDO CABECEIRAS, EMENDAS, BOCAIS, SUPORTES E VEDAÇÕES, EXCLUINDO CONDUTORES, INCLUSO TRANSPORTE VERTICAL. AF_07/2019</v>
          </cell>
          <cell r="C1254" t="str">
            <v>M</v>
          </cell>
          <cell r="D1254">
            <v>53.35</v>
          </cell>
        </row>
        <row r="1255">
          <cell r="A1255">
            <v>100435</v>
          </cell>
          <cell r="B1255" t="str">
            <v>RUFO EM FIBROCIMENTO PARA TELHA ONDULADA E = 6 MM, ABA DE 26 CM, INCLUSO TRANSPORTE VERTICAL, EXCETO CONTRARRUFO. AF_07/2019</v>
          </cell>
          <cell r="C1255" t="str">
            <v>M</v>
          </cell>
          <cell r="D1255">
            <v>22.21</v>
          </cell>
        </row>
        <row r="1256">
          <cell r="A1256">
            <v>94227</v>
          </cell>
          <cell r="B1256" t="str">
            <v>CALHA EM CHAPA DE AÇO GALVANIZADO NÚMERO 24, DESENVOLVIMENTO DE 33 CM, INCLUSO TRANSPORTE VERTICAL. AF_07/2019</v>
          </cell>
          <cell r="C1256" t="str">
            <v>M</v>
          </cell>
          <cell r="D1256">
            <v>42.51</v>
          </cell>
        </row>
        <row r="1257">
          <cell r="A1257">
            <v>94228</v>
          </cell>
          <cell r="B1257" t="str">
            <v>CALHA EM CHAPA DE AÇO GALVANIZADO NÚMERO 24, DESENVOLVIMENTO DE 50 CM, INCLUSO TRANSPORTE VERTICAL. AF_07/2019</v>
          </cell>
          <cell r="C1257" t="str">
            <v>M</v>
          </cell>
          <cell r="D1257">
            <v>63.53</v>
          </cell>
        </row>
        <row r="1258">
          <cell r="A1258">
            <v>94229</v>
          </cell>
          <cell r="B1258" t="str">
            <v>CALHA EM CHAPA DE AÇO GALVANIZADO NÚMERO 24, DESENVOLVIMENTO DE 100 CM, INCLUSO TRANSPORTE VERTICAL. AF_07/2019</v>
          </cell>
          <cell r="C1258" t="str">
            <v>M</v>
          </cell>
          <cell r="D1258">
            <v>124.22</v>
          </cell>
        </row>
        <row r="1259">
          <cell r="A1259">
            <v>94231</v>
          </cell>
          <cell r="B1259" t="str">
            <v>RUFO EM CHAPA DE AÇO GALVANIZADO NÚMERO 24, CORTE DE 25 CM, INCLUSO TRANSPORTE VERTICAL. AF_07/2019</v>
          </cell>
          <cell r="C1259" t="str">
            <v>M</v>
          </cell>
          <cell r="D1259">
            <v>36.25</v>
          </cell>
        </row>
        <row r="1260">
          <cell r="A1260">
            <v>94449</v>
          </cell>
          <cell r="B1260" t="str">
            <v>TELHAMENTO COM TELHA ONDULADA DE FIBRA DE VIDRO E = 0,6 MM, PARA TELHADO COM INCLINAÇÃO MAIOR QUE 10°, COM ATÉ 2 ÁGUAS, INCLUSO IÇAMENTO. AF_07/2019</v>
          </cell>
          <cell r="C1260" t="str">
            <v>M2</v>
          </cell>
          <cell r="D1260">
            <v>46.34</v>
          </cell>
        </row>
        <row r="1261">
          <cell r="A1261" t="str">
            <v>73970/1</v>
          </cell>
          <cell r="B1261" t="str">
            <v>ESTRUTURA METALICA EM ACO ESTRUTURAL PERFIL I 12 X 5 1/4</v>
          </cell>
          <cell r="C1261" t="str">
            <v>KG</v>
          </cell>
          <cell r="D1261">
            <v>11.79</v>
          </cell>
        </row>
        <row r="1262">
          <cell r="A1262" t="str">
            <v>73970/2</v>
          </cell>
          <cell r="B1262" t="str">
            <v>ESTRUTURA METALICA EM ACO ESTRUTURAL PERFIL I 6 X 3 3/8</v>
          </cell>
          <cell r="C1262" t="str">
            <v>KG</v>
          </cell>
          <cell r="D1262">
            <v>8.8800000000000008</v>
          </cell>
        </row>
        <row r="1263">
          <cell r="A1263">
            <v>92255</v>
          </cell>
          <cell r="B1263" t="str">
            <v>INSTALAÇÃO DE TESOURA (INTEIRA OU MEIA), EM AÇO, PARA VÃOS MAIORES OU IGUAIS A 3,0 M E MENORES QUE 6,0 M, INCLUSO IÇAMENTO. AF_07/2019</v>
          </cell>
          <cell r="C1263" t="str">
            <v>UN</v>
          </cell>
          <cell r="D1263">
            <v>129.81</v>
          </cell>
        </row>
        <row r="1264">
          <cell r="A1264">
            <v>92256</v>
          </cell>
          <cell r="B1264" t="str">
            <v>INSTALAÇÃO DE TESOURA (INTEIRA OU MEIA), EM AÇO, PARA VÃOS MAIORES OU IGUAIS A 6,0 M E MENORES QUE 8,0 M, INCLUSO IÇAMENTO. AF_07/2019</v>
          </cell>
          <cell r="C1264" t="str">
            <v>UN</v>
          </cell>
          <cell r="D1264">
            <v>157.12</v>
          </cell>
        </row>
        <row r="1265">
          <cell r="A1265">
            <v>92257</v>
          </cell>
          <cell r="B1265" t="str">
            <v>INSTALAÇÃO DE TESOURA (INTEIRA OU MEIA), EM AÇO, PARA VÃOS MAIORES OU IGUAIS A 8,0 M E MENORES QUE 10,0 M, INCLUSO IÇAMENTO. AF_07/2019</v>
          </cell>
          <cell r="C1265" t="str">
            <v>UN</v>
          </cell>
          <cell r="D1265">
            <v>184.24</v>
          </cell>
        </row>
        <row r="1266">
          <cell r="A1266">
            <v>92258</v>
          </cell>
          <cell r="B1266" t="str">
            <v>INSTALAÇÃO DE TESOURA (INTEIRA OU MEIA), EM AÇO, PARA VÃOS MAIORES OU IGUAIS A 10,0 M E MENORES QUE 12,0 M, INCLUSO IÇAMENTO. AF_07/2019</v>
          </cell>
          <cell r="C1266" t="str">
            <v>UN</v>
          </cell>
          <cell r="D1266">
            <v>227.86</v>
          </cell>
        </row>
        <row r="1267">
          <cell r="A1267">
            <v>92568</v>
          </cell>
          <cell r="B1267" t="str">
            <v>TRAMA DE AÇO COMPOSTA POR RIPAS, CAIBROS E TERÇAS PARA TELHADOS DE ATÉ 2 ÁGUAS PARA TELHA DE ENCAIXE DE CERÂMICA OU DE CONCRETO, INCLUSO TRANSPORTE VERTICAL. AF_07/2019</v>
          </cell>
          <cell r="C1267" t="str">
            <v>M2</v>
          </cell>
          <cell r="D1267">
            <v>83.37</v>
          </cell>
        </row>
        <row r="1268">
          <cell r="A1268">
            <v>92569</v>
          </cell>
          <cell r="B1268" t="str">
            <v>TRAMA DE AÇO COMPOSTA POR RIPAS E CAIBROS PARA TELHADOS DE ATÉ 2 ÁGUAS PARA TELHA DE ENCAIXE DE CERÂMICA OU DE CONCRETO, INCLUSO TRANSPORTE VERTICAL. AF_07/2019</v>
          </cell>
          <cell r="C1268" t="str">
            <v>M2</v>
          </cell>
          <cell r="D1268">
            <v>38.049999999999997</v>
          </cell>
        </row>
        <row r="1269">
          <cell r="A1269">
            <v>92570</v>
          </cell>
          <cell r="B1269" t="str">
            <v>TRAMA DE AÇO COMPOSTA POR RIPAS PARA TELHADOS DE ATÉ 2 ÁGUAS PARA TELHA DE ENCAIXE DE CERÂMICA OU DE CONCRETO, INCLUSO TRANSPORTE VERTICAL. AF_07/2019</v>
          </cell>
          <cell r="C1269" t="str">
            <v>M2</v>
          </cell>
          <cell r="D1269">
            <v>17.3</v>
          </cell>
        </row>
        <row r="1270">
          <cell r="A1270">
            <v>92571</v>
          </cell>
          <cell r="B1270" t="str">
            <v>TRAMA DE AÇO COMPOSTA POR RIPAS, CAIBROS E TERÇAS PARA TELHADOS DE MAIS DE 2 ÁGUAS PARA TELHA DE ENCAIXE DE CERÂMICA OU DE CONCRETO, INCLUSO TRANSPORTE VERTICAL. AF_07/2019</v>
          </cell>
          <cell r="C1270" t="str">
            <v>M2</v>
          </cell>
          <cell r="D1270">
            <v>88.8</v>
          </cell>
        </row>
        <row r="1271">
          <cell r="A1271">
            <v>92572</v>
          </cell>
          <cell r="B1271" t="str">
            <v>TRAMA DE AÇO COMPOSTA POR RIPAS E CAIBROS PARA TELHADOS DE MAIS DE 2 ÁGUAS PARA TELHA DE ENCAIXE DE CERÂMICA OU DE CONCRETO, INCLUSO TRANSPORTE VERTICAL. AF_07/2019</v>
          </cell>
          <cell r="C1271" t="str">
            <v>M2</v>
          </cell>
          <cell r="D1271">
            <v>45.78</v>
          </cell>
        </row>
        <row r="1272">
          <cell r="A1272">
            <v>92573</v>
          </cell>
          <cell r="B1272" t="str">
            <v>TRAMA DE AÇO COMPOSTA POR RIPAS PARA TELHADOS DE MAIS DE 2 ÁGUAS PARA TELHA DE ENCAIXE DE CERÂMICA OU DE CONCRETO, INCLUSO TRANSPORTE VERTICAL, INCLUSO TRANSPORTE VERTICAL. AF_07/2019</v>
          </cell>
          <cell r="C1272" t="str">
            <v>M2</v>
          </cell>
          <cell r="D1272">
            <v>19.510000000000002</v>
          </cell>
        </row>
        <row r="1273">
          <cell r="A1273">
            <v>92574</v>
          </cell>
          <cell r="B1273" t="str">
            <v>TRAMA DE AÇO COMPOSTA POR RIPAS, CAIBROS E TERÇAS PARA TELHADOS DE ATÉ 2 ÁGUAS PARA TELHA CERÂMICA CAPA-CANAL, INCLUSO TRANSPORTE VERTICAL. AF_07/2019</v>
          </cell>
          <cell r="C1273" t="str">
            <v>M2</v>
          </cell>
          <cell r="D1273">
            <v>89.29</v>
          </cell>
        </row>
        <row r="1274">
          <cell r="A1274">
            <v>92575</v>
          </cell>
          <cell r="B1274" t="str">
            <v>TRAMA DE AÇO COMPOSTA POR RIPAS E CAIBROS PARA TELHADOS DE ATÉ 2 ÁGUAS PARA TELHA CERÂMICA CAPA-CANAL, INCLUSO TRANSPORTE VERTICAL. AF_07/2019</v>
          </cell>
          <cell r="C1274" t="str">
            <v>M2</v>
          </cell>
          <cell r="D1274">
            <v>37.35</v>
          </cell>
        </row>
        <row r="1275">
          <cell r="A1275">
            <v>92576</v>
          </cell>
          <cell r="B1275" t="str">
            <v>TRAMA DE AÇO COMPOSTA POR RIPAS PARA TELHADOS DE ATÉ 2 ÁGUAS PARA TELHA CERÂMICA CAPA-CANAL, INCLUSO TRANSPORTE VERTICAL. AF_07/2019</v>
          </cell>
          <cell r="C1275" t="str">
            <v>M2</v>
          </cell>
          <cell r="D1275">
            <v>13.82</v>
          </cell>
        </row>
        <row r="1276">
          <cell r="A1276">
            <v>92577</v>
          </cell>
          <cell r="B1276" t="str">
            <v>TRAMA DE AÇO COMPOSTA POR RIPAS, CAIBROS E TERÇAS PARA TELHADOS DE MAIS DE 2 ÁGUAS PARA TELHA CERÂMICA CAPA-CANAL, INCLUSO TRANSPORTE VERTICAL. AF_07/2019</v>
          </cell>
          <cell r="C1276" t="str">
            <v>M2</v>
          </cell>
          <cell r="D1276">
            <v>95.13</v>
          </cell>
        </row>
        <row r="1277">
          <cell r="A1277">
            <v>92578</v>
          </cell>
          <cell r="B1277" t="str">
            <v>TRAMA DE AÇO COMPOSTA POR RIPAS E CAIBROS PARA TELHADOS DE MAIS DE 2 ÁGUAS PARA TELHA CERÂMICA CAPA-CANAL, INCLUSO TRANSPORTE VERTICAL. AF_07/2019</v>
          </cell>
          <cell r="C1277" t="str">
            <v>M2</v>
          </cell>
          <cell r="D1277">
            <v>40.549999999999997</v>
          </cell>
        </row>
        <row r="1278">
          <cell r="A1278">
            <v>92579</v>
          </cell>
          <cell r="B1278" t="str">
            <v>TRAMA DE AÇO COMPOSTA POR RIPAS PARA TELHADOS DE MAIS DE 2 ÁGUAS PARA TELHA CERÂMICA CAPA-CANAL, INCLUSO TRANSPORTE VERTICAL. AF_07/2019</v>
          </cell>
          <cell r="C1278" t="str">
            <v>M2</v>
          </cell>
          <cell r="D1278">
            <v>15.58</v>
          </cell>
        </row>
        <row r="1279">
          <cell r="A1279">
            <v>92580</v>
          </cell>
          <cell r="B1279" t="str">
            <v>TRAMA DE AÇO COMPOSTA POR TERÇAS PARA TELHADOS DE ATÉ 2 ÁGUAS PARA TELHA ONDULADA DE FIBROCIMENTO, METÁLICA, PLÁSTICA OU TERMOACÚSTICA, INCLUSO TRANSPORTE VERTICAL. AF_07/2019</v>
          </cell>
          <cell r="C1279" t="str">
            <v>M2</v>
          </cell>
          <cell r="D1279">
            <v>38.74</v>
          </cell>
        </row>
        <row r="1280">
          <cell r="A1280">
            <v>92581</v>
          </cell>
          <cell r="B1280" t="str">
            <v>TRAMA DE AÇO COMPOSTA POR TERÇAS PARA TELHADOS DE ATÉ 2 ÁGUAS PARA TELHA ESTRUTURAL DE FIBROCIMENTO, INCLUSO TRANSPORTE VERTICAL. AF_07/2019</v>
          </cell>
          <cell r="C1280" t="str">
            <v>M2</v>
          </cell>
          <cell r="D1280">
            <v>40.57</v>
          </cell>
        </row>
        <row r="1281">
          <cell r="A1281">
            <v>92582</v>
          </cell>
          <cell r="B1281" t="str">
            <v>FABRICAÇÃO E INSTALAÇÃO DE TESOURA INTEIRA EM AÇO, VÃO DE 3 M, PARA TELHA CERÂMICA OU DE CONCRETO, INCLUSO IÇAMENTO. AF_12/2015</v>
          </cell>
          <cell r="C1281" t="str">
            <v>UN</v>
          </cell>
          <cell r="D1281">
            <v>534.74</v>
          </cell>
        </row>
        <row r="1282">
          <cell r="A1282">
            <v>92584</v>
          </cell>
          <cell r="B1282" t="str">
            <v>FABRICAÇÃO E INSTALAÇÃO DE TESOURA INTEIRA EM AÇO, VÃO DE 4 M, PARA TELHA CERÂMICA OU DE CONCRETO, INCLUSO IÇAMENTO. AF_12/2015</v>
          </cell>
          <cell r="C1282" t="str">
            <v>UN</v>
          </cell>
          <cell r="D1282">
            <v>630.84</v>
          </cell>
        </row>
        <row r="1283">
          <cell r="A1283">
            <v>92586</v>
          </cell>
          <cell r="B1283" t="str">
            <v>FABRICAÇÃO E INSTALAÇÃO DE TESOURA INTEIRA EM AÇO, VÃO DE 5 M, PARA TELHA CERÂMICA OU DE CONCRETO, INCLUSO IÇAMENTO. AF_12/2015</v>
          </cell>
          <cell r="C1283" t="str">
            <v>UN</v>
          </cell>
          <cell r="D1283">
            <v>726.94</v>
          </cell>
        </row>
        <row r="1284">
          <cell r="A1284">
            <v>92588</v>
          </cell>
          <cell r="B1284" t="str">
            <v>FABRICAÇÃO E INSTALAÇÃO DE TESOURA INTEIRA EM AÇO, VÃO DE 6 M, PARA TELHA CERÂMICA OU DE CONCRETO, INCLUSO IÇAMENTO. AF_12/2015</v>
          </cell>
          <cell r="C1284" t="str">
            <v>UN</v>
          </cell>
          <cell r="D1284">
            <v>902.69</v>
          </cell>
        </row>
        <row r="1285">
          <cell r="A1285">
            <v>92590</v>
          </cell>
          <cell r="B1285" t="str">
            <v>FABRICAÇÃO E INSTALAÇÃO DE TESOURA INTEIRA EM AÇO, VÃO DE 7 M, PARA TELHA CERÂMICA OU DE CONCRETO, INCLUSO IÇAMENTO. AF_12/2015</v>
          </cell>
          <cell r="C1285" t="str">
            <v>UN</v>
          </cell>
          <cell r="D1285">
            <v>998.79</v>
          </cell>
        </row>
        <row r="1286">
          <cell r="A1286">
            <v>92592</v>
          </cell>
          <cell r="B1286" t="str">
            <v>FABRICAÇÃO E INSTALAÇÃO DE TESOURA INTEIRA EM AÇO, VÃO DE 8 M, PARA TELHA CERÂMICA OU DE CONCRETO, INCLUSO IÇAMENTO. AF_12/2015</v>
          </cell>
          <cell r="C1286" t="str">
            <v>UN</v>
          </cell>
          <cell r="D1286">
            <v>1122.01</v>
          </cell>
        </row>
        <row r="1287">
          <cell r="A1287">
            <v>92593</v>
          </cell>
          <cell r="B1287" t="str">
            <v>(COMPOSIÇÃO REPRESENTATIVA) FABRICAÇÃO E INSTALAÇÃO DE TESOURA INTEIRA EM AÇO, PARA VÃOS DE 3 A 12 M E PARA QUALQUER TIPO DE TELHA, INCLUSO IÇAMENTO. AF_12/2015</v>
          </cell>
          <cell r="C1287" t="str">
            <v>KG</v>
          </cell>
          <cell r="D1287">
            <v>8.5</v>
          </cell>
        </row>
        <row r="1288">
          <cell r="A1288">
            <v>92594</v>
          </cell>
          <cell r="B1288" t="str">
            <v>FABRICAÇÃO E INSTALAÇÃO DE TESOURA INTEIRA EM AÇO, VÃO DE 9 M, PARA TELHA CERÂMICA OU DE CONCRETO, INCLUSO IÇAMENTO. AF_12/2015</v>
          </cell>
          <cell r="C1288" t="str">
            <v>UN</v>
          </cell>
          <cell r="D1288">
            <v>1289.2</v>
          </cell>
        </row>
        <row r="1289">
          <cell r="A1289">
            <v>92596</v>
          </cell>
          <cell r="B1289" t="str">
            <v>FABRICAÇÃO E INSTALAÇÃO DE TESOURA INTEIRA EM AÇO, VÃO DE 10 M, PARA TELHA CERÂMICA OU DE CONCRETO, INCLUSO IÇAMENTO. AF_12/2015</v>
          </cell>
          <cell r="C1289" t="str">
            <v>UN</v>
          </cell>
          <cell r="D1289">
            <v>1432.1</v>
          </cell>
        </row>
        <row r="1290">
          <cell r="A1290">
            <v>92598</v>
          </cell>
          <cell r="B1290" t="str">
            <v>FABRICAÇÃO E INSTALAÇÃO DE TESOURA INTEIRA EM AÇO, VÃO DE 11 M, PARA TELHA CERÂMICA OU DE CONCRETO, INCLUSO IÇAMENTO. AF_12/2015</v>
          </cell>
          <cell r="C1290" t="str">
            <v>UN</v>
          </cell>
          <cell r="D1290">
            <v>1528.2</v>
          </cell>
        </row>
        <row r="1291">
          <cell r="A1291">
            <v>92600</v>
          </cell>
          <cell r="B1291" t="str">
            <v>FABRICAÇÃO E INSTALAÇÃO DE TESOURA INTEIRA EM AÇO, VÃO DE 12 M, PARA TELHA CERÂMICA OU DE CONCRETO, INCLUSO IÇAMENTO. AF_12/2015</v>
          </cell>
          <cell r="C1291" t="str">
            <v>UN</v>
          </cell>
          <cell r="D1291">
            <v>1643.04</v>
          </cell>
        </row>
        <row r="1292">
          <cell r="A1292">
            <v>92602</v>
          </cell>
          <cell r="B1292" t="str">
            <v>FABRICAÇÃO E INSTALAÇÃO DE TESOURA INTEIRA EM AÇO, VÃO DE 3 M, PARA TELHA ONDULADA DE FIBROCIMENTO, METÁLICA, PLÁSTICA OU TERMOACÚSTICA, INCLUSO IÇAMENTO.. AF_12/2015</v>
          </cell>
          <cell r="C1292" t="str">
            <v>UN</v>
          </cell>
          <cell r="D1292">
            <v>534.74</v>
          </cell>
        </row>
        <row r="1293">
          <cell r="A1293">
            <v>92604</v>
          </cell>
          <cell r="B1293" t="str">
            <v>FABRICAÇÃO E INSTALAÇÃO DE TESOURA INTEIRA EM AÇO, VÃO DE 4 M, PARA TELHA ONDULADA DE FIBROCIMENTO, METÁLICA, PLÁSTICA OU TERMOACÚSTICA, INCLUSO IÇAMENTO. AF_12/2015</v>
          </cell>
          <cell r="C1293" t="str">
            <v>UN</v>
          </cell>
          <cell r="D1293">
            <v>612.1</v>
          </cell>
        </row>
        <row r="1294">
          <cell r="A1294">
            <v>92606</v>
          </cell>
          <cell r="B1294" t="str">
            <v>FABRICAÇÃO E INSTALAÇÃO DE TESOURA INTEIRA EM AÇO, VÃO DE 5 M, PARA TELHA ONDULADA DE FIBROCIMENTO, METÁLICA, PLÁSTICA OU TERMOACÚSTICA, INCLUSO IÇAMENTO. AF_12/2015</v>
          </cell>
          <cell r="C1294" t="str">
            <v>UN</v>
          </cell>
          <cell r="D1294">
            <v>708.2</v>
          </cell>
        </row>
        <row r="1295">
          <cell r="A1295">
            <v>92608</v>
          </cell>
          <cell r="B1295" t="str">
            <v>FABRICAÇÃO E INSTALAÇÃO DE TESOURA INTEIRA EM AÇO, VÃO DE 6 M, PARA TELHA ONDULADA DE FIBROCIMENTO, METÁLICA, PLÁSTICA OU TERMOACÚSTICA, INCLUSO IÇAMENTO. AF_12/2015</v>
          </cell>
          <cell r="C1295" t="str">
            <v>UN</v>
          </cell>
          <cell r="D1295">
            <v>865.21</v>
          </cell>
        </row>
        <row r="1296">
          <cell r="A1296">
            <v>92610</v>
          </cell>
          <cell r="B1296" t="str">
            <v>FABRICAÇÃO E INSTALAÇÃO DE TESOURA INTEIRA EM AÇO, VÃO DE 7 M, PARA TELHA ONDULADA DE FIBROCIMENTO, METÁLICA, PLÁSTICA OU TERMOACÚSTICA, INCLUSO IÇAMENTO. AF_12/2015</v>
          </cell>
          <cell r="C1296" t="str">
            <v>UN</v>
          </cell>
          <cell r="D1296">
            <v>961.31</v>
          </cell>
        </row>
        <row r="1297">
          <cell r="A1297">
            <v>92612</v>
          </cell>
          <cell r="B1297" t="str">
            <v>FABRICAÇÃO E INSTALAÇÃO DE TESOURA INTEIRA EM AÇO, VÃO DE 8 M, PARA TELHA ONDULADA DE FIBROCIMENTO, METÁLICA, PLÁSTICA OU TERMOACÚSTICA, INCLUSO IÇAMENTO, INCLUSO IÇAMENTO. AF_12/2015</v>
          </cell>
          <cell r="C1297" t="str">
            <v>UN</v>
          </cell>
          <cell r="D1297">
            <v>1084.53</v>
          </cell>
        </row>
        <row r="1298">
          <cell r="A1298">
            <v>92614</v>
          </cell>
          <cell r="B1298" t="str">
            <v>FABRICAÇÃO E INSTALAÇÃO DE TESOURA INTEIRA EM AÇO, VÃO DE 9 M, PARA TELHA ONDULADA DE FIBROCIMENTO, METÁLICA, PLÁSTICA OU TERMOACÚSTICA, INCLUSO IÇAMENTO. AF_12/2015</v>
          </cell>
          <cell r="C1298" t="str">
            <v>UN</v>
          </cell>
          <cell r="D1298">
            <v>1214.25</v>
          </cell>
        </row>
        <row r="1299">
          <cell r="A1299">
            <v>92616</v>
          </cell>
          <cell r="B1299" t="str">
            <v>FABRICAÇÃO E INSTALAÇÃO DE TESOURA INTEIRA EM AÇO, VÃO DE 10 M, PARA TELHA ONDULADA DE FIBROCIMENTO, METÁLICA, PLÁSTICA OU TERMOACÚSTICA, INCLUSO IÇAMENTO. AF_12/2015</v>
          </cell>
          <cell r="C1299" t="str">
            <v>UN</v>
          </cell>
          <cell r="D1299">
            <v>1375.88</v>
          </cell>
        </row>
        <row r="1300">
          <cell r="A1300">
            <v>92618</v>
          </cell>
          <cell r="B1300" t="str">
            <v>FABRICAÇÃO E INSTALAÇÃO DE TESOURA INTEIRA EM AÇO, VÃO DE 11 M, PARA TELHA ONDULADA DE FIBROCIMENTO, METÁLICA, PLÁSTICA OU TERMOACÚSTICA, INCLUSO IÇAMENTO. AF_12/2015</v>
          </cell>
          <cell r="C1300" t="str">
            <v>UN</v>
          </cell>
          <cell r="D1300">
            <v>1471.98</v>
          </cell>
        </row>
        <row r="1301">
          <cell r="A1301">
            <v>92620</v>
          </cell>
          <cell r="B1301" t="str">
            <v>FABRICAÇÃO E INSTALAÇÃO DE TESOURA INTEIRA EM AÇO, VÃO DE 12 M, PARA TELHA ONDULADA DE FIBROCIMENTO, METÁLICA, PLÁSTICA OU TERMOACÚSTICA, INCLUSO IÇAMENTO. AF_12/2015</v>
          </cell>
          <cell r="C1301" t="str">
            <v>UN</v>
          </cell>
          <cell r="D1301">
            <v>1568.08</v>
          </cell>
        </row>
        <row r="1302">
          <cell r="A1302">
            <v>100357</v>
          </cell>
          <cell r="B1302" t="str">
            <v>FABRICAÇÃO E INSTALAÇÃO DE MEIA TESOURA DE MADEIRA NÃO APARELHADA, COM VÃO DE 3 M, PARA TELHA CERÂMICA OU DE CONCRETO, INCLUSO IÇAMENTO. AF_07/2019</v>
          </cell>
          <cell r="C1302" t="str">
            <v>UN</v>
          </cell>
          <cell r="D1302">
            <v>567.99</v>
          </cell>
        </row>
        <row r="1303">
          <cell r="A1303">
            <v>100358</v>
          </cell>
          <cell r="B1303" t="str">
            <v>FABRICAÇÃO E INSTALAÇÃO DE MEIA TESOURA DE MADEIRA NÃO APARELHADA, COM VÃO DE 4 M, PARA TELHA CERÂMICA OU DE CONCRETO, INCLUSO IÇAMENTO. AF_07/2019</v>
          </cell>
          <cell r="C1303" t="str">
            <v>UN</v>
          </cell>
          <cell r="D1303">
            <v>800.49</v>
          </cell>
        </row>
        <row r="1304">
          <cell r="A1304">
            <v>100359</v>
          </cell>
          <cell r="B1304" t="str">
            <v>FABRICAÇÃO E INSTALAÇÃO DE MEIA TESOURA DE MADEIRA NÃO APARELHADA, COM VÃO DE 5 M, PARA TELHA CERÂMICA OU DE CONCRETO, INCLUSO IÇAMENTO. AF_07/2019</v>
          </cell>
          <cell r="C1304" t="str">
            <v>UN</v>
          </cell>
          <cell r="D1304">
            <v>828.96</v>
          </cell>
        </row>
        <row r="1305">
          <cell r="A1305">
            <v>100360</v>
          </cell>
          <cell r="B1305" t="str">
            <v>FABRICAÇÃO E INSTALAÇÃO DE MEIA TESOURA DE MADEIRA NÃO APARELHADA, COM VÃO DE 6 M, PARA TELHA CERÂMICA OU DE CONCRETO, INCLUSO IÇAMENTO. AF_07/2019</v>
          </cell>
          <cell r="C1305" t="str">
            <v>UN</v>
          </cell>
          <cell r="D1305">
            <v>915.39</v>
          </cell>
        </row>
        <row r="1306">
          <cell r="A1306">
            <v>100361</v>
          </cell>
          <cell r="B1306" t="str">
            <v>FABRICAÇÃO E INSTALAÇÃO DE MEIA TESOURA DE MADEIRA NÃO APARELHADA, COM VÃO DE 7 M, PARA TELHA CERÂMICA OU DE CONCRETO, INCLUSO IÇAMENTO. AF_07/2019</v>
          </cell>
          <cell r="C1306" t="str">
            <v>UN</v>
          </cell>
          <cell r="D1306">
            <v>1159.69</v>
          </cell>
        </row>
        <row r="1307">
          <cell r="A1307">
            <v>100362</v>
          </cell>
          <cell r="B1307" t="str">
            <v>FABRICAÇÃO E INSTALAÇÃO DE MEIA TESOURA DE MADEIRA NÃO APARELHADA, COM VÃO DE 8 M, PARA TELHA CERÂMICA OU DE CONCRETO, INCLUSO IÇAMENTO. AF_07/2019</v>
          </cell>
          <cell r="C1307" t="str">
            <v>UN</v>
          </cell>
          <cell r="D1307">
            <v>1500.45</v>
          </cell>
        </row>
        <row r="1308">
          <cell r="A1308">
            <v>100363</v>
          </cell>
          <cell r="B1308" t="str">
            <v>FABRICAÇÃO E INSTALAÇÃO DE MEIA TESOURA DE MADEIRA NÃO APARELHADA, COM VÃO DE 9 M, PARA TELHA CERÂMICA OU DE CONCRETO, INCLUSO IÇAMENTO. AF_07/2019</v>
          </cell>
          <cell r="C1308" t="str">
            <v>UN</v>
          </cell>
          <cell r="D1308">
            <v>1543.04</v>
          </cell>
        </row>
        <row r="1309">
          <cell r="A1309">
            <v>100364</v>
          </cell>
          <cell r="B1309" t="str">
            <v>FABRICAÇÃO E INSTALAÇÃO DE MEIA TESOURA DE MADEIRA NÃO APARELHADA, COM VÃO DE 10 M, PARA TELHA CERÂMICA OU DE CONCRETO, INCLUSO IÇAMENTO. AF_07/2019</v>
          </cell>
          <cell r="C1309" t="str">
            <v>UN</v>
          </cell>
          <cell r="D1309">
            <v>1678.65</v>
          </cell>
        </row>
        <row r="1310">
          <cell r="A1310">
            <v>100365</v>
          </cell>
          <cell r="B1310" t="str">
            <v>FABRICAÇÃO E INSTALAÇÃO DE MEIA TESOURA DE MADEIRA NÃO APARELHADA, COM VÃO DE 11 M, PARA TELHA CERÂMICA OU DE CONCRETO, INCLUSO IÇAMENTO. AF_07/2019</v>
          </cell>
          <cell r="C1310" t="str">
            <v>UN</v>
          </cell>
          <cell r="D1310">
            <v>1947.19</v>
          </cell>
        </row>
        <row r="1311">
          <cell r="A1311">
            <v>100366</v>
          </cell>
          <cell r="B1311" t="str">
            <v>FABRICAÇÃO E INSTALAÇÃO DE MEIA TESOURA DE MADEIRA NÃO APARELHADA, COM VÃO DE 12 M, PARA TELHA CERÂMICA OU DE CONCRETO, INCLUSO IÇAMENTO. AF_07/2019</v>
          </cell>
          <cell r="C1311" t="str">
            <v>UN</v>
          </cell>
          <cell r="D1311">
            <v>2046.04</v>
          </cell>
        </row>
        <row r="1312">
          <cell r="A1312">
            <v>100367</v>
          </cell>
          <cell r="B1312" t="str">
            <v>FABRICAÇÃO E INSTALAÇÃO DE MEIA TESOURA DE MADEIRA NÃO APARELHADA, COM VÃO DE 3 M, PARA TELHA ONDULADA DE FIBROCIMENTO, ALUMÍNIO, PLÁSTICA OU TERMOACÚSTICA, INCLUSO IÇAMENTO. AF_07/2019</v>
          </cell>
          <cell r="C1312" t="str">
            <v>UN</v>
          </cell>
          <cell r="D1312">
            <v>557.34</v>
          </cell>
        </row>
        <row r="1313">
          <cell r="A1313">
            <v>100368</v>
          </cell>
          <cell r="B1313" t="str">
            <v>FABRICAÇÃO E INSTALAÇÃO DE MEIA TESOURA DE MADEIRA NÃO APARELHADA, COM VÃO DE 4 M, PARA TELHA ONDULADA DE FIBROCIMENTO, ALUMÍNIO, PLÁSTICA OU TERMOACÚSTICA, INCLUSO IÇAMENTO. AF_07/2019</v>
          </cell>
          <cell r="C1313" t="str">
            <v>UN</v>
          </cell>
          <cell r="D1313">
            <v>786.83</v>
          </cell>
        </row>
        <row r="1314">
          <cell r="A1314">
            <v>100369</v>
          </cell>
          <cell r="B1314" t="str">
            <v>FABRICAÇÃO E INSTALAÇÃO DE MEIA TESOURA DE MADEIRA NÃO APARELHADA, COM VÃO DE 5 M, PARA TELHA ONDULADA DE FIBROCIMENTO, ALUMÍNIO, PLÁSTICA OU TERMOACÚSTICA, INCLUSO IÇAMENTO. AF_07/2019</v>
          </cell>
          <cell r="C1314" t="str">
            <v>UN</v>
          </cell>
          <cell r="D1314">
            <v>815.3</v>
          </cell>
        </row>
        <row r="1315">
          <cell r="A1315">
            <v>100370</v>
          </cell>
          <cell r="B1315" t="str">
            <v>FABRICAÇÃO E INSTALAÇÃO DE MEIA TESOURA DE MADEIRA NÃO APARELHADA, COM VÃO DE 6 M, PARA TELHA ONDULADA DE FIBROCIMENTO, ALUMÍNIO, PLÁSTICA OU TERMOACÚSTICA, INCLUSO IÇAMENTO. AF_07/2019</v>
          </cell>
          <cell r="C1315" t="str">
            <v>UN</v>
          </cell>
          <cell r="D1315">
            <v>941.91</v>
          </cell>
        </row>
        <row r="1316">
          <cell r="A1316">
            <v>100371</v>
          </cell>
          <cell r="B1316" t="str">
            <v>FABRICAÇÃO E INSTALAÇÃO DE MEIA TESOURA DE MADEIRA NÃO APARELHADA, COM VÃO DE 7 M, PARA TELHA ONDULADA DE FIBROCIMENTO, ALUMÍNIO, PLÁSTICA OU TERMOACÚSTICA, INCLUSO IÇAMENTO. AF_07/2019</v>
          </cell>
          <cell r="C1316" t="str">
            <v>UN</v>
          </cell>
          <cell r="D1316">
            <v>1122.8399999999999</v>
          </cell>
        </row>
        <row r="1317">
          <cell r="A1317">
            <v>100372</v>
          </cell>
          <cell r="B1317" t="str">
            <v>FABRICAÇÃO E INSTALAÇÃO DE MEIA TESOURA DE MADEIRA NÃO APARELHADA, COM VÃO DE 8 M, PARA TELHA ONDULADA DE FIBROCIMENTO, ALUMÍNIO, PLÁSTICA OU TERMOACÚSTICA, INCLUSO IÇAMENTO. AF_07/2019</v>
          </cell>
          <cell r="C1317" t="str">
            <v>UN</v>
          </cell>
          <cell r="D1317">
            <v>1441.56</v>
          </cell>
        </row>
        <row r="1318">
          <cell r="A1318">
            <v>100373</v>
          </cell>
          <cell r="B1318" t="str">
            <v>FABRICAÇÃO E INSTALAÇÃO DE MEIA TESOURA DE MADEIRA NÃO APARELHADA, COM VÃO DE 9 M, PARA TELHA ONDULADA DE FIBROCIMENTO, ALUMÍNIO, PLÁSTICA OU TERMOACÚSTICA, INCLUSO IÇAMENTO. AF_07/2019</v>
          </cell>
          <cell r="C1318" t="str">
            <v>UN</v>
          </cell>
          <cell r="D1318">
            <v>1476.41</v>
          </cell>
        </row>
        <row r="1319">
          <cell r="A1319">
            <v>100374</v>
          </cell>
          <cell r="B1319" t="str">
            <v>FABRICAÇÃO E INSTALAÇÃO DE MEIA TESOURA DE MADEIRA NÃO APARELHADA, COM VÃO DE 10 M, PARA TELHA ONDULADA DE FIBROCIMENTO, ALUMÍNIO, PLÁSTICA OU TERMOACÚSTICA, INCLUSO IÇAMENTO. AF_07/2019</v>
          </cell>
          <cell r="C1319" t="str">
            <v>UN</v>
          </cell>
          <cell r="D1319">
            <v>1588.55</v>
          </cell>
        </row>
        <row r="1320">
          <cell r="A1320">
            <v>100375</v>
          </cell>
          <cell r="B1320" t="str">
            <v>FABRICAÇÃO E INSTALAÇÃO DE MEIA TESOURA DE MADEIRA NÃO APARELHADA, COM VÃO DE 11 M, PARA TELHA ONDULADA DE FIBROCIMENTO, ALUMÍNIO, PLÁSTICA OU TERMOACÚSTICA, INCLUSO IÇAMENTO. AF_07/2019</v>
          </cell>
          <cell r="C1320" t="str">
            <v>UN</v>
          </cell>
          <cell r="D1320">
            <v>1817</v>
          </cell>
        </row>
        <row r="1321">
          <cell r="A1321">
            <v>100376</v>
          </cell>
          <cell r="B1321" t="str">
            <v>FABRICAÇÃO E INSTALAÇÃO DE MEIA TESOURA DE MADEIRA NÃO APARELHADA, COM VÃO DE 12 M, PARA TELHA ONDULADA DE FIBROCIMENTO, ALUMÍNIO, PLÁSTICA OU TERMOACÚSTICA, INCLUSO IÇAMENTO. AF_07/2019</v>
          </cell>
          <cell r="C1321" t="str">
            <v>UN</v>
          </cell>
          <cell r="D1321">
            <v>1781.65</v>
          </cell>
        </row>
        <row r="1322">
          <cell r="A1322">
            <v>100377</v>
          </cell>
          <cell r="B1322" t="str">
            <v>FABRICAÇÃO E INSTALAÇÃO DE TESOURA EM AÇO, VÃOS MAIORES OU IGUAIS A 3,0 M E MENORES OU IGUAL A 6,0 M, INCLUSO IÇAMENTO. AF_07/2019</v>
          </cell>
          <cell r="C1322" t="str">
            <v>KG</v>
          </cell>
          <cell r="D1322">
            <v>9.0500000000000007</v>
          </cell>
        </row>
        <row r="1323">
          <cell r="A1323">
            <v>100378</v>
          </cell>
          <cell r="B1323" t="str">
            <v>FABRICAÇÃO E INSTALAÇÃO DE TESOURA EM AÇO, VÃOS MAIORES QUE 6,0 M E MENORES QUE 12,0 M, INCLUSO IÇAMENTO. AF_07/2019</v>
          </cell>
          <cell r="C1323" t="str">
            <v>KG</v>
          </cell>
          <cell r="D1323">
            <v>8.1199999999999992</v>
          </cell>
        </row>
        <row r="1324">
          <cell r="A1324">
            <v>100382</v>
          </cell>
          <cell r="B1324" t="str">
            <v>FABRICAÇÃO E INSTALAÇÃO DE PONTALETES DE MADEIRA NÃO APARELHADA PARA TELHADOS COM ATÉ 2 ÁGUAS E COM TELHA ONDULADA DE FIBROCIMENTO, ALUMÍNIO OU PLÁSTICA EM EDIFÍCIO RESIDENCIAL TÉRREO, INCLUSO TRANSPORTE VERTICAL. AF_07/2019</v>
          </cell>
          <cell r="C1324" t="str">
            <v>M2</v>
          </cell>
          <cell r="D1324">
            <v>11.59</v>
          </cell>
        </row>
        <row r="1325">
          <cell r="A1325">
            <v>94444</v>
          </cell>
          <cell r="B1325" t="str">
            <v>TELHAMENTO COM TELHA DE ENCAIXE, TIPO FRANCESA DE VIDRO, COM ATÉ 2 ÁGUAS, INCLUSO TRANSPORTE VERTICAL. AF_07/2019</v>
          </cell>
          <cell r="C1325" t="str">
            <v>M2</v>
          </cell>
          <cell r="D1325">
            <v>654.04</v>
          </cell>
        </row>
        <row r="1326">
          <cell r="A1326" t="str">
            <v>73882/1</v>
          </cell>
          <cell r="B1326" t="str">
            <v>CALHA EM CONCRETO SIMPLES, EM MEIA CANA, DIAMETRO 200 MM</v>
          </cell>
          <cell r="C1326" t="str">
            <v>M</v>
          </cell>
          <cell r="D1326">
            <v>27.71</v>
          </cell>
        </row>
        <row r="1327">
          <cell r="A1327" t="str">
            <v>73882/5</v>
          </cell>
          <cell r="B1327" t="str">
            <v>CALHA EM CONCRETO SIMPLES, EM MEIA CANA DE CONCRETO, DIAMETRO 600 MM</v>
          </cell>
          <cell r="C1327" t="str">
            <v>M</v>
          </cell>
          <cell r="D1327">
            <v>78.3</v>
          </cell>
        </row>
        <row r="1328">
          <cell r="A1328" t="str">
            <v>73816/1</v>
          </cell>
          <cell r="B1328" t="str">
            <v>EXECUCAO DE DRENO COM TUBOS DE PVC CORRUGADO FLEXIVEL PERFURADO - DN 100</v>
          </cell>
          <cell r="C1328" t="str">
            <v>M</v>
          </cell>
          <cell r="D1328">
            <v>29.38</v>
          </cell>
        </row>
        <row r="1329">
          <cell r="A1329" t="str">
            <v>73816/2</v>
          </cell>
          <cell r="B1329" t="str">
            <v>EXECUCAO DE DRENO VERTICAL COM PEDRISCO, DIAMETRO 200MM</v>
          </cell>
          <cell r="C1329" t="str">
            <v>M</v>
          </cell>
          <cell r="D1329">
            <v>26.39</v>
          </cell>
        </row>
        <row r="1330">
          <cell r="A1330" t="str">
            <v>73881/1</v>
          </cell>
          <cell r="B1330" t="str">
            <v>EXECUCAO DE DRENO COM MANTA GEOTEXTIL 200 G/M2</v>
          </cell>
          <cell r="C1330" t="str">
            <v>M2</v>
          </cell>
          <cell r="D1330">
            <v>5.71</v>
          </cell>
        </row>
        <row r="1331">
          <cell r="A1331" t="str">
            <v>73881/3</v>
          </cell>
          <cell r="B1331" t="str">
            <v>EXECUCAO DE DRENO COM MANTA GEOTEXTIL 400 G/M2</v>
          </cell>
          <cell r="C1331" t="str">
            <v>M2</v>
          </cell>
          <cell r="D1331">
            <v>11.15</v>
          </cell>
        </row>
        <row r="1332">
          <cell r="A1332" t="str">
            <v>73883/1</v>
          </cell>
          <cell r="B1332" t="str">
            <v>EXECUCAO DE DRENO FRANCES COM AREIA MEDIA</v>
          </cell>
          <cell r="C1332" t="str">
            <v>M3</v>
          </cell>
          <cell r="D1332">
            <v>94.63</v>
          </cell>
        </row>
        <row r="1333">
          <cell r="A1333" t="str">
            <v>73883/2</v>
          </cell>
          <cell r="B1333" t="str">
            <v>EXECUCAO DE DRENO FRANCES COM BRITA NUM 2</v>
          </cell>
          <cell r="C1333" t="str">
            <v>M3</v>
          </cell>
          <cell r="D1333">
            <v>109.83</v>
          </cell>
        </row>
        <row r="1334">
          <cell r="A1334" t="str">
            <v>73883/3</v>
          </cell>
          <cell r="B1334" t="str">
            <v>EXECUCAO DE DRENO FRANCES COM CASCALHO</v>
          </cell>
          <cell r="C1334" t="str">
            <v>M3</v>
          </cell>
          <cell r="D1334">
            <v>67.98</v>
          </cell>
        </row>
        <row r="1335">
          <cell r="A1335" t="str">
            <v>73969/1</v>
          </cell>
          <cell r="B1335" t="str">
            <v>EXECUCAO DE DRENOS DE CHORUME EM TUBOS DRENANTES DE CONCRETO, DIAM=200MM, ENVOLTOS EM BRITA E GEOTEXTIL</v>
          </cell>
          <cell r="C1335" t="str">
            <v>M</v>
          </cell>
          <cell r="D1335">
            <v>68.45</v>
          </cell>
        </row>
        <row r="1336">
          <cell r="A1336" t="str">
            <v>74017/1</v>
          </cell>
          <cell r="B1336" t="str">
            <v>EXECUCAO DE DRENOS DE CHORUME EM TUBOS DRENANTES, PVC, DIAM=100 MM, ENVOLTOS EM BRITA E GEOTEXTIL</v>
          </cell>
          <cell r="C1336" t="str">
            <v>M</v>
          </cell>
          <cell r="D1336">
            <v>47.6</v>
          </cell>
        </row>
        <row r="1337">
          <cell r="A1337" t="str">
            <v>74017/2</v>
          </cell>
          <cell r="B1337" t="str">
            <v>EXECUCAO DE DRENOS DE CHORUME EM TUBOS DRENANTES, PVC, DIAM=150 MM, ENVOLTOS EM BRITA E GEOTEXTIL</v>
          </cell>
          <cell r="C1337" t="str">
            <v>M</v>
          </cell>
          <cell r="D1337">
            <v>65.33</v>
          </cell>
        </row>
        <row r="1338">
          <cell r="A1338" t="str">
            <v>75029/1</v>
          </cell>
          <cell r="B1338" t="str">
            <v>TUBO PVC CORRUGADO RIGIDO PERFURADO DN 150 PARA DRENAGEM - FORNECIMENTO E INSTALACAO</v>
          </cell>
          <cell r="C1338" t="str">
            <v>M</v>
          </cell>
          <cell r="D1338">
            <v>44.74</v>
          </cell>
        </row>
        <row r="1339">
          <cell r="A1339">
            <v>83651</v>
          </cell>
          <cell r="B1339" t="str">
            <v>TUBO PVC CORRUGADO PERFURADO 100 MM C/ JUNTA ELASTICA PARA DRENAGEM.</v>
          </cell>
          <cell r="C1339" t="str">
            <v>M</v>
          </cell>
          <cell r="D1339">
            <v>33.270000000000003</v>
          </cell>
        </row>
        <row r="1340">
          <cell r="A1340">
            <v>83658</v>
          </cell>
          <cell r="B1340" t="str">
            <v>EXECUCAO DRENO PROFUNDO, COM CORTE TRAPEZOIDAL EM SOLO, DE 70X80X150CM EXCL TUBO INCL MATERIAL EXECUCAO, COM SELO ENCHIMENTO MATERIAL DRENANTE E ESCAVACAO</v>
          </cell>
          <cell r="C1340" t="str">
            <v>M</v>
          </cell>
          <cell r="D1340">
            <v>156.91999999999999</v>
          </cell>
        </row>
        <row r="1341">
          <cell r="A1341">
            <v>83661</v>
          </cell>
          <cell r="B1341" t="str">
            <v>EXECUCAO DE DRENO PROFUNDO, CORTE EM SOLO, COM TUBO POROSO D=0,20M</v>
          </cell>
          <cell r="C1341" t="str">
            <v>M</v>
          </cell>
          <cell r="D1341">
            <v>107.12</v>
          </cell>
        </row>
        <row r="1342">
          <cell r="A1342">
            <v>83662</v>
          </cell>
          <cell r="B1342" t="str">
            <v>EXECUCAO DE DRENO CEGO</v>
          </cell>
          <cell r="C1342" t="str">
            <v>M3</v>
          </cell>
          <cell r="D1342">
            <v>102.06</v>
          </cell>
        </row>
        <row r="1343">
          <cell r="A1343">
            <v>83664</v>
          </cell>
          <cell r="B1343" t="str">
            <v>EXECUCAO DE DRENO DE TUBO DE CONRETO SIMPLES POROSO D=0,20 M (0,5MX0,5M) PARA GALERIAS DE AGUAS PLUVIAIS</v>
          </cell>
          <cell r="C1343" t="str">
            <v>M</v>
          </cell>
          <cell r="D1343">
            <v>64.97</v>
          </cell>
        </row>
        <row r="1344">
          <cell r="A1344">
            <v>83665</v>
          </cell>
          <cell r="B1344" t="str">
            <v>FORNECIMENTO E INSTALACAO DE MANTA BIDIM RT - 14</v>
          </cell>
          <cell r="C1344" t="str">
            <v>M2</v>
          </cell>
          <cell r="D1344">
            <v>7.4</v>
          </cell>
        </row>
        <row r="1345">
          <cell r="A1345">
            <v>83669</v>
          </cell>
          <cell r="B1345" t="str">
            <v>FORNECIMENTO/INSTALACAO MANTA BIDIM RT-16</v>
          </cell>
          <cell r="C1345" t="str">
            <v>M2</v>
          </cell>
          <cell r="D1345">
            <v>8.7899999999999991</v>
          </cell>
        </row>
        <row r="1346">
          <cell r="A1346">
            <v>83670</v>
          </cell>
          <cell r="B1346" t="str">
            <v>TUBO PVC DN 75 MM PARA DRENAGEM - FORNECIMENTO E INSTALACAO</v>
          </cell>
          <cell r="C1346" t="str">
            <v>M</v>
          </cell>
          <cell r="D1346">
            <v>47.53</v>
          </cell>
        </row>
        <row r="1347">
          <cell r="A1347">
            <v>83671</v>
          </cell>
          <cell r="B1347" t="str">
            <v>TUBO PVC DN 100 MM PARA DRENAGEM - FORNECIMENTO E INSTALACAO</v>
          </cell>
          <cell r="C1347" t="str">
            <v>M</v>
          </cell>
          <cell r="D1347">
            <v>50.95</v>
          </cell>
        </row>
        <row r="1348">
          <cell r="A1348">
            <v>83679</v>
          </cell>
          <cell r="B1348" t="str">
            <v>TUBO PVC D=2 COM MATERIAL DRENANTE PARA DRENO/BARBACA - FORNECIMENTO E INSTALACAO</v>
          </cell>
          <cell r="C1348" t="str">
            <v>M</v>
          </cell>
          <cell r="D1348">
            <v>13.54</v>
          </cell>
        </row>
        <row r="1349">
          <cell r="A1349">
            <v>83680</v>
          </cell>
          <cell r="B1349" t="str">
            <v>TUBO PVC D=3" COM MATERIAL DRENANTE PARA DRENO/BARBACA - FORNECIMENTO E INSTALACAO</v>
          </cell>
          <cell r="C1349" t="str">
            <v>M</v>
          </cell>
          <cell r="D1349">
            <v>16</v>
          </cell>
        </row>
        <row r="1350">
          <cell r="A1350">
            <v>83681</v>
          </cell>
          <cell r="B1350" t="str">
            <v>TUBO PVC D=4" COM MATERIAL DRENANTE PARA DRENO/BARBACA - FORNECIMENTO E INSTALACAO</v>
          </cell>
          <cell r="C1350" t="str">
            <v>M</v>
          </cell>
          <cell r="D1350">
            <v>17.12</v>
          </cell>
        </row>
        <row r="1351">
          <cell r="A1351">
            <v>83682</v>
          </cell>
          <cell r="B1351" t="str">
            <v>CAMADA VERTICAL DRENANTE C/ PEDRA BRITADA NUMS 1 E 2</v>
          </cell>
          <cell r="C1351" t="str">
            <v>M3</v>
          </cell>
          <cell r="D1351">
            <v>114.59</v>
          </cell>
        </row>
        <row r="1352">
          <cell r="A1352">
            <v>83729</v>
          </cell>
          <cell r="B1352" t="str">
            <v>FORNECIMENTO/INSTALACAO DE MANTA BIDIM RT-31</v>
          </cell>
          <cell r="C1352" t="str">
            <v>M2</v>
          </cell>
          <cell r="D1352">
            <v>17.190000000000001</v>
          </cell>
        </row>
        <row r="1353">
          <cell r="A1353">
            <v>83739</v>
          </cell>
          <cell r="B1353" t="str">
            <v>FORNECIMENTO/INSTALACAO DE MANTA BIDIM RT-10</v>
          </cell>
          <cell r="C1353" t="str">
            <v>M2</v>
          </cell>
          <cell r="D1353">
            <v>6.03</v>
          </cell>
        </row>
        <row r="1354">
          <cell r="A1354">
            <v>6454</v>
          </cell>
          <cell r="B1354" t="str">
            <v>FORNECIMENTO E LANCAMENTO DE PEDRA DE MAO</v>
          </cell>
          <cell r="C1354" t="str">
            <v>M3</v>
          </cell>
          <cell r="D1354">
            <v>174.87</v>
          </cell>
        </row>
        <row r="1355">
          <cell r="A1355">
            <v>73611</v>
          </cell>
          <cell r="B1355" t="str">
            <v>ENROCAMENTO COM PEDRA ARGAMASSADA TRAÇO 1:4 COM PEDRA DE MÃO</v>
          </cell>
          <cell r="C1355" t="str">
            <v>M3</v>
          </cell>
          <cell r="D1355">
            <v>380.55</v>
          </cell>
        </row>
        <row r="1356">
          <cell r="A1356">
            <v>73697</v>
          </cell>
          <cell r="B1356" t="str">
            <v>ENROCAMENTO MANUAL, SEM ARRUMACAO DO MATERIAL</v>
          </cell>
          <cell r="C1356" t="str">
            <v>M3</v>
          </cell>
          <cell r="D1356">
            <v>172.76</v>
          </cell>
        </row>
        <row r="1357">
          <cell r="A1357">
            <v>73698</v>
          </cell>
          <cell r="B1357" t="str">
            <v>ENROCAMENTO MANUAL, COM ARRUMACAO DO MATERIAL</v>
          </cell>
          <cell r="C1357" t="str">
            <v>M3</v>
          </cell>
          <cell r="D1357">
            <v>227.54</v>
          </cell>
        </row>
        <row r="1358">
          <cell r="A1358" t="str">
            <v>73890/1</v>
          </cell>
          <cell r="B1358" t="str">
            <v>ENSECADEIRA DE MADEIRA COM PAREDE SIMPLES</v>
          </cell>
          <cell r="C1358" t="str">
            <v>M2</v>
          </cell>
          <cell r="D1358">
            <v>110.95</v>
          </cell>
        </row>
        <row r="1359">
          <cell r="A1359" t="str">
            <v>73890/2</v>
          </cell>
          <cell r="B1359" t="str">
            <v>ENSECADEIRA DE MADEIRA COM PAREDE DUPLA</v>
          </cell>
          <cell r="C1359" t="str">
            <v>M2</v>
          </cell>
          <cell r="D1359">
            <v>278.62</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495.53</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480.83</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616.98</v>
          </cell>
        </row>
        <row r="1363">
          <cell r="A1363">
            <v>92746</v>
          </cell>
          <cell r="B1363" t="str">
            <v>MURO DE GABIÃO, ENCHIMENTO COM PEDRA DE MÃO TIPO RACHÃO, DE GRAVIDADE, COM GAIOLAS DE COMPRIMENTO IGUAL A 5 M, PARA MUROS COM ALTURA MAIOR QUE 4 M E MENOR OU IGUAL A 6 M   FORNECIMENTO E EXECUÇÃO. AF_12/2015</v>
          </cell>
          <cell r="C1363" t="str">
            <v>M3</v>
          </cell>
          <cell r="D1363">
            <v>570.21</v>
          </cell>
        </row>
        <row r="1364">
          <cell r="A1364">
            <v>92747</v>
          </cell>
          <cell r="B1364" t="str">
            <v>MURO DE GABIÃO, ENCHIMENTO COM PEDRA DE MÃO TIPO RACHÃO, DE GRAVIDADE, COM GAIOLAS DE COMPRIMENTO IGUAL A 2 M, PARA MUROS COM ALTURA MAIOR QUE 6 M E MENOR OU IGUAL A 10 M   FORNECIMENTO E EXECUÇÃO. AF_12/2015</v>
          </cell>
          <cell r="C1364" t="str">
            <v>M3</v>
          </cell>
          <cell r="D1364">
            <v>686.44</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621.67999999999995</v>
          </cell>
        </row>
        <row r="1366">
          <cell r="A1366">
            <v>92749</v>
          </cell>
          <cell r="B1366" t="str">
            <v>MURO DE GABIÃO, ENCHIMENTO COM PEDRA DE MÃO TIPO RACHÃO, COM SOLO REFORÇADO, PARA MUROS COM ALTURA MENOR OU IGUAL A 4 M   FORNECIMENTO E EXECUÇÃO. AF_12/2015</v>
          </cell>
          <cell r="C1366" t="str">
            <v>M3</v>
          </cell>
          <cell r="D1366">
            <v>713.47</v>
          </cell>
        </row>
        <row r="1367">
          <cell r="A1367">
            <v>92750</v>
          </cell>
          <cell r="B1367" t="str">
            <v>MURO DE GABIÃO, ENCHIMENTO COM PEDRA DE MÃO TIPO RACHÃO, COM SOLO REFORÇADO, PARA MUROS COM ALTURA MAIOR QUE 4 M E MENOR OU IGUAL A 12 M   FORNECIMENTO E EXECUÇÃO. AF_12/2015</v>
          </cell>
          <cell r="C1367" t="str">
            <v>M3</v>
          </cell>
          <cell r="D1367">
            <v>1235.98</v>
          </cell>
        </row>
        <row r="1368">
          <cell r="A1368">
            <v>92751</v>
          </cell>
          <cell r="B1368" t="str">
            <v>MURO DE GABIÃO, ENCHIMENTO COM PEDRA DE MÃO TIPO RACHÃO, COM SOLO REFORÇADO, PARA MUROS COM ALTURA MAIOR QUE 12 M E MENOR OU IGUAL A 20 M    FORNECIMENTO E EXECUÇÃO. AF_12/2015</v>
          </cell>
          <cell r="C1368" t="str">
            <v>M3</v>
          </cell>
          <cell r="D1368">
            <v>1540.16</v>
          </cell>
        </row>
        <row r="1369">
          <cell r="A1369">
            <v>92752</v>
          </cell>
          <cell r="B1369" t="str">
            <v>MURO DE GABIÃO, ENCHIMENTO COM PEDRA DE MÃO TIPO RACHÃO, COM SOLO REFORÇADO, PARA MUROS COM ALTURA MAIOR QUE 20 M E MENOR OU IGUAL A 28 M   FORNECIMENTO E EXECUÇÃO. AF_12/2015</v>
          </cell>
          <cell r="C1369" t="str">
            <v>M3</v>
          </cell>
          <cell r="D1369">
            <v>1843.22</v>
          </cell>
        </row>
        <row r="1370">
          <cell r="A1370">
            <v>92753</v>
          </cell>
          <cell r="B1370" t="str">
            <v>MURO DE GABIÃO, ENCHIMENTO COM RESÍDUO DE CONSTRUÇÃO E DEMOLIÇÃO, DE GRAVIDADE, COM GAIOLA TRAPEZOIDAL DE COMPRIMENTO IGUAL A 2 M, PARA MUROS COM ALTURA MENOR OU IGUAL A 2 M   FORNECIMENTO E EXECUÇÃO. AF_12/2015</v>
          </cell>
          <cell r="C1370" t="str">
            <v>M3</v>
          </cell>
          <cell r="D1370">
            <v>467.01</v>
          </cell>
        </row>
        <row r="1371">
          <cell r="A1371">
            <v>92754</v>
          </cell>
          <cell r="B1371" t="str">
            <v>MURO DE GABIÃO, ENCHIMENTO COM RESÍDUO DE CONSTRUÇÃO E DEMOLIÇÃO, DE GRAVIDADE, COM GAIOLA TRAPEZOIDAL DE COMPRIMENTO IGUAL A 2 M, PARA MUROS COM ALTURA MAIOR QUE 2 M E MENOR OU IGUAL A 4 M    FORNECIMENTO E EXECUÇÃO. AF_12/2015</v>
          </cell>
          <cell r="C1371" t="str">
            <v>M3</v>
          </cell>
          <cell r="D1371">
            <v>427.55</v>
          </cell>
        </row>
        <row r="1372">
          <cell r="A1372">
            <v>92755</v>
          </cell>
          <cell r="B1372" t="str">
            <v>PROTEÇÃO SUPERFICIAL DE CANAL EM GABIÃO TIPO COLCHÃO, ALTURA DE 17 CENTÍMETROS, ENCHIMENTO COM PEDRA DE MÃO TIPO RACHÃO - FORNECIMENTO E EXECUÇÃO. AF_12/2015</v>
          </cell>
          <cell r="C1372" t="str">
            <v>M2</v>
          </cell>
          <cell r="D1372">
            <v>182.25</v>
          </cell>
        </row>
        <row r="1373">
          <cell r="A1373">
            <v>92756</v>
          </cell>
          <cell r="B1373" t="str">
            <v>PROTEÇÃO SUPERFICIAL DE CANAL EM GABIÃO TIPO COLCHÃO, ALTURA DE 23 CENTÍMETROS, ENCHIMENTO COM PEDRA DE MÃO TIPO RACHÃO - FORNECIMENTO E EXECUÇÃO. AF_12/2015</v>
          </cell>
          <cell r="C1373" t="str">
            <v>M2</v>
          </cell>
          <cell r="D1373">
            <v>206.68</v>
          </cell>
        </row>
        <row r="1374">
          <cell r="A1374">
            <v>92757</v>
          </cell>
          <cell r="B1374" t="str">
            <v>PROTEÇÃO SUPERFICIAL DE CANAL EM GABIÃO TIPO COLCHÃO, ALTURA DE 30 CENTÍMETROS, ENCHIMENTO COM PEDRA DE MÃO TIPO RACHÃO - FORNECIMENTO E EXECUÇÃO. AF_12/2015</v>
          </cell>
          <cell r="C1374" t="str">
            <v>M2</v>
          </cell>
          <cell r="D1374">
            <v>236.35</v>
          </cell>
        </row>
        <row r="1375">
          <cell r="A1375">
            <v>92758</v>
          </cell>
          <cell r="B1375" t="str">
            <v>PROTEÇÃO SUPERFICIAL DE CANAL EM GABIÃO TIPO SACO, DIÂMETRO DE 65 CENTÍMETROS, ENCHIMENTO MANUAL COM PEDRA DE MÃO TIPO RACHÃO - FORNECIMENTO E EXECUÇÃO. AF_12/2015</v>
          </cell>
          <cell r="C1375" t="str">
            <v>M3</v>
          </cell>
          <cell r="D1375">
            <v>577.35</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79.569999999999993</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88.16</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110.68</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119.21</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90.2</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99.87</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123.39</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133.12</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122.79</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145.18</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127.41</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149.66</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134.66999999999999</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158</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142.76</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165.96</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87.44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96.27</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119.72</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128.71</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96.61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106.67</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130.62</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140.97</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127.52</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150.21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129.97999999999999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152.58000000000001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139.26</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163.01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145.85</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169.54</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154.85</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143.51</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136.72999999999999</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131.91999999999999</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128.15</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160.85</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148.93</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141.84</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136.85</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132.97</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145.79</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134.49</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127.75</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121.43</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119.22</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151.83000000000001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139.91</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132.87</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127.93</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120.5</v>
          </cell>
        </row>
        <row r="1428">
          <cell r="A1428">
            <v>95108</v>
          </cell>
          <cell r="B1428" t="str">
            <v>EXECUÇÃO DE PROTEÇÃO DA CABEÇA DO TIRANTE COM USO DE FÔRMAS EM CHAPA COMPENSADA PLASTIFICADA DE MADEIRA E CONCRETO FCK =15 MPA. AF_07/2016</v>
          </cell>
          <cell r="C1428" t="str">
            <v>UN</v>
          </cell>
          <cell r="D1428">
            <v>22.71</v>
          </cell>
        </row>
        <row r="1429">
          <cell r="A1429">
            <v>100332</v>
          </cell>
          <cell r="B1429" t="str">
            <v>CONTENÇÃO EM PERFIL PRANCHADO COM PRANCHÃO DE MADEIRA, PERFIS ESPAÇADOS A 1,5 M PARA 1 SUBSOLO. AF_07/2019</v>
          </cell>
          <cell r="C1429" t="str">
            <v>M2</v>
          </cell>
          <cell r="D1429">
            <v>581.07000000000005</v>
          </cell>
        </row>
        <row r="1430">
          <cell r="A1430">
            <v>100333</v>
          </cell>
          <cell r="B1430" t="str">
            <v>CONTENÇÃO EM PERFIL PRANCHADO COM PRANCHÃO DE MADEIRA, PERFIS ESPAÇADOS A 1,5 M PARA 2 OU MAIS SUBSOLOS. AF_07/2019</v>
          </cell>
          <cell r="C1430" t="str">
            <v>M2</v>
          </cell>
          <cell r="D1430">
            <v>368.95</v>
          </cell>
        </row>
        <row r="1431">
          <cell r="A1431">
            <v>100334</v>
          </cell>
          <cell r="B1431" t="str">
            <v>CONTENÇÃO EM PERFIL PRANCHADO COM PRANCHÃO DE MADEIRA, PERFIS ESPAÇADOS A 2 M PARA 1 SUBSOLO. AF_07/2019</v>
          </cell>
          <cell r="C1431" t="str">
            <v>M2</v>
          </cell>
          <cell r="D1431">
            <v>465.83</v>
          </cell>
        </row>
        <row r="1432">
          <cell r="A1432">
            <v>100335</v>
          </cell>
          <cell r="B1432" t="str">
            <v>CONTENÇÃO EM PERFIL PRANCHADO COM PRANCHÃO DE MADEIRA, PERFIS ESPAÇADOS A 2 M PARA 2 OU MAIS SUBSOLOS. AF_07/2019</v>
          </cell>
          <cell r="C1432" t="str">
            <v>M2</v>
          </cell>
          <cell r="D1432">
            <v>306.75</v>
          </cell>
        </row>
        <row r="1433">
          <cell r="A1433">
            <v>100341</v>
          </cell>
          <cell r="B1433" t="str">
            <v>FABRICAÇÃO, MONTAGEM E DESMONTAGEM DE FÔRMA PARA CORTINA DE CONTENÇÃO, EM CHAPA DE MADEIRA COMPENSADA PLASTIFICADA, E = 18 MM, 10 UTILIZAÇÕES. AF_07/2019</v>
          </cell>
          <cell r="C1433" t="str">
            <v>M2</v>
          </cell>
          <cell r="D1433">
            <v>24.69</v>
          </cell>
        </row>
        <row r="1434">
          <cell r="A1434">
            <v>100342</v>
          </cell>
          <cell r="B1434" t="str">
            <v>ARMAÇÃO DE CORTINA DE CONTENÇÃO EM CONCRETO ARMADO, COM AÇO CA-50 DE 6,3 MM - MONTAGEM. AF_07/2019</v>
          </cell>
          <cell r="C1434" t="str">
            <v>KG</v>
          </cell>
          <cell r="D1434">
            <v>9.32</v>
          </cell>
        </row>
        <row r="1435">
          <cell r="A1435">
            <v>100343</v>
          </cell>
          <cell r="B1435" t="str">
            <v>ARMAÇÃO DE CORTINA DE CONTENÇÃO EM CONCRETO ARMADO, COM AÇO CA-50 DE 8 MM - MONTAGEM. AF_07/2019</v>
          </cell>
          <cell r="C1435" t="str">
            <v>KG</v>
          </cell>
          <cell r="D1435">
            <v>9.14</v>
          </cell>
        </row>
        <row r="1436">
          <cell r="A1436">
            <v>100344</v>
          </cell>
          <cell r="B1436" t="str">
            <v>ARMAÇÃO DE CORTINA DE CONTENÇÃO EM CONCRETO ARMADO, COM AÇO CA-50 DE 10 MM - MONTAGEM. AF_07/2019</v>
          </cell>
          <cell r="C1436" t="str">
            <v>KG</v>
          </cell>
          <cell r="D1436">
            <v>7.47</v>
          </cell>
        </row>
        <row r="1437">
          <cell r="A1437">
            <v>100345</v>
          </cell>
          <cell r="B1437" t="str">
            <v>ARMAÇÃO DE CORTINA DE CONTENÇÃO EM CONCRETO ARMADO, COM AÇO CA-50 DE 12,5 MM - MONTAGEM. AF_07/2019</v>
          </cell>
          <cell r="C1437" t="str">
            <v>KG</v>
          </cell>
          <cell r="D1437">
            <v>6.7</v>
          </cell>
        </row>
        <row r="1438">
          <cell r="A1438">
            <v>100346</v>
          </cell>
          <cell r="B1438" t="str">
            <v>ARMAÇÃO DE CORTINA DE CONTENÇÃO EM CONCRETO ARMADO, COM AÇO CA-50 DE 16 MM - MONTAGEM. AF_07/2019</v>
          </cell>
          <cell r="C1438" t="str">
            <v>KG</v>
          </cell>
          <cell r="D1438">
            <v>6.26</v>
          </cell>
        </row>
        <row r="1439">
          <cell r="A1439">
            <v>100347</v>
          </cell>
          <cell r="B1439" t="str">
            <v>ARMAÇÃO DE CORTINA DE CONTENÇÃO EM CONCRETO ARMADO, COM AÇO CA-50 DE 20 MM - MONTAGEM. AF_07/2019</v>
          </cell>
          <cell r="C1439" t="str">
            <v>KG</v>
          </cell>
          <cell r="D1439">
            <v>5.78</v>
          </cell>
        </row>
        <row r="1440">
          <cell r="A1440">
            <v>100348</v>
          </cell>
          <cell r="B1440" t="str">
            <v>ARMAÇÃO DE CORTINA DE CONTENÇÃO EM CONCRETO ARMADO, COM AÇO CA-50 DE 25 MM - MONTAGEM. AF_07/2019</v>
          </cell>
          <cell r="C1440" t="str">
            <v>KG</v>
          </cell>
          <cell r="D1440">
            <v>6.36</v>
          </cell>
        </row>
        <row r="1441">
          <cell r="A1441">
            <v>100349</v>
          </cell>
          <cell r="B1441" t="str">
            <v>CONCRETAGEM DE CORTINA DE CONTENÇÃO, ATRAVÉS DE BOMBA   LANÇAMENTO, ADENSAMENTO E ACABAMENTO. AF_07/2019</v>
          </cell>
          <cell r="C1441" t="str">
            <v>M3</v>
          </cell>
          <cell r="D1441">
            <v>462.03</v>
          </cell>
        </row>
        <row r="1442">
          <cell r="A1442" t="str">
            <v>73799/1</v>
          </cell>
          <cell r="B1442" t="str">
            <v>GRELHA EM FERRO FUNDIDO SIMPLES COM REQUADRO, CARGA MÁXIMA 12,5 T,  300 X 1000 MM, E = 15 MM, FORNECIDA E ASSENTADA COM ARGAMASSA 1:4 CIMENTO:AREIA.</v>
          </cell>
          <cell r="C1442" t="str">
            <v>UN</v>
          </cell>
          <cell r="D1442">
            <v>293.64</v>
          </cell>
        </row>
        <row r="1443">
          <cell r="A1443" t="str">
            <v>73856/1</v>
          </cell>
          <cell r="B1443" t="str">
            <v>BOCA P/BUEIRO SIMPLES TUBULAR D=0,40M EM CONCRETO CICLOPICO, INCLINDO FORMAS, ESCAVACAO, REATERRO E MATERIAIS, EXCLUINDO MATERIAL REATERRO JAZIDA E TRANSPORTE</v>
          </cell>
          <cell r="C1443" t="str">
            <v>UN</v>
          </cell>
          <cell r="D1443">
            <v>553.95000000000005</v>
          </cell>
        </row>
        <row r="1444">
          <cell r="A1444" t="str">
            <v>73856/2</v>
          </cell>
          <cell r="B1444" t="str">
            <v>BOCA PARA BUEIRO SIMPLES TUBULAR, DIAMETRO =0,60M, EM CONCRETO CICLOPICO, INCLUINDO FORMAS, ESCAVACAO, REATERRO E MATERIAIS, EXCLUINDO MATERIAL REATERRO JAZIDA E TRANSPORTE.</v>
          </cell>
          <cell r="C1444" t="str">
            <v>UN</v>
          </cell>
          <cell r="D1444">
            <v>907.42</v>
          </cell>
        </row>
        <row r="1445">
          <cell r="A1445" t="str">
            <v>73856/3</v>
          </cell>
          <cell r="B1445" t="str">
            <v>BOCA PARA BUEIRO SIMPLES TUBULAR, DIAMETRO =0,80M, EM CONCRETO CICLOPICO, INCLUINDO FORMAS, ESCAVACAO, REATERRO E MATERIAIS, EXCLUINDO MATERIAL REATERRO JAZIDA E TRANSPORTE.</v>
          </cell>
          <cell r="C1445" t="str">
            <v>UN</v>
          </cell>
          <cell r="D1445">
            <v>1359.41</v>
          </cell>
        </row>
        <row r="1446">
          <cell r="A1446" t="str">
            <v>73856/4</v>
          </cell>
          <cell r="B1446" t="str">
            <v>BOCA PARA BUEIRO SIMPLES TUBULAR, DIAMETRO =1,00M, EM CONCRETO CICLOPICO, INCLUINDO FORMAS, ESCAVACAO, REATERRO E MATERIAIS, EXCLUINDO MATERIAL REATERRO JAZIDA E TRANSPORTE.</v>
          </cell>
          <cell r="C1446" t="str">
            <v>UN</v>
          </cell>
          <cell r="D1446">
            <v>1916.44</v>
          </cell>
        </row>
        <row r="1447">
          <cell r="A1447" t="str">
            <v>73856/5</v>
          </cell>
          <cell r="B1447" t="str">
            <v>BOCA PARA BUEIRO SIMPLES TUBULAR, DIAMETRO =1,20M, EM CONCRETO CICLOPICO, INCLUINDO FORMAS, ESCAVACAO, REATERRO E MATERIAIS, EXCLUINDO MATERIAL REATERRO JAZIDA E TRANSPORTE.</v>
          </cell>
          <cell r="C1447" t="str">
            <v>UN</v>
          </cell>
          <cell r="D1447">
            <v>2583.67</v>
          </cell>
        </row>
        <row r="1448">
          <cell r="A1448" t="str">
            <v>73856/6</v>
          </cell>
          <cell r="B1448" t="str">
            <v>BOCA PARA BUEIRO DUPLO TUBULAR, DIAMETRO =0,40M, EM CONCRETO CICLOPICO, INCLUINDO FORMAS, ESCAVACAO, REATERRO E MATERIAIS, EXCLUINDO MATERIAL REATERRO JAZIDA E TRANSPORTE.</v>
          </cell>
          <cell r="C1448" t="str">
            <v>UN</v>
          </cell>
          <cell r="D1448">
            <v>782.09</v>
          </cell>
        </row>
        <row r="1449">
          <cell r="A1449" t="str">
            <v>73856/7</v>
          </cell>
          <cell r="B1449" t="str">
            <v>BOCA PARA BUEIRO DUPLO TUBULAR, DIAMETRO =0,60M, EM CONCRETO CICLOPICO, INCLUINDO FORMAS, ESCAVACAO, REATERRO E MATERIAIS, EXCLUINDO MATERIAL REATERRO JAZIDA E TRANSPORTE.</v>
          </cell>
          <cell r="C1449" t="str">
            <v>UN</v>
          </cell>
          <cell r="D1449">
            <v>1288.75</v>
          </cell>
        </row>
        <row r="1450">
          <cell r="A1450" t="str">
            <v>73856/8</v>
          </cell>
          <cell r="B1450" t="str">
            <v>BOCA PARA BUEIRO DUPLO TUBULAR, DIAMETRO =0,80M, EM CONCRETO CICLOPICO, INCLUINDO FORMAS, ESCAVACAO, REATERRO E MATERIAIS, EXCLUINDO MATERIAL REATERRO JAZIDA E TRANSPORTE.</v>
          </cell>
          <cell r="C1450" t="str">
            <v>UN</v>
          </cell>
          <cell r="D1450">
            <v>1934.17</v>
          </cell>
        </row>
        <row r="1451">
          <cell r="A1451" t="str">
            <v>73856/9</v>
          </cell>
          <cell r="B1451" t="str">
            <v>BOCA PARA BUEIRO DUPLO TUBULAR, DIAMETRO =1,00M, EM CONCRETO CICLOPICO, INCLUINDO FORMAS, ESCAVACAO, REATERRO E MATERIAIS, EXCLUINDO MATERIAL REATERRO JAZIDA E TRANSPORTE.</v>
          </cell>
          <cell r="C1451" t="str">
            <v>UN</v>
          </cell>
          <cell r="D1451">
            <v>2402.2600000000002</v>
          </cell>
        </row>
        <row r="1452">
          <cell r="A1452" t="str">
            <v>73856/10</v>
          </cell>
          <cell r="B1452" t="str">
            <v>BOCA PARA BUEIRO DUPLOTUBULAR, DIAMETRO =1,20M, EM CONCRETO CICLOPICO, INCLUINDO FORMAS, ESCAVACAO, REATERRO E MATERIAIS, EXCLUINDO MATERIAL REATERRO JAZIDA E TRANSPORTE.</v>
          </cell>
          <cell r="C1452" t="str">
            <v>UN</v>
          </cell>
          <cell r="D1452">
            <v>3669.87</v>
          </cell>
        </row>
        <row r="1453">
          <cell r="A1453" t="str">
            <v>73856/11</v>
          </cell>
          <cell r="B1453" t="str">
            <v>BOCA PARA BUEIRO TRIPLO TUBULAR, DIAMETRO =0,40M, EM CONCRETO CICLOPICO, INCLUINDO FORMAS, ESCAVACAO, REATERRO E MATERIAIS, EXCLUINDO MATERIAL REATERRO JAZIDA E TRANSPORTE.</v>
          </cell>
          <cell r="C1453" t="str">
            <v>UN</v>
          </cell>
          <cell r="D1453">
            <v>1009.78</v>
          </cell>
        </row>
        <row r="1454">
          <cell r="A1454" t="str">
            <v>73856/12</v>
          </cell>
          <cell r="B1454" t="str">
            <v>BOCA PARA BUEIRO TRIPLO TUBULAR, DIAMETRO =0,60M, EM CONCRETO CICLOPICO, INCLUINDO FORMAS, ESCAVACAO, REATERRO E MATERIAIS, EXCLUINDO MATERIAL REATERRO JAZIDA E TRANSPORTE.</v>
          </cell>
          <cell r="C1454" t="str">
            <v>UN</v>
          </cell>
          <cell r="D1454">
            <v>1669.58</v>
          </cell>
        </row>
        <row r="1455">
          <cell r="A1455" t="str">
            <v>73856/13</v>
          </cell>
          <cell r="B1455" t="str">
            <v>BOCA PARA BUEIRO TRIPLO TUBULAR, DIAMETRO =0,80M, EM CONCRETO CICLOPICO, INCLUINDO FORMAS, ESCAVACAO, REATERRO E MATERIAIS, EXCLUINDO MATERIAL REATERRO JAZIDA E TRANSPORTE.</v>
          </cell>
          <cell r="C1455" t="str">
            <v>UN</v>
          </cell>
          <cell r="D1455">
            <v>2508.5500000000002</v>
          </cell>
        </row>
        <row r="1456">
          <cell r="A1456" t="str">
            <v>73856/14</v>
          </cell>
          <cell r="B1456" t="str">
            <v>BOCA PARA BUEIRO TRIPLO TUBULAR, DIAMETRO =1,00M, EM CONCRETO CICLOPICO, INCLUINDO FORMAS, ESCAVACAO, REATERRO E MATERIAIS, EXCLUINDO MATERIAL REATERRO JAZIDA E TRANSPORTE.</v>
          </cell>
          <cell r="C1456" t="str">
            <v>UN</v>
          </cell>
          <cell r="D1456">
            <v>3534.81</v>
          </cell>
        </row>
        <row r="1457">
          <cell r="A1457" t="str">
            <v>73856/15</v>
          </cell>
          <cell r="B1457" t="str">
            <v>BOCA PARA BUEIRO TRIPLO TUBULAR, DIAMETRO =1,20M, EM CONCRETO CICLOPICO, INCLUINDO FORMAS, ESCAVACAO, REATERRO E MATERIAIS, EXCLUINDO MATERIAL REATERRO JAZIDA E TRANSPORTE.</v>
          </cell>
          <cell r="C1457" t="str">
            <v>UN</v>
          </cell>
          <cell r="D1457">
            <v>4756.2</v>
          </cell>
        </row>
        <row r="1458">
          <cell r="A1458" t="str">
            <v>74224/1</v>
          </cell>
          <cell r="B1458" t="str">
            <v>POCO DE VISITA PARA DRENAGEM PLUVIAL, EM CONCRETO ESTRUTURAL, DIMENSOES INTERNAS DE 90X150X80CM (LARGXCOMPXALT), PARA REDE DE 600 MM, EXCLUSOS TAMPAO E CHAMINE.</v>
          </cell>
          <cell r="C1458" t="str">
            <v>UN</v>
          </cell>
          <cell r="D1458">
            <v>1406.84</v>
          </cell>
        </row>
        <row r="1459">
          <cell r="A1459">
            <v>83659</v>
          </cell>
          <cell r="B1459" t="str">
            <v>BOCA DE LOBO EM ALVENARIA TIJOLO MACICO, REVESTIDA C/ ARGAMASSA DE CIMENTO E AREIA 1:3, SOBRE LASTRO DE CONCRETO 10CM E TAMPA DE CONCRETO ARMADO</v>
          </cell>
          <cell r="C1459" t="str">
            <v>UN</v>
          </cell>
          <cell r="D1459">
            <v>770.85</v>
          </cell>
        </row>
        <row r="1460">
          <cell r="A1460">
            <v>83716</v>
          </cell>
          <cell r="B1460" t="str">
            <v>GRELHA FF 30X90CM, 135KG, P/ CX RALO COM ASSENTAMENTO DE ARGAMASSA CIMENTO/AREIA 1:4 - FORNECIMENTO E INSTALAÇÃO</v>
          </cell>
          <cell r="C1460" t="str">
            <v>UN</v>
          </cell>
          <cell r="D1460">
            <v>292.81</v>
          </cell>
        </row>
        <row r="1461">
          <cell r="A1461">
            <v>97976</v>
          </cell>
          <cell r="B1461" t="str">
            <v>POÇO DE INSPEÇÃO CIRCULAR PARA ESGOTO, EM ALVENARIA COM TIJOLOS CERÂMICOS MACIÇOS, DIÂMETRO INTERNO = 0,6 M, PROFUNDIDADE = 1 M, EXCLUINDO TAMPÃO. AF_05/2018</v>
          </cell>
          <cell r="C1461" t="str">
            <v>UN</v>
          </cell>
          <cell r="D1461">
            <v>850.77</v>
          </cell>
        </row>
        <row r="1462">
          <cell r="A1462">
            <v>97977</v>
          </cell>
          <cell r="B1462" t="str">
            <v>POÇO DE INSPEÇÃO CIRCULAR PARA ESGOTO, EM ALVENARIA COM TIJOLOS CERÂMICOS MACIÇOS, DIÂMETRO INTERNO = 0,6 M, PROFUNDIDADE = 1,5 M, EXCLUINDO TAMPÃO. AF_05/2018</v>
          </cell>
          <cell r="C1462" t="str">
            <v>UN</v>
          </cell>
          <cell r="D1462">
            <v>1244.53</v>
          </cell>
        </row>
        <row r="1463">
          <cell r="A1463">
            <v>97980</v>
          </cell>
          <cell r="B1463" t="str">
            <v>BASE PARA POÇO DE VISITA CIRCULAR PARA  ESGOTO, EM ALVENARIA COM TIJOLOS CERÂMICOS MACIÇOS, DIÂMETRO INTERNO = 0,8 M, PROFUNDIDADE = 1,45 M, EXCLUINDO TAMPÃO. AF_05/2018</v>
          </cell>
          <cell r="C1463" t="str">
            <v>UN</v>
          </cell>
          <cell r="D1463">
            <v>1590.16</v>
          </cell>
        </row>
        <row r="1464">
          <cell r="A1464">
            <v>97981</v>
          </cell>
          <cell r="B1464" t="str">
            <v>ACRÉSCIMO PARA POÇO DE VISITA CIRCULAR PARA ESGOTO, EM ALVENARIA COM TIJOLOS CERÂMICOS MACIÇOS, DIÂMETRO INTERNO = 0,8 M. AF_05/2018</v>
          </cell>
          <cell r="C1464" t="str">
            <v>M</v>
          </cell>
          <cell r="D1464">
            <v>963.57</v>
          </cell>
        </row>
        <row r="1465">
          <cell r="A1465">
            <v>97983</v>
          </cell>
          <cell r="B1465" t="str">
            <v>ACRÉSCIMO PARA POÇO DE VISITA CIRCULAR PARA ESGOTO, EM CONCRETO PRÉ-MOLDADO, DIÂMETRO INTERNO = 1 M. AF_05/2018</v>
          </cell>
          <cell r="C1465" t="str">
            <v>M</v>
          </cell>
          <cell r="D1465">
            <v>376.65</v>
          </cell>
        </row>
        <row r="1466">
          <cell r="A1466">
            <v>97985</v>
          </cell>
          <cell r="B1466" t="str">
            <v>ACRÉSCIMO PARA POÇO DE VISITA CIRCULAR PARA  ESGOTO, EM ALVENARIA COM TIJOLOS CERÂMICOS MACIÇOS, DIÂMETRO INTERNO = 1 M. AF_05/2018</v>
          </cell>
          <cell r="C1466" t="str">
            <v>M</v>
          </cell>
          <cell r="D1466">
            <v>1167.8399999999999</v>
          </cell>
        </row>
        <row r="1467">
          <cell r="A1467">
            <v>97987</v>
          </cell>
          <cell r="B1467" t="str">
            <v>ACRÉSCIMO PARA POÇO DE VISITA CIRCULAR PARA ESGOTO, EM CONCRETO PRÉ-MOLDADO, DIÂMETRO INTERNO = 1,2 M. AF_05/2018</v>
          </cell>
          <cell r="C1467" t="str">
            <v>M</v>
          </cell>
          <cell r="D1467">
            <v>421.46</v>
          </cell>
        </row>
        <row r="1468">
          <cell r="A1468">
            <v>97988</v>
          </cell>
          <cell r="B1468" t="str">
            <v>BASE PARA POÇO DE VISITA CIRCULAR PARA  ESGOTO, EM ALVENARIA COM TIJOLOS CERÂMICOS MACIÇOS, DIÂMETRO INTERNO = 1,2 M, PROFUNDIDADE = 1,45 M, EXCLUINDO TAMPÃO. AF_05/2018</v>
          </cell>
          <cell r="C1468" t="str">
            <v>UN</v>
          </cell>
          <cell r="D1468">
            <v>2300.13</v>
          </cell>
        </row>
        <row r="1469">
          <cell r="A1469">
            <v>97989</v>
          </cell>
          <cell r="B1469" t="str">
            <v>ACRÉSCIMO PARA POÇO DE VISITA CIRCULAR PARA ESGOTO, EM ALVENARIA COM TIJOLOS CERÂMICOS MACIÇOS, DIÂMETRO INTERNO = 1,2 M. AF_05/2018</v>
          </cell>
          <cell r="C1469" t="str">
            <v>M</v>
          </cell>
          <cell r="D1469">
            <v>1372.13</v>
          </cell>
        </row>
        <row r="1470">
          <cell r="A1470">
            <v>97991</v>
          </cell>
          <cell r="B1470" t="str">
            <v>ACRÉSCIMO PARA POÇO DE VISITA CIRCULAR PARA  ESGOTO, EM CONCRETO PRÉ-MOLDADO, DIÂMETRO INTERNO = 1,5 M. AF_05/2018</v>
          </cell>
          <cell r="C1470" t="str">
            <v>M</v>
          </cell>
          <cell r="D1470">
            <v>654.41</v>
          </cell>
        </row>
        <row r="1471">
          <cell r="A1471">
            <v>97992</v>
          </cell>
          <cell r="B1471" t="str">
            <v>BASE PARA POÇO DE VISITA CIRCULAR PARA  ESGOTO, EM ALVENARIA COM TIJOLOS CERÂMICOS MACIÇOS, DIÂMETRO INTERNO = 1,5 M, PROFUNDIDADE = 1,45 M, EXCLUINDO TAMPÃO. AF_05/2018</v>
          </cell>
          <cell r="C1471" t="str">
            <v>UN</v>
          </cell>
          <cell r="D1471">
            <v>2918.32</v>
          </cell>
        </row>
        <row r="1472">
          <cell r="A1472">
            <v>97993</v>
          </cell>
          <cell r="B1472" t="str">
            <v>ACRÉSCIMO PARA POÇO DE VISITA CIRCULAR PARA  ESGOTO, EM ALVENARIA COM TIJOLOS CERÂMICOS MACIÇOS, DIÂMETRO INTERNO = 1,5 M. AF_05/2018</v>
          </cell>
          <cell r="C1472" t="str">
            <v>M</v>
          </cell>
          <cell r="D1472">
            <v>1678.59</v>
          </cell>
        </row>
        <row r="1473">
          <cell r="A1473">
            <v>97994</v>
          </cell>
          <cell r="B1473" t="str">
            <v>BASE PARA POÇO DE VISITA RETANGULAR PARA  ESGOTO, EM ALVENARIA COM BLOCOS DE CONCRETO, DIMENSÕES INTERNAS = 1X1 M, PROFUNDIDADE = 1,45 M, EXCLUINDO TAMPÃO. AF_05/2018</v>
          </cell>
          <cell r="C1473" t="str">
            <v>UN</v>
          </cell>
          <cell r="D1473">
            <v>1991.55</v>
          </cell>
        </row>
        <row r="1474">
          <cell r="A1474">
            <v>97995</v>
          </cell>
          <cell r="B1474" t="str">
            <v>ACRÉSCIMO PARA POÇO DE VISITA RETANGULAR PARA ESGOTO, EM ALVENARIA COM BLOCOS DE CONCRETO, DIMENSÕES INTERNAS = 1X1 M. AF_05/2018</v>
          </cell>
          <cell r="C1474" t="str">
            <v>M</v>
          </cell>
          <cell r="D1474">
            <v>1029.2</v>
          </cell>
        </row>
        <row r="1475">
          <cell r="A1475">
            <v>97996</v>
          </cell>
          <cell r="B1475" t="str">
            <v>BASE PARA POÇO DE VISITA RETANGULAR PARA ESGOTO, EM ALVENARIA COM BLOCOS DE CONCRETO, DIMENSÕES INTERNAS = 1X1,5 M, PROFUNDIDADE = 1,45 M, EXCLUINDO TAMPÃO. AF_05/2018</v>
          </cell>
          <cell r="C1475" t="str">
            <v>UN</v>
          </cell>
          <cell r="D1475">
            <v>2516.0100000000002</v>
          </cell>
        </row>
        <row r="1476">
          <cell r="A1476">
            <v>97997</v>
          </cell>
          <cell r="B1476" t="str">
            <v>ACRÉSCIMO PARA POÇO DE VISITA RETANGULAR PARA ESGOTO, EM ALVENARIA COM BLOCOS DE CONCRETO, DIMENSÕES INTERNAS = 1X1,5 M. AF_05/2018</v>
          </cell>
          <cell r="C1476" t="str">
            <v>M</v>
          </cell>
          <cell r="D1476">
            <v>1233.0899999999999</v>
          </cell>
        </row>
        <row r="1477">
          <cell r="A1477">
            <v>97999</v>
          </cell>
          <cell r="B1477" t="str">
            <v>ACRÉSCIMO PARA POÇO DE VISITA RETANGULAR PARA ESGOTO, EM ALVENARIA COM BLOCOS DE CONCRETO, DIMENSÕES INTERNAS = 1X2 M. AF_05/2018</v>
          </cell>
          <cell r="C1477" t="str">
            <v>M</v>
          </cell>
          <cell r="D1477">
            <v>1437.03</v>
          </cell>
        </row>
        <row r="1478">
          <cell r="A1478">
            <v>98001</v>
          </cell>
          <cell r="B1478" t="str">
            <v>ACRÉSCIMO PARA POÇO DE VISITA RETANGULAR PARA ESGOTO, EM ALVENARIA COM BLOCOS DE CONCRETO, DIMENSÕES INTERNAS = 1X2,5 M. AF_05/2018</v>
          </cell>
          <cell r="C1478" t="str">
            <v>M</v>
          </cell>
          <cell r="D1478">
            <v>1640.92</v>
          </cell>
        </row>
        <row r="1479">
          <cell r="A1479">
            <v>98002</v>
          </cell>
          <cell r="B1479" t="str">
            <v>BASE PARA POÇO DE VISITA RETANGULAR PARA ESGOTO, EM ALVENARIA COM BLOCOS DE CONCRETO, DIMENSÕES INTERNAS = 1X3 M, PROFUNDIDADE = 1,45 M, EXCLUINDO TAMPÃO. AF_05/2018</v>
          </cell>
          <cell r="C1479" t="str">
            <v>UN</v>
          </cell>
          <cell r="D1479">
            <v>4111.8999999999996</v>
          </cell>
        </row>
        <row r="1480">
          <cell r="A1480">
            <v>98003</v>
          </cell>
          <cell r="B1480" t="str">
            <v>ACRÉSCIMO PARA POÇO DE VISITA RETANGULAR PARA ESGOTO, EM ALVENARIA COM BLOCOS DE CONCRETO, DIMENSÕES INTERNAS = 1X3 M. AF_05/2018</v>
          </cell>
          <cell r="C1480" t="str">
            <v>M</v>
          </cell>
          <cell r="D1480">
            <v>1844.88</v>
          </cell>
        </row>
        <row r="1481">
          <cell r="A1481">
            <v>98005</v>
          </cell>
          <cell r="B1481" t="str">
            <v>ACRÉSCIMO PARA POÇO DE VISITA RETANGULAR PARA ESGOTO, EM ALVENARIA COM BLOCOS DE CONCRETO, DIMENSÕES INTERNAS = 1X3,5 M. AF_05/2018</v>
          </cell>
          <cell r="C1481" t="str">
            <v>M</v>
          </cell>
          <cell r="D1481">
            <v>2048.81</v>
          </cell>
        </row>
        <row r="1482">
          <cell r="A1482">
            <v>98006</v>
          </cell>
          <cell r="B1482" t="str">
            <v>BASE PARA POÇO DE VISITA RETANGULAR PARA ESGOTO, EM ALVENARIA COM BLOCOS DE CONCRETO, DIMENSÕES INTERNAS = 1X4 M, PROFUNDIDADE = 1,45 M, EXCLUINDO TAMPÃO. AF_05/2018</v>
          </cell>
          <cell r="C1482" t="str">
            <v>UN</v>
          </cell>
          <cell r="D1482">
            <v>5166.4399999999996</v>
          </cell>
        </row>
        <row r="1483">
          <cell r="A1483">
            <v>98007</v>
          </cell>
          <cell r="B1483" t="str">
            <v>ACRÉSCIMO PARA POÇO DE VISITA RETANGULAR PARA ESGOTO, EM ALVENARIA COM BLOCOS DE CONCRETO, DIMENSÕES INTERNAS = 1X4 M. AF_05/2018</v>
          </cell>
          <cell r="C1483" t="str">
            <v>M</v>
          </cell>
          <cell r="D1483">
            <v>2252.7199999999998</v>
          </cell>
        </row>
        <row r="1484">
          <cell r="A1484">
            <v>98008</v>
          </cell>
          <cell r="B1484" t="str">
            <v>BASE PARA POÇO DE VISITA RETANGULAR PARA ESGOTO, EM ALVENARIA COM BLOCOS DE CONCRETO, DIMENSÕES INTERNAS = 1,5X1,5 M, PROFUNDIDADE = 1,45 M, EXCLUINDO TAMPÃO . AF_05/2018</v>
          </cell>
          <cell r="C1484" t="str">
            <v>UN</v>
          </cell>
          <cell r="D1484">
            <v>3112.68</v>
          </cell>
        </row>
        <row r="1485">
          <cell r="A1485">
            <v>98009</v>
          </cell>
          <cell r="B1485" t="str">
            <v>ACRÉSCIMO PARA POÇO DE VISITA RETANGULAR PARA ESGOTO, EM ALVENARIA COM BLOCOS DE CONCRETO, DIMENSÕES INTERNAS = 1,5X1,5 M. AF_05/2018</v>
          </cell>
          <cell r="C1485" t="str">
            <v>M</v>
          </cell>
          <cell r="D1485">
            <v>1437.03</v>
          </cell>
        </row>
        <row r="1486">
          <cell r="A1486">
            <v>98010</v>
          </cell>
          <cell r="B1486" t="str">
            <v>BASE PARA POÇO DE VISITA RETANGULAR PARA ESGOTO, EM ALVENARIA COM BLOCOS DE CONCRETO, DIMENSÕES INTERNAS = 1,5X2 M, PROFUNDIDADE = 1,45 M, EXCLUINDO TAMPÃO. AF_05/2018</v>
          </cell>
          <cell r="C1486" t="str">
            <v>UN</v>
          </cell>
          <cell r="D1486">
            <v>3788.62</v>
          </cell>
        </row>
        <row r="1487">
          <cell r="A1487">
            <v>98011</v>
          </cell>
          <cell r="B1487" t="str">
            <v>ACRÉSCIMO PARA POÇO DE VISITA RETANGULAR PARA ESGOTO, EM ALVENARIA COM BLOCOS DE CONCRETO, DIMENSÕES INTERNAS = 1,5X2 M. AF_05/2018</v>
          </cell>
          <cell r="C1487" t="str">
            <v>M</v>
          </cell>
          <cell r="D1487">
            <v>1640.92</v>
          </cell>
        </row>
        <row r="1488">
          <cell r="A1488">
            <v>98012</v>
          </cell>
          <cell r="B1488" t="str">
            <v>BASE PARA POÇO DE VISITA RETANGULAR PARA ESGOTO, EM ALVENARIA COM BLOCOS DE CONCRETO, DIMENSÕES INTERNAS = 1,5X2,5 M, PROFUNDIDADE = 1,45 M, EXCLUINDO TAMPÃO. AF_05/2018</v>
          </cell>
          <cell r="C1488" t="str">
            <v>UN</v>
          </cell>
          <cell r="D1488">
            <v>4446.74</v>
          </cell>
        </row>
        <row r="1489">
          <cell r="A1489">
            <v>98013</v>
          </cell>
          <cell r="B1489" t="str">
            <v>ACRÉSCIMO PARA POÇO DE VISITA RETANGULAR PARA ESGOTO, EM ALVENARIA COM BLOCOS DE CONCRETO, DIMENSÕES INTERNAS = 1,5X2,5 M. AF_05/2018</v>
          </cell>
          <cell r="C1489" t="str">
            <v>M</v>
          </cell>
          <cell r="D1489">
            <v>1844.88</v>
          </cell>
        </row>
        <row r="1490">
          <cell r="A1490">
            <v>98014</v>
          </cell>
          <cell r="B1490" t="str">
            <v>BASE PARA POÇO DE VISITA RETANGULAR PARA ESGOTO, EM ALVENARIA COM BLOCOS DE CONCRETO, DIMENSÕES INTERNAS = 1,5X3 M, PROFUNDIDADE = 1,45 M, EXCLUINDO TAMPÃO. AF_05/2018</v>
          </cell>
          <cell r="C1490" t="str">
            <v>UN</v>
          </cell>
          <cell r="D1490">
            <v>5104.76</v>
          </cell>
        </row>
        <row r="1491">
          <cell r="A1491">
            <v>98015</v>
          </cell>
          <cell r="B1491" t="str">
            <v>ACRÉSCIMO PARA POÇO DE VISITA RETANGULAR PARA ESGOTO, EM ALVENARIA COM BLOCOS DE CONCRETO, DIMENSÕES INTERNAS = 1,5X3 M. AF_05/2018</v>
          </cell>
          <cell r="C1491" t="str">
            <v>M</v>
          </cell>
          <cell r="D1491">
            <v>2048.81</v>
          </cell>
        </row>
        <row r="1492">
          <cell r="A1492">
            <v>98016</v>
          </cell>
          <cell r="B1492" t="str">
            <v>BASE PARA POÇO DE VISITA RETANGULAR PARA ESGOTO, EM ALVENARIA COM BLOCOS DE CONCRETO, DIMENSÕES INTERNAS = 1,5X3,5 M, PROFUNDIDADE = 1,45 M, EXCLUINDO TAMPÃO. AF_05/2018</v>
          </cell>
          <cell r="C1492" t="str">
            <v>UN</v>
          </cell>
          <cell r="D1492">
            <v>5762.87</v>
          </cell>
        </row>
        <row r="1493">
          <cell r="A1493">
            <v>98017</v>
          </cell>
          <cell r="B1493" t="str">
            <v>ACRÉSCIMO PARA POÇO DE VISITA RETANGULAR PARA ESGOTO, EM ALVENARIA COM BLOCOS DE CONCRETO, DIMENSÕES INTERNAS = 1,5X3,5 M. AF_05/2018</v>
          </cell>
          <cell r="C1493" t="str">
            <v>M</v>
          </cell>
          <cell r="D1493">
            <v>2252.7199999999998</v>
          </cell>
        </row>
        <row r="1494">
          <cell r="A1494">
            <v>98018</v>
          </cell>
          <cell r="B1494" t="str">
            <v>BASE PARA POÇO DE VISITA RETANGULAR PARA ESGOTO, EM ALVENARIA COM BLOCOS DE CONCRETO, DIMENSÕES INTERNAS = 1,5X4 M, PROFUNDIDADE = 1,45 M, EXCLUINDO TAMPÃO. AF_05/2018</v>
          </cell>
          <cell r="C1494" t="str">
            <v>UN</v>
          </cell>
          <cell r="D1494">
            <v>6420.97</v>
          </cell>
        </row>
        <row r="1495">
          <cell r="A1495">
            <v>98019</v>
          </cell>
          <cell r="B1495" t="str">
            <v>ACRÉSCIMO PARA POÇO DE VISITA RETANGULAR PARA ESGOTO, EM ALVENARIA COM BLOCOS DE CONCRETO, DIMENSÕES INTERNAS = 1,5X4 M. AF_05/2018</v>
          </cell>
          <cell r="C1495" t="str">
            <v>M</v>
          </cell>
          <cell r="D1495">
            <v>2483.8200000000002</v>
          </cell>
        </row>
        <row r="1496">
          <cell r="A1496">
            <v>98020</v>
          </cell>
          <cell r="B1496" t="str">
            <v>BASE PARA POÇO DE VISITA RETANGULAR PARA ESGOTO, EM ALVENARIA COM BLOCOS DE CONCRETO, DIMENSÕES INTERNAS = 2X2 M, PROFUNDIDADE = 1,45 M, EXCLUINDO TAMPÃO. AF_05/2018</v>
          </cell>
          <cell r="C1496" t="str">
            <v>UN</v>
          </cell>
          <cell r="D1496">
            <v>4581.83</v>
          </cell>
        </row>
        <row r="1497">
          <cell r="A1497">
            <v>98021</v>
          </cell>
          <cell r="B1497" t="str">
            <v>ACRÉSCIMO PARA POÇO DE VISITA RETANGULAR PARA ESGOTO, EM ALVENARIA COM BLOCOS DE CONCRETO, DIMENSÕES INTERNAS = 2X2 M. AF_05/2018</v>
          </cell>
          <cell r="C1497" t="str">
            <v>M</v>
          </cell>
          <cell r="D1497">
            <v>1872.07</v>
          </cell>
        </row>
        <row r="1498">
          <cell r="A1498">
            <v>98022</v>
          </cell>
          <cell r="B1498" t="str">
            <v>BASE PARA POÇO DE VISITA RETANGULAR PARA ESGOTO, EM ALVENARIA COM BLOCOS DE CONCRETO, DIMENSÕES INTERNAS = 2X2,5 M, PROFUNDIDADE = 1,45 M, EXCLUINDO TAMPÃO. AF_05/2018</v>
          </cell>
          <cell r="C1498" t="str">
            <v>UN</v>
          </cell>
          <cell r="D1498">
            <v>5363.78</v>
          </cell>
        </row>
        <row r="1499">
          <cell r="A1499">
            <v>98023</v>
          </cell>
          <cell r="B1499" t="str">
            <v>ACRÉSCIMO PARA POÇO DE VISITA RETANGULAR PARA ESGOTO, EM ALVENARIA COM BLOCOS DE CONCRETO, DIMENSÕES INTERNAS = 2X2,5 M. AF_05/2018</v>
          </cell>
          <cell r="C1499" t="str">
            <v>M</v>
          </cell>
          <cell r="D1499">
            <v>2075.98</v>
          </cell>
        </row>
        <row r="1500">
          <cell r="A1500">
            <v>98024</v>
          </cell>
          <cell r="B1500" t="str">
            <v>BASE PARA POÇO DE VISITA RETANGULAR PARA ESGOTO, EM ALVENARIA COM BLOCOS DE CONCRETO, DIMENSÕES INTERNAS = 2X3 M, PROFUNDIDADE = 1,45 M, EXCLUINDO TAMPÃO. AF_05/2018</v>
          </cell>
          <cell r="C1500" t="str">
            <v>UN</v>
          </cell>
          <cell r="D1500">
            <v>6186.47</v>
          </cell>
        </row>
        <row r="1501">
          <cell r="A1501">
            <v>98025</v>
          </cell>
          <cell r="B1501" t="str">
            <v>ACRÉSCIMO PARA POÇO DE VISITA RETANGULAR PARA ESGOTO, EM ALVENARIA COM BLOCOS DE CONCRETO, DIMENSÕES INTERNAS = 2X3 M. AF_05/2018</v>
          </cell>
          <cell r="C1501" t="str">
            <v>M</v>
          </cell>
          <cell r="D1501">
            <v>2279.91</v>
          </cell>
        </row>
        <row r="1502">
          <cell r="A1502">
            <v>98026</v>
          </cell>
          <cell r="B1502" t="str">
            <v>BASE PARA POÇO DE VISITA RETANGULAR PARA ESGOTO, EM ALVENARIA COM BLOCOS DE CONCRETO, DIMENSÕES INTERNAS = 2X3,5 M, PROFUNDIDADE = 1,45 M, EXCLUINDO TAMPÃO. AF_05/2018</v>
          </cell>
          <cell r="C1502" t="str">
            <v>UN</v>
          </cell>
          <cell r="D1502">
            <v>6973.48</v>
          </cell>
        </row>
        <row r="1503">
          <cell r="A1503">
            <v>98027</v>
          </cell>
          <cell r="B1503" t="str">
            <v>ACRÉSCIMO PARA POÇO DE VISITA RETANGULAR PARA ESGOTO, EM ALVENARIA COM BLOCOS DE CONCRETO, DIMENSÕES INTERNAS = 2X3,5 M. AF_05/2018</v>
          </cell>
          <cell r="C1503" t="str">
            <v>M</v>
          </cell>
          <cell r="D1503">
            <v>2483.8200000000002</v>
          </cell>
        </row>
        <row r="1504">
          <cell r="A1504">
            <v>98028</v>
          </cell>
          <cell r="B1504" t="str">
            <v>BASE PARA POÇO DE VISITA RETANGULAR PARA ESGOTO, EM ALVENARIA COM BLOCOS DE CONCRETO, DIMENSÕES INTERNAS = 2X4 M, PROFUNDIDADE = 1,45 M, EXCLUINDO TAMPÃO. AF_05/2018</v>
          </cell>
          <cell r="C1504" t="str">
            <v>UN</v>
          </cell>
          <cell r="D1504">
            <v>7760.44</v>
          </cell>
        </row>
        <row r="1505">
          <cell r="A1505">
            <v>98029</v>
          </cell>
          <cell r="B1505" t="str">
            <v>ACRÉSCIMO PARA POÇO DE VISITA RETANGULAR PARA ESGOTO, EM ALVENARIA COM BLOCOS DE CONCRETO, DIMENSÕES INTERNAS = 2X4 M. AF_05/2018</v>
          </cell>
          <cell r="C1505" t="str">
            <v>M</v>
          </cell>
          <cell r="D1505">
            <v>2693.34</v>
          </cell>
        </row>
        <row r="1506">
          <cell r="A1506">
            <v>98030</v>
          </cell>
          <cell r="B1506" t="str">
            <v>BASE PARA POÇO DE VISITA RETANGULAR PARA ESGOTO, EM ALVENARIA COM BLOCOS DE CONCRETO, DIMENSÕES INTERNAS = 2,5X2,5 M, PROFUNDIDADE = 1,45 M, EXCLUINDO TAMPÃO. AF_05/2018</v>
          </cell>
          <cell r="C1506" t="str">
            <v>UN</v>
          </cell>
          <cell r="D1506">
            <v>6331.66</v>
          </cell>
        </row>
        <row r="1507">
          <cell r="A1507">
            <v>98031</v>
          </cell>
          <cell r="B1507" t="str">
            <v>ACRÉSCIMO PARA POÇO DE VISITA RETANGULAR PARA ESGOTO, EM ALVENARIA COM BLOCOS DE CONCRETO, DIMENSÕES INTERNAS = 2,5X2,5 M. AF_05/2018</v>
          </cell>
          <cell r="C1507" t="str">
            <v>M</v>
          </cell>
          <cell r="D1507">
            <v>2285.58</v>
          </cell>
        </row>
        <row r="1508">
          <cell r="A1508">
            <v>98032</v>
          </cell>
          <cell r="B1508" t="str">
            <v>BASE PARA POÇO DE VISITA RETANGULAR PARA ESGOTO, EM ALVENARIA COM BLOCOS DE CONCRETO, DIMENSÕES INTERNAS = 2,5X3 M, PROFUNDIDADE = 1,45 M, EXCLUINDO TAMPÃO. AF_05/2018</v>
          </cell>
          <cell r="C1508" t="str">
            <v>UN</v>
          </cell>
          <cell r="D1508">
            <v>7277.38</v>
          </cell>
        </row>
        <row r="1509">
          <cell r="A1509">
            <v>98033</v>
          </cell>
          <cell r="B1509" t="str">
            <v>ACRÉSCIMO PARA POÇO DE VISITA RETANGULAR PARA ESGOTO, EM ALVENARIA COM BLOCOS DE CONCRETO, DIMENSÕES INTERNAS = 2,5X3 M. AF_05/2018</v>
          </cell>
          <cell r="C1509" t="str">
            <v>M</v>
          </cell>
          <cell r="D1509">
            <v>2489.5</v>
          </cell>
        </row>
        <row r="1510">
          <cell r="A1510">
            <v>98034</v>
          </cell>
          <cell r="B1510" t="str">
            <v>BASE PARA POÇO DE VISITA RETANGULAR PARA ESGOTO, EM ALVENARIA COM BLOCOS DE CONCRETO, DIMENSÕES INTERNAS = 2,5X3,5 M, PROFUNDIDADE = 1,45 M, EXCLUINDO TAMPÃO. AF_05/2018</v>
          </cell>
          <cell r="C1510" t="str">
            <v>UN</v>
          </cell>
          <cell r="D1510">
            <v>8223.06</v>
          </cell>
        </row>
        <row r="1511">
          <cell r="A1511">
            <v>98035</v>
          </cell>
          <cell r="B1511" t="str">
            <v>ACRÉSCIMO PARA POÇO DE VISITA RETANGULAR PARA ESGOTO, EM ALVENARIA COM BLOCOS DE CONCRETO, DIMENSÕES INTERNAS = 2,5X3,5 M. AF_05/2018</v>
          </cell>
          <cell r="C1511" t="str">
            <v>M</v>
          </cell>
          <cell r="D1511">
            <v>2693.34</v>
          </cell>
        </row>
        <row r="1512">
          <cell r="A1512">
            <v>98036</v>
          </cell>
          <cell r="B1512" t="str">
            <v>BASE PARA POÇO DE VISITA RETANGULAR PARA ESGOTO, EM ALVENARIA COM BLOCOS DE CONCRETO, DIMENSÕES INTERNAS = 2,5X4 M, PROFUNDIDADE = 1,45 M, EXCLUINDO TAMPÃO. AF_05/2018</v>
          </cell>
          <cell r="C1512" t="str">
            <v>UN</v>
          </cell>
          <cell r="D1512">
            <v>9168.76</v>
          </cell>
        </row>
        <row r="1513">
          <cell r="A1513">
            <v>98037</v>
          </cell>
          <cell r="B1513" t="str">
            <v>ACRÉSCIMO PARA POÇO DE VISITA RETANGULAR PARA ESGOTO, EM ALVENARIA COM BLOCOS DE CONCRETO, DIMENSÕES INTERNAS = 2,5X4 M. AF_05/2018</v>
          </cell>
          <cell r="C1513" t="str">
            <v>M</v>
          </cell>
          <cell r="D1513">
            <v>2902.93</v>
          </cell>
        </row>
        <row r="1514">
          <cell r="A1514">
            <v>98038</v>
          </cell>
          <cell r="B1514" t="str">
            <v>BASE PARA POÇO DE VISITA RETANGULAR PARA ESGOTO, EM ALVENARIA COM BLOCOS DE CONCRETO, DIMENSÕES INTERNAS = 3X3 M, PROFUNDIDADE = 1,45 M, EXCLUINDO TAMPÃO. AF_05/2018</v>
          </cell>
          <cell r="C1514" t="str">
            <v>UN</v>
          </cell>
          <cell r="D1514">
            <v>8409.9599999999991</v>
          </cell>
        </row>
        <row r="1515">
          <cell r="A1515">
            <v>98039</v>
          </cell>
          <cell r="B1515" t="str">
            <v>ACRÉSCIMO PARA POÇO DE VISITA RETANGULAR PARA ESGOTO, EM ALVENARIA COM BLOCOS DE CONCRETO, DIMENSÕES INTERNAS = 3X3 M. AF_05/2018</v>
          </cell>
          <cell r="C1515" t="str">
            <v>M</v>
          </cell>
          <cell r="D1515">
            <v>2699.02</v>
          </cell>
        </row>
        <row r="1516">
          <cell r="A1516">
            <v>98040</v>
          </cell>
          <cell r="B1516" t="str">
            <v>BASE PARA POÇO DE VISITA RETANGULAR PARA ESGOTO, EM ALVENARIA COM BLOCOS DE CONCRETO, DIMENSÕES INTERNAS = 3X3,5 M, PROFUNDIDADE = 1,45 M, EXCLUINDO TAMPÃO. AF_05/2018</v>
          </cell>
          <cell r="C1516" t="str">
            <v>UN</v>
          </cell>
          <cell r="D1516">
            <v>9498.14</v>
          </cell>
        </row>
        <row r="1517">
          <cell r="A1517">
            <v>98041</v>
          </cell>
          <cell r="B1517" t="str">
            <v>ACRÉSCIMO PARA POÇO DE VISITA RETANGULAR PARA ESGOTO, EM ALVENARIA COM BLOCOS DE CONCRETO, DIMENSÕES INTERNAS = 3X3,5 M. AF_05/2018</v>
          </cell>
          <cell r="C1517" t="str">
            <v>M</v>
          </cell>
          <cell r="D1517">
            <v>2902.93</v>
          </cell>
        </row>
        <row r="1518">
          <cell r="A1518">
            <v>98042</v>
          </cell>
          <cell r="B1518" t="str">
            <v>BASE PARA POÇO DE VISITA RETANGULAR PARA ESGOTO, EM ALVENARIA COM BLOCOS DE CONCRETO, DIMENSÕES INTERNAS = 3X4 M, PROFUNDIDADE = 1,45 M, EXCLUINDO TAMPÃO. AF_05/2018</v>
          </cell>
          <cell r="C1518" t="str">
            <v>UN</v>
          </cell>
          <cell r="D1518">
            <v>10586.36</v>
          </cell>
        </row>
        <row r="1519">
          <cell r="A1519">
            <v>98043</v>
          </cell>
          <cell r="B1519" t="str">
            <v>ACRÉSCIMO PARA POÇO DE VISITA RETANGULAR PARA ESGOTO, EM ALVENARIA COM BLOCOS DE CONCRETO, DIMENSÕES INTERNAS = 3X4 M. AF_05/2018</v>
          </cell>
          <cell r="C1519" t="str">
            <v>M</v>
          </cell>
          <cell r="D1519">
            <v>3112.55</v>
          </cell>
        </row>
        <row r="1520">
          <cell r="A1520">
            <v>98044</v>
          </cell>
          <cell r="B1520" t="str">
            <v>BASE PARA POÇO DE VISITA RETANGULAR PARA ESGOTO, EM ALVENARIA COM BLOCOS DE CONCRETO, DIMENSÕES INTERNAS = 3,5X3,5 M, PROFUNDIDADE = 1,45 M, EXCLUINDO TAMPÃO. AF_05/2018</v>
          </cell>
          <cell r="C1520" t="str">
            <v>UN</v>
          </cell>
          <cell r="D1520">
            <v>10781.24</v>
          </cell>
        </row>
        <row r="1521">
          <cell r="A1521">
            <v>98045</v>
          </cell>
          <cell r="B1521" t="str">
            <v>ACRÉSCIMO PARA POÇO DE VISITA RETANGULAR PARA ESGOTO, EM ALVENARIA COM BLOCOS DE CONCRETO, DIMENSÕES INTERNAS = 3,5X3,5 M. AF_05/2018</v>
          </cell>
          <cell r="C1521" t="str">
            <v>M</v>
          </cell>
          <cell r="D1521">
            <v>3112.55</v>
          </cell>
        </row>
        <row r="1522">
          <cell r="A1522">
            <v>98046</v>
          </cell>
          <cell r="B1522" t="str">
            <v>BASE PARA POÇO DE VISITA RETANGULAR PARA ESGOTO, EM ALVENARIA COM BLOCOS DE CONCRETO, DIMENSÕES INTERNAS = 3,5X4 M, PROFUNDIDADE = 1,45 M, EXCLUINDO TAMPÃO. AF_05/2018</v>
          </cell>
          <cell r="C1522" t="str">
            <v>UN</v>
          </cell>
          <cell r="D1522">
            <v>12013.11</v>
          </cell>
        </row>
        <row r="1523">
          <cell r="A1523">
            <v>98047</v>
          </cell>
          <cell r="B1523" t="str">
            <v>ACRÉSCIMO PARA POÇO DE VISITA RETANGULAR PARA ESGOTO, EM ALVENARIA COM BLOCOS DE CONCRETO, DIMENSÕES INTERNAS = 3,5X4 M. AF_05/2018</v>
          </cell>
          <cell r="C1523" t="str">
            <v>M</v>
          </cell>
          <cell r="D1523">
            <v>3322.12</v>
          </cell>
        </row>
        <row r="1524">
          <cell r="A1524">
            <v>98048</v>
          </cell>
          <cell r="B1524" t="str">
            <v>BASE PARA POÇO DE VISITA RETANGULAR PARA ESGOTO, EM ALVENARIA COM BLOCOS DE CONCRETO, DIMENSÕES INTERNAS = 4X4 M, PROFUNDIDADE = 1,45 M, EXCLUINDO TAMPÃO. AF_05/2018</v>
          </cell>
          <cell r="C1524" t="str">
            <v>UN</v>
          </cell>
          <cell r="D1524">
            <v>13449.18</v>
          </cell>
        </row>
        <row r="1525">
          <cell r="A1525">
            <v>98049</v>
          </cell>
          <cell r="B1525" t="str">
            <v>ACRÉSCIMO PARA POÇO DE VISITA RETANGULAR PARA ESGOTO, EM ALVENARIA COM BLOCOS DE CONCRETO, DIMENSÕES INTERNAS = 4X4 M. AF_05/2018</v>
          </cell>
          <cell r="C1525" t="str">
            <v>M</v>
          </cell>
          <cell r="D1525">
            <v>3476.18</v>
          </cell>
        </row>
        <row r="1526">
          <cell r="A1526">
            <v>98050</v>
          </cell>
          <cell r="B1526" t="str">
            <v>CHAMINÉ CIRCULAR PARA POÇO DE VISITA PARA ESGOTO, EM CONCRETO PRÉ-MOLDADO, DIÂMETRO INTERNO = 0,6 M. AF_05/2018</v>
          </cell>
          <cell r="C1526" t="str">
            <v>M</v>
          </cell>
          <cell r="D1526">
            <v>204.28</v>
          </cell>
        </row>
        <row r="1527">
          <cell r="A1527">
            <v>98051</v>
          </cell>
          <cell r="B1527" t="str">
            <v>CHAMINÉ CIRCULAR PARA POÇO DE VISITA PARA ESGOTO, EM ALVENARIA COM TIJOLOS CERÂMICOS MACIÇOS, DIÂMETRO INTERNO = 0,6 M. AF_05/2018</v>
          </cell>
          <cell r="C1527" t="str">
            <v>M</v>
          </cell>
          <cell r="D1527">
            <v>756.15</v>
          </cell>
        </row>
        <row r="1528">
          <cell r="A1528">
            <v>98405</v>
          </cell>
          <cell r="B1528" t="str">
            <v>BASE PARA POÇO DE VISITA CIRCULAR PARA  ESGOTO, EM ALVENARIA COM TIJOLOS CERÂMICOS MACIÇOS, DIÂMETRO INTERNO = 1 M, PROFUNDIDADE = 1,45 M, EXCLUINDO TAMPÃO. AF_05/2018</v>
          </cell>
          <cell r="C1528" t="str">
            <v>UN</v>
          </cell>
          <cell r="D1528">
            <v>1948.83</v>
          </cell>
        </row>
        <row r="1529">
          <cell r="A1529">
            <v>98406</v>
          </cell>
          <cell r="B1529" t="str">
            <v>BASE PARA POÇO DE VISITA RETANGULAR PARA ESGOTO, EM ALVENARIA COM BLOCOS DE CONCRETO, DIMENSÕES INTERNAS = 1X3,5 M, PROFUNDIDADE = 1,45 M, EXCLUINDO TAMPÃO. AF_05/2018</v>
          </cell>
          <cell r="C1529" t="str">
            <v>UN</v>
          </cell>
          <cell r="D1529">
            <v>4639.12</v>
          </cell>
        </row>
        <row r="1530">
          <cell r="A1530">
            <v>98407</v>
          </cell>
          <cell r="B1530" t="str">
            <v>BASE PARA POÇO DE VISITA RETANGULAR PARA ESGOTO, EM ALVENARIA COM BLOCOS DE CONCRETO, DIMENSÕES INTERNAS = 1X2 M, PROFUNDIDADE = 1,45 M, EXCLUINDO TAMPÃO. AF_05/2018</v>
          </cell>
          <cell r="C1530" t="str">
            <v>UN</v>
          </cell>
          <cell r="D1530">
            <v>3040.36</v>
          </cell>
        </row>
        <row r="1531">
          <cell r="A1531">
            <v>98408</v>
          </cell>
          <cell r="B1531" t="str">
            <v>BASE PARA POÇO DE VISITA RETANGULAR PARA ESGOTO, EM ALVENARIA COM BLOCOS DE CONCRETO, DIMENSÕES INTERNAS = 1X2,5 M, PROFUNDIDADE = 1,45 M, EXCLUINDO TAMPÃO. AF_05/2018</v>
          </cell>
          <cell r="C1531" t="str">
            <v>UN</v>
          </cell>
          <cell r="D1531">
            <v>3564.78</v>
          </cell>
        </row>
        <row r="1532">
          <cell r="A1532">
            <v>98409</v>
          </cell>
          <cell r="B1532" t="str">
            <v>ACRÉSCIMO PARA POÇO DE VISITA CIRCULAR PARA ESGOTO, EM CONCRETO PRÉ-MOLDADO, DIÂMETRO INTERNO = 0,8 M. AF_05/2018</v>
          </cell>
          <cell r="C1532" t="str">
            <v>M</v>
          </cell>
          <cell r="D1532">
            <v>311.39</v>
          </cell>
        </row>
        <row r="1533">
          <cell r="A1533">
            <v>98414</v>
          </cell>
          <cell r="B1533" t="str">
            <v>BASE PARA POÇO DE VISITA CIRCULAR PARA  ESGOTO, EM CONCRETO PRÉ-MOLDADO, DIÂMETRO INTERNO = 1 M, PROFUNDIDADE = 1,45 M, EXCLUINDO TAMPÃO. AF_05/2018_P</v>
          </cell>
          <cell r="C1533" t="str">
            <v>UN</v>
          </cell>
          <cell r="D1533">
            <v>931.75</v>
          </cell>
        </row>
        <row r="1534">
          <cell r="A1534">
            <v>98415</v>
          </cell>
          <cell r="B1534" t="str">
            <v>(COMPOSIÇÃO REPRESENTATIVA) POÇO DE VISITA CIRCULAR PARA ESGOTO, EM CONCRETO PRÉ-MOLDADO, DIÂMETRO INTERNO = 1,0 M, PROFUNDIDADE ATÉ 1,50 M, EXCLUINDO TAMPÃO. AF_04/2018</v>
          </cell>
          <cell r="C1534" t="str">
            <v>UN</v>
          </cell>
          <cell r="D1534">
            <v>931.75</v>
          </cell>
        </row>
        <row r="1535">
          <cell r="A1535">
            <v>98416</v>
          </cell>
          <cell r="B1535" t="str">
            <v>(COMPOSIÇÃO REPRESENTATIVA) POÇO DE VISITA CIRCULAR PARA ESGOTO, EM CONCRETO PRÉ-MOLDADO, DIÂMETRO INTERNO = 1,0 M, PROFUNDIDADE DE 1,50 A 2,00 M, EXCLUINDO TAMPÃO. AF_04/2018</v>
          </cell>
          <cell r="C1535" t="str">
            <v>UN</v>
          </cell>
          <cell r="D1535">
            <v>1120.07</v>
          </cell>
        </row>
        <row r="1536">
          <cell r="A1536">
            <v>98417</v>
          </cell>
          <cell r="B1536" t="str">
            <v>(COMPOSIÇÃO REPRESENTATIVA) POÇO DE VISITA CIRCULAR PARA ESGOTO, EM CONCRETO PRÉ-MOLDADO, DIÂMETRO INTERNO = 1,0 M, PROFUNDIDADE DE 2,00 A 2,50 M, EXCLUINDO TAMPÃO. AF_04/2018</v>
          </cell>
          <cell r="C1536" t="str">
            <v>UN</v>
          </cell>
          <cell r="D1536">
            <v>1308.4000000000001</v>
          </cell>
        </row>
        <row r="1537">
          <cell r="A1537">
            <v>98418</v>
          </cell>
          <cell r="B1537" t="str">
            <v>(COMPOSIÇÃO REPRESENTATIVA) POÇO DE VISITA CIRCULAR PARA ESGOTO, EM CONCRETO PRÉ-MOLDADO, DIÂMETRO INTERNO = 1,0 M, PROFUNDIDADE DE 2,50 A 3,00 M, EXCLUINDO TAMPÃO. AF_04/2018</v>
          </cell>
          <cell r="C1537" t="str">
            <v>UN</v>
          </cell>
          <cell r="D1537">
            <v>1410.54</v>
          </cell>
        </row>
        <row r="1538">
          <cell r="A1538">
            <v>98419</v>
          </cell>
          <cell r="B1538" t="str">
            <v>(COMPOSIÇÃO REPRESENTATIVA) POÇO DE VISITA CIRCULAR PARA ESGOTO, EM CONCRETO PRÉ-MOLDADO, DIÂMETRO INTERNO = 1,0 M, PROFUNDIDADE DE 3,00 A 3,50 M, EXCLUINDO TAMPÃO. AF_04/2018</v>
          </cell>
          <cell r="C1538" t="str">
            <v>UN</v>
          </cell>
          <cell r="D1538">
            <v>1512.68</v>
          </cell>
        </row>
        <row r="1539">
          <cell r="A1539">
            <v>98420</v>
          </cell>
          <cell r="B1539" t="str">
            <v>(COMPOSIÇÃO REPRESENTATIVA) POÇO DE VISITA CIRCULAR PARA ESGOTO, EM CONCRETO PRÉ-MOLDADO, DIÂMETRO INTERNO = 1,0 M, PROFUNDIDADE ATÉ 1,50 M, INCLUINDO TAMPÃO DE FERRO FUNDIDO, DIÂMETRO DE 60 CM. AF_04/2018</v>
          </cell>
          <cell r="C1539" t="str">
            <v>UN</v>
          </cell>
          <cell r="D1539">
            <v>1310.49</v>
          </cell>
        </row>
        <row r="1540">
          <cell r="A1540">
            <v>98421</v>
          </cell>
          <cell r="B1540" t="str">
            <v>(COMPOSIÇÃO REPRESENTATIVA) POÇO DE VISITA CIRCULAR PARA ESGOTO, EM CONCRETO PRÉ-MOLDADO, DIÂMETRO INTERNO = 1,0 M, PROFUNDIDADE DE 1,50 A 2,00 M, INCLUINDO TAMPÃO DE FERRO FUNDIDO, DIÂMETRO DE 60 CM. AF_04/2018</v>
          </cell>
          <cell r="C1540" t="str">
            <v>UN</v>
          </cell>
          <cell r="D1540">
            <v>1498.81</v>
          </cell>
        </row>
        <row r="1541">
          <cell r="A1541">
            <v>98422</v>
          </cell>
          <cell r="B1541" t="str">
            <v>(COMPOSIÇÃO REPRESENTATIVA) POÇO DE VISITA CIRCULAR PARA ESGOTO, EM CONCRETO PRÉ-MOLDADO, DIÂMETRO INTERNO = 1,0 M, PROFUNDIDADE DE 2,00 A 2,50 M, INCLUINDO TAMPÃO DE FERRO FUNDIDO, DIÂMETRO DE 60 CM. AF_04/2018</v>
          </cell>
          <cell r="C1541" t="str">
            <v>UN</v>
          </cell>
          <cell r="D1541">
            <v>1687.14</v>
          </cell>
        </row>
        <row r="1542">
          <cell r="A1542">
            <v>98423</v>
          </cell>
          <cell r="B1542" t="str">
            <v>(COMPOSIÇÃO REPRESENTATIVA) POÇO DE VISITA CIRCULAR PARA ESGOTO, EM CONCRETO PRÉ-MOLDADO, DIÂMETRO INTERNO = 1,0 M, PROFUNDIDADE DE 2,50 A 3,00 M, INCLUINDO TAMPÃO DE FERRO FUNDIDO, DIÂMETRO DE 60 CM. AF_04/2018</v>
          </cell>
          <cell r="C1542" t="str">
            <v>UN</v>
          </cell>
          <cell r="D1542">
            <v>1789.28</v>
          </cell>
        </row>
        <row r="1543">
          <cell r="A1543">
            <v>98424</v>
          </cell>
          <cell r="B1543" t="str">
            <v>(COMPOSIÇÃO REPRESENTATIVA) POÇO DE VISITA CIRCULAR PARA ESGOTO, EM CONCRETO PRÉ-MOLDADO, DIÂMETRO INTERNO = 1,0 M, PROFUNDIDADE DE 3,00 A 3,50 M, INCLUINDO TAMPÃO DE FERRO FUNDIDO, DIÂMETRO DE 60 CM. AF_04/2018</v>
          </cell>
          <cell r="C1543" t="str">
            <v>UN</v>
          </cell>
          <cell r="D1543">
            <v>1891.42</v>
          </cell>
        </row>
        <row r="1544">
          <cell r="A1544">
            <v>98425</v>
          </cell>
          <cell r="B1544" t="str">
            <v>(COMPOSIÇÃO REPRESENTATIVA) POÇO DE VISITA CIRCULAR PARA ESGOTO, EM ALVENARIA COM TIJOLOS CERÂMICOS MACIÇOS, DIÂMETRO INTERNO = 1,2 M, PROFUNDIDADE ATÉ 1,50 M, EXCLUINDO TAMPÃO. AF_04/2018</v>
          </cell>
          <cell r="C1544" t="str">
            <v>UN</v>
          </cell>
          <cell r="D1544">
            <v>2300.13</v>
          </cell>
        </row>
        <row r="1545">
          <cell r="A1545">
            <v>98426</v>
          </cell>
          <cell r="B1545" t="str">
            <v>(COMPOSIÇÃO REPRESENTATIVA) POÇO DE VISITA CIRCULAR PARA ESGOTO, EM ALVENARIA COM TIJOLOS CERÂMICOS MACIÇOS, DIÂMETRO INTERNO = 1,2 M, PROFUNDIDADE DE 1,50 A 2,00 M, EXCLUINDO TAMPÃO. AF_04/2018</v>
          </cell>
          <cell r="C1545" t="str">
            <v>UN</v>
          </cell>
          <cell r="D1545">
            <v>2986.19</v>
          </cell>
        </row>
        <row r="1546">
          <cell r="A1546">
            <v>98427</v>
          </cell>
          <cell r="B1546" t="str">
            <v>(COMPOSIÇÃO REPRESENTATIVA) POÇO DE VISITA CIRCULAR PARA ESGOTO, EM ALVENARIA COM TIJOLOS CERÂMICOS MACIÇOS, DIÂMETRO INTERNO = 1,2 M, PROFUNDIDADE DE 2,00 A 2,50 M, EXCLUINDO TAMPÃO. AF_04/2018</v>
          </cell>
          <cell r="C1546" t="str">
            <v>UN</v>
          </cell>
          <cell r="D1546">
            <v>3672.26</v>
          </cell>
        </row>
        <row r="1547">
          <cell r="A1547">
            <v>98428</v>
          </cell>
          <cell r="B1547" t="str">
            <v>(COMPOSIÇÃO REPRESENTATIVA) POÇO DE VISITA CIRCULAR PARA ESGOTO, EM ALVENARIA COM TIJOLOS CERÂMICOS MACIÇOS, DIÂMETRO INTERNO = 1,2 M, PROFUNDIDADE DE 2,50 A 3,00 M, EXCLUINDO TAMPÃO. AF_04/2018</v>
          </cell>
          <cell r="C1547" t="str">
            <v>UN</v>
          </cell>
          <cell r="D1547">
            <v>4050.33</v>
          </cell>
        </row>
        <row r="1548">
          <cell r="A1548">
            <v>98429</v>
          </cell>
          <cell r="B1548" t="str">
            <v>(COMPOSIÇÃO REPRESENTATIVA) POÇO DE VISITA CIRCULAR PARA ESGOTO, EM ALVENARIA COM TIJOLOS CERÂMICOS MACIÇOS, DIÂMETRO INTERNO = 1,2 M, PROFUNDIDADE DE 3,00 A 3,50 M, EXCLUINDO TAMPÃO. AF_04/2018</v>
          </cell>
          <cell r="C1548" t="str">
            <v>UN</v>
          </cell>
          <cell r="D1548">
            <v>4428.41</v>
          </cell>
        </row>
        <row r="1549">
          <cell r="A1549">
            <v>98430</v>
          </cell>
          <cell r="B1549" t="str">
            <v>(COMPOSIÇÃO REPRESENTATIVA) POÇO DE VISITA CIRCULAR PARA ESGOTO, EM ALVENARIA COM TIJOLOS CERÂMICOS MACIÇOS, DIÂMETRO INTERNO = 1,2 M, PROFUNDIDADE ATÉ 1,50 M, INCLUINDO TAMPÃO DE FERRO FUNDIDO, DIÂMETRO DE 60 CM. AF_04/2018</v>
          </cell>
          <cell r="C1549" t="str">
            <v>UN</v>
          </cell>
          <cell r="D1549">
            <v>2678.87</v>
          </cell>
        </row>
        <row r="1550">
          <cell r="A1550">
            <v>98431</v>
          </cell>
          <cell r="B1550" t="str">
            <v>(COMPOSIÇÃO REPRESENTATIVA) POÇO DE VISITA CIRCULAR PARA ESGOTO, EM ALVENARIA COM TIJOLOS CERÂMICOS MACIÇOS, DIÂMETRO INTERNO = 1,2 M, PROFUNDIDADE DE 1,50 A 2,00 M, INCLUINDO TAMPÃO DE FERRO FUNDIDO, DIÂMETRO DE 60 CM. AF_04/2018</v>
          </cell>
          <cell r="C1550" t="str">
            <v>UN</v>
          </cell>
          <cell r="D1550">
            <v>3364.93</v>
          </cell>
        </row>
        <row r="1551">
          <cell r="A1551">
            <v>98432</v>
          </cell>
          <cell r="B1551" t="str">
            <v>(COMPOSIÇÃO REPRESENTATIVA) POÇO DE VISITA CIRCULAR PARA ESGOTO, EM ALVENARIA COM TIJOLOS CERÂMICOS MACIÇOS, DIÂMETRO INTERNO = 1,2 M, PROFUNDIDADE DE 2,00 A 2,50 M, INCLUINDO TAMPÃO DE FERRO FUNDIDO, DIÂMETRO DE 60 CM. AF_04/2018</v>
          </cell>
          <cell r="C1551" t="str">
            <v>UN</v>
          </cell>
          <cell r="D1551">
            <v>4051</v>
          </cell>
        </row>
        <row r="1552">
          <cell r="A1552">
            <v>98433</v>
          </cell>
          <cell r="B1552" t="str">
            <v>(COMPOSIÇÃO REPRESENTATIVA) POÇO DE VISITA CIRCULAR PARA ESGOTO, EM ALVENARIA COM TIJOLOS CERÂMICOS MACIÇOS, DIÂMETRO INTERNO = 1,2 M, PROFUNDIDADE DE 2,50 A 3,00 M, INCLUINDO TAMPÃO DE FERRO FUNDIDO, DIÂMETRO DE 60 CM. AF_04/2018</v>
          </cell>
          <cell r="C1552" t="str">
            <v>UN</v>
          </cell>
          <cell r="D1552">
            <v>4429.07</v>
          </cell>
        </row>
        <row r="1553">
          <cell r="A1553">
            <v>98434</v>
          </cell>
          <cell r="B1553" t="str">
            <v>(COMPOSIÇÃO REPRESENTATIVA) POÇO DE VISITA CIRCULAR PARA ESGOTO, EM ALVENARIA COM TIJOLOS CERÂMICOS MACIÇOS, DIÂMETRO INTERNO = 1,2 M, PROFUNDIDADE DE 3,00 A 3,50 M, INCLUINDO TAMPÃO DE FERRO FUNDIDO, DIÂMETRO DE 60 CM. AF_04/2018</v>
          </cell>
          <cell r="C1553" t="str">
            <v>UN</v>
          </cell>
          <cell r="D1553">
            <v>4807.1499999999996</v>
          </cell>
        </row>
        <row r="1554">
          <cell r="A1554">
            <v>99240</v>
          </cell>
          <cell r="B1554" t="str">
            <v>ACRÉSCIMO PARA POÇO DE VISITA CIRCULAR PARA DRENAGEM, EM CONCRETO PRÉ-MOLDADO, DIÂMETRO INTERNO = 1,2 M. AF_05/2018</v>
          </cell>
          <cell r="C1554" t="str">
            <v>M</v>
          </cell>
          <cell r="D1554">
            <v>412.95</v>
          </cell>
        </row>
        <row r="1555">
          <cell r="A1555">
            <v>99241</v>
          </cell>
          <cell r="B1555" t="str">
            <v>ACRÉSCIMO PARA POÇO DE VISITA RETANGULAR PARA DRENAGEM, EM ALVENARIA COM BLOCOS DE CONCRETO, DIMENSÕES INTERNAS = 1,5X1,5 M. AF_05/2018</v>
          </cell>
          <cell r="C1555" t="str">
            <v>M</v>
          </cell>
          <cell r="D1555">
            <v>1392.44</v>
          </cell>
        </row>
        <row r="1556">
          <cell r="A1556">
            <v>99242</v>
          </cell>
          <cell r="B1556" t="str">
            <v>BASE PARA POÇO DE VISITA CIRCULAR PARA DRENAGEM, EM ALVENARIA COM TIJOLOS CERÂMICOS MACIÇOS, DIÂMETRO INTERNO = 1,2 M, PROFUNDIDADE = 1,45 M, EXCLUINDO TAMPÃO. AF_05/2018</v>
          </cell>
          <cell r="C1556" t="str">
            <v>UN</v>
          </cell>
          <cell r="D1556">
            <v>2228.48</v>
          </cell>
        </row>
        <row r="1557">
          <cell r="A1557">
            <v>99243</v>
          </cell>
          <cell r="B1557" t="str">
            <v>ACRÉSCIMO PARA POÇO DE VISITA CIRCULAR PARA DRENAGEM, EM ALVENARIA COM TIJOLOS CERÂMICOS MACIÇOS, DIÂMETRO INTERNO = 1,2 M. AF_05/2018</v>
          </cell>
          <cell r="C1557" t="str">
            <v>M</v>
          </cell>
          <cell r="D1557">
            <v>1314.72</v>
          </cell>
        </row>
        <row r="1558">
          <cell r="A1558">
            <v>99244</v>
          </cell>
          <cell r="B1558" t="str">
            <v>BASE PARA POÇO DE VISITA RETANGULAR PARA DRENAGEM, EM ALVENARIA COM BLOCOS DE CONCRETO, DIMENSÕES INTERNAS = 1,5X2 M, PROFUNDIDADE = 1,45 M, EXCLUINDO TAMPÃO. AF_05/2018</v>
          </cell>
          <cell r="C1558" t="str">
            <v>UN</v>
          </cell>
          <cell r="D1558">
            <v>3696.86</v>
          </cell>
        </row>
        <row r="1559">
          <cell r="A1559">
            <v>99246</v>
          </cell>
          <cell r="B1559" t="str">
            <v>ACRÉSCIMO PARA POÇO DE VISITA CIRCULAR PARA DRENAGEM, EM CONCRETO PRÉ-MOLDADO, DIÂMETRO INTERNO = 1,5 M. AF_05/2018</v>
          </cell>
          <cell r="C1559" t="str">
            <v>M</v>
          </cell>
          <cell r="D1559">
            <v>642.80999999999995</v>
          </cell>
        </row>
        <row r="1560">
          <cell r="A1560">
            <v>99247</v>
          </cell>
          <cell r="B1560" t="str">
            <v>ACRÉSCIMO PARA POÇO DE VISITA RETANGULAR PARA DRENAGEM, EM ALVENARIA COM BLOCOS DE CONCRETO, DIMENSÕES INTERNAS = 1,5X2 M. AF_05/2018</v>
          </cell>
          <cell r="C1560" t="str">
            <v>M</v>
          </cell>
          <cell r="D1560">
            <v>1589.78</v>
          </cell>
        </row>
        <row r="1561">
          <cell r="A1561">
            <v>99248</v>
          </cell>
          <cell r="B1561" t="str">
            <v>BASE PARA POÇO DE VISITA CIRCULAR PARA DRENAGEM, EM ALVENARIA COM TIJOLOS CERÂMICOS MACIÇOS, DIÂMETRO INTERNO = 1,5 M, PROFUNDIDADE = 1,45 M, EXCLUINDO TAMPÃO. AF_05/2018</v>
          </cell>
          <cell r="C1561" t="str">
            <v>UN</v>
          </cell>
          <cell r="D1561">
            <v>2829.37</v>
          </cell>
        </row>
        <row r="1562">
          <cell r="A1562">
            <v>99249</v>
          </cell>
          <cell r="B1562" t="str">
            <v>ACRÉSCIMO PARA POÇO DE VISITA CIRCULAR PARA DRENAGEM, EM ALVENARIA COM TIJOLOS CERÂMICOS MACIÇOS, DIÂMETRO INTERNO = 1,5 M. AF_05/2018</v>
          </cell>
          <cell r="C1562" t="str">
            <v>M</v>
          </cell>
          <cell r="D1562">
            <v>1612.24</v>
          </cell>
        </row>
        <row r="1563">
          <cell r="A1563">
            <v>99252</v>
          </cell>
          <cell r="B1563" t="str">
            <v>BASE PARA POÇO DE VISITA RETANGULAR PARA DRENAGEM, EM ALVENARIA COM BLOCOS DE CONCRETO, DIMENSÕES INTERNAS = 1X1 M, PROFUNDIDADE = 1,45 M, EXCLUINDO TAMPÃO. AF_05/2018</v>
          </cell>
          <cell r="C1563" t="str">
            <v>UN</v>
          </cell>
          <cell r="D1563">
            <v>1944.51</v>
          </cell>
        </row>
        <row r="1564">
          <cell r="A1564">
            <v>99254</v>
          </cell>
          <cell r="B1564" t="str">
            <v>ACRÉSCIMO PARA POÇO DE VISITA RETANGULAR PARA DRENAGEM, EM ALVENARIA COM BLOCOS DE CONCRETO, DIMENSÕES INTERNAS = 1X1 M. AF_05/2018</v>
          </cell>
          <cell r="C1564" t="str">
            <v>M</v>
          </cell>
          <cell r="D1564">
            <v>997.72</v>
          </cell>
        </row>
        <row r="1565">
          <cell r="A1565">
            <v>99256</v>
          </cell>
          <cell r="B1565" t="str">
            <v>BASE PARA POÇO DE VISITA RETANGULAR PARA DRENAGEM, EM ALVENARIA COM BLOCOS DE CONCRETO, DIMENSÕES INTERNAS = 1,5X2,5 M, PROFUNDIDADE = 1,45 M, EXCLUINDO TAMPÃO. AF_05/2018</v>
          </cell>
          <cell r="C1565" t="str">
            <v>UN</v>
          </cell>
          <cell r="D1565">
            <v>4338.3900000000003</v>
          </cell>
        </row>
        <row r="1566">
          <cell r="A1566">
            <v>99259</v>
          </cell>
          <cell r="B1566" t="str">
            <v>BASE PARA POÇO DE VISITA RETANGULAR PARA DRENAGEM, EM ALVENARIA COM BLOCOS DE CONCRETO, DIMENSÕES INTERNAS = 1X1,5 M, PROFUNDIDADE = 1,45 M, EXCLUINDO TAMPÃO. AF_05/2018</v>
          </cell>
          <cell r="C1566" t="str">
            <v>UN</v>
          </cell>
          <cell r="D1566">
            <v>2456.3200000000002</v>
          </cell>
        </row>
        <row r="1567">
          <cell r="A1567">
            <v>99261</v>
          </cell>
          <cell r="B1567" t="str">
            <v>ACRÉSCIMO PARA POÇO DE VISITA RETANGULAR PARA DRENAGEM, EM ALVENARIA COM BLOCOS DE CONCRETO, DIMENSÕES INTERNAS = 1X1,5 M. AF_05/2018</v>
          </cell>
          <cell r="C1567" t="str">
            <v>M</v>
          </cell>
          <cell r="D1567">
            <v>1195.07</v>
          </cell>
        </row>
        <row r="1568">
          <cell r="A1568">
            <v>99263</v>
          </cell>
          <cell r="B1568" t="str">
            <v>ACRÉSCIMO PARA POÇO DE VISITA RETANGULAR PARA DRENAGEM, EM ALVENARIA COM BLOCOS DE CONCRETO, DIMENSÕES INTERNAS = 1,5X2,5 M. AF_05/2018</v>
          </cell>
          <cell r="C1568" t="str">
            <v>M</v>
          </cell>
          <cell r="D1568">
            <v>1787.18</v>
          </cell>
        </row>
        <row r="1569">
          <cell r="A1569">
            <v>99265</v>
          </cell>
          <cell r="B1569" t="str">
            <v>BASE PARA POÇO DE VISITA RETANGULAR PARA DRENAGEM, EM ALVENARIA COM BLOCOS DE CONCRETO, DIMENSÕES INTERNAS = 1X2 M, PROFUNDIDADE = 1,45 M, EXCLUINDO TAMPÃO. AF_05/2018</v>
          </cell>
          <cell r="C1569" t="str">
            <v>UN</v>
          </cell>
          <cell r="D1569">
            <v>2968.03</v>
          </cell>
        </row>
        <row r="1570">
          <cell r="A1570">
            <v>99266</v>
          </cell>
          <cell r="B1570" t="str">
            <v>ACRÉSCIMO PARA POÇO DE VISITA RETANGULAR PARA DRENAGEM, EM ALVENARIA COM BLOCOS DE CONCRETO, DIMENSÕES INTERNAS = 1X2 M. AF_05/2018</v>
          </cell>
          <cell r="C1570" t="str">
            <v>M</v>
          </cell>
          <cell r="D1570">
            <v>1392.44</v>
          </cell>
        </row>
        <row r="1571">
          <cell r="A1571">
            <v>99267</v>
          </cell>
          <cell r="B1571" t="str">
            <v>BASE PARA POÇO DE VISITA RETANGULAR PARA DRENAGEM, EM ALVENARIA COM BLOCOS DE CONCRETO, DIMENSÕES INTERNAS = 1X2,5 M, PROFUNDIDADE = 1,45 M, EXCLUINDO TAMPÃO. AF_05/2018</v>
          </cell>
          <cell r="C1571" t="str">
            <v>UN</v>
          </cell>
          <cell r="D1571">
            <v>3479.8</v>
          </cell>
        </row>
        <row r="1572">
          <cell r="A1572">
            <v>99269</v>
          </cell>
          <cell r="B1572" t="str">
            <v>ACRÉSCIMO PARA POÇO DE VISITA RETANGULAR PARA DRENAGEM, EM ALVENARIA COM BLOCOS DE CONCRETO, DIMENSÕES INTERNAS = 1X2,5 M. AF_05/2018</v>
          </cell>
          <cell r="C1572" t="str">
            <v>M</v>
          </cell>
          <cell r="D1572">
            <v>1589.78</v>
          </cell>
        </row>
        <row r="1573">
          <cell r="A1573">
            <v>99271</v>
          </cell>
          <cell r="B1573" t="str">
            <v>BASE PARA POÇO DE VISITA RETANGULAR PARA DRENAGEM, EM ALVENARIA COM BLOCOS DE CONCRETO, DIMENSÕES INTERNAS = 1,5X3 M, PROFUNDIDADE = 1,45 M, EXCLUINDO TAMPÃO. AF_05/2018</v>
          </cell>
          <cell r="C1573" t="str">
            <v>UN</v>
          </cell>
          <cell r="D1573">
            <v>4979.82</v>
          </cell>
        </row>
        <row r="1574">
          <cell r="A1574">
            <v>99272</v>
          </cell>
          <cell r="B1574" t="str">
            <v>POÇO DE INSPEÇÃO CIRCULAR PARA DRENAGEM, EM ALVENARIA COM TIJOLOS CERÂMICOS MACIÇOS, DIÂMETRO INTERNO = 0,6 M, PROFUNDIDADE = 1 M, EXCLUINDO TAMPÃO. AF_05/2018</v>
          </cell>
          <cell r="C1574" t="str">
            <v>UN</v>
          </cell>
          <cell r="D1574">
            <v>820.49</v>
          </cell>
        </row>
        <row r="1575">
          <cell r="A1575">
            <v>99273</v>
          </cell>
          <cell r="B1575" t="str">
            <v>POÇO DE INSPEÇÃO CIRCULAR PARA DRENAGEM, EM ALVENARIA COM TIJOLOS CERÂMICOS MACIÇOS, DIÂMETRO INTERNO = 0,6 M, PROFUNDIDADE = 1,5 M, EXCLUINDO TAMPÃO. AF_05/2018</v>
          </cell>
          <cell r="C1575" t="str">
            <v>UN</v>
          </cell>
          <cell r="D1575">
            <v>1193.1600000000001</v>
          </cell>
        </row>
        <row r="1576">
          <cell r="A1576">
            <v>99274</v>
          </cell>
          <cell r="B1576" t="str">
            <v>BASE PARA POÇO DE VISITA RETANGULAR PARA DRENAGEM, EM ALVENARIA COM BLOCOS DE CONCRETO, DIMENSÕES INTERNAS = 1X3 M, PROFUNDIDADE = 1,45 M, EXCLUINDO TAMPÃO. AF_05/2018</v>
          </cell>
          <cell r="C1576" t="str">
            <v>UN</v>
          </cell>
          <cell r="D1576">
            <v>4014.27</v>
          </cell>
        </row>
        <row r="1577">
          <cell r="A1577">
            <v>99276</v>
          </cell>
          <cell r="B1577" t="str">
            <v>ACRÉSCIMO PARA POÇO DE VISITA RETANGULAR PARA DRENAGEM, EM ALVENARIA COM BLOCOS DE CONCRETO, DIMENSÕES INTERNAS = 1,5X3 M. AF_05/2018</v>
          </cell>
          <cell r="C1577" t="str">
            <v>M</v>
          </cell>
          <cell r="D1577">
            <v>1984.55</v>
          </cell>
        </row>
        <row r="1578">
          <cell r="A1578">
            <v>99277</v>
          </cell>
          <cell r="B1578" t="str">
            <v>ACRÉSCIMO PARA POÇO DE VISITA RETANGULAR PARA DRENAGEM, EM ALVENARIA COM BLOCOS DE CONCRETO, DIMENSÕES INTERNAS = 1X3 M. AF_05/2018</v>
          </cell>
          <cell r="C1578" t="str">
            <v>M</v>
          </cell>
          <cell r="D1578">
            <v>1787.18</v>
          </cell>
        </row>
        <row r="1579">
          <cell r="A1579">
            <v>99278</v>
          </cell>
          <cell r="B1579" t="str">
            <v>ACRÉSCIMO PARA POÇO DE VISITA CIRCULAR PARA DRENAGEM, EM CONCRETO PRÉ-MOLDADO, DIÂMETRO INTERNO = 0,8 M. AF_05/2018</v>
          </cell>
          <cell r="C1579" t="str">
            <v>M</v>
          </cell>
          <cell r="D1579">
            <v>306.23</v>
          </cell>
        </row>
        <row r="1580">
          <cell r="A1580">
            <v>99279</v>
          </cell>
          <cell r="B1580" t="str">
            <v>BASE PARA POÇO DE VISITA RETANGULAR PARA DRENAGEM, EM ALVENARIA COM BLOCOS DE CONCRETO, DIMENSÕES INTERNAS = 1X3,5 M, PROFUNDIDADE = 1,45 M, EXCLUINDO TAMPÃO. AF_05/2018</v>
          </cell>
          <cell r="C1580" t="str">
            <v>UN</v>
          </cell>
          <cell r="D1580">
            <v>4528.8500000000004</v>
          </cell>
        </row>
        <row r="1581">
          <cell r="A1581">
            <v>99280</v>
          </cell>
          <cell r="B1581" t="str">
            <v>BASE PARA POÇO DE VISITA CIRCULAR PARA DRENAGEM, EM ALVENARIA COM TIJOLOS CERÂMICOS MACIÇOS, DIÂMETRO INTERNO = 0,8 M, PROFUNDIDADE = 1,45 M, EXCLUINDO TAMPÃO. AF_05/2018</v>
          </cell>
          <cell r="C1581" t="str">
            <v>UN</v>
          </cell>
          <cell r="D1581">
            <v>1535.69</v>
          </cell>
        </row>
        <row r="1582">
          <cell r="A1582">
            <v>99281</v>
          </cell>
          <cell r="B1582" t="str">
            <v>ACRÉSCIMO PARA POÇO DE VISITA RETANGULAR PARA DRENAGEM, EM ALVENARIA COM BLOCOS DE CONCRETO, DIMENSÕES INTERNAS = 1X3,5 M. AF_05/2018</v>
          </cell>
          <cell r="C1582" t="str">
            <v>M</v>
          </cell>
          <cell r="D1582">
            <v>1984.55</v>
          </cell>
        </row>
        <row r="1583">
          <cell r="A1583">
            <v>99282</v>
          </cell>
          <cell r="B1583" t="str">
            <v>ACRÉSCIMO PARA POÇO DE VISITA RETANGULAR PARA DRENAGEM, EM ALVENARIA COM BLOCOS DE CONCRETO, DIMENSÕES INTERNAS = 2,5X2,5 M. AF_05/2018</v>
          </cell>
          <cell r="C1583" t="str">
            <v>M</v>
          </cell>
          <cell r="D1583">
            <v>2210.0100000000002</v>
          </cell>
        </row>
        <row r="1584">
          <cell r="A1584">
            <v>99283</v>
          </cell>
          <cell r="B1584" t="str">
            <v>ACRÉSCIMO PARA POÇO DE VISITA CIRCULAR PARA DRENAGEM, EM ALVENARIA COM TIJOLOS CERÂMICOS MACIÇOS, DIÂMETRO INTERNO = 0,8 M. AF_05/2018</v>
          </cell>
          <cell r="C1584" t="str">
            <v>M</v>
          </cell>
          <cell r="D1584">
            <v>918.05</v>
          </cell>
        </row>
        <row r="1585">
          <cell r="A1585">
            <v>99284</v>
          </cell>
          <cell r="B1585" t="str">
            <v>BASE PARA POÇO DE VISITA RETANGULAR PARA DRENAGEM, EM ALVENARIA COM BLOCOS DE CONCRETO, DIMENSÕES INTERNAS = 1,5X3,5 M, PROFUNDIDADE = 1,45 M, EXCLUINDO TAMPÃO. AF_05/2018</v>
          </cell>
          <cell r="C1585" t="str">
            <v>UN</v>
          </cell>
          <cell r="D1585">
            <v>5621.33</v>
          </cell>
        </row>
        <row r="1586">
          <cell r="A1586">
            <v>99286</v>
          </cell>
          <cell r="B1586" t="str">
            <v>BASE PARA POÇO DE VISITA RETANGULAR PARA DRENAGEM, EM ALVENARIA COM BLOCOS DE CONCRETO, DIMENSÕES INTERNAS = 1X4 M, PROFUNDIDADE = 1,45 M, EXCLUINDO TAMPÃO. AF_05/2018</v>
          </cell>
          <cell r="C1586" t="str">
            <v>UN</v>
          </cell>
          <cell r="D1586">
            <v>5043.5200000000004</v>
          </cell>
        </row>
        <row r="1587">
          <cell r="A1587">
            <v>99287</v>
          </cell>
          <cell r="B1587" t="str">
            <v>BASE PARA POÇO DE VISITA RETANGULAR PARA DRENAGEM, EM ALVENARIA COM BLOCOS DE CONCRETO, DIMENSÕES INTERNAS = 2,5X3 M, PROFUNDIDADE = 1,45 M, EXCLUINDO TAMPÃO. AF_05/2018</v>
          </cell>
          <cell r="C1587" t="str">
            <v>UN</v>
          </cell>
          <cell r="D1587">
            <v>7087.61</v>
          </cell>
        </row>
        <row r="1588">
          <cell r="A1588">
            <v>99288</v>
          </cell>
          <cell r="B1588" t="str">
            <v>ACRÉSCIMO PARA POÇO DE VISITA CIRCULAR PARA DRENAGEM, EM CONCRETO PRÉ-MOLDADO, DIÂMETRO INTERNO = 1 M. AF_05/2018</v>
          </cell>
          <cell r="C1588" t="str">
            <v>M</v>
          </cell>
          <cell r="D1588">
            <v>369.88</v>
          </cell>
        </row>
        <row r="1589">
          <cell r="A1589">
            <v>99289</v>
          </cell>
          <cell r="B1589" t="str">
            <v>ACRÉSCIMO PARA POÇO DE VISITA RETANGULAR PARA DRENAGEM, EM ALVENARIA COM BLOCOS DE CONCRETO, DIMENSÕES INTERNAS = 1X4 M. AF_05/2018</v>
          </cell>
          <cell r="C1589" t="str">
            <v>M</v>
          </cell>
          <cell r="D1589">
            <v>2181.91</v>
          </cell>
        </row>
        <row r="1590">
          <cell r="A1590">
            <v>99290</v>
          </cell>
          <cell r="B1590" t="str">
            <v>BASE PARA POÇO DE VISITA RETANGULAR PARA DRENAGEM, EM ALVENARIA COM BLOCOS DE CONCRETO, DIMENSÕES INTERNAS = 1,5X1,5 M, PROFUNDIDADE = 1,45 M, EXCLUINDO TAMPÃO. AF_05/2018</v>
          </cell>
          <cell r="C1590" t="str">
            <v>UN</v>
          </cell>
          <cell r="D1590">
            <v>3037.51</v>
          </cell>
        </row>
        <row r="1591">
          <cell r="A1591">
            <v>99291</v>
          </cell>
          <cell r="B1591" t="str">
            <v>ACRÉSCIMO PARA POÇO DE VISITA RETANGULAR PARA DRENAGEM, EM ALVENARIA COM BLOCOS DE CONCRETO, DIMENSÕES INTERNAS = 1,5X3,5 M. AF_05/2018</v>
          </cell>
          <cell r="C1591" t="str">
            <v>M</v>
          </cell>
          <cell r="D1591">
            <v>2181.91</v>
          </cell>
        </row>
        <row r="1592">
          <cell r="A1592">
            <v>99292</v>
          </cell>
          <cell r="B1592" t="str">
            <v>BASE PARA POÇO DE VISITA CIRCULAR PARA DRENAGEM, EM ALVENARIA COM TIJOLOS CERÂMICOS MACIÇOS, DIÂMETRO INTERNO = 1 M, PROFUNDIDADE = 1,45 M, EXCLUINDO TAMPÃO. AF_05/2018</v>
          </cell>
          <cell r="C1592" t="str">
            <v>UN</v>
          </cell>
          <cell r="D1592">
            <v>1885.63</v>
          </cell>
        </row>
        <row r="1593">
          <cell r="A1593">
            <v>99293</v>
          </cell>
          <cell r="B1593" t="str">
            <v>ACRÉSCIMO PARA POÇO DE VISITA CIRCULAR PARA DRENAGEM, EM ALVENARIA COM TIJOLOS CERÂMICOS MACIÇOS, DIÂMETRO INTERNO = 1 M. AF_05/2018</v>
          </cell>
          <cell r="C1593" t="str">
            <v>M</v>
          </cell>
          <cell r="D1593">
            <v>1116.3699999999999</v>
          </cell>
        </row>
        <row r="1594">
          <cell r="A1594">
            <v>99294</v>
          </cell>
          <cell r="B1594" t="str">
            <v>BASE PARA POÇO DE VISITA RETANGULAR PARA DRENAGEM, EM ALVENARIA COM BLOCOS DE CONCRETO, DIMENSÕES INTERNAS = 1,5X4 M, PROFUNDIDADE = 1,45 M, EXCLUINDO TAMPÃO. AF_05/2018</v>
          </cell>
          <cell r="C1594" t="str">
            <v>UN</v>
          </cell>
          <cell r="D1594">
            <v>6262.84</v>
          </cell>
        </row>
        <row r="1595">
          <cell r="A1595">
            <v>99296</v>
          </cell>
          <cell r="B1595" t="str">
            <v>ACRÉSCIMO PARA POÇO DE VISITA RETANGULAR PARA DRENAGEM, EM ALVENARIA COM BLOCOS DE CONCRETO, DIMENSÕES INTERNAS = 2,5X3 M. AF_05/2018</v>
          </cell>
          <cell r="C1595" t="str">
            <v>M</v>
          </cell>
          <cell r="D1595">
            <v>2407.37</v>
          </cell>
        </row>
        <row r="1596">
          <cell r="A1596">
            <v>99297</v>
          </cell>
          <cell r="B1596" t="str">
            <v>ACRÉSCIMO PARA POÇO DE VISITA RETANGULAR PARA DRENAGEM, EM ALVENARIA COM BLOCOS DE CONCRETO, DIMENSÕES INTERNAS = 1,5X4 M. AF_05/2018</v>
          </cell>
          <cell r="C1596" t="str">
            <v>M</v>
          </cell>
          <cell r="D1596">
            <v>2402.5100000000002</v>
          </cell>
        </row>
        <row r="1597">
          <cell r="A1597">
            <v>99298</v>
          </cell>
          <cell r="B1597" t="str">
            <v>BASE PARA POÇO DE VISITA RETANGULAR PARA DRENAGEM, EM ALVENARIA COM BLOCOS DE CONCRETO, DIMENSÕES INTERNAS = 2,5X3,5 M, PROFUNDIDADE = 1,45 M, EXCLUINDO TAMPÃO. AF_05/2018</v>
          </cell>
          <cell r="C1597" t="str">
            <v>UN</v>
          </cell>
          <cell r="D1597">
            <v>8007.03</v>
          </cell>
        </row>
        <row r="1598">
          <cell r="A1598">
            <v>99299</v>
          </cell>
          <cell r="B1598" t="str">
            <v>ACRÉSCIMO PARA POÇO DE VISITA RETANGULAR PARA DRENAGEM, EM ALVENARIA COM BLOCOS DE CONCRETO, DIMENSÕES INTERNAS = 2,5X3,5 M. AF_05/2018</v>
          </cell>
          <cell r="C1598" t="str">
            <v>M</v>
          </cell>
          <cell r="D1598">
            <v>2604.66</v>
          </cell>
        </row>
        <row r="1599">
          <cell r="A1599">
            <v>99300</v>
          </cell>
          <cell r="B1599" t="str">
            <v>BASE PARA POÇO DE VISITA RETANGULAR PARA DRENAGEM, EM ALVENARIA COM BLOCOS DE CONCRETO, DIMENSÕES INTERNAS = 2,5X4 M, PROFUNDIDADE = 1,45 M, EXCLUINDO TAMPÃO. AF_05/2018</v>
          </cell>
          <cell r="C1599" t="str">
            <v>UN</v>
          </cell>
          <cell r="D1599">
            <v>8926.48</v>
          </cell>
        </row>
        <row r="1600">
          <cell r="A1600">
            <v>99301</v>
          </cell>
          <cell r="B1600" t="str">
            <v>BASE PARA POÇO DE VISITA RETANGULAR PARA DRENAGEM, EM ALVENARIA COM BLOCOS DE CONCRETO, DIMENSÕES INTERNAS = 2X2 M, PROFUNDIDADE = 1,45 M, EXCLUINDO TAMPÃO. AF_05/2018</v>
          </cell>
          <cell r="C1600" t="str">
            <v>UN</v>
          </cell>
          <cell r="D1600">
            <v>4468.3999999999996</v>
          </cell>
        </row>
        <row r="1601">
          <cell r="A1601">
            <v>99302</v>
          </cell>
          <cell r="B1601" t="str">
            <v>ACRÉSCIMO PARA POÇO DE VISITA RETANGULAR PARA DRENAGEM, EM ALVENARIA COM BLOCOS DE CONCRETO, DIMENSÕES INTERNAS = 2,5X4 M. AF_05/2018</v>
          </cell>
          <cell r="C1601" t="str">
            <v>M</v>
          </cell>
          <cell r="D1601">
            <v>2806.87</v>
          </cell>
        </row>
        <row r="1602">
          <cell r="A1602">
            <v>99303</v>
          </cell>
          <cell r="B1602" t="str">
            <v>BASE PARA POÇO DE VISITA RETANGULAR PARA DRENAGEM, EM ALVENARIA COM BLOCOS DE CONCRETO, DIMENSÕES INTERNAS = 3X3 M, PROFUNDIDADE = 1,45 M, EXCLUINDO TAMPÃO. AF_05/2018</v>
          </cell>
          <cell r="C1602" t="str">
            <v>UN</v>
          </cell>
          <cell r="D1602">
            <v>8186.3</v>
          </cell>
        </row>
        <row r="1603">
          <cell r="A1603">
            <v>99304</v>
          </cell>
          <cell r="B1603" t="str">
            <v>ACRÉSCIMO PARA POÇO DE VISITA RETANGULAR PARA DRENAGEM, EM ALVENARIA COM BLOCOS DE CONCRETO, DIMENSÕES INTERNAS = 3X3 M. AF_05/2018</v>
          </cell>
          <cell r="C1603" t="str">
            <v>M</v>
          </cell>
          <cell r="D1603">
            <v>2609.5100000000002</v>
          </cell>
        </row>
        <row r="1604">
          <cell r="A1604">
            <v>99305</v>
          </cell>
          <cell r="B1604" t="str">
            <v>BASE PARA POÇO DE VISITA RETANGULAR PARA DRENAGEM, EM ALVENARIA COM BLOCOS DE CONCRETO, DIMENSÕES INTERNAS = 3X3,5 M, PROFUNDIDADE = 1,45 M, EXCLUINDO TAMPÃO. AF_05/2018</v>
          </cell>
          <cell r="C1604" t="str">
            <v>UN</v>
          </cell>
          <cell r="D1604">
            <v>9243.56</v>
          </cell>
        </row>
        <row r="1605">
          <cell r="A1605">
            <v>99306</v>
          </cell>
          <cell r="B1605" t="str">
            <v>ACRÉSCIMO PARA POÇO DE VISITA RETANGULAR PARA DRENAGEM, EM ALVENARIA COM BLOCOS DE CONCRETO, DIMENSÕES INTERNAS = 3X3,5 M. AF_05/2018</v>
          </cell>
          <cell r="C1605" t="str">
            <v>M</v>
          </cell>
          <cell r="D1605">
            <v>2806.87</v>
          </cell>
        </row>
        <row r="1606">
          <cell r="A1606">
            <v>99307</v>
          </cell>
          <cell r="B1606" t="str">
            <v>ACRÉSCIMO PARA POÇO DE VISITA RETANGULAR PARA DRENAGEM, EM ALVENARIA COM BLOCOS DE CONCRETO, DIMENSÕES INTERNAS = 2X2 M. AF_05/2018</v>
          </cell>
          <cell r="C1606" t="str">
            <v>M</v>
          </cell>
          <cell r="D1606">
            <v>1810.43</v>
          </cell>
        </row>
        <row r="1607">
          <cell r="A1607">
            <v>99308</v>
          </cell>
          <cell r="B1607" t="str">
            <v>BASE PARA POÇO DE VISITA RETANGULAR PARA DRENAGEM, EM ALVENARIA COM BLOCOS DE CONCRETO, DIMENSÕES INTERNAS = 3X4 M, PROFUNDIDADE = 1,45 M, EXCLUINDO TAMPÃO. AF_05/2018</v>
          </cell>
          <cell r="C1607" t="str">
            <v>UN</v>
          </cell>
          <cell r="D1607">
            <v>10300.870000000001</v>
          </cell>
        </row>
        <row r="1608">
          <cell r="A1608">
            <v>99309</v>
          </cell>
          <cell r="B1608" t="str">
            <v>ACRÉSCIMO PARA POÇO DE VISITA RETANGULAR PARA DRENAGEM, EM ALVENARIA COM BLOCOS DE CONCRETO, DIMENSÕES INTERNAS = 3X4 M. AF_05/2018</v>
          </cell>
          <cell r="C1608" t="str">
            <v>M</v>
          </cell>
          <cell r="D1608">
            <v>3009.1</v>
          </cell>
        </row>
        <row r="1609">
          <cell r="A1609">
            <v>99310</v>
          </cell>
          <cell r="B1609" t="str">
            <v>BASE PARA POÇO DE VISITA RETANGULAR PARA DRENAGEM, EM ALVENARIA COM BLOCOS DE CONCRETO, DIMENSÕES INTERNAS = 3,5X3,5 M, PROFUNDIDADE = 1,45 M, EXCLUINDO TAMPÃO. AF_05/2018</v>
          </cell>
          <cell r="C1609" t="str">
            <v>UN</v>
          </cell>
          <cell r="D1609">
            <v>10487.52</v>
          </cell>
        </row>
        <row r="1610">
          <cell r="A1610">
            <v>99311</v>
          </cell>
          <cell r="B1610" t="str">
            <v>ACRÉSCIMO PARA POÇO DE VISITA RETANGULAR PARA DRENAGEM, EM ALVENARIA COM BLOCOS DE CONCRETO, DIMENSÕES INTERNAS = 3,5X3,5 M. AF_05/2018</v>
          </cell>
          <cell r="C1610" t="str">
            <v>M</v>
          </cell>
          <cell r="D1610">
            <v>3009.1</v>
          </cell>
        </row>
        <row r="1611">
          <cell r="A1611">
            <v>99312</v>
          </cell>
          <cell r="B1611" t="str">
            <v>BASE PARA POÇO DE VISITA RETANGULAR PARA DRENAGEM, EM ALVENARIA COM BLOCOS DE CONCRETO, DIMENSÕES INTERNAS = 2X2,5 M, PROFUNDIDADE = 1,45 M, EXCLUINDO TAMPÃO. AF_05/2018</v>
          </cell>
          <cell r="C1611" t="str">
            <v>UN</v>
          </cell>
          <cell r="D1611">
            <v>5230.09</v>
          </cell>
        </row>
        <row r="1612">
          <cell r="A1612">
            <v>99313</v>
          </cell>
          <cell r="B1612" t="str">
            <v>BASE PARA POÇO DE VISITA RETANGULAR PARA DRENAGEM, EM ALVENARIA COM BLOCOS DE CONCRETO, DIMENSÕES INTERNAS = 3,5X4 M, PROFUNDIDADE = 1,45 M, EXCLUINDO TAMPÃO. AF_05/2018</v>
          </cell>
          <cell r="C1612" t="str">
            <v>UN</v>
          </cell>
          <cell r="D1612">
            <v>11683.73</v>
          </cell>
        </row>
        <row r="1613">
          <cell r="A1613">
            <v>99314</v>
          </cell>
          <cell r="B1613" t="str">
            <v>ACRÉSCIMO PARA POÇO DE VISITA RETANGULAR PARA DRENAGEM, EM ALVENARIA COM BLOCOS DE CONCRETO, DIMENSÕES INTERNAS = 3,5X4 M. AF_05/2018</v>
          </cell>
          <cell r="C1613" t="str">
            <v>M</v>
          </cell>
          <cell r="D1613">
            <v>3211.3</v>
          </cell>
        </row>
        <row r="1614">
          <cell r="A1614">
            <v>99315</v>
          </cell>
          <cell r="B1614" t="str">
            <v>BASE PARA POÇO DE VISITA RETANGULAR PARA DRENAGEM, EM ALVENARIA COM BLOCOS DE CONCRETO, DIMENSÕES INTERNAS = 4X4 M, PROFUNDIDADE = 1,45 M, EXCLUINDO TAMPÃO. AF_05/2018</v>
          </cell>
          <cell r="C1614" t="str">
            <v>UN</v>
          </cell>
          <cell r="D1614">
            <v>13075.23</v>
          </cell>
        </row>
        <row r="1615">
          <cell r="A1615">
            <v>99317</v>
          </cell>
          <cell r="B1615" t="str">
            <v>ACRÉSCIMO PARA POÇO DE VISITA RETANGULAR PARA DRENAGEM, EM ALVENARIA COM BLOCOS DE CONCRETO, DIMENSÕES INTERNAS = 2X2,5 M. AF_05/2018</v>
          </cell>
          <cell r="C1615" t="str">
            <v>M</v>
          </cell>
          <cell r="D1615">
            <v>2007.79</v>
          </cell>
        </row>
        <row r="1616">
          <cell r="A1616">
            <v>99318</v>
          </cell>
          <cell r="B1616" t="str">
            <v>CHAMINÉ CIRCULAR PARA POÇO DE VISITA PARA DRENAGEM, EM CONCRETO PRÉ-MOLDADO, DIÂMETRO INTERNO = 0,6 M. AF_05/2018</v>
          </cell>
          <cell r="C1616" t="str">
            <v>M</v>
          </cell>
          <cell r="D1616">
            <v>201.96</v>
          </cell>
        </row>
        <row r="1617">
          <cell r="A1617">
            <v>99319</v>
          </cell>
          <cell r="B1617" t="str">
            <v>CHAMINÉ CIRCULAR PARA POÇO DE VISITA PARA DRENAGEM, EM ALVENARIA COM TIJOLOS CERÂMICOS MACIÇOS, DIÂMETRO INTERNO = 0,6 M. AF_05/2018</v>
          </cell>
          <cell r="C1617" t="str">
            <v>M</v>
          </cell>
          <cell r="D1617">
            <v>718.08</v>
          </cell>
        </row>
        <row r="1618">
          <cell r="A1618">
            <v>99320</v>
          </cell>
          <cell r="B1618" t="str">
            <v>BASE PARA POÇO DE VISITA RETANGULAR PARA DRENAGEM, EM ALVENARIA COM BLOCOS DE CONCRETO, DIMENSÕES INTERNAS = 2X3 M, PROFUNDIDADE = 1,45 M, EXCLUINDO TAMPÃO. AF_05/2018</v>
          </cell>
          <cell r="C1618" t="str">
            <v>UN</v>
          </cell>
          <cell r="D1618">
            <v>6032.53</v>
          </cell>
        </row>
        <row r="1619">
          <cell r="A1619">
            <v>99321</v>
          </cell>
          <cell r="B1619" t="str">
            <v>ACRÉSCIMO PARA POÇO DE VISITA RETANGULAR PARA DRENAGEM, EM ALVENARIA COM BLOCOS DE CONCRETO, DIMENSÕES INTERNAS = 2X3 M. AF_05/2018</v>
          </cell>
          <cell r="C1619" t="str">
            <v>M</v>
          </cell>
          <cell r="D1619">
            <v>2205.16</v>
          </cell>
        </row>
        <row r="1620">
          <cell r="A1620">
            <v>99322</v>
          </cell>
          <cell r="B1620" t="str">
            <v>BASE PARA POÇO DE VISITA RETANGULAR PARA DRENAGEM, EM ALVENARIA COM BLOCOS DE CONCRETO, DIMENSÕES INTERNAS = 2X3,5 M, PROFUNDIDADE = 1,45 M, EXCLUINDO TAMPÃO. AF_05/2018</v>
          </cell>
          <cell r="C1620" t="str">
            <v>UN</v>
          </cell>
          <cell r="D1620">
            <v>6799.28</v>
          </cell>
        </row>
        <row r="1621">
          <cell r="A1621">
            <v>99323</v>
          </cell>
          <cell r="B1621" t="str">
            <v>ACRÉSCIMO PARA POÇO DE VISITA RETANGULAR PARA DRENAGEM, EM ALVENARIA COM BLOCOS DE CONCRETO, DIMENSÕES INTERNAS = 2X3,5 M. AF_05/2018</v>
          </cell>
          <cell r="C1621" t="str">
            <v>M</v>
          </cell>
          <cell r="D1621">
            <v>2402.5100000000002</v>
          </cell>
        </row>
        <row r="1622">
          <cell r="A1622">
            <v>99324</v>
          </cell>
          <cell r="B1622" t="str">
            <v>BASE PARA POÇO DE VISITA RETANGULAR PARA DRENAGEM, EM ALVENARIA COM BLOCOS DE CONCRETO, DIMENSÕES INTERNAS = 2X4 M, PROFUNDIDADE = 1,45 M, EXCLUINDO TAMPÃO. AF_05/2018</v>
          </cell>
          <cell r="C1622" t="str">
            <v>UN</v>
          </cell>
          <cell r="D1622">
            <v>7565.99</v>
          </cell>
        </row>
        <row r="1623">
          <cell r="A1623">
            <v>99325</v>
          </cell>
          <cell r="B1623" t="str">
            <v>ACRÉSCIMO PARA POÇO DE VISITA RETANGULAR PARA DRENAGEM, EM ALVENARIA COM BLOCOS DE CONCRETO, DIMENSÕES INTERNAS = 2X4 M. AF_05/2018</v>
          </cell>
          <cell r="C1623" t="str">
            <v>M</v>
          </cell>
          <cell r="D1623">
            <v>2604.66</v>
          </cell>
        </row>
        <row r="1624">
          <cell r="A1624">
            <v>99326</v>
          </cell>
          <cell r="B1624" t="str">
            <v>BASE PARA POÇO DE VISITA RETANGULAR PARA DRENAGEM, EM ALVENARIA COM BLOCOS DE CONCRETO, DIMENSÕES INTERNAS = 2,5X2,5 M, PROFUNDIDADE = 1,45 M, EXCLUINDO TAMPÃO. AF_05/2018</v>
          </cell>
          <cell r="C1624" t="str">
            <v>UN</v>
          </cell>
          <cell r="D1624">
            <v>6168.13</v>
          </cell>
        </row>
        <row r="1625">
          <cell r="A1625">
            <v>99327</v>
          </cell>
          <cell r="B1625" t="str">
            <v>ACRÉSCIMO PARA POÇO DE VISITA RETANGULAR PARA DRENAGEM, EM ALVENARIA COM BLOCOS DE CONCRETO, DIMENSÕES INTERNAS = 4X4 M. AF_05/2018</v>
          </cell>
          <cell r="C1625" t="str">
            <v>M</v>
          </cell>
          <cell r="D1625">
            <v>3366.03</v>
          </cell>
        </row>
        <row r="1626">
          <cell r="A1626">
            <v>94263</v>
          </cell>
          <cell r="B1626" t="str">
            <v>GUIA (MEIO-FIO) CONCRETO, MOLDADA  IN LOCO  EM TRECHO RETO COM EXTRUSORA, 13 CM BASE X 22 CM ALTURA. AF_06/2016</v>
          </cell>
          <cell r="C1626" t="str">
            <v>M</v>
          </cell>
          <cell r="D1626">
            <v>24.77</v>
          </cell>
        </row>
        <row r="1627">
          <cell r="A1627">
            <v>94264</v>
          </cell>
          <cell r="B1627" t="str">
            <v>GUIA (MEIO-FIO) CONCRETO, MOLDADA  IN LOCO  EM TRECHO CURVO COM EXTRUSORA, 13 CM BASE X 22 CM ALTURA. AF_06/2016</v>
          </cell>
          <cell r="C1627" t="str">
            <v>M</v>
          </cell>
          <cell r="D1627">
            <v>27.77</v>
          </cell>
        </row>
        <row r="1628">
          <cell r="A1628">
            <v>94265</v>
          </cell>
          <cell r="B1628" t="str">
            <v>GUIA (MEIO-FIO) CONCRETO, MOLDADA  IN LOCO  EM TRECHO RETO COM EXTRUSORA, 15 CM BASE X 30 CM ALTURA. AF_06/2016</v>
          </cell>
          <cell r="C1628" t="str">
            <v>M</v>
          </cell>
          <cell r="D1628">
            <v>32.17</v>
          </cell>
        </row>
        <row r="1629">
          <cell r="A1629">
            <v>94266</v>
          </cell>
          <cell r="B1629" t="str">
            <v>GUIA (MEIO-FIO) CONCRETO, MOLDADA  IN LOCO  EM TRECHO CURVO COM EXTRUSORA, 15 CM BASE X 30 CM ALTURA. AF_06/2016</v>
          </cell>
          <cell r="C1629" t="str">
            <v>M</v>
          </cell>
          <cell r="D1629">
            <v>35.58</v>
          </cell>
        </row>
        <row r="1630">
          <cell r="A1630">
            <v>94267</v>
          </cell>
          <cell r="B1630" t="str">
            <v>GUIA (MEIO-FIO) E SARJETA CONJUGADOS DE CONCRETO, MOLDADA  IN LOCO  EM TRECHO RETO COM EXTRUSORA, 45 CM BASE (15 CM BASE DA GUIA + 30 CM BASE DA SARJETA) X 22 CM ALTURA. AF_06/2016</v>
          </cell>
          <cell r="C1630" t="str">
            <v>M</v>
          </cell>
          <cell r="D1630">
            <v>37.97</v>
          </cell>
        </row>
        <row r="1631">
          <cell r="A1631">
            <v>94268</v>
          </cell>
          <cell r="B1631" t="str">
            <v>GUIA (MEIO-FIO) E SARJETA CONJUGADOS DE CONCRETO, MOLDADA  IN LOCO  EM TRECHO CURVO COM EXTRUSORA, 45 CM BASE (15 CM BASE DA GUIA + 30 CM BASE DA SARJETA) X 22 CM ALTURA. AF_06/2016</v>
          </cell>
          <cell r="C1631" t="str">
            <v>M</v>
          </cell>
          <cell r="D1631">
            <v>41.75</v>
          </cell>
        </row>
        <row r="1632">
          <cell r="A1632">
            <v>94269</v>
          </cell>
          <cell r="B1632" t="str">
            <v>GUIA (MEIO-FIO) E SARJETA CONJUGADOS DE CONCRETO, MOLDADA  IN LOCO  EM TRECHO RETO COM EXTRUSORA, 60 CM BASE (15 CM BASE DA GUIA + 45 CM BASE DA SARJETA) X 26 CM ALTURA. AF_06/2016</v>
          </cell>
          <cell r="C1632" t="str">
            <v>M</v>
          </cell>
          <cell r="D1632">
            <v>53.89</v>
          </cell>
        </row>
        <row r="1633">
          <cell r="A1633">
            <v>94270</v>
          </cell>
          <cell r="B1633" t="str">
            <v>GUIA (MEIO-FIO) E SARJETA CONJUGADOS DE CONCRETO, MOLDADA IN LOCO  EM TRECHO CURVO COM EXTRUSORA, 60 CM BASE (15 CM BASE DA GUIA + 45 CM BASE DA SARJETA) X 26 CM ALTURA. AF_06/2016</v>
          </cell>
          <cell r="C1633" t="str">
            <v>M</v>
          </cell>
          <cell r="D1633">
            <v>59.14</v>
          </cell>
        </row>
        <row r="1634">
          <cell r="A1634">
            <v>94271</v>
          </cell>
          <cell r="B1634" t="str">
            <v>GUIA (MEIO-FIO) E SARJETA CONJUGADOS DE CONCRETO, MOLDADA  IN LOCO  EM TRECHO RETO COM EXTRUSORA, 65 CM BASE (15 CM BASE DA GUIA + 50 CM BASE DA SARJETA) X 26 CM ALTURA. AF_06/2016</v>
          </cell>
          <cell r="C1634" t="str">
            <v>M</v>
          </cell>
          <cell r="D1634">
            <v>65.77</v>
          </cell>
        </row>
        <row r="1635">
          <cell r="A1635">
            <v>94272</v>
          </cell>
          <cell r="B1635" t="str">
            <v>GUIA (MEIO-FIO) E SARJETA CONJUGADOS DE CONCRETO, MOLDADA  IN LOCO  EM TRECHO CURVO COM EXTRUSORA, 65 CM BASE (15 CM BASE DA GUIA + 50 CM BASE DA SARJETA) X 26 CM ALTURA. AF_06/2016</v>
          </cell>
          <cell r="C1635" t="str">
            <v>M</v>
          </cell>
          <cell r="D1635">
            <v>72.77</v>
          </cell>
        </row>
        <row r="1636">
          <cell r="A1636">
            <v>94273</v>
          </cell>
          <cell r="B1636" t="str">
            <v>ASSENTAMENTO DE GUIA (MEIO-FIO) EM TRECHO RETO, CONFECCIONADA EM CONCRETO PRÉ-FABRICADO, DIMENSÕES 100X15X13X30 CM (COMPRIMENTO X BASE INFERIOR X BASE SUPERIOR X ALTURA), PARA VIAS URBANAS (USO VIÁRIO). AF_06/2016</v>
          </cell>
          <cell r="C1636" t="str">
            <v>M</v>
          </cell>
          <cell r="D1636">
            <v>37.76</v>
          </cell>
        </row>
        <row r="1637">
          <cell r="A1637">
            <v>94274</v>
          </cell>
          <cell r="B1637" t="str">
            <v>ASSENTAMENTO DE GUIA (MEIO-FIO) EM TRECHO CURVO, CONFECCIONADA EM CONCRETO PRÉ-FABRICADO, DIMENSÕES 100X15X13X30 CM (COMPRIMENTO X BASE INFERIOR X BASE SUPERIOR X ALTURA), PARA VIAS URBANAS (USO VIÁRIO). AF_06/2016</v>
          </cell>
          <cell r="C1637" t="str">
            <v>M</v>
          </cell>
          <cell r="D1637">
            <v>41.02</v>
          </cell>
        </row>
        <row r="1638">
          <cell r="A1638">
            <v>94275</v>
          </cell>
          <cell r="B1638" t="str">
            <v>ASSENTAMENTO DE GUIA (MEIO-FIO) EM TRECHO RETO, CONFECCIONADA EM CONCRETO PRÉ-FABRICADO, DIMENSÕES 100X15X13X20 CM (COMPRIMENTO X BASE INFERIOR X BASE SUPERIOR X ALTURA), PARA URBANIZAÇÃO INTERNA DE EMPREENDIMENTOS. AF_06/2016_P</v>
          </cell>
          <cell r="C1638" t="str">
            <v>M</v>
          </cell>
          <cell r="D1638">
            <v>36.1</v>
          </cell>
        </row>
        <row r="1639">
          <cell r="A1639">
            <v>94276</v>
          </cell>
          <cell r="B1639" t="str">
            <v>ASSENTAMENTO DE GUIA (MEIO-FIO) EM TRECHO CURVO, CONFECCIONADA EM CONCRETO PRÉ-FABRICADO, DIMENSÕES 100X15X13X20 CM (COMPRIMENTO X BASE INFERIOR X BASE SUPERIOR X ALTURA), PARA URBANIZAÇÃO INTERNA DE EMPREENDIMENTOS. AF_06/2016_P</v>
          </cell>
          <cell r="C1639" t="str">
            <v>M</v>
          </cell>
          <cell r="D1639">
            <v>39.35</v>
          </cell>
        </row>
        <row r="1640">
          <cell r="A1640">
            <v>94281</v>
          </cell>
          <cell r="B1640" t="str">
            <v>EXECUÇÃO DE SARJETA DE CONCRETO USINADO, MOLDADA  IN LOCO  EM TRECHO RETO, 30 CM BASE X 15 CM ALTURA. AF_06/2016</v>
          </cell>
          <cell r="C1640" t="str">
            <v>M</v>
          </cell>
          <cell r="D1640">
            <v>38.03</v>
          </cell>
        </row>
        <row r="1641">
          <cell r="A1641">
            <v>94282</v>
          </cell>
          <cell r="B1641" t="str">
            <v>EXECUÇÃO DE SARJETA DE CONCRETO USINADO, MOLDADA  IN LOCO  EM TRECHO CURVO, 30 CM BASE X 15 CM ALTURA. AF_06/2016</v>
          </cell>
          <cell r="C1641" t="str">
            <v>M</v>
          </cell>
          <cell r="D1641">
            <v>47.93</v>
          </cell>
        </row>
        <row r="1642">
          <cell r="A1642">
            <v>94283</v>
          </cell>
          <cell r="B1642" t="str">
            <v>EXECUÇÃO DE SARJETA DE CONCRETO USINADO, MOLDADA  IN LOCO  EM TRECHO RETO, 45 CM BASE X 15 CM ALTURA. AF_06/2016</v>
          </cell>
          <cell r="C1642" t="str">
            <v>M</v>
          </cell>
          <cell r="D1642">
            <v>48.88</v>
          </cell>
        </row>
        <row r="1643">
          <cell r="A1643">
            <v>94284</v>
          </cell>
          <cell r="B1643" t="str">
            <v>EXECUÇÃO DE SARJETA DE CONCRETO USINADO, MOLDADA  IN LOCO  EM TRECHO CURVO, 45 CM BASE X 15 CM ALTURA. AF_06/2016</v>
          </cell>
          <cell r="C1643" t="str">
            <v>M</v>
          </cell>
          <cell r="D1643">
            <v>58.78</v>
          </cell>
        </row>
        <row r="1644">
          <cell r="A1644">
            <v>94285</v>
          </cell>
          <cell r="B1644" t="str">
            <v>EXECUÇÃO DE SARJETA DE CONCRETO USINADO, MOLDADA  IN LOCO  EM TRECHO RETO, 60 CM BASE X 15 CM ALTURA. AF_06/2016</v>
          </cell>
          <cell r="C1644" t="str">
            <v>M</v>
          </cell>
          <cell r="D1644">
            <v>59.27</v>
          </cell>
        </row>
        <row r="1645">
          <cell r="A1645">
            <v>94286</v>
          </cell>
          <cell r="B1645" t="str">
            <v>EXECUÇÃO DE SARJETA DE CONCRETO USINADO, MOLDADA  IN LOCO  EM TRECHO CURVO, 60 CM BASE X 15 CM ALTURA. AF_06/2016</v>
          </cell>
          <cell r="C1645" t="str">
            <v>M</v>
          </cell>
          <cell r="D1645">
            <v>69.17</v>
          </cell>
        </row>
        <row r="1646">
          <cell r="A1646">
            <v>94287</v>
          </cell>
          <cell r="B1646" t="str">
            <v>EXECUÇÃO DE SARJETA DE CONCRETO USINADO, MOLDADA  IN LOCO  EM TRECHO RETO, 30 CM BASE X 10 CM ALTURA. AF_06/2016</v>
          </cell>
          <cell r="C1646" t="str">
            <v>M</v>
          </cell>
          <cell r="D1646">
            <v>30.03</v>
          </cell>
        </row>
        <row r="1647">
          <cell r="A1647">
            <v>94288</v>
          </cell>
          <cell r="B1647" t="str">
            <v>EXECUÇÃO DE SARJETA DE CONCRETO USINADO, MOLDADA  IN LOCO  EM TRECHO CURVO, 30 CM BASE X 10 CM ALTURA. AF_06/2016</v>
          </cell>
          <cell r="C1647" t="str">
            <v>M</v>
          </cell>
          <cell r="D1647">
            <v>38.68</v>
          </cell>
        </row>
        <row r="1648">
          <cell r="A1648">
            <v>94289</v>
          </cell>
          <cell r="B1648" t="str">
            <v>EXECUÇÃO DE SARJETA DE CONCRETO USINADO, MOLDADA  IN LOCO  EM TRECHO RETO, 45 CM BASE X 10 CM ALTURA. AF_06/2016</v>
          </cell>
          <cell r="C1648" t="str">
            <v>M</v>
          </cell>
          <cell r="D1648">
            <v>37.840000000000003</v>
          </cell>
        </row>
        <row r="1649">
          <cell r="A1649">
            <v>94290</v>
          </cell>
          <cell r="B1649" t="str">
            <v>EXECUÇÃO DE SARJETA DE CONCRETO USINADO, MOLDADA  IN LOCO  EM TRECHO CURVO, 45 CM BASE X 10 CM ALTURA. AF_06/2016</v>
          </cell>
          <cell r="C1649" t="str">
            <v>M</v>
          </cell>
          <cell r="D1649">
            <v>46.49</v>
          </cell>
        </row>
        <row r="1650">
          <cell r="A1650">
            <v>94291</v>
          </cell>
          <cell r="B1650" t="str">
            <v>EXECUÇÃO DE SARJETA DE CONCRETO USINADO, MOLDADA  IN LOCO  EM TRECHO RETO, 60 CM BASE X 10 CM ALTURA. AF_06/2016</v>
          </cell>
          <cell r="C1650" t="str">
            <v>M</v>
          </cell>
          <cell r="D1650">
            <v>45.21</v>
          </cell>
        </row>
        <row r="1651">
          <cell r="A1651">
            <v>94292</v>
          </cell>
          <cell r="B1651" t="str">
            <v>EXECUÇÃO DE SARJETA DE CONCRETO USINADO, MOLDADA  IN LOCO  EM TRECHO CURVO, 60 CM BASE X 10 CM ALTURA. AF_06/2016</v>
          </cell>
          <cell r="C1651" t="str">
            <v>M</v>
          </cell>
          <cell r="D1651">
            <v>53.86</v>
          </cell>
        </row>
        <row r="1652">
          <cell r="A1652">
            <v>94293</v>
          </cell>
          <cell r="B1652" t="str">
            <v>EXECUÇÃO DE SARJETÃO DE CONCRETO USINADO, MOLDADA  IN LOCO  EM TRECHO RETO, 100 CM BASE X 20 CM ALTURA. AF_06/2016</v>
          </cell>
          <cell r="C1652" t="str">
            <v>M</v>
          </cell>
          <cell r="D1652">
            <v>115.22</v>
          </cell>
        </row>
        <row r="1653">
          <cell r="A1653">
            <v>94294</v>
          </cell>
          <cell r="B1653" t="str">
            <v>EXECUÇÃO DE ESCORAS DE CONCRETO PARA CONTENÇÃO DE GUIAS PRÉ-FABRICADAS. AF_06/2016</v>
          </cell>
          <cell r="C1653" t="str">
            <v>M</v>
          </cell>
          <cell r="D1653">
            <v>6.1</v>
          </cell>
        </row>
        <row r="1654">
          <cell r="A1654">
            <v>94037</v>
          </cell>
          <cell r="B1654" t="str">
            <v>ESCORAMENTO DE VALA, TIPO PONTALETEAMENTO, COM PROFUNDIDADE DE 0 A 1,5 M, LARGURA MENOR QUE 1,5 M, EM LOCAL COM NÍVEL ALTO DE INTERFERÊNCIA. AF_06/2016</v>
          </cell>
          <cell r="C1654" t="str">
            <v>M2</v>
          </cell>
          <cell r="D1654">
            <v>15.72</v>
          </cell>
        </row>
        <row r="1655">
          <cell r="A1655">
            <v>94038</v>
          </cell>
          <cell r="B1655" t="str">
            <v>ESCORAMENTO DE VALA, TIPO PONTALETEAMENTO, COM PROFUNDIDADE DE 0 A 1,5 M, LARGURA MAIOR OU IGUAL A 1,5 M E MENOR QUE 2,5 M, EM LOCAL COM NÍVEL ALTO DE INTERFERÊNCIA. AF_06/2016</v>
          </cell>
          <cell r="C1655" t="str">
            <v>M2</v>
          </cell>
          <cell r="D1655">
            <v>22.12</v>
          </cell>
        </row>
        <row r="1656">
          <cell r="A1656">
            <v>94039</v>
          </cell>
          <cell r="B1656" t="str">
            <v>ESCORAMENTO DE VALA, TIPO PONTALETEAMENTO, COM PROFUNDIDADE DE 1,5 A 3,0 M, LARGURA MENOR QUE 1,5 M, EM LOCAL COM NÍVEL ALTO DE INTERFERÊNCIA. AF_06/2016</v>
          </cell>
          <cell r="C1656" t="str">
            <v>M2</v>
          </cell>
          <cell r="D1656">
            <v>12.3</v>
          </cell>
        </row>
        <row r="1657">
          <cell r="A1657">
            <v>94040</v>
          </cell>
          <cell r="B1657" t="str">
            <v>ESCORAMENTO DE VALA, TIPO PONTALETEAMENTO, COM PROFUNDIDADE DE 1,5 A 3,0 M, LARGURA MAIOR OU IGUAL A 1,5 M E MENOR QUE 2,5 M, EM LOCAL COM NÍVEL ALTO DE INTERFERÊNCIA. AF_06/2016</v>
          </cell>
          <cell r="C1657" t="str">
            <v>M2</v>
          </cell>
          <cell r="D1657">
            <v>18.739999999999998</v>
          </cell>
        </row>
        <row r="1658">
          <cell r="A1658">
            <v>94041</v>
          </cell>
          <cell r="B1658" t="str">
            <v>ESCORAMENTO DE VALA, TIPO PONTALETEAMENTO, COM PROFUNDIDADE DE 3,0 A 4,5 M, LARGURA MENOR QUE 1,5 M EM LOCAL COM NÍVEL ALTO DE INTERFERÊNCIA. AF_06/2016</v>
          </cell>
          <cell r="C1658" t="str">
            <v>M2</v>
          </cell>
          <cell r="D1658">
            <v>9.26</v>
          </cell>
        </row>
        <row r="1659">
          <cell r="A1659">
            <v>94042</v>
          </cell>
          <cell r="B1659" t="str">
            <v>ESCORAMENTO DE VALA, TIPO PONTALETEAMENTO, COM PROFUNDIDADE DE 3,0 A 4,5 M, LARGURA MAIOR OU IGUAL A 1,5 M E MENOR QUE 2,5 M, EM LOCAL COM NÍVEL ALTO DE INTERFERÊNCIA. AF_06/2016</v>
          </cell>
          <cell r="C1659" t="str">
            <v>M2</v>
          </cell>
          <cell r="D1659">
            <v>15.87</v>
          </cell>
        </row>
        <row r="1660">
          <cell r="A1660">
            <v>94043</v>
          </cell>
          <cell r="B1660" t="str">
            <v>ESCORAMENTO DE VALA, TIPO PONTALETEAMENTO, COM PROFUNDIDADE DE 0 A 1,5 M, LARGURA MENOR QUE 1,5 M, EM LOCAL COM NÍVEL BAIXO DE INTERFERÊNCIA. AF_06/2016</v>
          </cell>
          <cell r="C1660" t="str">
            <v>M2</v>
          </cell>
          <cell r="D1660">
            <v>14.72</v>
          </cell>
        </row>
        <row r="1661">
          <cell r="A1661">
            <v>94044</v>
          </cell>
          <cell r="B1661" t="str">
            <v>ESCORAMENTO DE VALA, TIPO PONTALETEAMENTO, COM PROFUNDIDADE DE 0 A 1,5 M, LARGURA MAIOR OU IGUAL A 1,5 M E MENOR QUE 2,5 M, EM LOCAL COM NÍVEL BAIXO DE INTERFERÊNCIA. AF_06/2016</v>
          </cell>
          <cell r="C1661" t="str">
            <v>M2</v>
          </cell>
          <cell r="D1661">
            <v>21.15</v>
          </cell>
        </row>
        <row r="1662">
          <cell r="A1662">
            <v>94045</v>
          </cell>
          <cell r="B1662" t="str">
            <v>ESCORAMENTO DE VALA, TIPO PONTALETEAMENTO, COM PROFUNDIDADE DE 1,5 A 3,0 M, LARGURA MENOR QUE 1,5 M, EM LOCAL COM NÍVEL BAIXO DE INTERFERÊNCIA. AF_06/2016</v>
          </cell>
          <cell r="C1662" t="str">
            <v>M2</v>
          </cell>
          <cell r="D1662">
            <v>11.33</v>
          </cell>
        </row>
        <row r="1663">
          <cell r="A1663">
            <v>94046</v>
          </cell>
          <cell r="B1663" t="str">
            <v>ESCORAMENTO DE VALA, TIPO PONTALETEAMENTO, COM PROFUNDIDADE DE 1,5 A 3,0 M, LARGURA MAIOR OU IGUAL A 1,5 M E MENOR QUE 2,5 M, EM LOCAL COM NÍVEL BAIXO DE INTERFERÊNCIA. AF_06/2016</v>
          </cell>
          <cell r="C1663" t="str">
            <v>M2</v>
          </cell>
          <cell r="D1663">
            <v>17.73</v>
          </cell>
        </row>
        <row r="1664">
          <cell r="A1664">
            <v>94047</v>
          </cell>
          <cell r="B1664" t="str">
            <v>ESCORAMENTO DE VALA, TIPO PONTALETEAMENTO, COM PROFUNDIDADE DE 3,0 A 4,5 M, LARGURA MENOR QUE 1,5 M EM LOCAL COM NÍVEL BAIXO DE INTERFERÊNCIA. AF_06/2016</v>
          </cell>
          <cell r="C1664" t="str">
            <v>M2</v>
          </cell>
          <cell r="D1664">
            <v>8.2899999999999991</v>
          </cell>
        </row>
        <row r="1665">
          <cell r="A1665">
            <v>94048</v>
          </cell>
          <cell r="B1665" t="str">
            <v>ESCORAMENTO DE VALA, TIPO PONTALETEAMENTO, COM PROFUNDIDADE DE 3,0 A 4,5 M, LARGURA MAIOR OU IGUAL A 1,5 M E MENOR QUE 2,5 M, EM LOCAL COM NÍVEL BAIXO DE INTERFERÊNCIA. AF_06/2016</v>
          </cell>
          <cell r="C1665" t="str">
            <v>M2</v>
          </cell>
          <cell r="D1665">
            <v>14.86</v>
          </cell>
        </row>
        <row r="1666">
          <cell r="A1666">
            <v>94049</v>
          </cell>
          <cell r="B1666" t="str">
            <v>ESCORAMENTO DE VALA, TIPO DESCONTÍNUO, COM PROFUNDIDADE DE 0 A 1,5 M, LARGURA MENOR QUE 1,5 M, EM LOCAL COM NÍVEL ALTO DE INTERFERÊNCIA. AF_06/2016</v>
          </cell>
          <cell r="C1666" t="str">
            <v>M2</v>
          </cell>
          <cell r="D1666">
            <v>24.25</v>
          </cell>
        </row>
        <row r="1667">
          <cell r="A1667">
            <v>94050</v>
          </cell>
          <cell r="B1667" t="str">
            <v>ESCORAMENTO DE VALA, TIPO DESCONTÍNUO, COM PROFUNDIDADE DE 0 A 1,5 M, LARGURA MAIOR OU IGUAL A 1,5 M E MENOR QUE 2,5 M, EM LOCAL COM NÍVEL ALTO DE INTERFERÊNCIA. AF_06/2016</v>
          </cell>
          <cell r="C1667" t="str">
            <v>M2</v>
          </cell>
          <cell r="D1667">
            <v>32.57</v>
          </cell>
        </row>
        <row r="1668">
          <cell r="A1668">
            <v>94051</v>
          </cell>
          <cell r="B1668" t="str">
            <v>ESCORAMENTO DE VALA, TIPO DESCONTÍNUO, COM PROFUNDIDADE DE 1,5 M A 3,0 M, LARGURA MENOR QUE 1,5 M, EM LOCAL COM NÍVEL ALTO DE INTERFERÊNCIA. AF_06/2016</v>
          </cell>
          <cell r="C1668" t="str">
            <v>M2</v>
          </cell>
          <cell r="D1668">
            <v>19.62</v>
          </cell>
        </row>
        <row r="1669">
          <cell r="A1669">
            <v>94052</v>
          </cell>
          <cell r="B1669" t="str">
            <v>ESCORAMENTO DE VALA, TIPO DESCONTÍNUO, COM PROFUNDIDADE DE 1,5 A 3,0 M, LARGURA MAIOR OU IGUAL A 1,5 M E MENOR QUE 2,5 M, EM LOCAL COM NÍVEL ALTO DE INTERFERÊNCIA. AF_06/2016</v>
          </cell>
          <cell r="C1669" t="str">
            <v>M2</v>
          </cell>
          <cell r="D1669">
            <v>27.79</v>
          </cell>
        </row>
        <row r="1670">
          <cell r="A1670">
            <v>94053</v>
          </cell>
          <cell r="B1670" t="str">
            <v>ESCORAMENTO DE VALA, TIPO DESCONTÍNUO, COM PROFUNDIDADE DE 3,0 A 4,5 M, LARGURA MENOR QUE 1,5 M, EM LOCAL COM NÍVEL ALTO DE INTERFERÊNCIA. AF_06/2016</v>
          </cell>
          <cell r="C1670" t="str">
            <v>M2</v>
          </cell>
          <cell r="D1670">
            <v>16.2</v>
          </cell>
        </row>
        <row r="1671">
          <cell r="A1671">
            <v>94054</v>
          </cell>
          <cell r="B1671" t="str">
            <v>ESCORAMENTO DE VALA, TIPO DESCONTÍNUO, COM PROFUNDIDADE DE 3,0 A 4,5 M, LARGURA MAIOR OU IGUAL A 1,5 E MENOR QUE 2,5 M, EM LOCAL COM NÍVEL ALTO DE INTERFERÊNCIA. AF_06/2016</v>
          </cell>
          <cell r="C1671" t="str">
            <v>M2</v>
          </cell>
          <cell r="D1671">
            <v>24.54</v>
          </cell>
        </row>
        <row r="1672">
          <cell r="A1672">
            <v>94055</v>
          </cell>
          <cell r="B1672" t="str">
            <v>ESCORAMENTO DE VALA, TIPO DESCONTÍNUO, COM PROFUNDIDADE DE 0 A 1,5 M, LARGURA MENOR QUE 1,5 M, EM LOCAL COM NÍVEL BAIXO DE INTERFERÊNCIA. AF_06/2016</v>
          </cell>
          <cell r="C1672" t="str">
            <v>M2</v>
          </cell>
          <cell r="D1672">
            <v>22.97</v>
          </cell>
        </row>
        <row r="1673">
          <cell r="A1673">
            <v>94056</v>
          </cell>
          <cell r="B1673" t="str">
            <v>ESCORAMENTO DE VALA, TIPO DESCONTÍNUO, COM PROFUNDIDADE DE 0 A 1,5 M, LARGURA MAIOR OU IGUAL A 1,5 M E MENOR QUE 2,5 M, EM LOCAL COM NÍVEL BAIXO DE INTERFERÊNCIA. AF_06/2016</v>
          </cell>
          <cell r="C1673" t="str">
            <v>M2</v>
          </cell>
          <cell r="D1673">
            <v>31.29</v>
          </cell>
        </row>
        <row r="1674">
          <cell r="A1674">
            <v>94057</v>
          </cell>
          <cell r="B1674" t="str">
            <v>ESCORAMENTO DE VALA, TIPO DESCONTÍNUO, COM PROFUNDIDADE DE 1,5 M A 3,0 M, LARGURA MENOR QUE 1,5 M, EM LOCAL COM NÍVEL BAIXO DE INTERFERÊNCIA. AF_06/2016</v>
          </cell>
          <cell r="C1674" t="str">
            <v>M2</v>
          </cell>
          <cell r="D1674">
            <v>18.34</v>
          </cell>
        </row>
        <row r="1675">
          <cell r="A1675">
            <v>94058</v>
          </cell>
          <cell r="B1675" t="str">
            <v>ESCORAMENTO DE VALA, TIPO DESCONTÍNUO, COM PROFUNDIDADE DE 1,5 A 3,0 M, LARGURA MAIOR OU IGUAL A 1,5 M E MENOR QUE 2,5 M, EM LOCAL COM NÍVEL BAIXO DE INTERFERÊNCIA. AF_06/2016</v>
          </cell>
          <cell r="C1675" t="str">
            <v>M2</v>
          </cell>
          <cell r="D1675">
            <v>26.51</v>
          </cell>
        </row>
        <row r="1676">
          <cell r="A1676">
            <v>94059</v>
          </cell>
          <cell r="B1676" t="str">
            <v>ESCORAMENTO DE VALA, TIPO DESCONTÍNUO, COM PROFUNDIDADE DE 3,0 A 4,5 M, LARGURA MENOR QUE 1,5 M, EM LOCAL COM NÍVEL BAIXO DE INTERFERÊNCIA. AF_06/2016</v>
          </cell>
          <cell r="C1676" t="str">
            <v>M2</v>
          </cell>
          <cell r="D1676">
            <v>14.92</v>
          </cell>
        </row>
        <row r="1677">
          <cell r="A1677">
            <v>94060</v>
          </cell>
          <cell r="B1677" t="str">
            <v>ESCORAMENTO DE VALA, TIPO DESCONTÍNUO, COM PROFUNDIDADE DE 3,0 A 4,5 M, LARGURA MAIOR OU IGUAL A 1,5 E MENOR QUE 2,5 M, EM LOCAL COM NÍVEL BAIXO DE INTERFERÊNCIA. AF_06/2016</v>
          </cell>
          <cell r="C1677" t="str">
            <v>M2</v>
          </cell>
          <cell r="D1677">
            <v>23.26</v>
          </cell>
        </row>
        <row r="1678">
          <cell r="A1678">
            <v>83770</v>
          </cell>
          <cell r="B1678" t="str">
            <v>ESCORAMENTO CONTINUO DE VALAS, MISTO, COM PERFIL I DE 8"</v>
          </cell>
          <cell r="C1678" t="str">
            <v>M2</v>
          </cell>
          <cell r="D1678">
            <v>140.15</v>
          </cell>
        </row>
        <row r="1679">
          <cell r="A1679">
            <v>73301</v>
          </cell>
          <cell r="B1679" t="str">
            <v>ESCORAMENTO FORMAS ATE H = 3,30M, COM MADEIRA DE 3A QUALIDADE, NAO APARELHADA, APROVEITAMENTO TABUAS 3X E PRUMOS 4X.</v>
          </cell>
          <cell r="C1679" t="str">
            <v>M3</v>
          </cell>
          <cell r="D1679">
            <v>10.35</v>
          </cell>
        </row>
        <row r="1680">
          <cell r="A1680">
            <v>83515</v>
          </cell>
          <cell r="B1680" t="str">
            <v>ESCORAMENTO FORMAS DE H=3,30 A 3,50 M, COM MADEIRA 3A QUALIDADE, NAO APARELHADA, APROVEITAMENTO TABUAS 3X E PRUMOS 4X</v>
          </cell>
          <cell r="C1680" t="str">
            <v>M3</v>
          </cell>
          <cell r="D1680">
            <v>16.38</v>
          </cell>
        </row>
        <row r="1681">
          <cell r="A1681">
            <v>83516</v>
          </cell>
          <cell r="B1681" t="str">
            <v>ESCORAMENTO FORMAS H=3,50 A 4,00 M, COM MADEIRA DE 3A QUALIDADE, NAO APARELHADA, APROVEITAMENTO TABUAS 3X E PRUMOS 4X.</v>
          </cell>
          <cell r="C1681" t="str">
            <v>M3</v>
          </cell>
          <cell r="D1681">
            <v>18.899999999999999</v>
          </cell>
        </row>
        <row r="1682">
          <cell r="A1682">
            <v>72144</v>
          </cell>
          <cell r="B1682" t="str">
            <v>RECOLOCACAO DE FOLHAS DE PORTA DE PASSAGEM OU JANELA, CONSIDERANDO REAPROVEITAMENTO DO MATERIAL</v>
          </cell>
          <cell r="C1682" t="str">
            <v>UN</v>
          </cell>
          <cell r="D1682">
            <v>83.09</v>
          </cell>
        </row>
        <row r="1683">
          <cell r="A1683" t="str">
            <v>73910/8</v>
          </cell>
          <cell r="B1683" t="str">
            <v>PORTA DE MADEIRA COMPENSADA LISA PARA PINTURA, 120X210X3,5CM, 2 FOLHAS, INCLUSO ADUELA 2A, ALIZAR 2A E DOBRADICAS</v>
          </cell>
          <cell r="C1683" t="str">
            <v>UN</v>
          </cell>
          <cell r="D1683">
            <v>749.14</v>
          </cell>
        </row>
        <row r="1684">
          <cell r="A1684">
            <v>84876</v>
          </cell>
          <cell r="B1684" t="str">
            <v>PORTA MADEIRA 1A CORRER P/VIDRO 30MM/ GUARNICAO 15CM/ALIZAR</v>
          </cell>
          <cell r="C1684" t="str">
            <v>M2</v>
          </cell>
          <cell r="D1684">
            <v>699.93</v>
          </cell>
        </row>
        <row r="1685">
          <cell r="A1685">
            <v>90788</v>
          </cell>
          <cell r="B1685" t="str">
            <v>PORTA-PRONTA DE MADEIRA, FOLHA LEVE OU MÉDIA, 60X210CM, FIXAÇÃO COM PREENCHIMENTO PARCIAL DE ESPUMA EXPANSIVA - FORNECIMENTO E INSTALAÇÃO. AF_08/2015</v>
          </cell>
          <cell r="C1685" t="str">
            <v>UN</v>
          </cell>
          <cell r="D1685">
            <v>507.33</v>
          </cell>
        </row>
        <row r="1686">
          <cell r="A1686">
            <v>90789</v>
          </cell>
          <cell r="B1686" t="str">
            <v>PORTA-PRONTA DE MADEIRA, FOLHA LEVE OU MÉDIA, 70X210CM, FIXAÇÃO COM PREENCHIMENTO PARCIAL DE ESPUMA EXPANSIVA - FORNECIMENTO E INSTALAÇÃO. AF_08/2015</v>
          </cell>
          <cell r="C1686" t="str">
            <v>UN</v>
          </cell>
          <cell r="D1686">
            <v>524.26</v>
          </cell>
        </row>
        <row r="1687">
          <cell r="A1687">
            <v>90790</v>
          </cell>
          <cell r="B1687" t="str">
            <v>PORTA-PRONTA DE MADEIRA, FOLHA LEVE OU MÉDIA, 80X210CM, FIXAÇÃO COM PREENCHIMENTO PARCIAL DE ESPUMA EXPANSIVA - FORNECIMENTO E INSTALAÇÃO. AF_08/2015</v>
          </cell>
          <cell r="C1687" t="str">
            <v>UN</v>
          </cell>
          <cell r="D1687">
            <v>528.73</v>
          </cell>
        </row>
        <row r="1688">
          <cell r="A1688">
            <v>90791</v>
          </cell>
          <cell r="B1688" t="str">
            <v>PORTA-PRONTA DE MADEIRA, FOLHA PESADA OU SUPERPESADA, 80X210CM, FIXAÇÃO COM PREENCHIMENTO PARCIAL DE ESPUMA EXPANSIVA - FORNECIMENTO E INSTALAÇÃO. AF_08/2015</v>
          </cell>
          <cell r="C1688" t="str">
            <v>UN</v>
          </cell>
          <cell r="D1688">
            <v>565.49</v>
          </cell>
        </row>
        <row r="1689">
          <cell r="A1689">
            <v>90792</v>
          </cell>
          <cell r="B1689" t="str">
            <v>PORTA-PRONTA DE MADEIRA, FOLHA PESADA OU SUPERPESADA, 80X210CM, FIXAÇÃO COM PREENCHIMENTO TOTAL DE ESPUMA EXPANSIVA - FORNECIMENTO E INSTALAÇÃO. AF_08/2015</v>
          </cell>
          <cell r="C1689" t="str">
            <v>UN</v>
          </cell>
          <cell r="D1689">
            <v>585.58000000000004</v>
          </cell>
        </row>
        <row r="1690">
          <cell r="A1690">
            <v>90793</v>
          </cell>
          <cell r="B1690" t="str">
            <v>PORTA-PRONTA DE MADEIRA, FOLHA PESADA OU SUPERPESADA, 90X210CM, FIXAÇÃO COM PREENCHIMENTO TOTAL DE ESPUMA EXPANSIVA - FORNECIMENTO E INSTALAÇÃO. AF_08/2015</v>
          </cell>
          <cell r="C1690" t="str">
            <v>UN</v>
          </cell>
          <cell r="D1690">
            <v>602.16999999999996</v>
          </cell>
        </row>
        <row r="1691">
          <cell r="A1691">
            <v>90800</v>
          </cell>
          <cell r="B1691" t="str">
            <v>ADUELA / MARCO / BATENTE PARA PORTA DE 60X210CM, PADRÃO MÉDIO - FORNECIMENTO E MONTAGEM. AF_08/2015</v>
          </cell>
          <cell r="C1691" t="str">
            <v>UN</v>
          </cell>
          <cell r="D1691">
            <v>168.09</v>
          </cell>
        </row>
        <row r="1692">
          <cell r="A1692">
            <v>90801</v>
          </cell>
          <cell r="B1692" t="str">
            <v>ADUELA / MARCO / BATENTE PARA PORTA DE 70X210CM, PADRÃO MÉDIO - FORNECIMENTO E MONTAGEM. AF_08/2015</v>
          </cell>
          <cell r="C1692" t="str">
            <v>UN</v>
          </cell>
          <cell r="D1692">
            <v>175.6</v>
          </cell>
        </row>
        <row r="1693">
          <cell r="A1693">
            <v>90802</v>
          </cell>
          <cell r="B1693" t="str">
            <v>ADUELA / MARCO / BATENTE PARA PORTA DE 80X210CM, PADRÃO MÉDIO - FORNECIMENTO E MONTAGEM. AF_08/2015</v>
          </cell>
          <cell r="C1693" t="str">
            <v>UN</v>
          </cell>
          <cell r="D1693">
            <v>183.13</v>
          </cell>
        </row>
        <row r="1694">
          <cell r="A1694">
            <v>90803</v>
          </cell>
          <cell r="B1694" t="str">
            <v>ADUELA / MARCO / BATENTE PARA PORTA DE 90X210CM, PADRÃO MÉDIO - FORNECIMENTO E MONTAGEM. AF_08/2015</v>
          </cell>
          <cell r="C1694" t="str">
            <v>UN</v>
          </cell>
          <cell r="D1694">
            <v>190.64</v>
          </cell>
        </row>
        <row r="1695">
          <cell r="A1695">
            <v>90804</v>
          </cell>
          <cell r="B1695" t="str">
            <v>ADUELA / MARCO / BATENTE PARA PORTA DE 60X210CM, FIXAÇÃO COM ARGAMASSA, PADRÃO MÉDIO - FORNECIMENTO E INSTALAÇÃO. AF_08/2015_P</v>
          </cell>
          <cell r="C1695" t="str">
            <v>UN</v>
          </cell>
          <cell r="D1695">
            <v>230.76</v>
          </cell>
        </row>
        <row r="1696">
          <cell r="A1696">
            <v>90805</v>
          </cell>
          <cell r="B1696" t="str">
            <v>ADUELA / MARCO / BATENTE PARA PORTA DE 60X210CM, FIXAÇÃO COM ARGAMASSA - SOMENTE INSTALAÇÃO. AF_08/2015_P</v>
          </cell>
          <cell r="C1696" t="str">
            <v>UN</v>
          </cell>
          <cell r="D1696">
            <v>62.67</v>
          </cell>
        </row>
        <row r="1697">
          <cell r="A1697">
            <v>90806</v>
          </cell>
          <cell r="B1697" t="str">
            <v>ADUELA / MARCO / BATENTE PARA PORTA DE 70X210CM, FIXAÇÃO COM ARGAMASSA, PADRÃO MÉDIO - FORNECIMENTO E INSTALAÇÃO. AF_08/2015_P</v>
          </cell>
          <cell r="C1697" t="str">
            <v>UN</v>
          </cell>
          <cell r="D1697">
            <v>243.57</v>
          </cell>
        </row>
        <row r="1698">
          <cell r="A1698">
            <v>90807</v>
          </cell>
          <cell r="B1698" t="str">
            <v>ADUELA / MARCO / BATENTE PARA PORTA DE 70X210CM, FIXAÇÃO COM ARGAMASSA - SOMENTE INSTALAÇÃO. AF_08/2015_P</v>
          </cell>
          <cell r="C1698" t="str">
            <v>UN</v>
          </cell>
          <cell r="D1698">
            <v>67.97</v>
          </cell>
        </row>
        <row r="1699">
          <cell r="A1699">
            <v>90816</v>
          </cell>
          <cell r="B1699" t="str">
            <v>ADUELA / MARCO / BATENTE PARA PORTA DE 80X210CM, FIXAÇÃO COM ARGAMASSA, PADRÃO MÉDIO - FORNECIMENTO E INSTALAÇÃO. AF_08/2015_P</v>
          </cell>
          <cell r="C1699" t="str">
            <v>UN</v>
          </cell>
          <cell r="D1699">
            <v>256.36</v>
          </cell>
        </row>
        <row r="1700">
          <cell r="A1700">
            <v>90817</v>
          </cell>
          <cell r="B1700" t="str">
            <v>ADUELA / MARCO / BATENTE PARA PORTA DE 80X210CM, FIXAÇÃO COM ARGAMASSA - SOMENTE INSTALAÇÃO. AF_08/2015_P</v>
          </cell>
          <cell r="C1700" t="str">
            <v>UN</v>
          </cell>
          <cell r="D1700">
            <v>73.23</v>
          </cell>
        </row>
        <row r="1701">
          <cell r="A1701">
            <v>90818</v>
          </cell>
          <cell r="B1701" t="str">
            <v>ADUELA / MARCO / BATENTE PARA PORTA DE 90X210CM, FIXAÇÃO COM ARGAMASSA, PADRÃO MÉDIO - FORNECIMENTO E INSTALAÇÃO. AF_08/2015_P</v>
          </cell>
          <cell r="C1701" t="str">
            <v>UN</v>
          </cell>
          <cell r="D1701">
            <v>269.19</v>
          </cell>
        </row>
        <row r="1702">
          <cell r="A1702">
            <v>90819</v>
          </cell>
          <cell r="B1702" t="str">
            <v>ADUELA / MARCO / BATENTE PARA PORTA DE 90X210CM, FIXAÇÃO COM ARGAMASSA - SOMENTE INSTALAÇÃO. AF_08/2015_P</v>
          </cell>
          <cell r="C1702" t="str">
            <v>UN</v>
          </cell>
          <cell r="D1702">
            <v>78.55</v>
          </cell>
        </row>
        <row r="1703">
          <cell r="A1703">
            <v>90820</v>
          </cell>
          <cell r="B1703" t="str">
            <v>PORTA DE MADEIRA PARA PINTURA, SEMI-OCA (LEVE OU MÉDIA), 60X210CM, ESPESSURA DE 3,5CM, INCLUSO DOBRADIÇAS - FORNECIMENTO E INSTALAÇÃO. AF_08/2015</v>
          </cell>
          <cell r="C1703" t="str">
            <v>UN</v>
          </cell>
          <cell r="D1703">
            <v>340.12</v>
          </cell>
        </row>
        <row r="1704">
          <cell r="A1704">
            <v>90821</v>
          </cell>
          <cell r="B1704" t="str">
            <v>PORTA DE MADEIRA PARA PINTURA, SEMI-OCA (LEVE OU MÉDIA), 70X210CM, ESPESSURA DE 3,5CM, INCLUSO DOBRADIÇAS - FORNECIMENTO E INSTALAÇÃO. AF_08/2015</v>
          </cell>
          <cell r="C1704" t="str">
            <v>UN</v>
          </cell>
          <cell r="D1704">
            <v>370.34</v>
          </cell>
        </row>
        <row r="1705">
          <cell r="A1705">
            <v>90822</v>
          </cell>
          <cell r="B1705" t="str">
            <v>PORTA DE MADEIRA PARA PINTURA, SEMI-OCA (LEVE OU MÉDIA), 80X210CM, ESPESSURA DE 3,5CM, INCLUSO DOBRADIÇAS - FORNECIMENTO E INSTALAÇÃO. AF_08/2015</v>
          </cell>
          <cell r="C1705" t="str">
            <v>UN</v>
          </cell>
          <cell r="D1705">
            <v>365.53</v>
          </cell>
        </row>
        <row r="1706">
          <cell r="A1706">
            <v>90823</v>
          </cell>
          <cell r="B1706" t="str">
            <v>PORTA DE MADEIRA PARA PINTURA, SEMI-OCA (LEVE OU MÉDIA), 90X210CM, ESPESSURA DE 3,5CM, INCLUSO DOBRADIÇAS - FORNECIMENTO E INSTALAÇÃO. AF_08/2015</v>
          </cell>
          <cell r="C1706" t="str">
            <v>UN</v>
          </cell>
          <cell r="D1706">
            <v>384.51</v>
          </cell>
        </row>
        <row r="1707">
          <cell r="A1707">
            <v>90826</v>
          </cell>
          <cell r="B1707" t="str">
            <v>ALIZAR / GUARNIÇÃO DE 5X1,5CM PARA PORTA DE 60X210CM FIXADO COM PREGOS, PADRÃO MÉDIO - FORNECIMENTO E INSTALAÇÃO. AF_08/2015</v>
          </cell>
          <cell r="C1707" t="str">
            <v>UN</v>
          </cell>
          <cell r="D1707">
            <v>25.08</v>
          </cell>
        </row>
        <row r="1708">
          <cell r="A1708">
            <v>90827</v>
          </cell>
          <cell r="B1708" t="str">
            <v>ALIZAR / GUARNIÇÃO DE 5X1,5CM PARA PORTA DE 70X210CM FIXADO COM PREGOS, PADRÃO MÉDIO - FORNECIMENTO E INSTALAÇÃO. AF_08/2015</v>
          </cell>
          <cell r="C1708" t="str">
            <v>UN</v>
          </cell>
          <cell r="D1708">
            <v>26.49</v>
          </cell>
        </row>
        <row r="1709">
          <cell r="A1709">
            <v>90828</v>
          </cell>
          <cell r="B1709" t="str">
            <v>ALIZAR / GUARNIÇÃO DE 5X1,5CM PARA PORTA DE 80X210CM FIXADO COM PREGOS, PADRÃO MÉDIO - FORNECIMENTO E INSTALAÇÃO. AF_08/2015</v>
          </cell>
          <cell r="C1709" t="str">
            <v>UN</v>
          </cell>
          <cell r="D1709">
            <v>27.89</v>
          </cell>
        </row>
        <row r="1710">
          <cell r="A1710">
            <v>90829</v>
          </cell>
          <cell r="B1710" t="str">
            <v>ALIZAR / GUARNIÇÃO DE 5X1,5CM PARA PORTA DE 90X210CM FIXADO COM PREGOS, PADRÃO MÉDIO - FORNECIMENTO E INSTALAÇÃO. AF_08/2015</v>
          </cell>
          <cell r="C1710" t="str">
            <v>UN</v>
          </cell>
          <cell r="D1710">
            <v>29.34</v>
          </cell>
        </row>
        <row r="1711">
          <cell r="A1711">
            <v>90830</v>
          </cell>
          <cell r="B1711" t="str">
            <v>FECHADURA DE EMBUTIR COM CILINDRO, EXTERNA, COMPLETA, ACABAMENTO PADRÃO MÉDIO, INCLUSO EXECUÇÃO DE FURO - FORNECIMENTO E INSTALAÇÃO. AF_08/2015</v>
          </cell>
          <cell r="C1711" t="str">
            <v>UN</v>
          </cell>
          <cell r="D1711">
            <v>100.37</v>
          </cell>
        </row>
        <row r="1712">
          <cell r="A1712">
            <v>90831</v>
          </cell>
          <cell r="B1712" t="str">
            <v>FECHADURA DE EMBUTIR PARA PORTA DE BANHEIRO, COMPLETA, ACABAMENTO PADRÃO MÉDIO, INCLUSO EXECUÇÃO DE FURO - FORNECIMENTO E INSTALAÇÃO. AF_08/2015</v>
          </cell>
          <cell r="C1712" t="str">
            <v>UN</v>
          </cell>
          <cell r="D1712">
            <v>78.62</v>
          </cell>
        </row>
        <row r="1713">
          <cell r="A1713">
            <v>90841</v>
          </cell>
          <cell r="B1713" t="str">
            <v>KIT DE PORTA DE MADEIRA PARA PINTURA, SEMI-OCA (LEVE OU MÉDIA), PADRÃO MÉDIO, 60X210CM, ESPESSURA DE 3,5CM, ITENS INCLUSOS: DOBRADIÇAS, MONTAGEM E INSTALAÇÃO DO BATENTE, FECHADURA COM EXECUÇÃO DO FURO - FORNECIMENTO E INSTALAÇÃO. AF_08/2015</v>
          </cell>
          <cell r="C1713" t="str">
            <v>UN</v>
          </cell>
          <cell r="D1713">
            <v>699.66</v>
          </cell>
        </row>
        <row r="1714">
          <cell r="A1714">
            <v>90842</v>
          </cell>
          <cell r="B1714" t="str">
            <v>KIT DE PORTA DE MADEIRA PARA PINTURA, SEMI-OCA (LEVE OU MÉDIA), PADRÃO MÉDIO, 70X210CM, ESPESSURA DE 3,5CM, ITENS INCLUSOS: DOBRADIÇAS, MONTAGEM E INSTALAÇÃO DO BATENTE, FECHADURA COM EXECUÇÃO DO FURO - FORNECIMENTO E INSTALAÇÃO. AF_08/2015</v>
          </cell>
          <cell r="C1714" t="str">
            <v>UN</v>
          </cell>
          <cell r="D1714">
            <v>752.37</v>
          </cell>
        </row>
        <row r="1715">
          <cell r="A1715">
            <v>90843</v>
          </cell>
          <cell r="B1715" t="str">
            <v>KIT DE PORTA DE MADEIRA PARA PINTURA, SEMI-OCA (LEVE OU MÉDIA), PADRÃO MÉDIO, 80X210CM, ESPESSURA DE 3,5CM, ITENS INCLUSOS: DOBRADIÇAS, MONTAGEM E INSTALAÇÃO DO BATENTE, FECHADURA COM EXECUÇÃO DO FURO - FORNECIMENTO E INSTALAÇÃO. AF_08/2015</v>
          </cell>
          <cell r="C1715" t="str">
            <v>UN</v>
          </cell>
          <cell r="D1715">
            <v>778.04</v>
          </cell>
        </row>
        <row r="1716">
          <cell r="A1716">
            <v>90844</v>
          </cell>
          <cell r="B1716" t="str">
            <v>KIT DE PORTA DE MADEIRA PARA PINTURA, SEMI-OCA (LEVE OU MÉDIA), PADRÃO MÉDIO, 90X210CM, ESPESSURA DE 3,5CM, ITENS INCLUSOS: DOBRADIÇAS, MONTAGEM E INSTALAÇÃO DO BATENTE, FECHADURA COM EXECUÇÃO DO FURO - FORNECIMENTO E INSTALAÇÃO. AF_08/2015</v>
          </cell>
          <cell r="C1716" t="str">
            <v>UN</v>
          </cell>
          <cell r="D1716">
            <v>812.75</v>
          </cell>
        </row>
        <row r="1717">
          <cell r="A1717">
            <v>90847</v>
          </cell>
          <cell r="B1717" t="str">
            <v>KIT DE PORTA DE MADEIRA PARA PINTURA, SEMI-OCA (LEVE OU MÉDIA), PADRÃO MÉDIO, 60X210CM, ESPESSURA DE 3,5CM, ITENS INCLUSOS: DOBRADIÇAS, MONTAGEM E INSTALAÇÃO DO BATENTE, SEM FECHADURA - FORNECIMENTO E INSTALAÇÃO. AF_08/2015</v>
          </cell>
          <cell r="C1717" t="str">
            <v>UN</v>
          </cell>
          <cell r="D1717">
            <v>621.04</v>
          </cell>
        </row>
        <row r="1718">
          <cell r="A1718">
            <v>90848</v>
          </cell>
          <cell r="B1718" t="str">
            <v>KIT DE PORTA DE MADEIRA PARA PINTURA, SEMI-OCA (LEVE OU MÉDIA), PADRÃO MÉDIO, 70X210CM, ESPESSURA DE 3,5CM, ITENS INCLUSOS: DOBRADIÇAS, MONTAGEM E INSTALAÇÃO DO BATENTE, SEM FECHADURA - FORNECIMENTO E INSTALAÇÃO. AF_08/2015</v>
          </cell>
          <cell r="C1718" t="str">
            <v>UN</v>
          </cell>
          <cell r="D1718">
            <v>666.89</v>
          </cell>
        </row>
        <row r="1719">
          <cell r="A1719">
            <v>90849</v>
          </cell>
          <cell r="B1719" t="str">
            <v>KIT DE PORTA DE MADEIRA PARA PINTURA, SEMI-OCA (LEVE OU MÉDIA), PADRÃO MÉDIO, 80X210CM, ESPESSURA DE 3,5CM, ITENS INCLUSOS: DOBRADIÇAS, MONTAGEM E INSTALAÇÃO DO BATENTE, SEM FECHADURA - FORNECIMENTO E INSTALAÇÃO. AF_08/2015</v>
          </cell>
          <cell r="C1719" t="str">
            <v>UN</v>
          </cell>
          <cell r="D1719">
            <v>677.67</v>
          </cell>
        </row>
        <row r="1720">
          <cell r="A1720">
            <v>90850</v>
          </cell>
          <cell r="B1720" t="str">
            <v>KIT DE PORTA DE MADEIRA PARA PINTURA, SEMI-OCA (LEVE OU MÉDIA), PADRÃO MÉDIO, 90X210CM, ESPESSURA DE 3,5CM, ITENS INCLUSOS: DOBRADIÇAS, MONTAGEM E INSTALAÇÃO DO BATENTE, SEM FECHADURA - FORNECIMENTO E INSTALAÇÃO. AF_08/2015</v>
          </cell>
          <cell r="C1720" t="str">
            <v>UN</v>
          </cell>
          <cell r="D1720">
            <v>712.38</v>
          </cell>
        </row>
        <row r="1721">
          <cell r="A1721">
            <v>91009</v>
          </cell>
          <cell r="B1721" t="str">
            <v>PORTA DE MADEIRA PARA VERNIZ, SEMI-OCA (LEVE OU MÉDIA), 60X210CM, ESPESSURA DE 3,5CM, INCLUSO DOBRADIÇAS - FORNECIMENTO E INSTALAÇÃO. AF_08/2015</v>
          </cell>
          <cell r="C1721" t="str">
            <v>UN</v>
          </cell>
          <cell r="D1721">
            <v>348.35</v>
          </cell>
        </row>
        <row r="1722">
          <cell r="A1722">
            <v>91010</v>
          </cell>
          <cell r="B1722" t="str">
            <v>PORTA DE MADEIRA PARA VERNIZ, SEMI-OCA (LEVE OU MÉDIA), 70X210CM, ESPESSURA DE 3,5CM, INCLUSO DOBRADIÇAS - FORNECIMENTO E INSTALAÇÃO. AF_08/2015</v>
          </cell>
          <cell r="C1722" t="str">
            <v>UN</v>
          </cell>
          <cell r="D1722">
            <v>280.08999999999997</v>
          </cell>
        </row>
        <row r="1723">
          <cell r="A1723">
            <v>91011</v>
          </cell>
          <cell r="B1723" t="str">
            <v>PORTA DE MADEIRA PARA VERNIZ, SEMI-OCA (LEVE OU MÉDIA), 80X210CM, ESPESSURA DE 3,5CM, INCLUSO DOBRADIÇAS - FORNECIMENTO E INSTALAÇÃO. AF_08/2015</v>
          </cell>
          <cell r="C1723" t="str">
            <v>UN</v>
          </cell>
          <cell r="D1723">
            <v>396.37</v>
          </cell>
        </row>
        <row r="1724">
          <cell r="A1724">
            <v>91012</v>
          </cell>
          <cell r="B1724" t="str">
            <v>PORTA DE MADEIRA PARA VERNIZ, SEMI-OCA (LEVE OU MÉDIA), 90X210CM, ESPESSURA DE 3,5CM, INCLUSO DOBRADIÇAS - FORNECIMENTO E INSTALAÇÃO. AF_08/2015</v>
          </cell>
          <cell r="C1724" t="str">
            <v>UN</v>
          </cell>
          <cell r="D1724">
            <v>378.17</v>
          </cell>
        </row>
        <row r="1725">
          <cell r="A1725">
            <v>91013</v>
          </cell>
          <cell r="B1725" t="str">
            <v>KIT DE PORTA DE MADEIRA PARA VERNIZ, SEMI-OCA (LEVE OU MÉDIA), PADRÃO MÉDIO, 60X210CM, ESPESSURA DE 3,5CM, ITENS INCLUSOS: DOBRADIÇAS, MONTAGEM E INSTALAÇÃO DO BATENTE, SEM FECHADURA - FORNECIMENTO E INSTALAÇÃO. AF_08/2015</v>
          </cell>
          <cell r="C1725" t="str">
            <v>UN</v>
          </cell>
          <cell r="D1725">
            <v>629.27</v>
          </cell>
        </row>
        <row r="1726">
          <cell r="A1726">
            <v>91014</v>
          </cell>
          <cell r="B1726" t="str">
            <v>KIT DE PORTA DE MADEIRA PARA VERNIZ, SEMI-OCA (LEVE OU MÉDIA), PADRÃO MÉDIO, 70X210CM, ESPESSURA DE 3,5CM, ITENS INCLUSOS: DOBRADIÇAS, MONTAGEM E INSTALAÇÃO DO BATENTE, SEM FECHADURA - FORNECIMENTO E INSTALAÇÃO. AF_08/2015</v>
          </cell>
          <cell r="C1726" t="str">
            <v>UN</v>
          </cell>
          <cell r="D1726">
            <v>576.64</v>
          </cell>
        </row>
        <row r="1727">
          <cell r="A1727">
            <v>91015</v>
          </cell>
          <cell r="B1727" t="str">
            <v>KIT DE PORTA DE MADEIRA PARA VERNIZ, SEMI-OCA (LEVE OU MÉDIA), PADRÃO MÉDIO, 80X210CM, ESPESSURA DE 3,5CM, ITENS INCLUSOS: DOBRADIÇAS, MONTAGEM E INSTALAÇÃO DO BATENTE, SEM FECHADURA - FORNECIMENTO E INSTALAÇÃO. AF_08/2015</v>
          </cell>
          <cell r="C1727" t="str">
            <v>UN</v>
          </cell>
          <cell r="D1727">
            <v>708.51</v>
          </cell>
        </row>
        <row r="1728">
          <cell r="A1728">
            <v>91016</v>
          </cell>
          <cell r="B1728" t="str">
            <v>KIT DE PORTA DE MADEIRA PARA VERNIZ, SEMI-OCA (LEVE OU MÉDIA), PADRÃO MÉDIO, 90X210CM, ESPESSURA DE 3,5CM, ITENS INCLUSOS: DOBRADIÇAS, MONTAGEM E INSTALAÇÃO DO BATENTE, SEM FECHADURA - FORNECIMENTO E INSTALAÇÃO. AF_08/2015</v>
          </cell>
          <cell r="C1728" t="str">
            <v>UN</v>
          </cell>
          <cell r="D1728">
            <v>706.04</v>
          </cell>
        </row>
        <row r="1729">
          <cell r="A1729">
            <v>91286</v>
          </cell>
          <cell r="B1729" t="str">
            <v>ADUELA / MARCO / BATENTE PARA PORTA DE 60X210CM, PADRÃO POPULAR - FORNECIMENTO E MONTAGEM. AF_08/2015</v>
          </cell>
          <cell r="C1729" t="str">
            <v>UN</v>
          </cell>
          <cell r="D1729">
            <v>135.96</v>
          </cell>
        </row>
        <row r="1730">
          <cell r="A1730">
            <v>91287</v>
          </cell>
          <cell r="B1730" t="str">
            <v>ADUELA / MARCO / BATENTE PARA PORTA DE 70X210CM, PADRÃO POPULAR - FORNECIMENTO E MONTAGEM. AF_08/2015</v>
          </cell>
          <cell r="C1730" t="str">
            <v>UN</v>
          </cell>
          <cell r="D1730">
            <v>143.47</v>
          </cell>
        </row>
        <row r="1731">
          <cell r="A1731">
            <v>91288</v>
          </cell>
          <cell r="B1731" t="str">
            <v>ADUELA / MARCO / BATENTE PARA PORTA DE 80X210CM, PADRÃO POPULAR - FORNECIMENTO E MONTAGEM. AF_08/2015</v>
          </cell>
          <cell r="C1731" t="str">
            <v>UN</v>
          </cell>
          <cell r="D1731">
            <v>151</v>
          </cell>
        </row>
        <row r="1732">
          <cell r="A1732">
            <v>91290</v>
          </cell>
          <cell r="B1732" t="str">
            <v>ADUELA / MARCO / BATENTE PARA PORTA DE 90X210CM, PADRÃO POPULAR - FORNECIMENTO E MONTAGEM. AF_08/2015</v>
          </cell>
          <cell r="C1732" t="str">
            <v>UN</v>
          </cell>
          <cell r="D1732">
            <v>158.51</v>
          </cell>
        </row>
        <row r="1733">
          <cell r="A1733">
            <v>91291</v>
          </cell>
          <cell r="B1733" t="str">
            <v>ADUELA / MARCO / BATENTE PARA PORTA DE 60X210CM, FIXAÇÃO COM ARGAMASSA, PADRÃO POPULAR - FORNECIMENTO E INSTALAÇÃO. AF_08/2015_P</v>
          </cell>
          <cell r="C1733" t="str">
            <v>UN</v>
          </cell>
          <cell r="D1733">
            <v>198.63</v>
          </cell>
        </row>
        <row r="1734">
          <cell r="A1734">
            <v>91292</v>
          </cell>
          <cell r="B1734" t="str">
            <v>ADUELA / MARCO / BATENTE PARA PORTA DE 70X210CM, FIXAÇÃO COM ARGAMASSA, PADRÃO POPULAR - FORNECIMENTO E INSTALAÇÃO. AF_08/2015_P</v>
          </cell>
          <cell r="C1734" t="str">
            <v>UN</v>
          </cell>
          <cell r="D1734">
            <v>211.44</v>
          </cell>
        </row>
        <row r="1735">
          <cell r="A1735">
            <v>91293</v>
          </cell>
          <cell r="B1735" t="str">
            <v>ADUELA / MARCO / BATENTE PARA PORTA DE 80X210CM, FIXAÇÃO COM ARGAMASSA, PADRÃO POPULAR - FORNECIMENTO E INSTALAÇÃO. AF_08/2015_P</v>
          </cell>
          <cell r="C1735" t="str">
            <v>UN</v>
          </cell>
          <cell r="D1735">
            <v>224.23</v>
          </cell>
        </row>
        <row r="1736">
          <cell r="A1736">
            <v>91294</v>
          </cell>
          <cell r="B1736" t="str">
            <v>ADUELA / MARCO / BATENTE PARA PORTA DE 90X210CM, FIXAÇÃO COM ARGAMASSA, PADRÃO POPULAR - FORNECIMENTO E INSTALAÇÃO. AF_08/2015_P</v>
          </cell>
          <cell r="C1736" t="str">
            <v>UN</v>
          </cell>
          <cell r="D1736">
            <v>237.06</v>
          </cell>
        </row>
        <row r="1737">
          <cell r="A1737">
            <v>91295</v>
          </cell>
          <cell r="B1737" t="str">
            <v>PORTA DE MADEIRA FRISADA, SEMI-OCA (LEVE OU MÉDIA), 60X210CM, ESPESSURA DE 3CM, INCLUSO DOBRADIÇAS - FORNECIMENTO E INSTALAÇÃO. AF_08/2015</v>
          </cell>
          <cell r="C1737" t="str">
            <v>UN</v>
          </cell>
          <cell r="D1737">
            <v>326.23</v>
          </cell>
        </row>
        <row r="1738">
          <cell r="A1738">
            <v>91296</v>
          </cell>
          <cell r="B1738" t="str">
            <v>PORTA DE MADEIRA FRISADA, SEMI-OCA (LEVE OU MÉDIA), 70X210CM, ESPESSURA DE 3CM, INCLUSO DOBRADIÇAS - FORNECIMENTO E INSTALAÇÃO. AF_08/2015</v>
          </cell>
          <cell r="C1738" t="str">
            <v>UN</v>
          </cell>
          <cell r="D1738">
            <v>346.29</v>
          </cell>
        </row>
        <row r="1739">
          <cell r="A1739">
            <v>91297</v>
          </cell>
          <cell r="B1739" t="str">
            <v>PORTA DE MADEIRA FRISADA, SEMI-OCA (LEVE OU MÉDIA), 80X210CM, ESPESSURA DE 3,5CM, INCLUSO DOBRADIÇAS - FORNECIMENTO E INSTALAÇÃO. AF_08/2015</v>
          </cell>
          <cell r="C1739" t="str">
            <v>UN</v>
          </cell>
          <cell r="D1739">
            <v>398.63</v>
          </cell>
        </row>
        <row r="1740">
          <cell r="A1740">
            <v>91298</v>
          </cell>
          <cell r="B1740" t="str">
            <v>PORTA DE MADEIRA TIPO VENEZIANA, 80X210CM, ESPESSURA DE 3CM, INCLUSO DOBRADIÇAS - FORNECIMENTO E INSTALAÇÃO. AF_08/2015</v>
          </cell>
          <cell r="C1740" t="str">
            <v>UN</v>
          </cell>
          <cell r="D1740">
            <v>638.39</v>
          </cell>
        </row>
        <row r="1741">
          <cell r="A1741">
            <v>91299</v>
          </cell>
          <cell r="B1741" t="str">
            <v>PORTA DE MADEIRA, TIPO MEXICANA, MACIÇA (PESADA OU SUPERPESADA), 80X210CM, ESPESSURA DE 3,5CM, INCLUSO DOBRADIÇAS - FORNECIMENTO E INSTALAÇÃO. AF_08/2015</v>
          </cell>
          <cell r="C1741" t="str">
            <v>UN</v>
          </cell>
          <cell r="D1741">
            <v>880.8</v>
          </cell>
        </row>
        <row r="1742">
          <cell r="A1742">
            <v>91300</v>
          </cell>
          <cell r="B1742" t="str">
            <v>ALIZAR / GUARNIÇÃO DE 5X1,5CM PARA PORTA DE 60X210CM FIXADO COM PREGOS, PADRÃO POPULAR - FORNECIMENTO E INSTALAÇÃO. AF_08/2015</v>
          </cell>
          <cell r="C1742" t="str">
            <v>UN</v>
          </cell>
          <cell r="D1742">
            <v>21.39</v>
          </cell>
        </row>
        <row r="1743">
          <cell r="A1743">
            <v>91301</v>
          </cell>
          <cell r="B1743" t="str">
            <v>ALIZAR / GUARNIÇÃO DE 5X1,5CM PARA PORTA DE 70X210CM FIXADO COM PREGOS, PADRÃO POPULAR - FORNECIMENTO E INSTALAÇÃO. AF_08/2015</v>
          </cell>
          <cell r="C1743" t="str">
            <v>UN</v>
          </cell>
          <cell r="D1743">
            <v>22.73</v>
          </cell>
        </row>
        <row r="1744">
          <cell r="A1744">
            <v>91302</v>
          </cell>
          <cell r="B1744" t="str">
            <v>ALIZAR / GUARNIÇÃO DE 5X1,5CM PARA PORTA DE 80X210CM FIXADO COM PREGOS, PADRÃO POPULAR - FORNECIMENTO E INSTALAÇÃO. AF_08/2015</v>
          </cell>
          <cell r="C1744" t="str">
            <v>UN</v>
          </cell>
          <cell r="D1744">
            <v>24.07</v>
          </cell>
        </row>
        <row r="1745">
          <cell r="A1745">
            <v>91303</v>
          </cell>
          <cell r="B1745" t="str">
            <v>ALIZAR / GUARNIÇÃO DE 5X1,5CM PARA PORTA DE 90X210CM FIXADO COM PREGOS, PADRÃO POPULAR - FORNECIMENTO E INSTALAÇÃO. AF_08/2015</v>
          </cell>
          <cell r="C1745" t="str">
            <v>UN</v>
          </cell>
          <cell r="D1745">
            <v>25.45</v>
          </cell>
        </row>
        <row r="1746">
          <cell r="A1746">
            <v>91304</v>
          </cell>
          <cell r="B1746" t="str">
            <v>FECHADURA DE EMBUTIR COM CILINDRO, EXTERNA, COMPLETA, ACABAMENTO PADRÃO POPULAR, INCLUSO EXECUÇÃO DE FURO - FORNECIMENTO E INSTALAÇÃO. AF_08/2015</v>
          </cell>
          <cell r="C1746" t="str">
            <v>UN</v>
          </cell>
          <cell r="D1746">
            <v>76.39</v>
          </cell>
        </row>
        <row r="1747">
          <cell r="A1747">
            <v>91305</v>
          </cell>
          <cell r="B1747" t="str">
            <v>FECHADURA DE EMBUTIR PARA PORTA DE BANHEIRO, COMPLETA, ACABAMENTO PADRÃO POPULAR, INCLUSO EXECUÇÃO DE FURO - FORNECIMENTO E INSTALAÇÃO. AF_08/2015</v>
          </cell>
          <cell r="C1747" t="str">
            <v>UN</v>
          </cell>
          <cell r="D1747">
            <v>57.67</v>
          </cell>
        </row>
        <row r="1748">
          <cell r="A1748">
            <v>91306</v>
          </cell>
          <cell r="B1748" t="str">
            <v>FECHADURA DE EMBUTIR PARA PORTAS INTERNAS, COMPLETA, ACABAMENTO PADRÃO MÉDIO, COM EXECUÇÃO DE FURO - FORNECIMENTO E INSTALAÇÃO. AF_08/2015</v>
          </cell>
          <cell r="C1748" t="str">
            <v>UN</v>
          </cell>
          <cell r="D1748">
            <v>85.48</v>
          </cell>
        </row>
        <row r="1749">
          <cell r="A1749">
            <v>91307</v>
          </cell>
          <cell r="B1749" t="str">
            <v>FECHADURA DE EMBUTIR PARA PORTAS INTERNAS, COMPLETA, ACABAMENTO PADRÃO POPULAR, COM EXECUÇÃO DE FURO - FORNECIMENTO E INSTALAÇÃO. AF_08/2015</v>
          </cell>
          <cell r="C1749" t="str">
            <v>UN</v>
          </cell>
          <cell r="D1749">
            <v>60.49</v>
          </cell>
        </row>
        <row r="1750">
          <cell r="A1750">
            <v>91312</v>
          </cell>
          <cell r="B1750" t="str">
            <v>KIT DE PORTA DE MADEIRA PARA PINTURA, SEMI-OCA (LEVE OU MÉDIA), PADRÃO POPULAR, 60X210CM, ESPESSURA DE 3,5CM, ITENS INCLUSOS: DOBRADIÇAS, MONTAGEM E INSTALAÇÃO DO BATENTE, FECHADURA COM EXECUÇÃO DO FURO - FORNECIMENTO E INSTALAÇÃO. AF_08/2015</v>
          </cell>
          <cell r="C1750" t="str">
            <v>UN</v>
          </cell>
          <cell r="D1750">
            <v>639.20000000000005</v>
          </cell>
        </row>
        <row r="1751">
          <cell r="A1751">
            <v>91313</v>
          </cell>
          <cell r="B1751" t="str">
            <v>KIT DE PORTA DE MADEIRA PARA PINTURA, SEMI-OCA (LEVE OU MÉDIA), PADRÃO POPULAR, 70X210CM, ESPESSURA DE 3,5CM, ITENS INCLUSOS: DOBRADIÇAS, MONTAGEM E INSTALAÇÃO DO BATENTE, FECHADURA COM EXECUÇÃO DO FURO - FORNECIMENTO E INSTALAÇÃO. AF_08/2015</v>
          </cell>
          <cell r="C1751" t="str">
            <v>UN</v>
          </cell>
          <cell r="D1751">
            <v>687.73</v>
          </cell>
        </row>
        <row r="1752">
          <cell r="A1752">
            <v>91314</v>
          </cell>
          <cell r="B1752" t="str">
            <v>KIT DE PORTA DE MADEIRA PARA PINTURA, SEMI-OCA (LEVE OU MÉDIA), PADRÃO POPULAR, 80X210CM, ESPESSURA DE 3,5CM, ITENS INCLUSOS: DOBRADIÇAS, MONTAGEM E INSTALAÇÃO DO BATENTE, FECHADURA COM EXECUÇÃO DO FURO - FORNECIMENTO E INSTALAÇÃO. AF_08/2015</v>
          </cell>
          <cell r="C1752" t="str">
            <v>UN</v>
          </cell>
          <cell r="D1752">
            <v>714.29</v>
          </cell>
        </row>
        <row r="1753">
          <cell r="A1753">
            <v>91315</v>
          </cell>
          <cell r="B1753" t="str">
            <v>KIT DE PORTA DE MADEIRA PARA PINTURA, SEMI-OCA (LEVE OU MÉDIA), PADRÃO POPULAR, 90X210CM, ESPESSURA DE 3,5CM, ITENS INCLUSOS: DOBRADIÇAS, MONTAGEM E INSTALAÇÃO DO BATENTE, FECHADURA COM EXECUÇÃO DO FURO - FORNECIMENTO E INSTALAÇÃO. AF_08/2015</v>
          </cell>
          <cell r="C1753" t="str">
            <v>UN</v>
          </cell>
          <cell r="D1753">
            <v>748.86</v>
          </cell>
        </row>
        <row r="1754">
          <cell r="A1754">
            <v>91318</v>
          </cell>
          <cell r="B1754" t="str">
            <v>KIT DE PORTA DE MADEIRA PARA PINTURA, SEMI-OCA (LEVE OU MÉDIA), PADRÃO POPULAR, 60X210CM, ESPESSURA DE 3,5CM, ITENS INCLUSOS: DOBRADIÇAS, MONTAGEM E INSTALAÇÃO DO BATENTE, SEM FECHADURA - FORNECIMENTO E INSTALAÇÃO. AF_08/2015</v>
          </cell>
          <cell r="C1754" t="str">
            <v>UN</v>
          </cell>
          <cell r="D1754">
            <v>581.53</v>
          </cell>
        </row>
        <row r="1755">
          <cell r="A1755">
            <v>91319</v>
          </cell>
          <cell r="B1755" t="str">
            <v>KIT DE PORTA DE MADEIRA PARA PINTURA, SEMI-OCA (LEVE OU MÉDIA), PADRÃO POPULAR, 70X210CM, ESPESSURA DE 3,5CM, ITENS INCLUSOS: DOBRADIÇAS, MONTAGEM E INSTALAÇÃO DO BATENTE, SEM FECHADURA - FORNECIMENTO E INSTALAÇÃO. AF_08/2015</v>
          </cell>
          <cell r="C1755" t="str">
            <v>UN</v>
          </cell>
          <cell r="D1755">
            <v>627.24</v>
          </cell>
        </row>
        <row r="1756">
          <cell r="A1756">
            <v>91320</v>
          </cell>
          <cell r="B1756" t="str">
            <v>KIT DE PORTA DE MADEIRA PARA PINTURA, SEMI-OCA (LEVE OU MÉDIA), PADRÃO POPULAR, 80X210CM, ESPESSURA DE 3,5CM, ITENS INCLUSOS: DOBRADIÇAS, MONTAGEM E INSTALAÇÃO DO BATENTE, SEM FECHADURA - FORNECIMENTO E INSTALAÇÃO. AF_08/2015</v>
          </cell>
          <cell r="C1756" t="str">
            <v>UN</v>
          </cell>
          <cell r="D1756">
            <v>637.9</v>
          </cell>
        </row>
        <row r="1757">
          <cell r="A1757">
            <v>91321</v>
          </cell>
          <cell r="B1757" t="str">
            <v>KIT DE PORTA DE MADEIRA PARA PINTURA, SEMI-OCA (LEVE OU MÉDIA), PADRÃO POPULAR, 90X210CM, ESPESSURA DE 3,5CM, ITENS INCLUSOS: DOBRADIÇAS, MONTAGEM E INSTALAÇÃO DO BATENTE, SEM FECHADURA - FORNECIMENTO E INSTALAÇÃO. AF_08/2015</v>
          </cell>
          <cell r="C1757" t="str">
            <v>UN</v>
          </cell>
          <cell r="D1757">
            <v>672.47</v>
          </cell>
        </row>
        <row r="1758">
          <cell r="A1758">
            <v>91324</v>
          </cell>
          <cell r="B1758" t="str">
            <v>KIT DE PORTA DE MADEIRA PARA VERNIZ, SEMI-OCA (LEVE OU MÉDIA), PADRÃO POPULAR, 60X210CM, ESPESSURA DE 3,5CM, ITENS INCLUSOS: DOBRADIÇAS, MONTAGEM E INSTALAÇÃO DO BATENTE, SEM FECHADURA - FORNECIMENTO E INSTALAÇÃO. AF_08/2015</v>
          </cell>
          <cell r="C1758" t="str">
            <v>UN</v>
          </cell>
          <cell r="D1758">
            <v>589.76</v>
          </cell>
        </row>
        <row r="1759">
          <cell r="A1759">
            <v>91325</v>
          </cell>
          <cell r="B1759" t="str">
            <v>KIT DE PORTA DE MADEIRA PARA VERNIZ, SEMI-OCA (LEVE OU MÉDIA), PADRÃO POPULAR, 70X210CM, ESPESSURA DE 3,5CM, ITENS INCLUSOS: DOBRADIÇAS, MONTAGEM E INSTALAÇÃO DO BATENTE, SEM FECHADURA - FORNECIMENTO E INSTALAÇÃO. AF_08/2015</v>
          </cell>
          <cell r="C1759" t="str">
            <v>UN</v>
          </cell>
          <cell r="D1759">
            <v>536.99</v>
          </cell>
        </row>
        <row r="1760">
          <cell r="A1760">
            <v>91326</v>
          </cell>
          <cell r="B1760" t="str">
            <v>KIT DE PORTA DE MADEIRA PARA VERNIZ, SEMI-OCA (LEVE OU MÉDIA), PADRÃO POPULAR, 80X210CM, ESPESSURA DE 3,5CM, ITENS INCLUSOS: DOBRADIÇAS, MONTAGEM E INSTALAÇÃO DO BATENTE, SEM FECHADURA - FORNECIMENTO E INSTALAÇÃO. AF_08/2015</v>
          </cell>
          <cell r="C1760" t="str">
            <v>UN</v>
          </cell>
          <cell r="D1760">
            <v>668.74</v>
          </cell>
        </row>
        <row r="1761">
          <cell r="A1761">
            <v>91327</v>
          </cell>
          <cell r="B1761" t="str">
            <v>KIT DE PORTA DE MADEIRA PARA VERNIZ, SEMI-OCA (LEVE OU MÉDIA), PADRÃO POPULAR, 90X210CM, ESPESSURA DE 3,5CM, ITENS INCLUSOS: DOBRADIÇAS, MONTAGEM E INSTALAÇÃO DO BATENTE, SEM FECHADURA - FORNECIMENTO E INSTALAÇÃO. AF_08/2015</v>
          </cell>
          <cell r="C1761" t="str">
            <v>UN</v>
          </cell>
          <cell r="D1761">
            <v>666.13</v>
          </cell>
        </row>
        <row r="1762">
          <cell r="A1762">
            <v>91328</v>
          </cell>
          <cell r="B1762" t="str">
            <v>KIT DE PORTA DE MADEIRA FRISADA, SEMI-OCA (LEVE OU MÉDIA), PADRÃO MÉDIO 60X210CM, ESPESSURA DE 3CM, ITENS INCLUSOS: DOBRADIÇAS, MONTAGEM E INSTALAÇÃO DO BATENTE, SEM FECHADURA - FORNECIMENTO E INSTALAÇÃO. AF_08/2015</v>
          </cell>
          <cell r="C1762" t="str">
            <v>UN</v>
          </cell>
          <cell r="D1762">
            <v>607.15</v>
          </cell>
        </row>
        <row r="1763">
          <cell r="A1763">
            <v>91329</v>
          </cell>
          <cell r="B1763" t="str">
            <v>KIT DE PORTA DE MADEIRA FRISADA, SEMI-OCA (LEVE OU MÉDIA), PADRÃO POPULAR, 60X210CM, ESPESSURA DE 3CM, ITENS INCLUSOS: DOBRADIÇAS, MONTAGEM E INSTALAÇÃO DO BATENTE, SEM FECHADURA - FORNECIMENTO E INSTALAÇÃO. AF_08/2015</v>
          </cell>
          <cell r="C1763" t="str">
            <v>UN</v>
          </cell>
          <cell r="D1763">
            <v>567.64</v>
          </cell>
        </row>
        <row r="1764">
          <cell r="A1764">
            <v>91330</v>
          </cell>
          <cell r="B1764" t="str">
            <v>KIT DE PORTA DE MADEIRA FRISADA, SEMI-OCA (LEVE OU MÉDIA), PADRÃO MÉDIO, 70X210CM, ESPESSURA DE 3CM, ITENS INCLUSOS: DOBRADIÇAS, MONTAGEM E INSTALAÇÃO DO BATENTE, SEM FECHADURA - FORNECIMENTO E INSTALAÇÃO. AF_08/2015</v>
          </cell>
          <cell r="C1764" t="str">
            <v>UN</v>
          </cell>
          <cell r="D1764">
            <v>642.84</v>
          </cell>
        </row>
        <row r="1765">
          <cell r="A1765">
            <v>91331</v>
          </cell>
          <cell r="B1765" t="str">
            <v>KIT DE PORTA DE MADEIRA FRISADA, SEMI-OCA (LEVE OU MÉDIA), PADRÃO POPULAR, 70X210CM, ESPESSURA DE 3CM, ITENS INCLUSOS: DOBRADIÇAS, MONTAGEM E INSTALAÇÃO DO BATENTE, SEM FECHADURA - FORNECIMENTO E INSTALAÇÃO. AF_08/2015</v>
          </cell>
          <cell r="C1765" t="str">
            <v>UN</v>
          </cell>
          <cell r="D1765">
            <v>603.19000000000005</v>
          </cell>
        </row>
        <row r="1766">
          <cell r="A1766">
            <v>91332</v>
          </cell>
          <cell r="B1766" t="str">
            <v>KIT DE PORTA DE MADEIRA FRISADA, SEMI-OCA (LEVE OU MÉDIA), PADRÃO MÉDIO, 80X210CM, ESPESSURA DE 3,5CM, ITENS INCLUSOS: DOBRADIÇAS, MONTAGEM E INSTALAÇÃO DO BATENTE, SEM FECHADURA - FORNECIMENTO E INSTALAÇÃO. AF_08/2015</v>
          </cell>
          <cell r="C1766" t="str">
            <v>UN</v>
          </cell>
          <cell r="D1766">
            <v>710.77</v>
          </cell>
        </row>
        <row r="1767">
          <cell r="A1767">
            <v>91333</v>
          </cell>
          <cell r="B1767" t="str">
            <v>KIT DE PORTA DE MADEIRA FRISADA, SEMI-OCA (LEVE OU MÉDIA), PADRÃO POPULAR, 80X210CM, ESPESSURA DE 3,5CM, ITENS INCLUSOS: DOBRADIÇAS, MONTAGEM E INSTALAÇÃO DO BATENTE, SEM FECHADURA - FORNECIMENTO E INSTALAÇÃO. AF_08/2015</v>
          </cell>
          <cell r="C1767" t="str">
            <v>UN</v>
          </cell>
          <cell r="D1767">
            <v>671</v>
          </cell>
        </row>
        <row r="1768">
          <cell r="A1768">
            <v>91334</v>
          </cell>
          <cell r="B1768" t="str">
            <v>KIT DE PORTA DE MADEIRA TIPO VENEZIANA, PADRÃO MÉDIO, 80X210CM, ESPESSURA DE 3CM, ITENS INCLUSOS: DOBRADIÇAS, MONTAGEM E INSTALAÇÃO DO BATENTE, SEM FECHADURA - FORNECIMENTO E INSTALAÇÃO. AF_08/2015</v>
          </cell>
          <cell r="C1768" t="str">
            <v>UN</v>
          </cell>
          <cell r="D1768">
            <v>950.53</v>
          </cell>
        </row>
        <row r="1769">
          <cell r="A1769">
            <v>91335</v>
          </cell>
          <cell r="B1769" t="str">
            <v>KIT DE PORTA DE MADEIRA TIPO VENEZIANA, PADRÃO POPULAR, 80X210CM, ESPESSURA DE 3CM, ITENS INCLUSOS: DOBRADIÇAS, MONTAGEM E INSTALAÇÃO DO BATENTE, SEM FECHADURA - FORNECIMENTO E INSTALAÇÃO. AF_08/2015</v>
          </cell>
          <cell r="C1769" t="str">
            <v>UN</v>
          </cell>
          <cell r="D1769">
            <v>910.76</v>
          </cell>
        </row>
        <row r="1770">
          <cell r="A1770">
            <v>91336</v>
          </cell>
          <cell r="B1770" t="str">
            <v>KIT DE PORTA DE MADEIRA TIPO MEXICANA, MACIÇA (PESADA OU SUPERPESADA), PADRÃO MÉDIO, 80X210CM, ESPESSURA DE 3CM, ITENS INCLUSOS: DOBRADIÇAS, MONTAGEM E INSTALAÇÃO DO BATENTE, SEM FECHADURA - FORNECIMENTO E INSTALAÇÃO. AF_08/2015</v>
          </cell>
          <cell r="C1770" t="str">
            <v>UN</v>
          </cell>
          <cell r="D1770">
            <v>1192.94</v>
          </cell>
        </row>
        <row r="1771">
          <cell r="A1771">
            <v>91337</v>
          </cell>
          <cell r="B1771" t="str">
            <v>KIT DE PORTA DE MADEIRA TIPO MEXICANA, MACIÇA (PESADA OU SUPERPESADA), PADRÃO POPULAR, 80X210CM, ESPESSURA DE 3CM, ITENS INCLUSOS: DOBRADIÇAS, MONTAGEM E INSTALAÇÃO DO BATENTE, SEM FECHADURA - FORNECIMENTO E INSTALAÇÃO. AF_08/2015</v>
          </cell>
          <cell r="C1771" t="str">
            <v>UN</v>
          </cell>
          <cell r="D1771">
            <v>1153.17</v>
          </cell>
        </row>
        <row r="1772">
          <cell r="A1772" t="str">
            <v>73813/1</v>
          </cell>
          <cell r="B1772" t="str">
            <v>JANELA DE MADEIRA ALMOFADADA 1A, 1,5X1,5M, DE ABRIR, INCLUSO GUARNICOES E DOBRADICAS</v>
          </cell>
          <cell r="C1772" t="str">
            <v>UN</v>
          </cell>
          <cell r="D1772">
            <v>1965.48</v>
          </cell>
        </row>
        <row r="1773">
          <cell r="A1773">
            <v>84844</v>
          </cell>
          <cell r="B1773" t="str">
            <v>JANELA DE MADEIRA TIPO GUILHOTINA, DE ABRIR , INCLUSAS GUARNICOES SEM FERRAGENS</v>
          </cell>
          <cell r="C1773" t="str">
            <v>M2</v>
          </cell>
          <cell r="D1773">
            <v>541.17999999999995</v>
          </cell>
        </row>
        <row r="1774">
          <cell r="A1774">
            <v>84845</v>
          </cell>
          <cell r="B1774" t="str">
            <v>JANELA DE MADEIRA TIPO VENEZIANA. DE ABRIR, INCLUSAS GUARNICOES E FERRAGENS</v>
          </cell>
          <cell r="C1774" t="str">
            <v>M2</v>
          </cell>
          <cell r="D1774">
            <v>848.85</v>
          </cell>
        </row>
        <row r="1775">
          <cell r="A1775">
            <v>84846</v>
          </cell>
          <cell r="B1775" t="str">
            <v>JANELA DE MADEIRA TIPO VENEZIANA/VIDRO, DE ABRIR, INCLUSAS GUARNICOES SEM FERRAGENS</v>
          </cell>
          <cell r="C1775" t="str">
            <v>M2</v>
          </cell>
          <cell r="D1775">
            <v>858.37</v>
          </cell>
        </row>
        <row r="1776">
          <cell r="A1776">
            <v>84847</v>
          </cell>
          <cell r="B1776" t="str">
            <v>JANELA DE MADEIRA ALMOFADADA, DE ABRIR, INCLUSAS GUARNICOES SEM FERRAGENS</v>
          </cell>
          <cell r="C1776" t="str">
            <v>M2</v>
          </cell>
          <cell r="D1776">
            <v>858.37</v>
          </cell>
        </row>
        <row r="1777">
          <cell r="A1777">
            <v>84848</v>
          </cell>
          <cell r="B1777" t="str">
            <v>JANELA DE MADEIRA TIPO VENEZIANA/GUILHOTINA, DE ABRIR, INCLUSAS GUARNICOES SEM FERRAGENS</v>
          </cell>
          <cell r="C1777" t="str">
            <v>M2</v>
          </cell>
          <cell r="D1777">
            <v>672.59</v>
          </cell>
        </row>
        <row r="1778">
          <cell r="A1778" t="str">
            <v>73933/1</v>
          </cell>
          <cell r="B1778" t="str">
            <v>PORTA DE FERRO, DE ABRIR, TIPO GRADE COM CHAPA, 87X210CM, COM GUARNICOES</v>
          </cell>
          <cell r="C1778" t="str">
            <v>M2</v>
          </cell>
          <cell r="D1778">
            <v>497.19</v>
          </cell>
        </row>
        <row r="1779">
          <cell r="A1779" t="str">
            <v>73933/4</v>
          </cell>
          <cell r="B1779" t="str">
            <v>PORTA DE FERRO DE ABRIR TIPO BARRA CHATA, COM REQUADRO E GUARNICAO COMPLETA</v>
          </cell>
          <cell r="C1779" t="str">
            <v>M2</v>
          </cell>
          <cell r="D1779">
            <v>464.73</v>
          </cell>
        </row>
        <row r="1780">
          <cell r="A1780" t="str">
            <v>74073/1</v>
          </cell>
          <cell r="B1780" t="str">
            <v>ALCAPAO EM FERRO 60X60CM, INCLUSO FERRAGENS</v>
          </cell>
          <cell r="C1780" t="str">
            <v>UN</v>
          </cell>
          <cell r="D1780">
            <v>103.86</v>
          </cell>
        </row>
        <row r="1781">
          <cell r="A1781" t="str">
            <v>74073/2</v>
          </cell>
          <cell r="B1781" t="str">
            <v>ALCAPAO EM FERRO 70X70CM, INCLUSO FERRAGENS</v>
          </cell>
          <cell r="C1781" t="str">
            <v>UN</v>
          </cell>
          <cell r="D1781">
            <v>116.78</v>
          </cell>
        </row>
        <row r="1782">
          <cell r="A1782" t="str">
            <v>74136/1</v>
          </cell>
          <cell r="B1782" t="str">
            <v>PORTA DE ACO DE ENROLAR TIPO GRADE, CHAPA 16</v>
          </cell>
          <cell r="C1782" t="str">
            <v>M2</v>
          </cell>
          <cell r="D1782">
            <v>394.38</v>
          </cell>
        </row>
        <row r="1783">
          <cell r="A1783" t="str">
            <v>74136/2</v>
          </cell>
          <cell r="B1783" t="str">
            <v>PORTA DE ACO CHAPA 24, DE ENROLAR, VAZADA TIJOLINHO OU EQUIVALENTE COM RETANGULO OU CIRCULO, ACABAMENTO GALVANIZADO NATURAL</v>
          </cell>
          <cell r="C1783" t="str">
            <v>M2</v>
          </cell>
          <cell r="D1783">
            <v>340.72</v>
          </cell>
        </row>
        <row r="1784">
          <cell r="A1784" t="str">
            <v>74136/3</v>
          </cell>
          <cell r="B1784" t="str">
            <v>PORTA DE ACO CHAPA 24, DE ENROLAR, RAIADA, LARGA COM ACABAMENTO GALVANIZADO NATURAL</v>
          </cell>
          <cell r="C1784" t="str">
            <v>M2</v>
          </cell>
          <cell r="D1784">
            <v>253.03</v>
          </cell>
        </row>
        <row r="1785">
          <cell r="A1785">
            <v>84854</v>
          </cell>
          <cell r="B1785" t="str">
            <v>BATENTE FERRO 1X1/8"</v>
          </cell>
          <cell r="C1785" t="str">
            <v>M</v>
          </cell>
          <cell r="D1785">
            <v>33.380000000000003</v>
          </cell>
        </row>
        <row r="1786">
          <cell r="A1786">
            <v>94559</v>
          </cell>
          <cell r="B1786" t="str">
            <v>JANELA DE AÇO BASCULANTE, FIXAÇÃO COM ARGAMASSA, SEM VIDROS, PADRONIZADA. AF_07/2016</v>
          </cell>
          <cell r="C1786" t="str">
            <v>M2</v>
          </cell>
          <cell r="D1786">
            <v>628.69000000000005</v>
          </cell>
        </row>
        <row r="1787">
          <cell r="A1787">
            <v>94560</v>
          </cell>
          <cell r="B1787" t="str">
            <v>JANELA DE AÇO DE CORRER, 2 FOLHAS, FIXAÇÃO COM ARGAMASSA, COM VIDROS, PADRONIZADA. AF_07/2016</v>
          </cell>
          <cell r="C1787" t="str">
            <v>M2</v>
          </cell>
          <cell r="D1787">
            <v>575.5</v>
          </cell>
        </row>
        <row r="1788">
          <cell r="A1788">
            <v>94562</v>
          </cell>
          <cell r="B1788" t="str">
            <v>JANELA DE AÇO DE CORRER, 4 FOLHAS, FIXAÇÃO COM ARGAMASSA, SEM VIDROS, PADRONIZADA. AF_07/2016</v>
          </cell>
          <cell r="C1788" t="str">
            <v>M2</v>
          </cell>
          <cell r="D1788">
            <v>604.01</v>
          </cell>
        </row>
        <row r="1789">
          <cell r="A1789">
            <v>94563</v>
          </cell>
          <cell r="B1789" t="str">
            <v>JANELA DE AÇO DE CORRER, 6 FOLHAS, FIXAÇÃO COM ARGAMASSA, COM VIDROS, PADRONIZADA. AF_07/2016</v>
          </cell>
          <cell r="C1789" t="str">
            <v>M2</v>
          </cell>
          <cell r="D1789">
            <v>759.65</v>
          </cell>
        </row>
        <row r="1790">
          <cell r="A1790">
            <v>94564</v>
          </cell>
          <cell r="B1790" t="str">
            <v>JANELA DE AÇO BASCULANTE, FIXAÇÃO COM PARAFUSO SOBRE CONTRAMARCO (EXCLUSIVE CONTRAMARCO), SEM VIDROS, PADRONIZADA. AF_07/2016</v>
          </cell>
          <cell r="C1790" t="str">
            <v>M2</v>
          </cell>
          <cell r="D1790">
            <v>574.15</v>
          </cell>
        </row>
        <row r="1791">
          <cell r="A1791">
            <v>94565</v>
          </cell>
          <cell r="B1791" t="str">
            <v>JANELA DE AÇO DE CORRER, 2 FOLHAS, FIXAÇÃO COM PARAFUSO SOBRE CONTRAMARCO (EXCLUSIVE CONTRAMARCO), COM VIDROS, PADRONIZADA. AF_07/2016</v>
          </cell>
          <cell r="C1791" t="str">
            <v>M2</v>
          </cell>
          <cell r="D1791">
            <v>556.89</v>
          </cell>
        </row>
        <row r="1792">
          <cell r="A1792">
            <v>94567</v>
          </cell>
          <cell r="B1792" t="str">
            <v>JANELA DE AÇO DE CORRER, 4 FOLHAS, FIXAÇÃO COM PARAFUSO SOBRE CONTRAMARCO (EXCLUSIVE CONTRAMARCO), SEM VIDROS, PADRONIZADA. AF_07/2016</v>
          </cell>
          <cell r="C1792" t="str">
            <v>M2</v>
          </cell>
          <cell r="D1792">
            <v>579.91999999999996</v>
          </cell>
        </row>
        <row r="1793">
          <cell r="A1793">
            <v>94568</v>
          </cell>
          <cell r="B1793" t="str">
            <v>JANELA DE AÇO DE CORRER, 6 FOLHAS, FIXAÇÃO COM PARAFUSO SOBRE CONTRAMARCO (EXCLUSIVE CONTRAMARCO), COM VIDROS, PADRONIZADA. AF_07/2016</v>
          </cell>
          <cell r="C1793" t="str">
            <v>M2</v>
          </cell>
          <cell r="D1793">
            <v>731.53</v>
          </cell>
        </row>
        <row r="1794">
          <cell r="A1794">
            <v>99837</v>
          </cell>
          <cell r="B1794" t="str">
            <v>GUARDA-CORPO DE AÇO GALVANIZADO DE 1,10M, MONTANTES TUBULARES DE 1.1/4" ESPAÇADOS DE 1,20M, TRAVESSA SUPERIOR DE 1.1/2", GRADIL FORMADO POR TUBOS HORIZONTAIS DE 1" E VERTICAIS DE 3/4", FIXADO COM CHUMBADOR MECÂNICO. AF_04/2019_P</v>
          </cell>
          <cell r="C1794" t="str">
            <v>M</v>
          </cell>
          <cell r="D1794">
            <v>373.17</v>
          </cell>
        </row>
        <row r="1795">
          <cell r="A1795">
            <v>99839</v>
          </cell>
          <cell r="B1795" t="str">
            <v>GUARDA-CORPO DE AÇO GALVANIZADO DE 1,10M DE ALTURA, MONTANTES TUBULARES DE 1.1/2 ESPAÇADOS DE 1,20M, TRAVESSA SUPERIOR DE 2, GRADIL FORMADO POR BARRAS CHATAS EM FERRO DE 32X4,8MM, FIXADO COM CHUMBADOR MECÂNICO. AF_04/2019_P</v>
          </cell>
          <cell r="C1795" t="str">
            <v>M</v>
          </cell>
          <cell r="D1795">
            <v>324.14</v>
          </cell>
        </row>
        <row r="1796">
          <cell r="A1796">
            <v>99841</v>
          </cell>
          <cell r="B1796" t="str">
            <v>GUARDA-CORPO PANORÂMICO COM PERFIS DE ALUMÍNIO E VIDRO LAMINADO 8 MM, FIXADO COM CHUMBADOR MECÂNICO. AF_04/2019_P</v>
          </cell>
          <cell r="C1796" t="str">
            <v>M</v>
          </cell>
          <cell r="D1796">
            <v>758.74</v>
          </cell>
        </row>
        <row r="1797">
          <cell r="A1797">
            <v>99855</v>
          </cell>
          <cell r="B1797" t="str">
            <v>CORRIMÃO SIMPLES, DIÂMETRO EXTERNO = 1 1/2", EM AÇO GALVANIZADO. AF_04/2019_P</v>
          </cell>
          <cell r="C1797" t="str">
            <v>M</v>
          </cell>
          <cell r="D1797">
            <v>67.44</v>
          </cell>
        </row>
        <row r="1798">
          <cell r="A1798">
            <v>99857</v>
          </cell>
          <cell r="B1798" t="str">
            <v>CORRIMÃO SIMPLES, DIÂMETRO EXTERNO = 1 1/2", EM ALUMÍNIO. AF_04/2019_P</v>
          </cell>
          <cell r="C1798" t="str">
            <v>M</v>
          </cell>
          <cell r="D1798">
            <v>63.37</v>
          </cell>
        </row>
        <row r="1799">
          <cell r="A1799">
            <v>99861</v>
          </cell>
          <cell r="B1799" t="str">
            <v>GRADIL EM FERRO FIXADO EM VÃOS DE JANELAS, FORMADO POR BARRAS CHATAS DE 25X4,8 MM. AF_04/2019</v>
          </cell>
          <cell r="C1799" t="str">
            <v>M2</v>
          </cell>
          <cell r="D1799">
            <v>418.69</v>
          </cell>
        </row>
        <row r="1800">
          <cell r="A1800">
            <v>99862</v>
          </cell>
          <cell r="B1800" t="str">
            <v>GRADIL EM ALUMÍNIO FIXADO EM VÃOS DE JANELAS, FORMADO POR TUBOS DE 3/4". AF_04/2019</v>
          </cell>
          <cell r="C1800" t="str">
            <v>M2</v>
          </cell>
          <cell r="D1800">
            <v>420.45</v>
          </cell>
        </row>
        <row r="1801">
          <cell r="A1801">
            <v>73665</v>
          </cell>
          <cell r="B1801" t="str">
            <v>ESCADA TIPO MARINHEIRO EM ACO CA-50 9,52MM INCLUSO PINTURA COM FUNDO ANTICORROSIVO TIPO ZARCAO</v>
          </cell>
          <cell r="C1801" t="str">
            <v>M</v>
          </cell>
          <cell r="D1801">
            <v>63.52</v>
          </cell>
        </row>
        <row r="1802">
          <cell r="A1802" t="str">
            <v>74194/1</v>
          </cell>
          <cell r="B1802" t="str">
            <v>ESCADA TIPO MARINHEIRO EM TUBO ACO GALVANIZADO 1 1/2" 5 DEGRAUS</v>
          </cell>
          <cell r="C1802" t="str">
            <v>M</v>
          </cell>
          <cell r="D1802">
            <v>243.24</v>
          </cell>
        </row>
        <row r="1803">
          <cell r="A1803">
            <v>68050</v>
          </cell>
          <cell r="B1803" t="str">
            <v>PORTA DE CORRER EM ALUMINIO, COM DUAS FOLHAS PARA VIDRO, INCLUSO VIDRO LISO INCOLOR, FECHADURA E PUXADOR, SEM GUARNICAO/ALIZAR/VISTA</v>
          </cell>
          <cell r="C1803" t="str">
            <v>M2</v>
          </cell>
          <cell r="D1803">
            <v>679.1</v>
          </cell>
        </row>
        <row r="1804">
          <cell r="A1804">
            <v>90838</v>
          </cell>
          <cell r="B1804" t="str">
            <v>PORTA CORTA-FOGO 90X210X4CM - FORNECIMENTO E INSTALAÇÃO. AF_08/2015</v>
          </cell>
          <cell r="C1804" t="str">
            <v>UN</v>
          </cell>
          <cell r="D1804">
            <v>945.62</v>
          </cell>
        </row>
        <row r="1805">
          <cell r="A1805">
            <v>91338</v>
          </cell>
          <cell r="B1805" t="str">
            <v>PORTA DE ALUMÍNIO DE ABRIR COM LAMBRI, COM GUARNIÇÃO, FIXAÇÃO COM PARAFUSOS - FORNECIMENTO E INSTALAÇÃO. AF_08/2015</v>
          </cell>
          <cell r="C1805" t="str">
            <v>M2</v>
          </cell>
          <cell r="D1805">
            <v>1120.23</v>
          </cell>
        </row>
        <row r="1806">
          <cell r="A1806">
            <v>91341</v>
          </cell>
          <cell r="B1806" t="str">
            <v>PORTA EM ALUMÍNIO DE ABRIR TIPO VENEZIANA COM GUARNIÇÃO, FIXAÇÃO COM PARAFUSOS - FORNECIMENTO E INSTALAÇÃO. AF_08/2015</v>
          </cell>
          <cell r="C1806" t="str">
            <v>M2</v>
          </cell>
          <cell r="D1806">
            <v>817.64</v>
          </cell>
        </row>
        <row r="1807">
          <cell r="A1807">
            <v>94805</v>
          </cell>
          <cell r="B1807" t="str">
            <v>PORTA DE ALUMÍNIO DE ABRIR PARA VIDRO SEM GUARNIÇÃO, 87X210CM, FIXAÇÃO COM PARAFUSOS, INCLUSIVE VIDROS - FORNECIMENTO E INSTALAÇÃO. AF_08/2015</v>
          </cell>
          <cell r="C1807" t="str">
            <v>UN</v>
          </cell>
          <cell r="D1807">
            <v>1281.79</v>
          </cell>
        </row>
        <row r="1808">
          <cell r="A1808">
            <v>94806</v>
          </cell>
          <cell r="B1808" t="str">
            <v>PORTA EM AÇO DE ABRIR PARA VIDRO SEM GUARNIÇÃO, 87X210CM, FIXAÇÃO COM PARAFUSOS, EXCLUSIVE VIDROS - FORNECIMENTO E INSTALAÇÃO. AF_08/2015</v>
          </cell>
          <cell r="C1808" t="str">
            <v>UN</v>
          </cell>
          <cell r="D1808">
            <v>447.18</v>
          </cell>
        </row>
        <row r="1809">
          <cell r="A1809">
            <v>94807</v>
          </cell>
          <cell r="B1809" t="str">
            <v>PORTA EM AÇO DE ABRIR TIPO VENEZIANA SEM GUARNIÇÃO, 87X210CM, FIXAÇÃO COM PARAFUSOS - FORNECIMENTO E INSTALAÇÃO. AF_08/2015</v>
          </cell>
          <cell r="C1809" t="str">
            <v>UN</v>
          </cell>
          <cell r="D1809">
            <v>536.85</v>
          </cell>
        </row>
        <row r="1810">
          <cell r="A1810" t="str">
            <v>73736/1</v>
          </cell>
          <cell r="B1810" t="str">
            <v>DOBRADICA TIPO VAI E VEM EM LATAO POLIDO 3"</v>
          </cell>
          <cell r="C1810" t="str">
            <v>UN</v>
          </cell>
          <cell r="D1810">
            <v>91.19</v>
          </cell>
        </row>
        <row r="1811">
          <cell r="A1811">
            <v>84885</v>
          </cell>
          <cell r="B1811" t="str">
            <v>JOGO DE FERRAGENS CROMADAS PARA PORTA DE VIDRO TEMPERADO, UMA FOLHA COMPOSTO DE DOBRADICAS SUPERIOR E INFERIOR, TRINCO, FECHADURA, CONTRA FECHADURA COM CAPUCHINHO SEM MOLA E PUXADOR</v>
          </cell>
          <cell r="C1811" t="str">
            <v>UN</v>
          </cell>
          <cell r="D1811">
            <v>664.2</v>
          </cell>
        </row>
        <row r="1812">
          <cell r="A1812">
            <v>84886</v>
          </cell>
          <cell r="B1812" t="str">
            <v>MOLA HIDRAULICA DE PISO PARA PORTA DE VIDRO TEMPERADO</v>
          </cell>
          <cell r="C1812" t="str">
            <v>UN</v>
          </cell>
          <cell r="D1812">
            <v>1197.47</v>
          </cell>
        </row>
        <row r="1813">
          <cell r="A1813">
            <v>84889</v>
          </cell>
          <cell r="B1813" t="str">
            <v>PUXADOR CENTRAL PARA ESQUADRIA DE ALUMINIO</v>
          </cell>
          <cell r="C1813" t="str">
            <v>UN</v>
          </cell>
          <cell r="D1813">
            <v>18.98</v>
          </cell>
        </row>
        <row r="1814">
          <cell r="A1814">
            <v>84891</v>
          </cell>
          <cell r="B1814" t="str">
            <v>CREMONA EM LATAO CROMADO OU POLIDO, COMPLETA, COM VARA H=1,50M</v>
          </cell>
          <cell r="C1814" t="str">
            <v>UN</v>
          </cell>
          <cell r="D1814">
            <v>196.32</v>
          </cell>
        </row>
        <row r="1815">
          <cell r="A1815" t="str">
            <v>74046/2</v>
          </cell>
          <cell r="B1815" t="str">
            <v>TARJETA TIPO LIVRE/OCUPADO PARA PORTA DE BANHEIRO</v>
          </cell>
          <cell r="C1815" t="str">
            <v>UN</v>
          </cell>
          <cell r="D1815">
            <v>35.729999999999997</v>
          </cell>
        </row>
        <row r="1816">
          <cell r="A1816" t="str">
            <v>74047/2</v>
          </cell>
          <cell r="B1816" t="str">
            <v>DOBRADICA EM ACO/FERRO, 3" X 21/2", E=1,9 A 2 MM, SEM ANEL, CROMADO OU ZINCADO, TAMPA BOLA, COM PARAFUSOS</v>
          </cell>
          <cell r="C1816" t="str">
            <v>UN</v>
          </cell>
          <cell r="D1816">
            <v>26.56</v>
          </cell>
        </row>
        <row r="1817">
          <cell r="A1817" t="str">
            <v>74084/1</v>
          </cell>
          <cell r="B1817" t="str">
            <v>PORTA CADEADO ZINCADO OXIDADO PRETO COM CADEADO DE ACO INOX, LARGURA DE *50* MM</v>
          </cell>
          <cell r="C1817" t="str">
            <v>UN</v>
          </cell>
          <cell r="D1817">
            <v>154.01</v>
          </cell>
        </row>
        <row r="1818">
          <cell r="A1818">
            <v>84950</v>
          </cell>
          <cell r="B1818" t="str">
            <v>FECHO EMBUTIR TIPO UNHA 40CM C/COLOCACAO</v>
          </cell>
          <cell r="C1818" t="str">
            <v>UN</v>
          </cell>
          <cell r="D1818">
            <v>50.54</v>
          </cell>
        </row>
        <row r="1819">
          <cell r="A1819">
            <v>84952</v>
          </cell>
          <cell r="B1819" t="str">
            <v>FECHO EMBUTIR TIPO UNHA 22CM C/COLOCACAO</v>
          </cell>
          <cell r="C1819" t="str">
            <v>UN</v>
          </cell>
          <cell r="D1819">
            <v>38.159999999999997</v>
          </cell>
        </row>
        <row r="1820">
          <cell r="A1820">
            <v>72116</v>
          </cell>
          <cell r="B1820" t="str">
            <v>VIDRO LISO COMUM TRANSPARENTE, ESPESSURA 3MM</v>
          </cell>
          <cell r="C1820" t="str">
            <v>M2</v>
          </cell>
          <cell r="D1820">
            <v>102.21</v>
          </cell>
        </row>
        <row r="1821">
          <cell r="A1821">
            <v>72117</v>
          </cell>
          <cell r="B1821" t="str">
            <v>VIDRO LISO COMUM TRANSPARENTE, ESPESSURA 4MM</v>
          </cell>
          <cell r="C1821" t="str">
            <v>M2</v>
          </cell>
          <cell r="D1821">
            <v>130.65</v>
          </cell>
        </row>
        <row r="1822">
          <cell r="A1822">
            <v>72118</v>
          </cell>
          <cell r="B1822" t="str">
            <v>VIDRO TEMPERADO INCOLOR, ESPESSURA 6MM, FORNECIMENTO E INSTALACAO, INCLUSIVE MASSA PARA VEDACAO</v>
          </cell>
          <cell r="C1822" t="str">
            <v>M2</v>
          </cell>
          <cell r="D1822">
            <v>158.72999999999999</v>
          </cell>
        </row>
        <row r="1823">
          <cell r="A1823">
            <v>72119</v>
          </cell>
          <cell r="B1823" t="str">
            <v>VIDRO TEMPERADO INCOLOR, ESPESSURA 8MM, FORNECIMENTO E INSTALACAO, INCLUSIVE MASSA PARA VEDACAO</v>
          </cell>
          <cell r="C1823" t="str">
            <v>M2</v>
          </cell>
          <cell r="D1823">
            <v>198.72</v>
          </cell>
        </row>
        <row r="1824">
          <cell r="A1824">
            <v>72120</v>
          </cell>
          <cell r="B1824" t="str">
            <v>VIDRO TEMPERADO INCOLOR, ESPESSURA 10MM, FORNECIMENTO E INSTALACAO, INCLUSIVE MASSA PARA VEDACAO</v>
          </cell>
          <cell r="C1824" t="str">
            <v>M2</v>
          </cell>
          <cell r="D1824">
            <v>249.69</v>
          </cell>
        </row>
        <row r="1825">
          <cell r="A1825">
            <v>72122</v>
          </cell>
          <cell r="B1825" t="str">
            <v>VIDRO FANTASIA TIPO CANELADO, ESPESSURA 4MM</v>
          </cell>
          <cell r="C1825" t="str">
            <v>M2</v>
          </cell>
          <cell r="D1825">
            <v>112.66</v>
          </cell>
        </row>
        <row r="1826">
          <cell r="A1826">
            <v>72123</v>
          </cell>
          <cell r="B1826" t="str">
            <v>VIDRO ARAMADO, ESPESSURA 7MM</v>
          </cell>
          <cell r="C1826" t="str">
            <v>M2</v>
          </cell>
          <cell r="D1826">
            <v>294.66000000000003</v>
          </cell>
        </row>
        <row r="1827">
          <cell r="A1827" t="str">
            <v>73838/1</v>
          </cell>
          <cell r="B1827" t="str">
            <v>PORTA DE VIDRO TEMPERADO, 0,9X2,10M, ESPESSURA 10MM, INCLUSIVE ACESSORIOS</v>
          </cell>
          <cell r="C1827" t="str">
            <v>UN</v>
          </cell>
          <cell r="D1827">
            <v>2011.29</v>
          </cell>
        </row>
        <row r="1828">
          <cell r="A1828" t="str">
            <v>74125/1</v>
          </cell>
          <cell r="B1828" t="str">
            <v>ESPELHO CRISTAL ESPESSURA 4MM, COM MOLDURA DE MADEIRA</v>
          </cell>
          <cell r="C1828" t="str">
            <v>M2</v>
          </cell>
          <cell r="D1828">
            <v>388.96</v>
          </cell>
        </row>
        <row r="1829">
          <cell r="A1829" t="str">
            <v>74125/2</v>
          </cell>
          <cell r="B1829" t="str">
            <v>ESPELHO CRISTAL ESPESSURA 4MM, COM MOLDURA EM ALUMINIO E COMPENSADO 6MM PLASTIFICADO COLADO</v>
          </cell>
          <cell r="C1829" t="str">
            <v>M2</v>
          </cell>
          <cell r="D1829">
            <v>424.28</v>
          </cell>
        </row>
        <row r="1830">
          <cell r="A1830">
            <v>84957</v>
          </cell>
          <cell r="B1830" t="str">
            <v>VIDRO LISO COMUM TRANSPARENTE, ESPESSURA 5MM</v>
          </cell>
          <cell r="C1830" t="str">
            <v>M2</v>
          </cell>
          <cell r="D1830">
            <v>157.32</v>
          </cell>
        </row>
        <row r="1831">
          <cell r="A1831">
            <v>84959</v>
          </cell>
          <cell r="B1831" t="str">
            <v>VIDRO LISO COMUM TRANSPARENTE, ESPESSURA 6MM</v>
          </cell>
          <cell r="C1831" t="str">
            <v>M2</v>
          </cell>
          <cell r="D1831">
            <v>183.32</v>
          </cell>
        </row>
        <row r="1832">
          <cell r="A1832">
            <v>85001</v>
          </cell>
          <cell r="B1832" t="str">
            <v>VIDRO LISO FUME, ESPESSURA 4MM</v>
          </cell>
          <cell r="C1832" t="str">
            <v>M2</v>
          </cell>
          <cell r="D1832">
            <v>174.65</v>
          </cell>
        </row>
        <row r="1833">
          <cell r="A1833">
            <v>85002</v>
          </cell>
          <cell r="B1833" t="str">
            <v>VIDRO LISO FUME, ESPESSURA 6MM</v>
          </cell>
          <cell r="C1833" t="str">
            <v>M2</v>
          </cell>
          <cell r="D1833">
            <v>243.99</v>
          </cell>
        </row>
        <row r="1834">
          <cell r="A1834">
            <v>85004</v>
          </cell>
          <cell r="B1834" t="str">
            <v>VIDRO FANTASIA MARTELADO 4MM</v>
          </cell>
          <cell r="C1834" t="str">
            <v>M2</v>
          </cell>
          <cell r="D1834">
            <v>122.65</v>
          </cell>
        </row>
        <row r="1835">
          <cell r="A1835">
            <v>85005</v>
          </cell>
          <cell r="B1835" t="str">
            <v>ESPELHO CRISTAL, ESPESSURA 4MM, COM PARAFUSOS DE FIXACAO, SEM MOLDURA</v>
          </cell>
          <cell r="C1835" t="str">
            <v>M2</v>
          </cell>
          <cell r="D1835">
            <v>352.95</v>
          </cell>
        </row>
        <row r="1836">
          <cell r="A1836">
            <v>68054</v>
          </cell>
          <cell r="B1836" t="str">
            <v>PORTAO DE FERRO EM CHAPA GALVANIZADA PLANA 14 GSG</v>
          </cell>
          <cell r="C1836" t="str">
            <v>M2</v>
          </cell>
          <cell r="D1836">
            <v>256.16000000000003</v>
          </cell>
        </row>
        <row r="1837">
          <cell r="A1837" t="str">
            <v>74100/1</v>
          </cell>
          <cell r="B1837" t="str">
            <v>PORTAO DE FERRO COM VARA 1/2", COM REQUADRO</v>
          </cell>
          <cell r="C1837" t="str">
            <v>M2</v>
          </cell>
          <cell r="D1837">
            <v>419.38</v>
          </cell>
        </row>
        <row r="1838">
          <cell r="A1838" t="str">
            <v>74238/2</v>
          </cell>
          <cell r="B1838" t="str">
            <v>PORTAO EM TELA ARAME GALVANIZADO N.12 MALHA 2" E MOLDURA EM TUBOS DE ACO COM DUAS FOLHAS DE ABRIR, INCLUSO FERRAGENS</v>
          </cell>
          <cell r="C1838" t="str">
            <v>M2</v>
          </cell>
          <cell r="D1838">
            <v>656.07</v>
          </cell>
        </row>
        <row r="1839">
          <cell r="A1839">
            <v>85188</v>
          </cell>
          <cell r="B1839" t="str">
            <v>PORTAO EM TUBO DE ACO GALVANIZADO DIN 2440/NBR 5580, PAINEL UNICO, DIMENSOES 1,0X1,6M, INCLUSIVE CADEADO</v>
          </cell>
          <cell r="C1839" t="str">
            <v>UN</v>
          </cell>
          <cell r="D1839">
            <v>626.1</v>
          </cell>
        </row>
        <row r="1840">
          <cell r="A1840">
            <v>85189</v>
          </cell>
          <cell r="B1840" t="str">
            <v>PORTAO EM TUBO DE ACO GALVANIZADO DIN 2440/NBR 5580, PAINEL UNICO, DIMENSOES 4,0X1,2M, INCLUSIVE CADEADO</v>
          </cell>
          <cell r="C1840" t="str">
            <v>UN</v>
          </cell>
          <cell r="D1840">
            <v>1242.97</v>
          </cell>
        </row>
        <row r="1841">
          <cell r="A1841">
            <v>85010</v>
          </cell>
          <cell r="B1841" t="str">
            <v>CAIXILHO FIXO, DE ALUMINIO, PARA VIDRO</v>
          </cell>
          <cell r="C1841" t="str">
            <v>M2</v>
          </cell>
          <cell r="D1841">
            <v>536.25</v>
          </cell>
        </row>
        <row r="1842">
          <cell r="A1842">
            <v>94569</v>
          </cell>
          <cell r="B1842" t="str">
            <v>JANELA DE ALUMÍNIO MAXIM-AR, FIXAÇÃO COM PARAFUSO SOBRE CONTRAMARCO (EXCLUSIVE CONTRAMARCO), COM VIDROS, PADRONIZADA. AF_07/2016</v>
          </cell>
          <cell r="C1842" t="str">
            <v>M2</v>
          </cell>
          <cell r="D1842">
            <v>728.32</v>
          </cell>
        </row>
        <row r="1843">
          <cell r="A1843">
            <v>94570</v>
          </cell>
          <cell r="B1843" t="str">
            <v>JANELA DE ALUMÍNIO DE CORRER, 2 FOLHAS, FIXAÇÃO COM PARAFUSO SOBRE CONTRAMARCO (EXCLUSIVE CONTRAMARCO), COM VIDROS PADRONIZADA. AF_07/2016</v>
          </cell>
          <cell r="C1843" t="str">
            <v>M2</v>
          </cell>
          <cell r="D1843">
            <v>470.73</v>
          </cell>
        </row>
        <row r="1844">
          <cell r="A1844">
            <v>94572</v>
          </cell>
          <cell r="B1844" t="str">
            <v>JANELA DE ALUMÍNIO DE CORRER, 3 FOLHAS, FIXAÇÃO COM PARAFUSO SOBRE CONTRAMARCO (EXCLUSIVE CONTRAMARCO), COM VIDROS, PADRONIZADA. AF_07/2016</v>
          </cell>
          <cell r="C1844" t="str">
            <v>M2</v>
          </cell>
          <cell r="D1844">
            <v>713.66</v>
          </cell>
        </row>
        <row r="1845">
          <cell r="A1845">
            <v>94573</v>
          </cell>
          <cell r="B1845" t="str">
            <v>JANELA DE ALUMÍNIO DE CORRER, 4 FOLHAS, FIXAÇÃO COM PARAFUSO SOBRE CONTRAMARCO (EXCLUSIVE CONTRAMARCO), COM VIDROS, PADRONIZADA. AF_07/2016</v>
          </cell>
          <cell r="C1845" t="str">
            <v>M2</v>
          </cell>
          <cell r="D1845">
            <v>540.37</v>
          </cell>
        </row>
        <row r="1846">
          <cell r="A1846">
            <v>94574</v>
          </cell>
          <cell r="B1846" t="str">
            <v>JANELA DE ALUMÍNIO DE CORRER, 6 FOLHAS, FIXAÇÃO COM PARAFUSO SOBRE CONTRAMARCO (EXCLUSIVE CONTRAMARCO), COM VIDROS, PADRONIZADA. AF_07/2016</v>
          </cell>
          <cell r="C1846" t="str">
            <v>M2</v>
          </cell>
          <cell r="D1846">
            <v>803.38</v>
          </cell>
        </row>
        <row r="1847">
          <cell r="A1847">
            <v>94575</v>
          </cell>
          <cell r="B1847" t="str">
            <v>JANELA DE ALUMÍNIO MAXIM-AR, FIXAÇÃO COM PARAFUSO, VEDAÇÃO COM ESPUMA EXPANSIVA PU, COM VIDROS, PADRONIZADA. AF_07/2016</v>
          </cell>
          <cell r="C1847" t="str">
            <v>M2</v>
          </cell>
          <cell r="D1847">
            <v>766.67</v>
          </cell>
        </row>
        <row r="1848">
          <cell r="A1848">
            <v>94576</v>
          </cell>
          <cell r="B1848" t="str">
            <v>JANELA DE ALUMÍNIO DE CORRER, 2 FOLHAS, FIXAÇÃO COM PARAFUSO, VEDAÇÃO COM ESPUMA EXPANSIVA PU, COM VIDROS, PADRONIZADA. AF_07/2016</v>
          </cell>
          <cell r="C1848" t="str">
            <v>M2</v>
          </cell>
          <cell r="D1848">
            <v>481.08</v>
          </cell>
        </row>
        <row r="1849">
          <cell r="A1849">
            <v>94578</v>
          </cell>
          <cell r="B1849" t="str">
            <v>JANELA DE ALUMÍNIO DE CORRER, 3 FOLHAS, FIXAÇÃO COM PARAFUSO, VEDAÇÃO COM ESPUMA EXPANSIVA PU, COM VIDROS, PADRONIZADA. AF_07/2016</v>
          </cell>
          <cell r="C1849" t="str">
            <v>M2</v>
          </cell>
          <cell r="D1849">
            <v>724.21</v>
          </cell>
        </row>
        <row r="1850">
          <cell r="A1850">
            <v>94579</v>
          </cell>
          <cell r="B1850" t="str">
            <v>JANELA DE ALUMÍNIO DE CORRER, 4 FOLHAS, FIXAÇÃO COM PARAFUSO, VEDAÇÃO COM ESPUMA EXPANSIVA PU, COM VIDROS, PADRONIZADA. AF_07/2016</v>
          </cell>
          <cell r="C1850" t="str">
            <v>M2</v>
          </cell>
          <cell r="D1850">
            <v>551.92999999999995</v>
          </cell>
        </row>
        <row r="1851">
          <cell r="A1851">
            <v>94580</v>
          </cell>
          <cell r="B1851" t="str">
            <v>JANELA DE ALUMÍNIO DE CORRER, 6 FOLHAS, FIXAÇÃO COM PARAFUSO, VEDAÇÃO COM ESPUMA EXPANSIVA PU, COM VIDROS, PADRONIZADA. AF_07/2016</v>
          </cell>
          <cell r="C1851" t="str">
            <v>M2</v>
          </cell>
          <cell r="D1851">
            <v>814.53</v>
          </cell>
        </row>
        <row r="1852">
          <cell r="A1852">
            <v>94581</v>
          </cell>
          <cell r="B1852" t="str">
            <v>JANELA DE ALUMÍNIO MAXIM-AR, FIXAÇÃO COM ARGAMASSA, COM VIDROS, PADRONIZADA. AF_07/2016</v>
          </cell>
          <cell r="C1852" t="str">
            <v>M2</v>
          </cell>
          <cell r="D1852">
            <v>769.35</v>
          </cell>
        </row>
        <row r="1853">
          <cell r="A1853">
            <v>94582</v>
          </cell>
          <cell r="B1853" t="str">
            <v>JANELA DE ALUMÍNIO DE CORRER, 2 FOLHAS, FIXAÇÃO COM ARGAMASSA, COM VIDROS, PADRONIZADA. AF_07/2016</v>
          </cell>
          <cell r="C1853" t="str">
            <v>M2</v>
          </cell>
          <cell r="D1853">
            <v>483.08</v>
          </cell>
        </row>
        <row r="1854">
          <cell r="A1854">
            <v>94584</v>
          </cell>
          <cell r="B1854" t="str">
            <v>JANELA DE ALUMÍNIO DE CORRER, 3 FOLHAS, FIXAÇÃO COM ARGAMASSA, COM VIDROS, PADRONIZADA. AF_07/2016</v>
          </cell>
          <cell r="C1854" t="str">
            <v>M2</v>
          </cell>
          <cell r="D1854">
            <v>732.51</v>
          </cell>
        </row>
        <row r="1855">
          <cell r="A1855">
            <v>94585</v>
          </cell>
          <cell r="B1855" t="str">
            <v>JANELA DE ALUMÍNIO DE CORRER, 4 FOLHAS, FIXAÇÃO COM ARGAMASSA, COM VIDROS, PADRONIZADA. AF_07/2016</v>
          </cell>
          <cell r="C1855" t="str">
            <v>M2</v>
          </cell>
          <cell r="D1855">
            <v>552.88</v>
          </cell>
        </row>
        <row r="1856">
          <cell r="A1856">
            <v>94586</v>
          </cell>
          <cell r="B1856" t="str">
            <v>JANELA DE ALUMÍNIO 6 FOLHAS, FIXAÇÃO COM ARGAMASSA, COM VIDROS, PADRONIZADA. AF_07/2016</v>
          </cell>
          <cell r="C1856" t="str">
            <v>M2</v>
          </cell>
          <cell r="D1856">
            <v>823.6</v>
          </cell>
        </row>
        <row r="1857">
          <cell r="A1857" t="str">
            <v>73908/1</v>
          </cell>
          <cell r="B1857" t="str">
            <v>CANTONEIRA DE ALUMINIO 2"X2", PARA PROTECAO DE QUINA DE PAREDE</v>
          </cell>
          <cell r="C1857" t="str">
            <v>M</v>
          </cell>
          <cell r="D1857">
            <v>42.43</v>
          </cell>
        </row>
        <row r="1858">
          <cell r="A1858" t="str">
            <v>73908/2</v>
          </cell>
          <cell r="B1858" t="str">
            <v>CANTONEIRA DE ALUMINIO 1"X1, PARA PROTECAO DE QUINA DE PAREDE</v>
          </cell>
          <cell r="C1858" t="str">
            <v>M</v>
          </cell>
          <cell r="D1858">
            <v>32.71</v>
          </cell>
        </row>
        <row r="1859">
          <cell r="A1859">
            <v>85015</v>
          </cell>
          <cell r="B1859" t="str">
            <v>CANTONEIRA DE MADEIRA 3,0X3,0X1,0CM</v>
          </cell>
          <cell r="C1859" t="str">
            <v>M</v>
          </cell>
          <cell r="D1859">
            <v>21.85</v>
          </cell>
        </row>
        <row r="1860">
          <cell r="A1860">
            <v>85016</v>
          </cell>
          <cell r="B1860" t="str">
            <v>CANTONEIRA DE MADEIRA COM LAMINADO MELAMINICO FOSCO 3,0X3,0X1,0CM</v>
          </cell>
          <cell r="C1860" t="str">
            <v>M</v>
          </cell>
          <cell r="D1860">
            <v>27.45</v>
          </cell>
        </row>
        <row r="1861">
          <cell r="A1861">
            <v>97751</v>
          </cell>
          <cell r="B1861" t="str">
            <v>TUBULÃO A CÉU ABERTO, DIÂMETRO DO FUSTE DE 70 CM, PROFUNDIDADE MENOR OU IGUAL A 5 M, ESCAVAÇÃO MANUAL, SEM ALARGAMENTO DE BASE, CONCRETO FEITO EM OBRA E LANÇADO COM JERICA. AF_01/2018</v>
          </cell>
          <cell r="C1861" t="str">
            <v>M3</v>
          </cell>
          <cell r="D1861">
            <v>595.32000000000005</v>
          </cell>
        </row>
        <row r="1862">
          <cell r="A1862">
            <v>97752</v>
          </cell>
          <cell r="B1862" t="str">
            <v>TUBULÃO A CÉU ABERTO, DIÂMETRO DO FUSTE DE 80 CM, PROFUNDIDADE MENOR OU IGUAL A 5 M, ESCAVAÇÃO MANUAL, SEM ALARGAMENTO DE BASE, CONCRETO FEITO EM OBRA E LANÇADO COM JERICA. AF_01/2018</v>
          </cell>
          <cell r="C1862" t="str">
            <v>M3</v>
          </cell>
          <cell r="D1862">
            <v>566.04999999999995</v>
          </cell>
        </row>
        <row r="1863">
          <cell r="A1863">
            <v>97753</v>
          </cell>
          <cell r="B1863" t="str">
            <v>TUBULÃO A CÉU ABERTO, DIÂMETRO DO FUSTE DE 100 CM, PROFUNDIDADE MENOR OU IGUAL A 5 M, ESCAVAÇÃO MANUAL, SEM ALARGAMENTO DE BASE, CONCRETO FEITO EM OBRA E LANÇADO COM JERICA. AF_01/2018</v>
          </cell>
          <cell r="C1863" t="str">
            <v>M3</v>
          </cell>
          <cell r="D1863">
            <v>525.23</v>
          </cell>
        </row>
        <row r="1864">
          <cell r="A1864">
            <v>97754</v>
          </cell>
          <cell r="B1864" t="str">
            <v>TUBULÃO A CÉU ABERTO, DIÂMETRO DO FUSTE DE 120 CM, PROFUNDIDADE MENOR OU IGUAL A 5 M, ESCAVAÇÃO MANUAL, SEM ALARGAMENTO DE BASE, CONCRETO FEITO EM OBRA E LANÇADO COM JERICA. AF_01/2018</v>
          </cell>
          <cell r="C1864" t="str">
            <v>M3</v>
          </cell>
          <cell r="D1864">
            <v>498.48</v>
          </cell>
        </row>
        <row r="1865">
          <cell r="A1865">
            <v>97755</v>
          </cell>
          <cell r="B1865" t="str">
            <v>TUBULÃO A CÉU ABERTO, DIÂMETRO DO FUSTE DE 70 CM, PROFUNDIDADE MAIOR QUE 5 M E MENOR OU IGUAL A 10 M, ESCAVAÇÃO MANUAL, SEM ALARGAMENTO DE BASE, CONCRETO FEITO EM OBRA E LANÇADO COM JERICA. AF_01/2018</v>
          </cell>
          <cell r="C1865" t="str">
            <v>M3</v>
          </cell>
          <cell r="D1865">
            <v>576.47</v>
          </cell>
        </row>
        <row r="1866">
          <cell r="A1866">
            <v>97756</v>
          </cell>
          <cell r="B1866" t="str">
            <v>TUBULÃO A CÉU ABERTO, DIÂMETRO DO FUSTE DE 80 CM, PROFUNDIDADE MAIOR QUE 5 M E MENOR OU IGUAL A 10 M, ESCAVAÇÃO MANUAL, SEM ALARGAMENTO DE BASE, CONCRETO FEITO EM OBRA E LANÇADO COM JERICA. AF_01/2018</v>
          </cell>
          <cell r="C1866" t="str">
            <v>M3</v>
          </cell>
          <cell r="D1866">
            <v>550.27</v>
          </cell>
        </row>
        <row r="1867">
          <cell r="A1867">
            <v>97757</v>
          </cell>
          <cell r="B1867" t="str">
            <v>TUBULÃO A CÉU ABERTO, DIÂMETRO DO FUSTE DE 100 CM, PROFUNDIDADE MAIOR QUE 5 M E MENOR OU IGUAL A 10 M, ESCAVAÇÃO MANUAL, SEM ALARGAMENTO DE BASE, CONCRETO FEITO EM OBRA E LANÇADO COM JERICA. AF_01/2018</v>
          </cell>
          <cell r="C1867" t="str">
            <v>M3</v>
          </cell>
          <cell r="D1867">
            <v>506.8</v>
          </cell>
        </row>
        <row r="1868">
          <cell r="A1868">
            <v>97758</v>
          </cell>
          <cell r="B1868" t="str">
            <v>TUBULÃO A CÉU ABERTO, DIÂMETRO DO FUSTE DE 120 CM, PROFUNDIDADE MAIOR QUE 5 M E MENOR OU IGUAL A 10 M, ESCAVAÇÃO MANUAL, SEM ALARGAMENTO DE BASE, CONCRETO FEITO EM OBRA E LANÇADO COM JERICA. AF_01/2018</v>
          </cell>
          <cell r="C1868" t="str">
            <v>M3</v>
          </cell>
          <cell r="D1868">
            <v>474.41</v>
          </cell>
        </row>
        <row r="1869">
          <cell r="A1869">
            <v>97759</v>
          </cell>
          <cell r="B1869" t="str">
            <v>TUBULÃO A CÉU ABERTO, DIÂMETRO DO FUSTE DE 70 CM, PROFUNDIDADE MAIOR QUE 10 M, ESCAVAÇÃO MANUAL, SEM ALARGAMENTO DE BASE, CONCRETO FEITO EM OBRA E LANÇADO COM JERICA. AF_01/2018</v>
          </cell>
          <cell r="C1869" t="str">
            <v>M3</v>
          </cell>
          <cell r="D1869">
            <v>574.4</v>
          </cell>
        </row>
        <row r="1870">
          <cell r="A1870">
            <v>97760</v>
          </cell>
          <cell r="B1870" t="str">
            <v>TUBULÃO A CÉU ABERTO, DIÂMETRO DO FUSTE DE 80 CM, PROFUNDIDADE MAIOR QUE 10 M, ESCAVAÇÃO MANUAL, SEM ALARGAMENTO DE BASE, CONCRETO FEITO EM OBRA E LANÇADO COM JERICA. AF_01/2018</v>
          </cell>
          <cell r="C1870" t="str">
            <v>M3</v>
          </cell>
          <cell r="D1870">
            <v>540.83000000000004</v>
          </cell>
        </row>
        <row r="1871">
          <cell r="A1871">
            <v>97761</v>
          </cell>
          <cell r="B1871" t="str">
            <v>TUBULÃO A CÉU ABERTO, DIÂMETRO DO FUSTE DE 100 CM, PROFUNDIDADE MAIOR QUE 10 M, ESCAVAÇÃO MANUAL, SEM ALARGAMENTO DE BASE, CONCRETO FEITO EM OBRA E LANÇADO COM JERICA. AF_01/2018</v>
          </cell>
          <cell r="C1871" t="str">
            <v>M3</v>
          </cell>
          <cell r="D1871">
            <v>492.88</v>
          </cell>
        </row>
        <row r="1872">
          <cell r="A1872">
            <v>97762</v>
          </cell>
          <cell r="B1872" t="str">
            <v>TUBULÃO A CÉU ABERTO, DIÂMETRO DO FUSTE DE 120 CM, PROFUNDIDADE MAIOR QUE 10 M, ESCAVAÇÃO MANUAL, SEM ALARGAMENTO DE BASE, CONCRETO FEITO EM OBRA E LANÇADO COM JERICA. AF_01/2018</v>
          </cell>
          <cell r="C1872" t="str">
            <v>M3</v>
          </cell>
          <cell r="D1872">
            <v>456.82</v>
          </cell>
        </row>
        <row r="1873">
          <cell r="A1873">
            <v>97763</v>
          </cell>
          <cell r="B1873" t="str">
            <v>TUBULÃO A CÉU ABERTO, DIÂMETRO DO FUSTE DE 70 CM, PROFUNDIDADE MENOR OU IGUAL A 5 M, ESCAVAÇÃO MECÂNICA, SEM ALARGAMENTO DE BASE, CONCRETO FEITO EM OBRA E LANÇADO COM JERICA. AF_01/2018</v>
          </cell>
          <cell r="C1873" t="str">
            <v>M3</v>
          </cell>
          <cell r="D1873">
            <v>524.89</v>
          </cell>
        </row>
        <row r="1874">
          <cell r="A1874">
            <v>97764</v>
          </cell>
          <cell r="B1874" t="str">
            <v>TUBULÃO A CÉU ABERTO, DIÂMETRO DO FUSTE DE 80 CM, PROFUNDIDADE MENOR OU IGUAL A 5 M, ESCAVAÇÃO MECÂNICA, SEM ALARGAMENTO DE BASE, CONCRETO FEITO EM OBRA E LANÇADO COM JERICA. AF_01/2018</v>
          </cell>
          <cell r="C1874" t="str">
            <v>M3</v>
          </cell>
          <cell r="D1874">
            <v>503.97</v>
          </cell>
        </row>
        <row r="1875">
          <cell r="A1875">
            <v>97765</v>
          </cell>
          <cell r="B1875" t="str">
            <v>TUBULÃO A CÉU ABERTO, DIÂMETRO DO FUSTE DE 100 CM, PROFUNDIDADE MENOR OU IGUAL A 5 M, ESCAVAÇÃO MECÂNICA, SEM ALARGAMENTO DE BASE, CONCRETO FEITO EM OBRA E LANÇADO COM JERICA. AF_01/2018</v>
          </cell>
          <cell r="C1875" t="str">
            <v>M3</v>
          </cell>
          <cell r="D1875">
            <v>475.84</v>
          </cell>
        </row>
        <row r="1876">
          <cell r="A1876">
            <v>97766</v>
          </cell>
          <cell r="B1876" t="str">
            <v>TUBULÃO A CÉU ABERTO, DIÂMETRO DO FUSTE DE 120 CM, PROFUNDIDADE MENOR OU IGUAL A 5 M, ESCAVAÇÃO MECÂNICA, SEM ALARGAMENTO DE BASE, CONCRETO FEITO EM OBRA E LANÇADO COM JERICA. AF_01/2018</v>
          </cell>
          <cell r="C1876" t="str">
            <v>M3</v>
          </cell>
          <cell r="D1876">
            <v>458.19</v>
          </cell>
        </row>
        <row r="1877">
          <cell r="A1877">
            <v>97767</v>
          </cell>
          <cell r="B1877" t="str">
            <v>TUBULÃO A CÉU ABERTO, DIÂMETRO DO FUSTE DE 70 CM, PROFUNDIDADE MAIOR QUE 5 M E MENOR OU IGUAL A 10 M, ESCAVAÇÃO MECÂNICA, SEM ALARGAMENTO DE BASE, CONCRETO FEITO EM OBRA E LANÇADO COM JERICA. AF_01/2018</v>
          </cell>
          <cell r="C1877" t="str">
            <v>M3</v>
          </cell>
          <cell r="D1877">
            <v>476.56</v>
          </cell>
        </row>
        <row r="1878">
          <cell r="A1878">
            <v>97768</v>
          </cell>
          <cell r="B1878" t="str">
            <v>TUBULÃO A CÉU ABERTO, DIÂMETRO DO FUSTE DE 80 CM, PROFUNDIDADE MAIOR QUE 5 M E MENOR OU IGUAL A 10 M, ESCAVAÇÃO MECÂNICA, SEM ALARGAMENTO DE BASE, CONCRETO FEITO EM OBRA E LANÇADO COM JERICA. AF_01/2018</v>
          </cell>
          <cell r="C1878" t="str">
            <v>M3</v>
          </cell>
          <cell r="D1878">
            <v>464.63</v>
          </cell>
        </row>
        <row r="1879">
          <cell r="A1879">
            <v>97769</v>
          </cell>
          <cell r="B1879" t="str">
            <v>TUBULÃO A CÉU ABERTO, DIÂMETRO DO FUSTE DE 100 CM, PROFUNDIDADE MAIOR QUE 5 M E MENOR OU IGUAL A 10 M, ESCAVAÇÃO MECÂNICA, SEM ALARGAMENTO DE BASE, CONCRETO FEITO EM OBRA E LANÇADO COM JERICA. AF_01/2018</v>
          </cell>
          <cell r="C1879" t="str">
            <v>M3</v>
          </cell>
          <cell r="D1879">
            <v>440.65</v>
          </cell>
        </row>
        <row r="1880">
          <cell r="A1880">
            <v>97770</v>
          </cell>
          <cell r="B1880" t="str">
            <v>TUBULÃO A CÉU ABERTO, DIÂMETRO DO FUSTE DE 120 CM, PROFUNDIDADE MAIOR QUE 5 M E MENOR OU IGUAL A 10 M, ESCAVAÇÃO MECÂNICA, SEM ALARGAMENTO DE BASE, CONCRETO FEITO EM OBRA E LANÇADO COM JERICA. AF_01/2018</v>
          </cell>
          <cell r="C1880" t="str">
            <v>M3</v>
          </cell>
          <cell r="D1880">
            <v>420.83</v>
          </cell>
        </row>
        <row r="1881">
          <cell r="A1881">
            <v>97771</v>
          </cell>
          <cell r="B1881" t="str">
            <v>TUBULÃO A CÉU ABERTO, DIÂMETRO DO FUSTE DE 70 CM, PROFUNDIDADE MAIOR QUE 10 M, ESCAVAÇÃO MECÂNICA, SEM ALARGAMENTO DE BASE, CONCRETO FEITO EM OBRA E LANÇADO COM JERICA. AF_01/2018</v>
          </cell>
          <cell r="C1881" t="str">
            <v>M3</v>
          </cell>
          <cell r="D1881">
            <v>457.28</v>
          </cell>
        </row>
        <row r="1882">
          <cell r="A1882">
            <v>97772</v>
          </cell>
          <cell r="B1882" t="str">
            <v>TUBULÃO A CÉU ABERTO, DIÂMETRO DO FUSTE DE 80 CM, PROFUNDIDADE MAIOR QUE 10 M, ESCAVAÇÃO MECÂNICA, SEM ALARGAMENTO DE BASE, CONCRETO FEITO EM OBRA E LANÇADO COM JERICA. AF_01/2018</v>
          </cell>
          <cell r="C1882" t="str">
            <v>M3</v>
          </cell>
          <cell r="D1882">
            <v>441.55</v>
          </cell>
        </row>
        <row r="1883">
          <cell r="A1883">
            <v>97773</v>
          </cell>
          <cell r="B1883" t="str">
            <v>TUBULÃO A CÉU ABERTO, DIÂMETRO DO FUSTE DE 100 CM, PROFUNDIDADE MAIOR QUE 10 M, ESCAVAÇÃO MECÂNICA, SEM ALARGAMENTO DE BASE, CONCRETO FEITO EM OBRA E LANÇADO COM JERICA. AF_01/2018</v>
          </cell>
          <cell r="C1883" t="str">
            <v>M3</v>
          </cell>
          <cell r="D1883">
            <v>417.04</v>
          </cell>
        </row>
        <row r="1884">
          <cell r="A1884">
            <v>97774</v>
          </cell>
          <cell r="B1884" t="str">
            <v>TUBULÃO A CÉU ABERTO, DIÂMETRO DO FUSTE DE 120 CM, PROFUNDIDADE MAIOR QUE 10 M, ESCAVAÇÃO MECÂNICA, SEM ALARGAMENTO DE BASE, CONCRETO FEITO EM OBRA E LANÇADO COM JERICA. AF_01/2018</v>
          </cell>
          <cell r="C1884" t="str">
            <v>M3</v>
          </cell>
          <cell r="D1884">
            <v>395.96</v>
          </cell>
        </row>
        <row r="1885">
          <cell r="A1885">
            <v>97775</v>
          </cell>
          <cell r="B1885" t="str">
            <v>TUBULÃO A CÉU ABERTO, DIÂMETRO DO FUSTE DE 70 CM, PROFUNDIDADE MENOR OU IGUAL A 5 M, ESCAVAÇÃO MANUAL, SEM ALARGAMENTO DE BASE, CONCRETO USINADO E LANÇADO COM BOMBA OU DIRETAMENTE DO CAMINHÃO. AF_01/2018</v>
          </cell>
          <cell r="C1885" t="str">
            <v>M3</v>
          </cell>
          <cell r="D1885">
            <v>667.56</v>
          </cell>
        </row>
        <row r="1886">
          <cell r="A1886">
            <v>97776</v>
          </cell>
          <cell r="B1886" t="str">
            <v>TUBULÃO A CÉU ABERTO, DIÂMETRO DO FUSTE DE 80 CM, PROFUNDIDADE MENOR OU IGUAL A 5 M, ESCAVAÇÃO MANUAL, SEM ALARGAMENTO DE BASE, CONCRETO USINADO E LANÇADO COM BOMBA OU DIRETAMENTE DO CAMINHÃO. AF_01/2018</v>
          </cell>
          <cell r="C1886" t="str">
            <v>M3</v>
          </cell>
          <cell r="D1886">
            <v>636.63</v>
          </cell>
        </row>
        <row r="1887">
          <cell r="A1887">
            <v>97777</v>
          </cell>
          <cell r="B1887" t="str">
            <v>TUBULÃO A CÉU ABERTO, DIÂMETRO DO FUSTE DE 100 CM, PROFUNDIDADE MENOR OU IGUAL A 5 M, ESCAVAÇÃO MANUAL, SEM ALARGAMENTO DE BASE, CONCRETO USINADO E LANÇADO COM BOMBA OU DIRETAMENTE DO CAMINHÃO. AF_01/2018</v>
          </cell>
          <cell r="C1887" t="str">
            <v>M3</v>
          </cell>
          <cell r="D1887">
            <v>593.96</v>
          </cell>
        </row>
        <row r="1888">
          <cell r="A1888">
            <v>97778</v>
          </cell>
          <cell r="B1888" t="str">
            <v>TUBULÃO A CÉU ABERTO, DIÂMETRO DO FUSTE DE 120 CM, PROFUNDIDADE MENOR OU IGUAL A 5 M, ESCAVAÇÃO MANUAL, SEM ALARGAMENTO DE BASE, CONCRETO USINADO E LANÇADO COM BOMBA OU DIRETAMENTE DO CAMINHÃO. AF_01/2018</v>
          </cell>
          <cell r="C1888" t="str">
            <v>M3</v>
          </cell>
          <cell r="D1888">
            <v>566.42999999999995</v>
          </cell>
        </row>
        <row r="1889">
          <cell r="A1889">
            <v>97779</v>
          </cell>
          <cell r="B1889" t="str">
            <v>TUBULÃO A CÉU ABERTO, DIÂMETRO DO FUSTE DE 70 CM, PROFUNDIDADE MAIOR QUE 5 M E MENOR OU IGUAL A 10 M, ESCAVAÇÃO MANUAL, SEM ALARGAMENTO DE BASE, CONCRETO USINADO E LANÇADO COM BOMBA OU DIRETAMENTE DO CAMINHÃO. AF_01/2018</v>
          </cell>
          <cell r="C1889" t="str">
            <v>M3</v>
          </cell>
          <cell r="D1889">
            <v>637.26</v>
          </cell>
        </row>
        <row r="1890">
          <cell r="A1890">
            <v>97780</v>
          </cell>
          <cell r="B1890" t="str">
            <v>TUBULÃO A CÉU ABERTO, DIÂMETRO DO FUSTE DE 80 CM, PROFUNDIDADE MAIOR QUE 5 M E MENOR OU IGUAL A 10 M, ESCAVAÇÃO MANUAL, SEM ALARGAMENTO DE BASE, CONCRETO USINADO E LANÇADO COM BOMBA OU DIRETAMENTE DO CAMINHÃO. AF_01/2018</v>
          </cell>
          <cell r="C1890" t="str">
            <v>M3</v>
          </cell>
          <cell r="D1890">
            <v>610.86</v>
          </cell>
        </row>
        <row r="1891">
          <cell r="A1891">
            <v>97781</v>
          </cell>
          <cell r="B1891" t="str">
            <v>TUBULÃO A CÉU ABERTO, DIÂMETRO DO FUSTE DE 100 CM, PROFUNDIDADE MAIOR QUE 5 M E MENOR OU IGUAL A 10 M, ESCAVAÇÃO MANUAL, SEM ALARGAMENTO DE BASE, CONCRETO USINADO E LANÇADO COM BOMBA OU DIRETAMENTE DO CAMINHÃO. AF_01/2018</v>
          </cell>
          <cell r="C1891" t="str">
            <v>M3</v>
          </cell>
          <cell r="D1891">
            <v>565.77</v>
          </cell>
        </row>
        <row r="1892">
          <cell r="A1892">
            <v>97782</v>
          </cell>
          <cell r="B1892" t="str">
            <v>TUBULÃO A CÉU ABERTO, DIÂMETRO DO FUSTE DE 120 CM, PROFUNDIDADE MAIOR QUE 5 M E MENOR OU IGUAL A 10 M, ESCAVAÇÃO MANUAL, SEM ALARGAMENTO DE BASE, CONCRETO USINADO E LANÇADO COM BOMBA OU DIRETAMENTE DO CAMINHÃO. AF_01/2018</v>
          </cell>
          <cell r="C1892" t="str">
            <v>M3</v>
          </cell>
          <cell r="D1892">
            <v>531.66999999999996</v>
          </cell>
        </row>
        <row r="1893">
          <cell r="A1893">
            <v>97783</v>
          </cell>
          <cell r="B1893" t="str">
            <v>TUBULÃO A CÉU ABERTO, DIÂMETRO DO FUSTE DE 70 CM, PROFUNDIDADE MAIOR QUE 10 M, ESCAVAÇÃO MANUAL, SEM ALARGAMENTO DE BASE, CONCRETO USINADO E LANÇADO COM BOMBA OU DIRETAMENTE DO CAMINHÃO. AF_01/2018</v>
          </cell>
          <cell r="C1893" t="str">
            <v>M3</v>
          </cell>
          <cell r="D1893">
            <v>634.58000000000004</v>
          </cell>
        </row>
        <row r="1894">
          <cell r="A1894">
            <v>97784</v>
          </cell>
          <cell r="B1894" t="str">
            <v>TUBULÃO A CÉU ABERTO, DIÂMETRO DO FUSTE DE 80 CM, PROFUNDIDADE MAIOR QUE 10 M, ESCAVAÇÃO MANUAL, SEM ALARGAMENTO DE BASE, CONCRETO USINADO E LANÇADO COM BOMBA OU DIRETAMENTE DO CAMINHÃO. AF_01/2018</v>
          </cell>
          <cell r="C1894" t="str">
            <v>M3</v>
          </cell>
          <cell r="D1894">
            <v>599.65</v>
          </cell>
        </row>
        <row r="1895">
          <cell r="A1895">
            <v>97785</v>
          </cell>
          <cell r="B1895" t="str">
            <v>TUBULÃO A CÉU ABERTO, DIÂMETRO DO FUSTE DE 100 CM, PROFUNDIDADE MAIOR QUE 10 M, ESCAVAÇÃO MANUAL, SEM ALARGAMENTO DE BASE, CONCRETO USINADO E LANÇADO COM BOMBA OU DIRETAMENTE DO CAMINHÃO. AF_01/2018</v>
          </cell>
          <cell r="C1895" t="str">
            <v>M3</v>
          </cell>
          <cell r="D1895">
            <v>549.54</v>
          </cell>
        </row>
        <row r="1896">
          <cell r="A1896">
            <v>97786</v>
          </cell>
          <cell r="B1896" t="str">
            <v>TUBULÃO A CÉU ABERTO, DIÂMETRO DO FUSTE DE 120 CM, PROFUNDIDADE MAIOR QUE 10 M, ESCAVAÇÃO MANUAL, SEM ALARGAMENTO DE BASE, CONCRETO USINADO E LANÇADO COM BOMBA OU DIRETAMENTE DO CAMINHÃO. AF_01/2018</v>
          </cell>
          <cell r="C1896" t="str">
            <v>M3</v>
          </cell>
          <cell r="D1896">
            <v>511.13</v>
          </cell>
        </row>
        <row r="1897">
          <cell r="A1897">
            <v>97787</v>
          </cell>
          <cell r="B1897" t="str">
            <v>TUBULÃO A CÉU ABERTO, DIÂMETRO DO FUSTE DE 70 CM, PROFUNDIDADE MENOR OU IGUAL A 5 M, ESCAVAÇÃO MECÂNICA, SEM ALARGAMENTO DE BASE, CONCRETO USINADO E LANÇADO COM BOMBA OU DIRETAMENTE DO CAMINHÃO. AF_01/2018</v>
          </cell>
          <cell r="C1897" t="str">
            <v>M3</v>
          </cell>
          <cell r="D1897">
            <v>597.13</v>
          </cell>
        </row>
        <row r="1898">
          <cell r="A1898">
            <v>97788</v>
          </cell>
          <cell r="B1898" t="str">
            <v>TUBULÃO A CÉU ABERTO, DIÂMETRO DO FUSTE DE 80 CM, PROFUNDIDADE MENOR OU IGUAL A 5 M, ESCAVAÇÃO MECÂNICA, SEM ALARGAMENTO DE BASE, CONCRETO USINADO E LANÇADO COM BOMBA OU DIRETAMENTE DO CAMINHÃO. AF_01/2018</v>
          </cell>
          <cell r="C1898" t="str">
            <v>M3</v>
          </cell>
          <cell r="D1898">
            <v>574.54999999999995</v>
          </cell>
        </row>
        <row r="1899">
          <cell r="A1899">
            <v>97789</v>
          </cell>
          <cell r="B1899" t="str">
            <v>TUBULÃO A CÉU ABERTO, DIÂMETRO DO FUSTE DE 100 CM, PROFUNDIDADE MENOR OU IGUAL A 5 M, ESCAVAÇÃO MECÂNICA, SEM ALARGAMENTO DE BASE, CONCRETO USINADO E LANÇADO COM BOMBA OU DIRETAMENTE DO CAMINHÃO. AF_01/2018</v>
          </cell>
          <cell r="C1899" t="str">
            <v>M3</v>
          </cell>
          <cell r="D1899">
            <v>544.57000000000005</v>
          </cell>
        </row>
        <row r="1900">
          <cell r="A1900">
            <v>97790</v>
          </cell>
          <cell r="B1900" t="str">
            <v>TUBULÃO A CÉU ABERTO, DIÂMETRO DO FUSTE DE 120 CM, PROFUNDIDADE MENOR OU IGUAL A 5 M, ESCAVAÇÃO MECÂNICA, SEM ALARGAMENTO DE BASE, CONCRETO USINADO E LANÇADO COM BOMBA OU DIRETAMENTE DO CAMINHÃO. AF_01/2018</v>
          </cell>
          <cell r="C1900" t="str">
            <v>M3</v>
          </cell>
          <cell r="D1900">
            <v>526.14</v>
          </cell>
        </row>
        <row r="1901">
          <cell r="A1901">
            <v>97791</v>
          </cell>
          <cell r="B1901" t="str">
            <v>TUBULÃO A CÉU ABERTO, DIÂMETRO DO FUSTE DE 70 CM, PROFUNDIDADE MAIOR QUE 5 M E MENOR OU IGUAL A 10M, ESCAVAÇÃO MECÂNICA, SEM ALARGAMENTO DE BASE, CONCRETO USINADO E LANÇADO COM BOMBA OU DIRETAMENTE DO CAMINHÃO. AF_01/2018</v>
          </cell>
          <cell r="C1901" t="str">
            <v>M3</v>
          </cell>
          <cell r="D1901">
            <v>537.35</v>
          </cell>
        </row>
        <row r="1902">
          <cell r="A1902">
            <v>97792</v>
          </cell>
          <cell r="B1902" t="str">
            <v>TUBULÃO A CÉU ABERTO, DIÂMETRO DO FUSTE DE 80 CM, PROFUNDIDADE MAIOR QUE 5 M E MENOR OU IGUAL A 10M, ESCAVAÇÃO MECÂNICA, SEM ALARGAMENTO DE BASE, CONCRETO USINADO E LANÇADO COM BOMBA OU DIRETAMENTE DO CAMINHÃO. AF_01/2018</v>
          </cell>
          <cell r="C1902" t="str">
            <v>M3</v>
          </cell>
          <cell r="D1902">
            <v>525.22</v>
          </cell>
        </row>
        <row r="1903">
          <cell r="A1903">
            <v>97793</v>
          </cell>
          <cell r="B1903" t="str">
            <v>TUBULÃO A CÉU ABERTO, DIÂMETRO DO FUSTE DE 100 CM, PROFUNDIDADE MAIOR QUE 5 M E MENOR OU IGUAL A 10M, ESCAVAÇÃO MECÂNICA, SEM ALARGAMENTO DE BASE, CONCRETO USINADO E LANÇADO COM BOMBA OU DIRETAMENTE DO CAMINHÃO. AF_01/2018</v>
          </cell>
          <cell r="C1903" t="str">
            <v>M3</v>
          </cell>
          <cell r="D1903">
            <v>499.62</v>
          </cell>
        </row>
        <row r="1904">
          <cell r="A1904">
            <v>97794</v>
          </cell>
          <cell r="B1904" t="str">
            <v>TUBULÃO A CÉU ABERTO, DIÂMETRO DO FUSTE DE 120 CM, PROFUNDIDADE MAIOR QUE 5 M E MENOR OU IGUAL A 10M, ESCAVAÇÃO MECÂNICA, SEM ALARGAMENTO DE BASE, CONCRETO USINADO E LANÇADO COM BOMBA OU DIRETAMENTE DO CAMINHÃO. AF_01/2018</v>
          </cell>
          <cell r="C1904" t="str">
            <v>M3</v>
          </cell>
          <cell r="D1904">
            <v>478.09</v>
          </cell>
        </row>
        <row r="1905">
          <cell r="A1905">
            <v>97795</v>
          </cell>
          <cell r="B1905" t="str">
            <v>TUBULÃO A CÉU ABERTO, DIÂMETRO DO FUSTE DE 70 CM, PROFUNDIDADE MAIOR QUE 10M, ESCAVAÇÃO MECÂNICA, SEM ALARGAMENTO DE BASE, CONCRETO USINADO E LANÇADO COM BOMBA OU DIRETAMENTE DO CAMINHÃO. AF_01/2018</v>
          </cell>
          <cell r="C1905" t="str">
            <v>M3</v>
          </cell>
          <cell r="D1905">
            <v>517.46</v>
          </cell>
        </row>
        <row r="1906">
          <cell r="A1906">
            <v>97796</v>
          </cell>
          <cell r="B1906" t="str">
            <v>TUBULÃO A CÉU ABERTO, DIÂMETRO DO FUSTE DE 80 CM, PROFUNDIDADE MAIOR QUE 10M, ESCAVAÇÃO MECÂNICA, SEM ALARGAMENTO DE BASE, CONCRETO USINADO E LANÇADO COM BOMBA OU DIRETAMENTE DO CAMINHÃO. AF_01/2018</v>
          </cell>
          <cell r="C1906" t="str">
            <v>M3</v>
          </cell>
          <cell r="D1906">
            <v>500.37</v>
          </cell>
        </row>
        <row r="1907">
          <cell r="A1907">
            <v>97797</v>
          </cell>
          <cell r="B1907" t="str">
            <v>TUBULÃO A CÉU ABERTO, DIÂMETRO DO FUSTE DE 100 CM, PROFUNDIDADE MAIOR QUE 10M, ESCAVAÇÃO MECÂNICA, SEM ALARGAMENTO DE BASE, CONCRETO USINADO E LANÇADO COM BOMBA OU DIRETAMENTE DO CAMINHÃO. AF_01/2018</v>
          </cell>
          <cell r="C1907" t="str">
            <v>M3</v>
          </cell>
          <cell r="D1907">
            <v>473.7</v>
          </cell>
        </row>
        <row r="1908">
          <cell r="A1908">
            <v>97798</v>
          </cell>
          <cell r="B1908" t="str">
            <v>TUBULÃO A CÉU ABERTO, DIÂMETRO DO FUSTE DE 120 CM, PROFUNDIDADE MAIOR QUE 10M, ESCAVAÇÃO MECÂNICA, SEM ALARGAMENTO DE BASE, CONCRETO USINADO E LANÇADO COM BOMBA OU DIRETAMENTE DO CAMINHÃO. AF_01/2018</v>
          </cell>
          <cell r="C1908" t="str">
            <v>M3</v>
          </cell>
          <cell r="D1908">
            <v>450.27</v>
          </cell>
        </row>
        <row r="1909">
          <cell r="A1909">
            <v>97799</v>
          </cell>
          <cell r="B1909" t="str">
            <v>ALARGAMENTO DE BASE DE TUBULÃO A CÉU ABERTO, ESCAVAÇÃO MANUAL, CONCRETO FEITO EM OBRA E LANÇADO COM JERICA. AF_01/2018</v>
          </cell>
          <cell r="C1909" t="str">
            <v>M3</v>
          </cell>
          <cell r="D1909">
            <v>524.41</v>
          </cell>
        </row>
        <row r="1910">
          <cell r="A1910">
            <v>97800</v>
          </cell>
          <cell r="B1910" t="str">
            <v>ALARGAMENTO DE BASE DE TUBULÃO A CÉU ABERTO, ESCAVAÇÃO MANUAL, CONCRETO USINADO E LANÇADO COM BOMBA OU DIRETAMENTE DO CAMINHÃO. AF_01/2018</v>
          </cell>
          <cell r="C1910" t="str">
            <v>M3</v>
          </cell>
          <cell r="D1910">
            <v>598.25</v>
          </cell>
        </row>
        <row r="1911">
          <cell r="A1911">
            <v>89198</v>
          </cell>
          <cell r="B1911" t="str">
            <v>ESTACA PRÉ-MOLDADA DE CONCRETO, SEÇÃO QUADRADA, CAPACIDADE DE 25 TONELADAS, COMPRIMENTO TOTAL CRAVADO ATÉ 5M, BATE-ESTACAS POR GRAVIDADE SOBRE ROLOS (EXCLUSIVE MOBILIZAÇÃO E DESMOBILIZAÇÃO). AF_03/2016</v>
          </cell>
          <cell r="C1911" t="str">
            <v>M</v>
          </cell>
          <cell r="D1911">
            <v>74.72</v>
          </cell>
        </row>
        <row r="1912">
          <cell r="A1912">
            <v>89199</v>
          </cell>
          <cell r="B1912" t="str">
            <v>ESTACA PRÉ-MOLDADA DE CONCRETO, SEÇÃO QUADRADA, CAPACIDADE DE 50 TONELADAS, COMPRIMENTO TOTAL CRAVADO ATÉ 5M, BATE-ESTACAS POR GRAVIDADE SOBRE ROLOS (EXCLUSIVE MOBILIZAÇÃO E DESMOBILIZAÇÃO). AF_03/2016</v>
          </cell>
          <cell r="C1912" t="str">
            <v>M</v>
          </cell>
          <cell r="D1912">
            <v>98.16</v>
          </cell>
        </row>
        <row r="1913">
          <cell r="A1913">
            <v>89200</v>
          </cell>
          <cell r="B1913" t="str">
            <v>ESTACA PRÉ-MOLDADA DE CONCRETO CENTRIFUGADO, SEÇÃO CIRCULAR, CAPACIDADE DE 100 TONELADAS, COMPRIMENTO TOTAL CRAVADO ATÉ 5M, BATE-ESTACAS POR GRAVIDADE SOBRE ROLOS (EXCLUSIVE MOBILIZAÇÃO E DESMOBILIZAÇÃO). AF_03/2016</v>
          </cell>
          <cell r="C1913" t="str">
            <v>M</v>
          </cell>
          <cell r="D1913">
            <v>230.47</v>
          </cell>
        </row>
        <row r="1914">
          <cell r="A1914">
            <v>89201</v>
          </cell>
          <cell r="B1914" t="str">
            <v>ESTACA PRÉ-MOLDADA DE CONCRETO, SEÇÃO QUADRADA, CAPACIDADE DE 25 TONELADAS, COMPRIMENTO TOTAL CRAVADO ACIMA DE 5M ATÉ 12M, BATE-ESTACAS POR GRAVIDADE SOBRE ROLOS (EXCLUSIVE MOBILIZAÇÃO E DESMOBILIZAÇÃO). AF_03/2016</v>
          </cell>
          <cell r="C1914" t="str">
            <v>M</v>
          </cell>
          <cell r="D1914">
            <v>59.02</v>
          </cell>
        </row>
        <row r="1915">
          <cell r="A1915">
            <v>89202</v>
          </cell>
          <cell r="B1915" t="str">
            <v>ESTACA PRÉ-MOLDADA DE CONCRETO, SEÇÃO QUADRADA, CAPACIDADE DE 50 TONELADAS, COMPRIMENTO TOTAL CRAVADO ACIMA DE 5M ATÉ 12M, BATE-ESTACAS POR GRAVIDADE SOBRE ROLOS (EXCLUSIVE MOBILIZAÇÃO E DESMOBILIZAÇÃO). AF_03/2016</v>
          </cell>
          <cell r="C1915" t="str">
            <v>M</v>
          </cell>
          <cell r="D1915">
            <v>76.400000000000006</v>
          </cell>
        </row>
        <row r="1916">
          <cell r="A1916">
            <v>89203</v>
          </cell>
          <cell r="B1916" t="str">
            <v>ESTACA PRÉ-MOLDADA DE CONCRETO CENTRIFUGADO, SEÇÃO CIRCULAR, CAPACIDADE DE 100 TONELADAS, COMPRIMENTO TOTAL CRAVADO ACIMA DE 5M ATÉ 12M, BATE-ESTACAS POR GRAVIDADE SOBRE ROLOS (EXCLUSIVE MOBILIZAÇÃO E DESMOBILIZAÇÃO). AF_03/2016</v>
          </cell>
          <cell r="C1916" t="str">
            <v>M</v>
          </cell>
          <cell r="D1916">
            <v>178.41</v>
          </cell>
        </row>
        <row r="1917">
          <cell r="A1917">
            <v>89204</v>
          </cell>
          <cell r="B1917" t="str">
            <v>ESTACA PRÉ-MOLDADA DE CONCRETO, SEÇÃO QUADRADA, CAPACIDADE DE 25 TONELADAS COMPRIMENTO TOTAL CRAVADO ACIMA DE 12M, BATE-ESTACAS POR GRAVIDADE SOBRE ROLOS (EXCLUSIVE MOBILIZAÇÃO E DESMOBILIZAÇÃO). AF_03/2016</v>
          </cell>
          <cell r="C1917" t="str">
            <v>M</v>
          </cell>
          <cell r="D1917">
            <v>53.51</v>
          </cell>
        </row>
        <row r="1918">
          <cell r="A1918">
            <v>89205</v>
          </cell>
          <cell r="B1918" t="str">
            <v>ESTACA PRÉ-MOLDADA DE CONCRETO, SEÇÃO QUADRADA, CAPACIDADE DE 50 TONELADAS, COMPRIMENTO TOTAL CRAVADO ACIMA DE 12M, BATE-ESTACAS POR GRAVIDADE SOBRE ROLOS (EXCLUSIVE MOBILIZAÇÃO E DESMOBILIZAÇÃO). AF_03/2016</v>
          </cell>
          <cell r="C1918" t="str">
            <v>M</v>
          </cell>
          <cell r="D1918">
            <v>69.930000000000007</v>
          </cell>
        </row>
        <row r="1919">
          <cell r="A1919">
            <v>89206</v>
          </cell>
          <cell r="B1919" t="str">
            <v>ESTACA PRÉ-MOLDADA DE CONCRETO CENTRIFUGADO, SEÇÃO CIRCULAR, CAPACIDADE DE 100 TONELADAS, COMPRIMENTO TOTAL CRAVADO ACIMA DE 12M, BATE-ESTACAS POR GRAVIDADE SOBRE ROLOS (EXCLUSIVE MOBILIZAÇÃO E DESMOBILIZAÇÃO). AF_03/2016</v>
          </cell>
          <cell r="C1919" t="str">
            <v>M</v>
          </cell>
          <cell r="D1919">
            <v>166.1</v>
          </cell>
        </row>
        <row r="1920">
          <cell r="A1920">
            <v>90808</v>
          </cell>
          <cell r="B1920" t="str">
            <v>ESTACA HÉLICE CONTÍNUA, DIÂMETRO DE 30 CM, COMPRIMENTO TOTAL ATÉ 15 M, PERFURATRIZ COM TORQUE DE 170 KN.M (EXCLUSIVE MOBILIZAÇÃO E DESMOBILIZAÇÃO). AF_02/2015</v>
          </cell>
          <cell r="C1920" t="str">
            <v>M</v>
          </cell>
          <cell r="D1920">
            <v>71.5</v>
          </cell>
        </row>
        <row r="1921">
          <cell r="A1921">
            <v>90809</v>
          </cell>
          <cell r="B1921" t="str">
            <v>ESTACA HÉLICE CONTÍNUA, DIÂMETRO DE 30 CM, COMPRIMENTO TOTAL ACIMA DE 15 M ATÉ 20 M, PERFURATRIZ COM TORQUE DE 170 KN.M (EXCLUSIVE MOBILIZAÇÃO E DESMOBILIZAÇÃO). AF_02/2015</v>
          </cell>
          <cell r="C1921" t="str">
            <v>M</v>
          </cell>
          <cell r="D1921">
            <v>69.239999999999995</v>
          </cell>
        </row>
        <row r="1922">
          <cell r="A1922">
            <v>90810</v>
          </cell>
          <cell r="B1922" t="str">
            <v>ESTACA HÉLICE CONTÍNUA, DIÂMETRO DE 50 CM, COMPRIMENTO TOTAL ATÉ 15 M, PERFURATRIZ COM TORQUE DE 170 KN.M (EXCLUSIVE MOBILIZAÇÃO E DESMOBILIZAÇÃO). AF_02/2015</v>
          </cell>
          <cell r="C1922" t="str">
            <v>M</v>
          </cell>
          <cell r="D1922">
            <v>155.43</v>
          </cell>
        </row>
        <row r="1923">
          <cell r="A1923">
            <v>90811</v>
          </cell>
          <cell r="B1923" t="str">
            <v>ESTACA HÉLICE CONTÍNUA, DIÂMETRO DE 50 CM, COMPRIMENTO TOTAL ACIMA DE 15 M ATÉ 30 M, PERFURATRIZ COM TORQUE DE 170 KN.M (EXCLUSIVE MOBILIZAÇÃO E DESMOBILIZAÇÃO). AF_02/2015</v>
          </cell>
          <cell r="C1923" t="str">
            <v>M</v>
          </cell>
          <cell r="D1923">
            <v>148.57</v>
          </cell>
        </row>
        <row r="1924">
          <cell r="A1924">
            <v>90812</v>
          </cell>
          <cell r="B1924" t="str">
            <v>ESTACA HÉLICE CONTÍNUA, DIÂMETRO DE 70 CM, COMPRIMENTO TOTAL ATÉ 15 M, PERFURATRIZ COM TORQUE DE 170 KN.M (EXCLUSIVE MOBILIZAÇÃO E DESMOBILIZAÇÃO). AF_02/2015</v>
          </cell>
          <cell r="C1924" t="str">
            <v>M</v>
          </cell>
          <cell r="D1924">
            <v>269.02999999999997</v>
          </cell>
        </row>
        <row r="1925">
          <cell r="A1925">
            <v>90813</v>
          </cell>
          <cell r="B1925" t="str">
            <v>ESTACA HÉLICE CONTÍNUA, DIÂMETRO DE 70 CM, COMPRIMENTO TOTAL ACIMA DE 15 M ATÉ 30 M, PERFURATRIZ COM TORQUE DE 170 KN.M (EXCLUSIVE MOBILIZAÇÃO E DESMOBILIZAÇÃO). AF_02/2015</v>
          </cell>
          <cell r="C1925" t="str">
            <v>M</v>
          </cell>
          <cell r="D1925">
            <v>259.54000000000002</v>
          </cell>
        </row>
        <row r="1926">
          <cell r="A1926">
            <v>90814</v>
          </cell>
          <cell r="B1926" t="str">
            <v>ESTACA HÉLICE CONTÍNUA, DIÂMETRO DE 80 CM, COMPRIMENTO TOTAL ATÉ 30 M, PERFURATRIZ COM TORQUE DE 170 KN.M (EXCLUSIVE MOBILIZAÇÃO E DESMOBILIZAÇÃO). AF_02/2015</v>
          </cell>
          <cell r="C1926" t="str">
            <v>M</v>
          </cell>
          <cell r="D1926">
            <v>327.52999999999997</v>
          </cell>
        </row>
        <row r="1927">
          <cell r="A1927">
            <v>90815</v>
          </cell>
          <cell r="B1927" t="str">
            <v>ESTACA HÉLICE CONTÍNUA, DIÂMETRO DE 90 CM, COMPRIMENTO TOTAL ATÉ 30 M, PERFURATRIZ COM TORQUE DE 263 KN.M (EXCLUSIVE MOBILIZAÇÃO E DESMOBILIZAÇÃO). AF_02/2015</v>
          </cell>
          <cell r="C1927" t="str">
            <v>M</v>
          </cell>
          <cell r="D1927">
            <v>397.69</v>
          </cell>
        </row>
        <row r="1928">
          <cell r="A1928">
            <v>90877</v>
          </cell>
          <cell r="B1928" t="str">
            <v>ESTACA ESCAVADA MECANICAMENTE, SEM FLUIDO ESTABILIZANTE, COM 25 CM DE DIÂMETRO, ATÉ 9 M DE COMPRIMENTO, CONCRETO LANÇADO POR CAMINHÃO BETONEIRA (EXCLUSIVE MOBILIZAÇÃO E DESMOBILIZAÇÃO). AF_02/2015</v>
          </cell>
          <cell r="C1928" t="str">
            <v>M</v>
          </cell>
          <cell r="D1928">
            <v>44.03</v>
          </cell>
        </row>
        <row r="1929">
          <cell r="A1929">
            <v>90878</v>
          </cell>
          <cell r="B1929" t="str">
            <v>ESTACA ESCAVADA MECANICAMENTE, SEM FLUIDO ESTABILIZANTE, COM 25 CM DE DIÂMETRO, ACIMA DE 9 M DE COMPRIMENTO, CONCRETO LANÇADO POR CAMINHÃO BETONEIRA (EXCLUSIVE MOBILIZAÇÃO E DESMOBILIZAÇÃO). AF_02/2015</v>
          </cell>
          <cell r="C1929" t="str">
            <v>M</v>
          </cell>
          <cell r="D1929">
            <v>42.32</v>
          </cell>
        </row>
        <row r="1930">
          <cell r="A1930">
            <v>90880</v>
          </cell>
          <cell r="B1930" t="str">
            <v>ESTACA ESCAVADA MECANICAMENTE, SEM FLUIDO ESTABILIZANTE, COM 25 CM DE DIÂMETRO, ATÉ 9 M DE COMPRIMENTO, CONCRETO LANÇADO MANUALMENTE (EXCLUSIVE MOBILIZAÇÃO E DESMOBILIZAÇÃO). AF_02/2015</v>
          </cell>
          <cell r="C1930" t="str">
            <v>M</v>
          </cell>
          <cell r="D1930">
            <v>57.55</v>
          </cell>
        </row>
        <row r="1931">
          <cell r="A1931">
            <v>90881</v>
          </cell>
          <cell r="B1931" t="str">
            <v>ESTACA ESCAVADA MECANICAMENTE, SEM FLUIDO ESTABILIZANTE, COM 25 CM DE DIÂMETRO, ACIMA DE 9 M DE COMPRIMENTO, CONCRETO LANÇADO MANUALMENTE (EXCLUSIVE MOBILIZAÇÃO E DESMOBILIZAÇÃO). AF_02/2015</v>
          </cell>
          <cell r="C1931" t="str">
            <v>M</v>
          </cell>
          <cell r="D1931">
            <v>53.18</v>
          </cell>
        </row>
        <row r="1932">
          <cell r="A1932">
            <v>90883</v>
          </cell>
          <cell r="B1932" t="str">
            <v>ESTACA ESCAVADA MECANICAMENTE, SEM FLUIDO ESTABILIZANTE, COM 40 CM DE DIÂMETRO, ATÉ 9 M DE COMPRIMENTO, CONCRETO LANÇADO POR CAMINHÃO BETONEIRA (EXCLUSIVE MOBILIZAÇÃO E DESMOBILIZAÇÃO). AF_02/2015</v>
          </cell>
          <cell r="C1932" t="str">
            <v>M</v>
          </cell>
          <cell r="D1932">
            <v>77.209999999999994</v>
          </cell>
        </row>
        <row r="1933">
          <cell r="A1933">
            <v>90884</v>
          </cell>
          <cell r="B1933" t="str">
            <v>ESTACA ESCAVADA MECANICAMENTE, SEM FLUIDO ESTABILIZANTE, COM 40 CM DE DIÂMETRO, ACIMA DE 9 M ATÉ 15 M DE COMPRIMENTO, CONCRETO LANÇADO POR CAMINHÃO BETONEIRA (EXCLUSIVE MOBILIZAÇÃO E DESMOBILIZAÇÃO). AF_02/2015</v>
          </cell>
          <cell r="C1933" t="str">
            <v>M</v>
          </cell>
          <cell r="D1933">
            <v>75.209999999999994</v>
          </cell>
        </row>
        <row r="1934">
          <cell r="A1934">
            <v>90885</v>
          </cell>
          <cell r="B1934" t="str">
            <v>ESTACA ESCAVADA MECANICAMENTE, SEM FLUIDO ESTABILIZANTE, COM 40 CM DE DIÂMETRO, ACIMA DE 15 M DE COMPRIMENTO, CONCRETO LANÇADO POR CAMINHÃO BETONEIRA (EXCLUSIVE MOBILIZAÇÃO E DESMOBILIZAÇÃO). AF_02/2015</v>
          </cell>
          <cell r="C1934" t="str">
            <v>M</v>
          </cell>
          <cell r="D1934">
            <v>74.319999999999993</v>
          </cell>
        </row>
        <row r="1935">
          <cell r="A1935">
            <v>90886</v>
          </cell>
          <cell r="B1935" t="str">
            <v>ESTACA ESCAVADA MECANICAMENTE, SEM FLUIDO ESTABILIZANTE, COM 60 CM DE DIÂMETRO, ATÉ 9 M DE COMPRIMENTO, CONCRETO LANÇADO POR CAMINHÃO BETONEIRA (EXCLUSIVE MOBILIZAÇÃO E DESMOBILIZAÇÃO). AF_02/2015</v>
          </cell>
          <cell r="C1935" t="str">
            <v>M</v>
          </cell>
          <cell r="D1935">
            <v>151.81</v>
          </cell>
        </row>
        <row r="1936">
          <cell r="A1936">
            <v>90887</v>
          </cell>
          <cell r="B1936" t="str">
            <v>ESTACA ESCAVADA MECANICAMENTE, SEM FLUIDO ESTABILIZANTE, COM 60 CM DE DIÂMETRO, ACIMA DE 9 M ATÉ 15 M DE COMPRIMENTO, CONCRETO LANÇADO POR CAMINHÃO BETONEIRA (EXCLUSIVE MOBILIZAÇÃO E DESMOBILIZAÇÃO). AF_02/2015</v>
          </cell>
          <cell r="C1936" t="str">
            <v>M</v>
          </cell>
          <cell r="D1936">
            <v>149.58000000000001</v>
          </cell>
        </row>
        <row r="1937">
          <cell r="A1937">
            <v>90888</v>
          </cell>
          <cell r="B1937" t="str">
            <v>ESTACA ESCAVADA MECANICAMENTE, SEM FLUIDO ESTABILIZANTE, COM 60 CM DE DIÂMETRO, ACIMA DE 15 M DE COMPRIMENTO, CONCRETO LANÇADO POR CAMINHÃO BETONEIRA (EXCLUSIVE MOBILIZAÇÃO E DESMOBILIZAÇÃO). AF_02/2015</v>
          </cell>
          <cell r="C1937" t="str">
            <v>M</v>
          </cell>
          <cell r="D1937">
            <v>148.63999999999999</v>
          </cell>
        </row>
        <row r="1938">
          <cell r="A1938">
            <v>90889</v>
          </cell>
          <cell r="B1938" t="str">
            <v>ESTACA ESCAVADA MECANICAMENTE, SEM FLUIDO ESTABILIZANTE, COM 60 CM DE DIÂMETRO, ATÉ 9 M DE COMPRIMENTO, CONCRETO LANÇADO POR BOMBA LANÇA (EXCLUSIVE MOBILIZAÇÃO E DESMOBILIZAÇÃO). AF_02/2015</v>
          </cell>
          <cell r="C1938" t="str">
            <v>M</v>
          </cell>
          <cell r="D1938">
            <v>179.14</v>
          </cell>
        </row>
        <row r="1939">
          <cell r="A1939">
            <v>90890</v>
          </cell>
          <cell r="B1939" t="str">
            <v>ESTACA ESCAVADA MECANICAMENTE, SEM FLUIDO ESTABILIZANTE, COM 60 CM DE DIÂMETRO, ACIMA DE 9 M ATÉ 15 M DE COMPRIMENTO, CONCRETO LANÇADO POR BOMBA LANÇA (EXCLUSIVE MOBILIZAÇÃO E DESMOBILIZAÇÃO). AF_02/2015</v>
          </cell>
          <cell r="C1939" t="str">
            <v>M</v>
          </cell>
          <cell r="D1939">
            <v>175.76</v>
          </cell>
        </row>
        <row r="1940">
          <cell r="A1940">
            <v>90891</v>
          </cell>
          <cell r="B1940" t="str">
            <v>ESTACA ESCAVADA MECANICAMENTE, SEM FLUIDO ESTABILIZANTE, COM 60 CM DE DIÂMETRO, ACIMA DE 15 M DE COMPRIMENTO, CONCRETO LANÇADO POR BOMBA LANÇA (EXCLUSIVE MOBILIZAÇÃO E DESMOBILIZAÇÃO). AF_02/2015</v>
          </cell>
          <cell r="C1940" t="str">
            <v>M</v>
          </cell>
          <cell r="D1940">
            <v>174.28</v>
          </cell>
        </row>
        <row r="1941">
          <cell r="A1941">
            <v>95601</v>
          </cell>
          <cell r="B1941" t="str">
            <v>ARRASAMENTO MECANICO DE ESTACA DE CONCRETO ARMADO, DIAMETROS DE ATÉ 40 CM. AF_11/2016</v>
          </cell>
          <cell r="C1941" t="str">
            <v>UN</v>
          </cell>
          <cell r="D1941">
            <v>14.23</v>
          </cell>
        </row>
        <row r="1942">
          <cell r="A1942">
            <v>95602</v>
          </cell>
          <cell r="B1942" t="str">
            <v>ARRASAMENTO MECANICO DE ESTACA DE CONCRETO ARMADO, DIAMETROS DE 41 CM A 60 CM. AF_11/2016</v>
          </cell>
          <cell r="C1942" t="str">
            <v>UN</v>
          </cell>
          <cell r="D1942">
            <v>18.18</v>
          </cell>
        </row>
        <row r="1943">
          <cell r="A1943">
            <v>95603</v>
          </cell>
          <cell r="B1943" t="str">
            <v>ARRASAMENTO MECANICO DE ESTACA DE CONCRETO ARMADO, DIAMETROS DE 61 CM A 80 CM. AF_11/2016</v>
          </cell>
          <cell r="C1943" t="str">
            <v>UN</v>
          </cell>
          <cell r="D1943">
            <v>23.86</v>
          </cell>
        </row>
        <row r="1944">
          <cell r="A1944">
            <v>95604</v>
          </cell>
          <cell r="B1944" t="str">
            <v>ARRASAMENTO MECANICO DE ESTACA DE CONCRETO ARMADO, DIAMETROS DE 81 CM A 100 CM. AF_11/2016</v>
          </cell>
          <cell r="C1944" t="str">
            <v>UN</v>
          </cell>
          <cell r="D1944">
            <v>31.42</v>
          </cell>
        </row>
        <row r="1945">
          <cell r="A1945">
            <v>95605</v>
          </cell>
          <cell r="B1945" t="str">
            <v>ARRASAMENTO MECANICO DE ESTACA DE CONCRETO ARMADO, DIAMETROS DE 101 CM A 150 CM. AF_11/2016</v>
          </cell>
          <cell r="C1945" t="str">
            <v>UN</v>
          </cell>
          <cell r="D1945">
            <v>49.26</v>
          </cell>
        </row>
        <row r="1946">
          <cell r="A1946">
            <v>95607</v>
          </cell>
          <cell r="B1946" t="str">
            <v>ARRASAMENTO DE ESTACA METÁLICA, PERFIL LAMINADO TIPO I FAMÍLIA 250. AF_11/2016</v>
          </cell>
          <cell r="C1946" t="str">
            <v>UN</v>
          </cell>
          <cell r="D1946">
            <v>5.5</v>
          </cell>
        </row>
        <row r="1947">
          <cell r="A1947">
            <v>95608</v>
          </cell>
          <cell r="B1947" t="str">
            <v>ARRASAMENTO DE ESTACA METÁLICA, PERFIL LAMINADO TIPO H FAMÍLIA 250. AF_11/2016</v>
          </cell>
          <cell r="C1947" t="str">
            <v>UN</v>
          </cell>
          <cell r="D1947">
            <v>6.34</v>
          </cell>
        </row>
        <row r="1948">
          <cell r="A1948">
            <v>95609</v>
          </cell>
          <cell r="B1948" t="str">
            <v>ARRASAMENTO DE ESTACA METÁLICA, PERFIL LAMINADO TIPO H FAMÍLIA 310. AF_11/2016</v>
          </cell>
          <cell r="C1948" t="str">
            <v>UN</v>
          </cell>
          <cell r="D1948">
            <v>7.06</v>
          </cell>
        </row>
        <row r="1949">
          <cell r="A1949">
            <v>96160</v>
          </cell>
          <cell r="B1949" t="str">
            <v>ESTACA RAIZ, DIÂMETRO DE 20 CM, COMPRIMENTO DE ATÉ 10 M, SEM PRESENÇA DE ROCHA. AF_04/2017</v>
          </cell>
          <cell r="C1949" t="str">
            <v>M</v>
          </cell>
          <cell r="D1949">
            <v>175.64</v>
          </cell>
        </row>
        <row r="1950">
          <cell r="A1950">
            <v>96161</v>
          </cell>
          <cell r="B1950" t="str">
            <v>ESTACA RAIZ, DIÂMETRO DE 31 CM, COMPRIMENTO DE ATÉ 10 M, SEM PRESENÇA DE ROCHA. AF_05/2017</v>
          </cell>
          <cell r="C1950" t="str">
            <v>M</v>
          </cell>
          <cell r="D1950">
            <v>259.51</v>
          </cell>
        </row>
        <row r="1951">
          <cell r="A1951">
            <v>96162</v>
          </cell>
          <cell r="B1951" t="str">
            <v>ESTACA RAIZ, DIÂMETRO DE 40 CM, COMPRIMENTO DE ATÉ 10 M, SEM PRESENÇA DE ROCHA. AF_05/2017</v>
          </cell>
          <cell r="C1951" t="str">
            <v>M</v>
          </cell>
          <cell r="D1951">
            <v>337.57</v>
          </cell>
        </row>
        <row r="1952">
          <cell r="A1952">
            <v>96163</v>
          </cell>
          <cell r="B1952" t="str">
            <v>ESTACA RAIZ, DIÂMETRO DE 45 CM, COMPRIMENTO DE ATÉ 10 M, SEM PRESENÇA DE ROCHA. AF_05/2017</v>
          </cell>
          <cell r="C1952" t="str">
            <v>M</v>
          </cell>
          <cell r="D1952">
            <v>382.98</v>
          </cell>
        </row>
        <row r="1953">
          <cell r="A1953">
            <v>96164</v>
          </cell>
          <cell r="B1953" t="str">
            <v>ESTACA RAIZ, DIÂMETRO DE 20 CM, COMPRIMENTO DE 11 A 20 M, SEM PRESENÇA DE ROCHA. AF_05/2017</v>
          </cell>
          <cell r="C1953" t="str">
            <v>M</v>
          </cell>
          <cell r="D1953">
            <v>159.80000000000001</v>
          </cell>
        </row>
        <row r="1954">
          <cell r="A1954">
            <v>96165</v>
          </cell>
          <cell r="B1954" t="str">
            <v>ESTACA RAIZ, DIÂMETRO DE 31 CM, COMPRIMENTO DE 11 A 20 M, SEM PRESENÇA DE ROCHA. AF_05/2017</v>
          </cell>
          <cell r="C1954" t="str">
            <v>M</v>
          </cell>
          <cell r="D1954">
            <v>237.83</v>
          </cell>
        </row>
        <row r="1955">
          <cell r="A1955">
            <v>96166</v>
          </cell>
          <cell r="B1955" t="str">
            <v>ESTACA RAIZ, DIÂMETRO DE 40 CM, COMPRIMENTO DE 11 A 20 M, SEM PRESENÇA DE ROCHA. AF_05/2017</v>
          </cell>
          <cell r="C1955" t="str">
            <v>M</v>
          </cell>
          <cell r="D1955">
            <v>304.37</v>
          </cell>
        </row>
        <row r="1956">
          <cell r="A1956">
            <v>96167</v>
          </cell>
          <cell r="B1956" t="str">
            <v>ESTACA RAIZ, DIÂMETRO DE 45 CM, COMPRIMENTO DE 11 A 20 M, SEM PRESENÇA DE ROCHA. AF_05/2017</v>
          </cell>
          <cell r="C1956" t="str">
            <v>M</v>
          </cell>
          <cell r="D1956">
            <v>335.97</v>
          </cell>
        </row>
        <row r="1957">
          <cell r="A1957">
            <v>96168</v>
          </cell>
          <cell r="B1957" t="str">
            <v>ESTACA RAIZ, DIÂMETRO DE 20 CM, COMPRIMENTO DE 21 A 30 M, SEM PRESENÇA DE ROCHA. AF_05/2017</v>
          </cell>
          <cell r="C1957" t="str">
            <v>M</v>
          </cell>
          <cell r="D1957">
            <v>152.15</v>
          </cell>
        </row>
        <row r="1958">
          <cell r="A1958">
            <v>96169</v>
          </cell>
          <cell r="B1958" t="str">
            <v>ESTACA RAIZ, DIÂMETRO DE 31 CM, COMPRIMENTO DE 21 A 30 M, SEM PRESENÇA DE ROCHA. AF_05/2017</v>
          </cell>
          <cell r="C1958" t="str">
            <v>M</v>
          </cell>
          <cell r="D1958">
            <v>228.01</v>
          </cell>
        </row>
        <row r="1959">
          <cell r="A1959">
            <v>96170</v>
          </cell>
          <cell r="B1959" t="str">
            <v>ESTACA RAIZ, DIÂMETRO DE 40 CM, COMPRIMENTO DE 21 A 30 M, SEM PRESENÇA DE ROCHA. AF_05/2017</v>
          </cell>
          <cell r="C1959" t="str">
            <v>M</v>
          </cell>
          <cell r="D1959">
            <v>292.31</v>
          </cell>
        </row>
        <row r="1960">
          <cell r="A1960">
            <v>96171</v>
          </cell>
          <cell r="B1960" t="str">
            <v>ESTACA RAIZ, DIÂMETRO DE 45 CM, COMPRIMENTO DE 21 A 30 M, SEM PRESENÇA DE ROCHA. AF_05/2017</v>
          </cell>
          <cell r="C1960" t="str">
            <v>M</v>
          </cell>
          <cell r="D1960">
            <v>319.85000000000002</v>
          </cell>
        </row>
        <row r="1961">
          <cell r="A1961">
            <v>96172</v>
          </cell>
          <cell r="B1961" t="str">
            <v>ESTACA RAIZ, DIÂMETRO DE 20 CM, COMPRIMENTO DE ATÉ 10 M, COM PRESENÇA DE ROCHA. AF_05/2017</v>
          </cell>
          <cell r="C1961" t="str">
            <v>M</v>
          </cell>
          <cell r="D1961">
            <v>186.82</v>
          </cell>
        </row>
        <row r="1962">
          <cell r="A1962">
            <v>96173</v>
          </cell>
          <cell r="B1962" t="str">
            <v>ESTACA RAIZ, DIÂMETRO DE 31 CM, COMPRIMENTO DE ATÉ 10 M, COM PRESENÇA DE ROCHA. AF_05/2017</v>
          </cell>
          <cell r="C1962" t="str">
            <v>M</v>
          </cell>
          <cell r="D1962">
            <v>273.48</v>
          </cell>
        </row>
        <row r="1963">
          <cell r="A1963">
            <v>96174</v>
          </cell>
          <cell r="B1963" t="str">
            <v>ESTACA RAIZ, DIÂMETRO DE 40 CM, COMPRIMENTO DE ATÉ 10 M, COM PRESENÇA DE ROCHA. AF_05/2017</v>
          </cell>
          <cell r="C1963" t="str">
            <v>M</v>
          </cell>
          <cell r="D1963">
            <v>355.43</v>
          </cell>
        </row>
        <row r="1964">
          <cell r="A1964">
            <v>96175</v>
          </cell>
          <cell r="B1964" t="str">
            <v>ESTACA RAIZ, DIÂMETRO DE 45 CM, COMPRIMENTO DE ATÉ 10 M, COM PRESENÇA DE ROCHA. AF_05/2017</v>
          </cell>
          <cell r="C1964" t="str">
            <v>M</v>
          </cell>
          <cell r="D1964">
            <v>403.76</v>
          </cell>
        </row>
        <row r="1965">
          <cell r="A1965">
            <v>96176</v>
          </cell>
          <cell r="B1965" t="str">
            <v>ESTACA RAIZ, DIÂMETRO DE 20 CM, COMPRIMENTO DE 11 A 20 M, COM PRESENÇA DE ROCHA. AF_05/2017</v>
          </cell>
          <cell r="C1965" t="str">
            <v>M</v>
          </cell>
          <cell r="D1965">
            <v>167.23</v>
          </cell>
        </row>
        <row r="1966">
          <cell r="A1966">
            <v>96177</v>
          </cell>
          <cell r="B1966" t="str">
            <v>ESTACA RAIZ, DIÂMETRO DE 31 CM, COMPRIMENTO DE 11 A 20 M, COM PRESENÇA DE ROCHA. AF_05/2017</v>
          </cell>
          <cell r="C1966" t="str">
            <v>M</v>
          </cell>
          <cell r="D1966">
            <v>246.41</v>
          </cell>
        </row>
        <row r="1967">
          <cell r="A1967">
            <v>96178</v>
          </cell>
          <cell r="B1967" t="str">
            <v>ESTACA RAIZ, DIÂMETRO DE 40 CM, COMPRIMENTO DE 11 A 20 M, COM PRESENÇA DE ROCHA. AF_05/2017</v>
          </cell>
          <cell r="C1967" t="str">
            <v>M</v>
          </cell>
          <cell r="D1967">
            <v>314.5</v>
          </cell>
        </row>
        <row r="1968">
          <cell r="A1968">
            <v>96179</v>
          </cell>
          <cell r="B1968" t="str">
            <v>ESTACA RAIZ, DIÂMETRO DE 45 CM, COMPRIMENTO DE 11 A 20 M, COM PRESENÇA DE ROCHA. AF_05/2017</v>
          </cell>
          <cell r="C1968" t="str">
            <v>M</v>
          </cell>
          <cell r="D1968">
            <v>346.96</v>
          </cell>
        </row>
        <row r="1969">
          <cell r="A1969">
            <v>96180</v>
          </cell>
          <cell r="B1969" t="str">
            <v>ESTACA RAIZ, DIÂMETRO DE 20 CM, COMPRIMENTO DE 21 A 30 M, COM PRESENÇA DE ROCHA. AF_05/2017</v>
          </cell>
          <cell r="C1969" t="str">
            <v>M</v>
          </cell>
          <cell r="D1969">
            <v>157.63</v>
          </cell>
        </row>
        <row r="1970">
          <cell r="A1970">
            <v>96181</v>
          </cell>
          <cell r="B1970" t="str">
            <v>ESTACA RAIZ, DIÂMETRO DE 31 CM, COMPRIMENTO DE 21 A 30 M, COM PRESENÇA DE ROCHA. AF_05/2017</v>
          </cell>
          <cell r="C1970" t="str">
            <v>M</v>
          </cell>
          <cell r="D1970">
            <v>234.37</v>
          </cell>
        </row>
        <row r="1971">
          <cell r="A1971">
            <v>96182</v>
          </cell>
          <cell r="B1971" t="str">
            <v>ESTACA RAIZ, DIÂMETRO DE 40 CM, COMPRIMENTO DE 21 A 30 M, COM PRESENÇA DE ROCHA. AF_05/2017</v>
          </cell>
          <cell r="C1971" t="str">
            <v>M</v>
          </cell>
          <cell r="D1971">
            <v>298.47000000000003</v>
          </cell>
        </row>
        <row r="1972">
          <cell r="A1972">
            <v>96183</v>
          </cell>
          <cell r="B1972" t="str">
            <v>ESTACA RAIZ, DIÂMETRO DE 45 CM, COMPRIMENTO DE 21 A 30 M, COM PRESENÇA DE ROCHA. AF_05/2017</v>
          </cell>
          <cell r="C1972" t="str">
            <v>M</v>
          </cell>
          <cell r="D1972">
            <v>327.33</v>
          </cell>
        </row>
        <row r="1973">
          <cell r="A1973">
            <v>98228</v>
          </cell>
          <cell r="B1973" t="str">
            <v>ESTACA BROCA DE CONCRETO, DIÃMETRO DE 20 CM, PROFUNDIDADE DE ATÉ 3 M, ESCAVAÇÃO MANUAL COM TRADO CONCHA, NÃO ARMADA. AF_03/2018</v>
          </cell>
          <cell r="C1973" t="str">
            <v>M</v>
          </cell>
          <cell r="D1973">
            <v>49.02</v>
          </cell>
        </row>
        <row r="1974">
          <cell r="A1974">
            <v>98229</v>
          </cell>
          <cell r="B1974" t="str">
            <v>ESTACA BROCA DE CONCRETO, DIÃMETRO DE 25 CM, PROFUNDIDADE DE ATÉ 3 M, ESCAVAÇÃO MANUAL COM TRADO CONCHA, NÃO ARMADA. AF_03/2018</v>
          </cell>
          <cell r="C1974" t="str">
            <v>M</v>
          </cell>
          <cell r="D1974">
            <v>66.290000000000006</v>
          </cell>
        </row>
        <row r="1975">
          <cell r="A1975">
            <v>98230</v>
          </cell>
          <cell r="B1975" t="str">
            <v>ESTACA BROCA DE CONCRETO, DIÂMETRO DE 30 CM, PROFUNDIDADE DE ATÉ 3 M, ESCAVAÇÃO MANUAL COM TRADO CONCHA, NÃO ARMADA. AF_03/2018</v>
          </cell>
          <cell r="C1975" t="str">
            <v>M</v>
          </cell>
          <cell r="D1975">
            <v>89.8</v>
          </cell>
        </row>
        <row r="1976">
          <cell r="A1976">
            <v>100035</v>
          </cell>
          <cell r="B1976" t="str">
            <v>ESTACA METÁLICA PARA CONTENÇÃO, COMPRIMENTO TOTAL CRAVADO DE ATÉ 10 M (EXCLUSIVE MOBILIZAÇÃO E DESMOBILIZAÇÃO). AF_07/2019</v>
          </cell>
          <cell r="C1976" t="str">
            <v>KG</v>
          </cell>
          <cell r="D1976">
            <v>8.34</v>
          </cell>
        </row>
        <row r="1977">
          <cell r="A1977">
            <v>100036</v>
          </cell>
          <cell r="B1977" t="str">
            <v>ESTACA METÁLICA PARA CONTENÇÃO, COMPRIMENTO TOTAL CRAVADO MAIOR DO QUE 10 M E MENOR OU IGUAL A 20 M (EXCLUSIVE MOBILIZAÇÃO E DESMOBILIZAÇÃO). AF_07/2019</v>
          </cell>
          <cell r="C1977" t="str">
            <v>KG</v>
          </cell>
          <cell r="D1977">
            <v>8.1999999999999993</v>
          </cell>
        </row>
        <row r="1978">
          <cell r="A1978">
            <v>100037</v>
          </cell>
          <cell r="B1978" t="str">
            <v>ESTACA METÁLICA PARA CONTENÇÃO, COMPRIMENTO TOTAL CRAVADO MAIOR DO QUE 20 M E MENOR OU IGUAL A 30 M (EXCLUSIVE MOBILIZAÇÃO E DESMOBILIZAÇÃO). AF_07/2019</v>
          </cell>
          <cell r="C1978" t="str">
            <v>KG</v>
          </cell>
          <cell r="D1978">
            <v>8</v>
          </cell>
        </row>
        <row r="1979">
          <cell r="A1979">
            <v>83534</v>
          </cell>
          <cell r="B1979" t="str">
            <v>LASTRO DE CONCRETO, PREPARO MECÂNICO, INCLUSOS ADITIVO IMPERMEABILIZANTE, LANÇAMENTO E ADENSAMENTO</v>
          </cell>
          <cell r="C1979" t="str">
            <v>M3</v>
          </cell>
          <cell r="D1979">
            <v>481.02</v>
          </cell>
        </row>
        <row r="1980">
          <cell r="A1980">
            <v>95240</v>
          </cell>
          <cell r="B1980" t="str">
            <v>LASTRO DE CONCRETO MAGRO, APLICADO EM PISOS OU RADIERS, ESPESSURA DE 3 CM. AF_07/2016</v>
          </cell>
          <cell r="C1980" t="str">
            <v>M2</v>
          </cell>
          <cell r="D1980">
            <v>12.4</v>
          </cell>
        </row>
        <row r="1981">
          <cell r="A1981">
            <v>95241</v>
          </cell>
          <cell r="B1981" t="str">
            <v>LASTRO DE CONCRETO MAGRO, APLICADO EM PISOS OU RADIERS, ESPESSURA DE 5 CM. AF_07/2016</v>
          </cell>
          <cell r="C1981" t="str">
            <v>M2</v>
          </cell>
          <cell r="D1981">
            <v>20.67</v>
          </cell>
        </row>
        <row r="1982">
          <cell r="A1982">
            <v>96616</v>
          </cell>
          <cell r="B1982" t="str">
            <v>LASTRO DE CONCRETO MAGRO, APLICADO EM BLOCOS DE COROAMENTO OU SAPATAS. AF_08/2017</v>
          </cell>
          <cell r="C1982" t="str">
            <v>M3</v>
          </cell>
          <cell r="D1982">
            <v>432.84</v>
          </cell>
        </row>
        <row r="1983">
          <cell r="A1983">
            <v>96617</v>
          </cell>
          <cell r="B1983" t="str">
            <v>LASTRO DE CONCRETO MAGRO, APLICADO EM BLOCOS DE COROAMENTO OU SAPATAS, ESPESSURA DE 3 CM. AF_08/2017</v>
          </cell>
          <cell r="C1983" t="str">
            <v>M2</v>
          </cell>
          <cell r="D1983">
            <v>12.97</v>
          </cell>
        </row>
        <row r="1984">
          <cell r="A1984">
            <v>96619</v>
          </cell>
          <cell r="B1984" t="str">
            <v>LASTRO DE CONCRETO MAGRO, APLICADO EM BLOCOS DE COROAMENTO OU SAPATAS, ESPESSURA DE 5 CM. AF_08/2017</v>
          </cell>
          <cell r="C1984" t="str">
            <v>M2</v>
          </cell>
          <cell r="D1984">
            <v>21.62</v>
          </cell>
        </row>
        <row r="1985">
          <cell r="A1985">
            <v>96620</v>
          </cell>
          <cell r="B1985" t="str">
            <v>LASTRO DE CONCRETO MAGRO, APLICADO EM PISOS OU RADIERS. AF_08/2017</v>
          </cell>
          <cell r="C1985" t="str">
            <v>M3</v>
          </cell>
          <cell r="D1985">
            <v>413.71</v>
          </cell>
        </row>
        <row r="1986">
          <cell r="A1986">
            <v>96621</v>
          </cell>
          <cell r="B1986" t="str">
            <v>LASTRO COM MATERIAL GRANULAR, APLICAÇÃO EM BLOCOS DE COROAMENTO, ESPESSURA DE *5 CM*. AF_08/2017</v>
          </cell>
          <cell r="C1986" t="str">
            <v>M3</v>
          </cell>
          <cell r="D1986">
            <v>163.33000000000001</v>
          </cell>
        </row>
        <row r="1987">
          <cell r="A1987">
            <v>96622</v>
          </cell>
          <cell r="B1987" t="str">
            <v>LASTRO COM MATERIAL GRANULAR, APLICAÇÃO EM PISOS OU RADIERS, ESPESSURA DE *5 CM*. AF_08/2017</v>
          </cell>
          <cell r="C1987" t="str">
            <v>M3</v>
          </cell>
          <cell r="D1987">
            <v>107.16</v>
          </cell>
        </row>
        <row r="1988">
          <cell r="A1988">
            <v>96623</v>
          </cell>
          <cell r="B1988" t="str">
            <v>LASTRO COM MATERIAL GRANULAR, APLICADO EM BLOCOS DE COROAMENTO, ESPESSURA DE *10 CM*. AF_08/2017</v>
          </cell>
          <cell r="C1988" t="str">
            <v>M3</v>
          </cell>
          <cell r="D1988">
            <v>150.24</v>
          </cell>
        </row>
        <row r="1989">
          <cell r="A1989">
            <v>96624</v>
          </cell>
          <cell r="B1989" t="str">
            <v>LASTRO COM MATERIAL GRANULAR (PEDRA BRITADA N.2), APLICADO EM PISOS OU RADIERS, ESPESSURA DE *10 CM*. AF_08/2017</v>
          </cell>
          <cell r="C1989" t="str">
            <v>M3</v>
          </cell>
          <cell r="D1989">
            <v>102.54</v>
          </cell>
        </row>
        <row r="1990">
          <cell r="A1990">
            <v>97082</v>
          </cell>
          <cell r="B1990" t="str">
            <v>ESCAVAÇÃO MANUAL DE VIGA DE BORDA PARA RADIER. AF_09/2017</v>
          </cell>
          <cell r="C1990" t="str">
            <v>M3</v>
          </cell>
          <cell r="D1990">
            <v>47.21</v>
          </cell>
        </row>
        <row r="1991">
          <cell r="A1991">
            <v>97083</v>
          </cell>
          <cell r="B1991" t="str">
            <v>COMPACTAÇÃO MECÂNICA DE SOLO PARA EXECUÇÃO DE RADIER, COM COMPACTADOR DE SOLOS A PERCUSSÃO. AF_09/2017</v>
          </cell>
          <cell r="C1991" t="str">
            <v>M2</v>
          </cell>
          <cell r="D1991">
            <v>2.4700000000000002</v>
          </cell>
        </row>
        <row r="1992">
          <cell r="A1992">
            <v>97084</v>
          </cell>
          <cell r="B1992" t="str">
            <v>COMPACTAÇÃO MECÂNICA DE SOLO PARA EXECUÇÃO DE RADIER, COM COMPACTADOR DE SOLOS TIPO PLACA VIBRATÓRIA. AF_09/2017</v>
          </cell>
          <cell r="C1992" t="str">
            <v>M2</v>
          </cell>
          <cell r="D1992">
            <v>0.5</v>
          </cell>
        </row>
        <row r="1993">
          <cell r="A1993">
            <v>97086</v>
          </cell>
          <cell r="B1993" t="str">
            <v>FABRICAÇÃO, MONTAGEM E DESMONTAGEM DE FORMA PARA RADIER, EM MADEIRA SERRADA, 4 UTILIZAÇÕES. AF_09/2017</v>
          </cell>
          <cell r="C1993" t="str">
            <v>M2</v>
          </cell>
          <cell r="D1993">
            <v>83.04</v>
          </cell>
        </row>
        <row r="1994">
          <cell r="A1994">
            <v>97094</v>
          </cell>
          <cell r="B1994" t="str">
            <v>CONCRETAGEM DE RADIER, PISO OU LAJE SOBRE SOLO, FCK 30 MPA, PARA ESPESSURA DE 10 CM - LANÇAMENTO, ADENSAMENTO E ACABAMENTO. AF_09/2017</v>
          </cell>
          <cell r="C1994" t="str">
            <v>M3</v>
          </cell>
          <cell r="D1994">
            <v>482.29</v>
          </cell>
        </row>
        <row r="1995">
          <cell r="A1995">
            <v>97095</v>
          </cell>
          <cell r="B1995" t="str">
            <v>CONCRETAGEM DE RADIER, PISO OU LAJE SOBRE SOLO, FCK 30 MPA, PARA ESPESSURA DE 15 CM - LANÇAMENTO, ADENSAMENTO E ACABAMENTO. AF_09/2017</v>
          </cell>
          <cell r="C1995" t="str">
            <v>M3</v>
          </cell>
          <cell r="D1995">
            <v>452.89</v>
          </cell>
        </row>
        <row r="1996">
          <cell r="A1996">
            <v>97096</v>
          </cell>
          <cell r="B1996" t="str">
            <v>CONCRETAGEM DE RADIER, PISO OU LAJE SOBRE SOLO, FCK 30 MPA, PARA ESPESSURA DE 20 CM - LANÇAMENTO, ADENSAMENTO E ACABAMENTO. AF_09/2017</v>
          </cell>
          <cell r="C1996" t="str">
            <v>M3</v>
          </cell>
          <cell r="D1996">
            <v>437.8</v>
          </cell>
        </row>
        <row r="1997">
          <cell r="A1997">
            <v>100322</v>
          </cell>
          <cell r="B1997" t="str">
            <v>LASTRO COM MATERIAL GRANULAR (PEDRA BRITADA N.3), APLICADO EM PISOS OU RADIERS, ESPESSURA DE *10 CM*. AF_07/2019</v>
          </cell>
          <cell r="C1997" t="str">
            <v>M3</v>
          </cell>
          <cell r="D1997">
            <v>102.54</v>
          </cell>
        </row>
        <row r="1998">
          <cell r="A1998">
            <v>100323</v>
          </cell>
          <cell r="B1998" t="str">
            <v>LASTRO COM MATERIAL GRANULAR (AREIA MÉDIA), APLICADO EM PISOS OU RADIERS, ESPESSURA DE *10 CM*. AF_07/2019</v>
          </cell>
          <cell r="C1998" t="str">
            <v>M3</v>
          </cell>
          <cell r="D1998">
            <v>95.79</v>
          </cell>
        </row>
        <row r="1999">
          <cell r="A1999">
            <v>100324</v>
          </cell>
          <cell r="B1999" t="str">
            <v>LASTRO COM MATERIAL GRANULAR (PEDRA BRITADA N.1 E PEDRA BRITADA N.2), APLICADO EM PISOS OU RADIERS, ESPESSURA DE *10 CM*. AF_07/2019</v>
          </cell>
          <cell r="C1999" t="str">
            <v>M3</v>
          </cell>
          <cell r="D1999">
            <v>102.54</v>
          </cell>
        </row>
        <row r="2000">
          <cell r="A2000">
            <v>90996</v>
          </cell>
          <cell r="B2000" t="str">
            <v>FORMAS MANUSEÁVEIS PARA PAREDES DE CONCRETO MOLDADAS IN LOCO, DE EDIFICAÇÕES DE MULTIPLOS PAVIMENTO, EM PLATIBANDA. AF_06/2015</v>
          </cell>
          <cell r="C2000" t="str">
            <v>M2</v>
          </cell>
          <cell r="D2000">
            <v>12.16</v>
          </cell>
        </row>
        <row r="2001">
          <cell r="A2001">
            <v>90997</v>
          </cell>
          <cell r="B2001" t="str">
            <v>FORMAS MANUSEÁVEIS PARA PAREDES DE CONCRETO MOLDADAS IN LOCO, DE EDIFICAÇÕES DE MULTIPLOS PAVIMENTOS, EM FACES INTERNAS DE PAREDES. AF_06/2015</v>
          </cell>
          <cell r="C2001" t="str">
            <v>M2</v>
          </cell>
          <cell r="D2001">
            <v>16.670000000000002</v>
          </cell>
        </row>
        <row r="2002">
          <cell r="A2002">
            <v>90998</v>
          </cell>
          <cell r="B2002" t="str">
            <v>FORMAS MANUSEÁVEIS PARA PAREDES DE CONCRETO MOLDADAS IN LOCO, DE EDIFICAÇÕES DE MULTIPLOS PAVIMENTOS, EM LAJES. AF_06/2015</v>
          </cell>
          <cell r="C2002" t="str">
            <v>M2</v>
          </cell>
          <cell r="D2002">
            <v>20.2</v>
          </cell>
        </row>
        <row r="2003">
          <cell r="A2003">
            <v>91000</v>
          </cell>
          <cell r="B2003" t="str">
            <v>FORMAS MANUSEÁVEIS PARA PAREDES DE CONCRETO MOLDADAS IN LOCO, DE EDIFICAÇÕES DE MULTIPLOS PAVIMENTOS, EM PANOS DE FACHADA COM VÃOS. AF_06/2015</v>
          </cell>
          <cell r="C2003" t="str">
            <v>M2</v>
          </cell>
          <cell r="D2003">
            <v>15.32</v>
          </cell>
        </row>
        <row r="2004">
          <cell r="A2004">
            <v>91002</v>
          </cell>
          <cell r="B2004" t="str">
            <v>FORMAS MANUSEÁVEIS PARA PAREDES DE CONCRETO MOLDADAS IN LOCO, DE EDIFICAÇÕES DE MULTIPLOS PAVIMENTOS, EM PANOS DE FACHADA SEM VÃOS. AF_06/2015</v>
          </cell>
          <cell r="C2004" t="str">
            <v>M2</v>
          </cell>
          <cell r="D2004">
            <v>14.07</v>
          </cell>
        </row>
        <row r="2005">
          <cell r="A2005">
            <v>91003</v>
          </cell>
          <cell r="B2005" t="str">
            <v>FORMAS MANUSEÁVEIS PARA PAREDES DE CONCRETO MOLDADAS IN LOCO, DE EDIFICAÇÕES DE MULTIPLOS PAVIMENTOS, EM PANOS DE FACHADA COM VARANDAS. AF_06/2015</v>
          </cell>
          <cell r="C2005" t="str">
            <v>M2</v>
          </cell>
          <cell r="D2005">
            <v>16.350000000000001</v>
          </cell>
        </row>
        <row r="2006">
          <cell r="A2006">
            <v>91004</v>
          </cell>
          <cell r="B2006" t="str">
            <v>FORMAS MANUSEÁVEIS PARA PAREDES DE CONCRETO MOLDADAS IN LOCO, DE EDIFICAÇÕES DE PAVIMENTO ÚNICO, EM FACES INTERNAS DE PAREDES. AF_06/2015</v>
          </cell>
          <cell r="C2006" t="str">
            <v>M2</v>
          </cell>
          <cell r="D2006">
            <v>12.91</v>
          </cell>
        </row>
        <row r="2007">
          <cell r="A2007">
            <v>91005</v>
          </cell>
          <cell r="B2007" t="str">
            <v>FORMAS MANUSEÁVEIS PARA PAREDES DE CONCRETO MOLDADAS IN LOCO, DE EDIFICAÇÕES DE PAVIMENTO ÚNICO, EM LAJES. AF_06/2015</v>
          </cell>
          <cell r="C2007" t="str">
            <v>M2</v>
          </cell>
          <cell r="D2007">
            <v>15.55</v>
          </cell>
        </row>
        <row r="2008">
          <cell r="A2008">
            <v>91006</v>
          </cell>
          <cell r="B2008" t="str">
            <v>FORMAS MANUSEÁVEIS PARA PAREDES DE CONCRETO MOLDADAS IN LOCO, DE EDIFICAÇÕES DE PAVIMENTO ÚNICO, EM PANOS DE FACHADA COM VÃOS. AF_06/2015</v>
          </cell>
          <cell r="C2008" t="str">
            <v>M2</v>
          </cell>
          <cell r="D2008">
            <v>11.91</v>
          </cell>
        </row>
        <row r="2009">
          <cell r="A2009">
            <v>91007</v>
          </cell>
          <cell r="B2009" t="str">
            <v>FORMAS MANUSEÁVEIS PARA PAREDES DE CONCRETO MOLDADAS IN LOCO, DE EDIFICAÇÕES DE PAVIMENTO ÚNICO, EM PANOS DE FACHADA SEM VÃOS. AF_06/2015</v>
          </cell>
          <cell r="C2009" t="str">
            <v>M2</v>
          </cell>
          <cell r="D2009">
            <v>10.66</v>
          </cell>
        </row>
        <row r="2010">
          <cell r="A2010">
            <v>91008</v>
          </cell>
          <cell r="B2010" t="str">
            <v>FORMAS MANUSEÁVEIS PARA PAREDES DE CONCRETO MOLDADAS IN LOCO, DE EDIFICAÇÕES DE PAVIMENTO ÚNICO, EM PANOS DE FACHADA COM VARANDA. AF_06/2015</v>
          </cell>
          <cell r="C2010" t="str">
            <v>M2</v>
          </cell>
          <cell r="D2010">
            <v>12.94</v>
          </cell>
        </row>
        <row r="2011">
          <cell r="A2011">
            <v>92263</v>
          </cell>
          <cell r="B2011" t="str">
            <v>FABRICAÇÃO DE FÔRMA PARA PILARES E ESTRUTURAS SIMILARES, EM CHAPA DE MADEIRA COMPENSADA RESINADA, E = 17 MM. AF_12/2015</v>
          </cell>
          <cell r="C2011" t="str">
            <v>M2</v>
          </cell>
          <cell r="D2011">
            <v>101.67</v>
          </cell>
        </row>
        <row r="2012">
          <cell r="A2012">
            <v>92264</v>
          </cell>
          <cell r="B2012" t="str">
            <v>FABRICAÇÃO DE FÔRMA PARA PILARES E ESTRUTURAS SIMILARES, EM CHAPA DE MADEIRA COMPENSADA PLASTIFICADA, E = 18 MM. AF_12/2015</v>
          </cell>
          <cell r="C2012" t="str">
            <v>M2</v>
          </cell>
          <cell r="D2012">
            <v>121.67</v>
          </cell>
        </row>
        <row r="2013">
          <cell r="A2013">
            <v>92265</v>
          </cell>
          <cell r="B2013" t="str">
            <v>FABRICAÇÃO DE FÔRMA PARA VIGAS, EM CHAPA DE MADEIRA COMPENSADA RESINADA, E = 17 MM. AF_12/2015</v>
          </cell>
          <cell r="C2013" t="str">
            <v>M2</v>
          </cell>
          <cell r="D2013">
            <v>77.39</v>
          </cell>
        </row>
        <row r="2014">
          <cell r="A2014">
            <v>92266</v>
          </cell>
          <cell r="B2014" t="str">
            <v>FABRICAÇÃO DE FÔRMA PARA VIGAS, EM CHAPA DE MADEIRA COMPENSADA PLASTIFICADA, E = 18 MM. AF_12/2015</v>
          </cell>
          <cell r="C2014" t="str">
            <v>M2</v>
          </cell>
          <cell r="D2014">
            <v>95.22</v>
          </cell>
        </row>
        <row r="2015">
          <cell r="A2015">
            <v>92267</v>
          </cell>
          <cell r="B2015" t="str">
            <v>FABRICAÇÃO DE FÔRMA PARA LAJES, EM CHAPA DE MADEIRA COMPENSADA RESINADA, E = 17 MM. AF_12/2015</v>
          </cell>
          <cell r="C2015" t="str">
            <v>M2</v>
          </cell>
          <cell r="D2015">
            <v>27.26</v>
          </cell>
        </row>
        <row r="2016">
          <cell r="A2016">
            <v>92268</v>
          </cell>
          <cell r="B2016" t="str">
            <v>FABRICAÇÃO DE FÔRMA PARA LAJES, EM CHAPA DE MADEIRA COMPENSADA PLASTIFICADA, E = 18 MM. AF_12/2015</v>
          </cell>
          <cell r="C2016" t="str">
            <v>M2</v>
          </cell>
          <cell r="D2016">
            <v>42.99</v>
          </cell>
        </row>
        <row r="2017">
          <cell r="A2017">
            <v>92269</v>
          </cell>
          <cell r="B2017" t="str">
            <v>FABRICAÇÃO DE FÔRMA PARA PILARES E ESTRUTURAS SIMILARES, EM MADEIRA SERRADA, E=25 MM. AF_12/2015</v>
          </cell>
          <cell r="C2017" t="str">
            <v>M2</v>
          </cell>
          <cell r="D2017">
            <v>66.319999999999993</v>
          </cell>
        </row>
        <row r="2018">
          <cell r="A2018">
            <v>92270</v>
          </cell>
          <cell r="B2018" t="str">
            <v>FABRICAÇÃO DE FÔRMA PARA VIGAS, COM MADEIRA SERRADA, E = 25 MM. AF_12/2015</v>
          </cell>
          <cell r="C2018" t="str">
            <v>M2</v>
          </cell>
          <cell r="D2018">
            <v>51.19</v>
          </cell>
        </row>
        <row r="2019">
          <cell r="A2019">
            <v>92271</v>
          </cell>
          <cell r="B2019" t="str">
            <v>FABRICAÇÃO DE FÔRMA PARA LAJES, EM MADEIRA SERRADA, E=25 MM. AF_12/2015</v>
          </cell>
          <cell r="C2019" t="str">
            <v>M2</v>
          </cell>
          <cell r="D2019">
            <v>31.08</v>
          </cell>
        </row>
        <row r="2020">
          <cell r="A2020">
            <v>92272</v>
          </cell>
          <cell r="B2020" t="str">
            <v>FABRICAÇÃO DE ESCORAS DE VIGA DO TIPO GARFO, EM MADEIRA. AF_12/2015</v>
          </cell>
          <cell r="C2020" t="str">
            <v>M</v>
          </cell>
          <cell r="D2020">
            <v>22.18</v>
          </cell>
        </row>
        <row r="2021">
          <cell r="A2021">
            <v>92273</v>
          </cell>
          <cell r="B2021" t="str">
            <v>FABRICAÇÃO DE ESCORAS DO TIPO PONTALETE, EM MADEIRA. AF_12/2015</v>
          </cell>
          <cell r="C2021" t="str">
            <v>M</v>
          </cell>
          <cell r="D2021">
            <v>9.91</v>
          </cell>
        </row>
        <row r="2022">
          <cell r="A2022">
            <v>92408</v>
          </cell>
          <cell r="B2022" t="str">
            <v>MONTAGEM E DESMONTAGEM DE FÔRMA DE PILARES RETANGULARES E ESTRUTURAS SIMILARES COM ÁREA MÉDIA DAS SEÇÕES MENOR OU IGUAL A 0,25 M², PÉ-DIREITO SIMPLES, EM MADEIRA SERRADA, 1 UTILIZAÇÃO. AF_12/2015</v>
          </cell>
          <cell r="C2022" t="str">
            <v>M2</v>
          </cell>
          <cell r="D2022">
            <v>147.44</v>
          </cell>
        </row>
        <row r="2023">
          <cell r="A2023">
            <v>92409</v>
          </cell>
          <cell r="B2023" t="str">
            <v>MONTAGEM E DESMONTAGEM DE FÔRMA DE PILARES RETANGULARES E ESTRUTURAS SIMILARES COM ÁREA MÉDIA DAS SEÇÕES MAIOR QUE 0,25 M², PÉ-DIREITO SIMPLES, EM MADEIRA SERRADA, 1 UTILIZAÇÃO. AF_12/2015</v>
          </cell>
          <cell r="C2023" t="str">
            <v>M2</v>
          </cell>
          <cell r="D2023">
            <v>138.18</v>
          </cell>
        </row>
        <row r="2024">
          <cell r="A2024">
            <v>92410</v>
          </cell>
          <cell r="B2024" t="str">
            <v>MONTAGEM E DESMONTAGEM DE FÔRMA DE PILARES RETANGULARES E ESTRUTURAS SIMILARES COM ÁREA MÉDIA DAS SEÇÕES MENOR OU IGUAL A 0,25 M², PÉ-DIREITO SIMPLES, EM MADEIRA SERRADA, 2 UTILIZAÇÕES. AF_12/2015</v>
          </cell>
          <cell r="C2024" t="str">
            <v>M2</v>
          </cell>
          <cell r="D2024">
            <v>105.64</v>
          </cell>
        </row>
        <row r="2025">
          <cell r="A2025">
            <v>92411</v>
          </cell>
          <cell r="B2025" t="str">
            <v>MONTAGEM E DESMONTAGEM DE FÔRMA DE PILARES RETANGULARES E ESTRUTURAS SIMILARES COM ÁREA MÉDIA DAS SEÇÕES MAIOR QUE 0,25 M², PÉ-DIREITO SIMPLES, EM MADEIRA SERRADA, 2 UTILIZAÇÕES. AF_12/2015</v>
          </cell>
          <cell r="C2025" t="str">
            <v>M2</v>
          </cell>
          <cell r="D2025">
            <v>97.45</v>
          </cell>
        </row>
        <row r="2026">
          <cell r="A2026">
            <v>92412</v>
          </cell>
          <cell r="B2026" t="str">
            <v>MONTAGEM E DESMONTAGEM DE FÔRMA DE PILARES RETANGULARES E ESTRUTURAS SIMILARES COM ÁREA MÉDIA DAS SEÇÕES MENOR OU IGUAL A 0,25 M², PÉ-DIREITO SIMPLES, EM MADEIRA SERRADA, 4 UTILIZAÇÕES. AF_12/2015</v>
          </cell>
          <cell r="C2026" t="str">
            <v>M2</v>
          </cell>
          <cell r="D2026">
            <v>72.55</v>
          </cell>
        </row>
        <row r="2027">
          <cell r="A2027">
            <v>92413</v>
          </cell>
          <cell r="B2027" t="str">
            <v>MONTAGEM E DESMONTAGEM DE FÔRMA DE PILARES RETANGULARES E ESTRUTURAS SIMILARES COM ÁREA MÉDIA DAS SEÇÕES MAIOR QUE 0,25 M², PÉ-DIREITO SIMPLES, EM MADEIRA SERRADA, 4 UTILIZAÇÕES. AF_12/2015</v>
          </cell>
          <cell r="C2027" t="str">
            <v>M2</v>
          </cell>
          <cell r="D2027">
            <v>66.25</v>
          </cell>
        </row>
        <row r="2028">
          <cell r="A2028">
            <v>92414</v>
          </cell>
          <cell r="B2028" t="str">
            <v>MONTAGEM E DESMONTAGEM DE FÔRMA DE PILARES RETANGULARES E ESTRUTURAS SIMILARES COM ÁREA MÉDIA DAS SEÇÕES MENOR OU IGUAL A 0,25 M², PÉ-DIREITO SIMPLES, EM CHAPA DE MADEIRA COMPENSADA RESINADA, 2 UTILIZAÇÕES. AF_12/2015</v>
          </cell>
          <cell r="C2028" t="str">
            <v>M2</v>
          </cell>
          <cell r="D2028">
            <v>98.67</v>
          </cell>
        </row>
        <row r="2029">
          <cell r="A2029">
            <v>92415</v>
          </cell>
          <cell r="B2029" t="str">
            <v>MONTAGEM E DESMONTAGEM DE FÔRMA DE PILARES RETANGULARES E ESTRUTURAS SIMILARES COM ÁREA MÉDIA DAS SEÇÕES MAIOR QUE 0,25 M², PÉ-DIREITO SIMPLES, EM CHAPA DE MADEIRA COMPENSADA RESINADA, 2 UTILIZAÇÕES. AF_12/2015</v>
          </cell>
          <cell r="C2029" t="str">
            <v>M2</v>
          </cell>
          <cell r="D2029">
            <v>90.49</v>
          </cell>
        </row>
        <row r="2030">
          <cell r="A2030">
            <v>92416</v>
          </cell>
          <cell r="B2030" t="str">
            <v>MONTAGEM E DESMONTAGEM DE FÔRMA DE PILARES RETANGULARES E ESTRUTURAS SIMILARES COM ÁREA MÉDIA DAS SEÇÕES MENOR OU IGUAL A 0,25 M², PÉ-DIREITO DUPLO, EM CHAPA DE MADEIRA COMPENSADA RESINADA, 2 UTILIZAÇÕES. AF_12/2015</v>
          </cell>
          <cell r="C2030" t="str">
            <v>M2</v>
          </cell>
          <cell r="D2030">
            <v>115.5</v>
          </cell>
        </row>
        <row r="2031">
          <cell r="A2031">
            <v>92417</v>
          </cell>
          <cell r="B2031" t="str">
            <v>MONTAGEM E DESMONTAGEM DE FÔRMA DE PILARES RETANGULARES E ESTRUTURAS SIMILARES COM ÁREA MÉDIA DAS SEÇÕES MAIOR QUE 0,25 M², PÉ-DIREITO DUPLO, EM CHAPA DE MADEIRA COMPENSADA RESINADA, 2 UTILIZAÇÕES. AF_12/2015</v>
          </cell>
          <cell r="C2031" t="str">
            <v>M2</v>
          </cell>
          <cell r="D2031">
            <v>107.35</v>
          </cell>
        </row>
        <row r="2032">
          <cell r="A2032">
            <v>92418</v>
          </cell>
          <cell r="B2032" t="str">
            <v>MONTAGEM E DESMONTAGEM DE FÔRMA DE PILARES RETANGULARES E ESTRUTURAS SIMILARES COM ÁREA MÉDIA DAS SEÇÕES MENOR OU IGUAL A 0,25 M², PÉ-DIREITO SIMPLES, EM CHAPA DE MADEIRA COMPENSADA RESINADA, 4 UTILIZAÇÕES. AF_12/2015</v>
          </cell>
          <cell r="C2032" t="str">
            <v>M2</v>
          </cell>
          <cell r="D2032">
            <v>64.12</v>
          </cell>
        </row>
        <row r="2033">
          <cell r="A2033">
            <v>92419</v>
          </cell>
          <cell r="B2033" t="str">
            <v>MONTAGEM E DESMONTAGEM DE FÔRMA DE PILARES RETANGULARES E ESTRUTURAS SIMILARES COM ÁREA MÉDIA DAS SEÇÕES MAIOR QUE 0,25 M², PÉ-DIREITO SIMPLES, EM CHAPA DE MADEIRA COMPENSADA RESINADA, 4 UTILIZAÇÕES. AF_12/2015</v>
          </cell>
          <cell r="C2033" t="str">
            <v>M2</v>
          </cell>
          <cell r="D2033">
            <v>57.84</v>
          </cell>
        </row>
        <row r="2034">
          <cell r="A2034">
            <v>92420</v>
          </cell>
          <cell r="B2034" t="str">
            <v>MONTAGEM E DESMONTAGEM DE FÔRMA DE PILARES RETANGULARES E ESTRUTURAS SIMILARES COM ÁREA MÉDIA DAS SEÇÕES MENOR OU IGUAL A 0,25 M², PÉ-DIREITO DUPLO, EM CHAPA DE MADEIRA COMPENSADA RESINADA, 4 UTILIZAÇÕES. AF_12/2015</v>
          </cell>
          <cell r="C2034" t="str">
            <v>M2</v>
          </cell>
          <cell r="D2034">
            <v>77.069999999999993</v>
          </cell>
        </row>
        <row r="2035">
          <cell r="A2035">
            <v>92421</v>
          </cell>
          <cell r="B2035" t="str">
            <v>MONTAGEM E DESMONTAGEM DE FÔRMA DE PILARES RETANGULARES E ESTRUTURAS SIMILARES COM ÁREA MÉDIA DAS SEÇÕES MAIOR QUE 0,25 M², PÉ-DIREITO DUPLO, EM CHAPA DE MADEIRA COMPENSADA RESINADA, 4 UTILIZAÇÕES. AF_12/2015</v>
          </cell>
          <cell r="C2035" t="str">
            <v>M2</v>
          </cell>
          <cell r="D2035">
            <v>70.78</v>
          </cell>
        </row>
        <row r="2036">
          <cell r="A2036">
            <v>92422</v>
          </cell>
          <cell r="B2036" t="str">
            <v>MONTAGEM E DESMONTAGEM DE FÔRMA DE PILARES RETANGULARES E ESTRUTURAS SIMILARES COM ÁREA MÉDIA DAS SEÇÕES MENOR OU IGUAL A 0,25 M², PÉ-DIREITO SIMPLES, EM CHAPA DE MADEIRA COMPENSADA RESINADA, 6 UTILIZAÇÕES. AF_12/2015</v>
          </cell>
          <cell r="C2036" t="str">
            <v>M2</v>
          </cell>
          <cell r="D2036">
            <v>53.02</v>
          </cell>
        </row>
        <row r="2037">
          <cell r="A2037">
            <v>92423</v>
          </cell>
          <cell r="B2037" t="str">
            <v>MONTAGEM E DESMONTAGEM DE FÔRMA DE PILARES RETANGULARES E ESTRUTURAS SIMILARES COM ÁREA MÉDIA DAS SEÇÕES MAIOR QUE 0,25 M², PÉ-DIREITO SIMPLES, EM CHAPA DE MADEIRA COMPENSADA RESINADA, 6 UTILIZAÇÕES. AF_12/2015</v>
          </cell>
          <cell r="C2037" t="str">
            <v>M2</v>
          </cell>
          <cell r="D2037">
            <v>47.58</v>
          </cell>
        </row>
        <row r="2038">
          <cell r="A2038">
            <v>92424</v>
          </cell>
          <cell r="B2038" t="str">
            <v>MONTAGEM E DESMONTAGEM DE FÔRMA DE PILARES RETANGULARES E ESTRUTURAS SIMILARES COM ÁREA MÉDIA DAS SEÇÕES MENOR OU IGUAL A 0,25 M², PÉ-DIREITO DUPLO, EM CHAPA DE MADEIRA COMPENSADA RESINADA, 6 UTILIZAÇÕES. AF_12/2015</v>
          </cell>
          <cell r="C2038" t="str">
            <v>M2</v>
          </cell>
          <cell r="D2038">
            <v>64.3</v>
          </cell>
        </row>
        <row r="2039">
          <cell r="A2039">
            <v>92425</v>
          </cell>
          <cell r="B2039" t="str">
            <v>MONTAGEM E DESMONTAGEM DE FÔRMA DE PILARES RETANGULARES E ESTRUTURAS SIMILARES COM ÁREA MÉDIA DAS SEÇÕES MAIOR QUE 0,25 M², PÉ-DIREITO DUPLO, EM CHAPA DE MADEIRA COMPENSADA RESINADA, 6 UTILIZAÇÕES. AF_12/2015</v>
          </cell>
          <cell r="C2039" t="str">
            <v>M2</v>
          </cell>
          <cell r="D2039">
            <v>58.83</v>
          </cell>
        </row>
        <row r="2040">
          <cell r="A2040">
            <v>92426</v>
          </cell>
          <cell r="B2040" t="str">
            <v>MONTAGEM E DESMONTAGEM DE FÔRMA DE PILARES RETANGULARES E ESTRUTURAS SIMILARES COM ÁREA MÉDIA DAS SEÇÕES MENOR OU IGUAL A 0,25 M², PÉ-DIREITO SIMPLES, EM CHAPA DE MADEIRA COMPENSADA RESINADA, 8 UTILIZAÇÕES. AF_12/2015</v>
          </cell>
          <cell r="C2040" t="str">
            <v>M2</v>
          </cell>
          <cell r="D2040">
            <v>47.45</v>
          </cell>
        </row>
        <row r="2041">
          <cell r="A2041">
            <v>92427</v>
          </cell>
          <cell r="B2041" t="str">
            <v>MONTAGEM E DESMONTAGEM DE FÔRMA DE PILARES RETANGULARES E ESTRUTURAS SIMILARES COM ÁREA MÉDIA DAS SEÇÕES MAIOR QUE 0,25 M², PÉ-DIREITO SIMPLES, EM CHAPA DE MADEIRA COMPENSADA RESINADA, 8 UTILIZAÇÕES. AF_12/2015</v>
          </cell>
          <cell r="C2041" t="str">
            <v>M2</v>
          </cell>
          <cell r="D2041">
            <v>42.39</v>
          </cell>
        </row>
        <row r="2042">
          <cell r="A2042">
            <v>92428</v>
          </cell>
          <cell r="B2042" t="str">
            <v>MONTAGEM E DESMONTAGEM DE FÔRMA DE PILARES RETANGULARES E ESTRUTURAS SIMILARES COM ÁREA MÉDIA DAS SEÇÕES MENOR OU IGUAL A 0,25 M², PÉ-DIREITO DUPLO, EM CHAPA DE MADEIRA COMPENSADA RESINADA, 8 UTILIZAÇÕES. AF_12/2015</v>
          </cell>
          <cell r="C2042" t="str">
            <v>M2</v>
          </cell>
          <cell r="D2042">
            <v>57.87</v>
          </cell>
        </row>
        <row r="2043">
          <cell r="A2043">
            <v>92429</v>
          </cell>
          <cell r="B2043" t="str">
            <v>MONTAGEM E DESMONTAGEM DE FÔRMA DE PILARES RETANGULARES E ESTRUTURAS SIMILARES COM ÁREA MÉDIA DAS SEÇÕES MAIOR QUE 0,25 M², PÉ-DIREITO DUPLO, EM CHAPA DE MADEIRA COMPENSADA RESINADA, 8 UTILIZAÇÕES. AF_12/2015</v>
          </cell>
          <cell r="C2043" t="str">
            <v>M2</v>
          </cell>
          <cell r="D2043">
            <v>52.81</v>
          </cell>
        </row>
        <row r="2044">
          <cell r="A2044">
            <v>92430</v>
          </cell>
          <cell r="B2044" t="str">
            <v>MONTAGEM E DESMONTAGEM DE FÔRMA DE PILARES RETANGULARES E ESTRUTURAS SIMILARES COM ÁREA MÉDIA DAS SEÇÕES MENOR OU IGUAL A 0,25 M², PÉ-DIREITO SIMPLES, EM CHAPA DE MADEIRA COMPENSADA PLASTIFICADA, 10 UTILIZAÇÕES. AF_12/2015</v>
          </cell>
          <cell r="C2044" t="str">
            <v>M2</v>
          </cell>
          <cell r="D2044">
            <v>43.89</v>
          </cell>
        </row>
        <row r="2045">
          <cell r="A2045">
            <v>92431</v>
          </cell>
          <cell r="B2045" t="str">
            <v>MONTAGEM E DESMONTAGEM DE FÔRMA DE PILARES RETANGULARES E ESTRUTURAS SIMILARES COM ÁREA MÉDIA DAS SEÇÕES MAIOR QUE 0,25 M², PÉ-DIREITO SIMPLES, EM CHAPA DE MADEIRA COMPENSADA PLASTIFICADA, 10 UTILIZAÇÕES. AF_12/2015</v>
          </cell>
          <cell r="C2045" t="str">
            <v>M2</v>
          </cell>
          <cell r="D2045">
            <v>39.090000000000003</v>
          </cell>
        </row>
        <row r="2046">
          <cell r="A2046">
            <v>92432</v>
          </cell>
          <cell r="B2046" t="str">
            <v>MONTAGEM E DESMONTAGEM DE FÔRMA DE PILARES RETANGULARES E ESTRUTURAS SIMILARES COM ÁREA MÉDIA DAS SEÇÕES MENOR OU IGUAL A 0,25 M², PÉ-DIREITO DUPLO, EM CHAPA DE MADEIRA COMPENSADA PLASTIFICADA, 10 UTILIZAÇÕES. AF_12/2015</v>
          </cell>
          <cell r="C2046" t="str">
            <v>M2</v>
          </cell>
          <cell r="D2046">
            <v>53.79</v>
          </cell>
        </row>
        <row r="2047">
          <cell r="A2047">
            <v>92433</v>
          </cell>
          <cell r="B2047" t="str">
            <v>MONTAGEM E DESMONTAGEM DE FÔRMA DE PILARES RETANGULARES E ESTRUTURAS SIMILARES COM ÁREA MÉDIA DAS SEÇÕES MAIOR QUE 0,25 M², PÉ-DIREITO DUPLO, EM CHAPA DE MADEIRA COMPENSADA PLASTIFICADA, 10 UTILIZAÇÕES. AF_12/2015</v>
          </cell>
          <cell r="C2047" t="str">
            <v>M2</v>
          </cell>
          <cell r="D2047">
            <v>48.99</v>
          </cell>
        </row>
        <row r="2048">
          <cell r="A2048">
            <v>92434</v>
          </cell>
          <cell r="B2048" t="str">
            <v>MONTAGEM E DESMONTAGEM DE FÔRMA DE PILARES RETANGULARES E ESTRUTURAS SIMILARES COM ÁREA MÉDIA DAS SEÇÕES MENOR OU IGUAL A 0,25 M², PÉ-DIREITO SIMPLES, EM CHAPA DE MADEIRA COMPENSADA PLASTIFICADA, 12 UTILIZAÇÕES. AF_12/2015</v>
          </cell>
          <cell r="C2048" t="str">
            <v>M2</v>
          </cell>
          <cell r="D2048">
            <v>41.87</v>
          </cell>
        </row>
        <row r="2049">
          <cell r="A2049">
            <v>92435</v>
          </cell>
          <cell r="B2049" t="str">
            <v>MONTAGEM E DESMONTAGEM DE FÔRMA DE PILARES RETANGULARES E ESTRUTURAS SIMILARES COM ÁREA MÉDIA DAS SEÇÕES MAIOR QUE 0,25 M², PÉ-DIREITO SIMPLES, EM CHAPA DE MADEIRA COMPENSADA PLASTIFICADA, 12 UTILIZAÇÕES. AF_12/2015</v>
          </cell>
          <cell r="C2049" t="str">
            <v>M2</v>
          </cell>
          <cell r="D2049">
            <v>37.22</v>
          </cell>
        </row>
        <row r="2050">
          <cell r="A2050">
            <v>92436</v>
          </cell>
          <cell r="B2050" t="str">
            <v>MONTAGEM E DESMONTAGEM DE FÔRMA DE PILARES RETANGULARES E ESTRUTURAS SIMILARES COM ÁREA MÉDIA DAS SEÇÕES MENOR OU IGUAL A 0,25 M², PÉ-DIREITO DUPLO, EM CHAPA DE MADEIRA COMPENSADA PLASTIFICADA, 12 UTILIZAÇÕES. AF_12/2015</v>
          </cell>
          <cell r="C2050" t="str">
            <v>M2</v>
          </cell>
          <cell r="D2050">
            <v>51.42</v>
          </cell>
        </row>
        <row r="2051">
          <cell r="A2051">
            <v>92437</v>
          </cell>
          <cell r="B2051" t="str">
            <v>MONTAGEM E DESMONTAGEM DE FÔRMA DE PILARES RETANGULARES E ESTRUTURAS SIMILARES COM ÁREA MÉDIA DAS SEÇÕES MAIOR QUE 0,25 M², PÉ-DIREITO DUPLO, EM CHAPA DE MADEIRA COMPENSADA PLASTIFICADA, 12 UTILIZAÇÕES. AF_12/2015</v>
          </cell>
          <cell r="C2051" t="str">
            <v>M2</v>
          </cell>
          <cell r="D2051">
            <v>46.79</v>
          </cell>
        </row>
        <row r="2052">
          <cell r="A2052">
            <v>92438</v>
          </cell>
          <cell r="B2052" t="str">
            <v>MONTAGEM E DESMONTAGEM DE FÔRMA DE PILARES RETANGULARES E ESTRUTURAS SIMILARES COM ÁREA MÉDIA DAS SEÇÕES MENOR OU IGUAL A 0,25 M², PÉ-DIREITO SIMPLES, EM CHAPA DE MADEIRA COMPENSADA PLASTIFICADA, 14 UTILIZAÇÕES. AF_12/2015</v>
          </cell>
          <cell r="C2052" t="str">
            <v>M2</v>
          </cell>
          <cell r="D2052">
            <v>40.409999999999997</v>
          </cell>
        </row>
        <row r="2053">
          <cell r="A2053">
            <v>92439</v>
          </cell>
          <cell r="B2053" t="str">
            <v>MONTAGEM E DESMONTAGEM DE FÔRMA DE PILARES RETANGULARES E ESTRUTURAS SIMILARES COM ÁREA MÉDIA DAS SEÇÕES MAIOR QUE 0,25 M², PÉ-DIREITO SIMPLES, EM CHAPA DE MADEIRA COMPENSADA PLASTIFICADA, 14 UTILIZAÇÕES. AF_12/2015</v>
          </cell>
          <cell r="C2053" t="str">
            <v>M2</v>
          </cell>
          <cell r="D2053">
            <v>35.880000000000003</v>
          </cell>
        </row>
        <row r="2054">
          <cell r="A2054">
            <v>92440</v>
          </cell>
          <cell r="B2054" t="str">
            <v>MONTAGEM E DESMONTAGEM DE FÔRMA DE PILARES RETANGULARES E ESTRUTURAS SIMILARES COM ÁREA MÉDIA DAS SEÇÕES MENOR OU IGUAL A 0,25 M², PÉ-DIREITO DUPLO, EM CHAPA DE MADEIRA COMPENSADA PLASTIFICADA, 14 UTILIZAÇÕES. AF_12/2015</v>
          </cell>
          <cell r="C2054" t="str">
            <v>M2</v>
          </cell>
          <cell r="D2054">
            <v>49.69</v>
          </cell>
        </row>
        <row r="2055">
          <cell r="A2055">
            <v>92441</v>
          </cell>
          <cell r="B2055" t="str">
            <v>MONTAGEM E DESMONTAGEM DE FÔRMA DE PILARES RETANGULARES E ESTRUTURAS SIMILARES COM ÁREA MÉDIA DAS SEÇÕES MAIOR QUE 0,25 M², PÉ-DIREITO DUPLO, EM CHAPA DE MADEIRA COMPENSADA PLASTIFICADA, 14 UTILIZAÇÕES. AF_12/2015</v>
          </cell>
          <cell r="C2055" t="str">
            <v>M2</v>
          </cell>
          <cell r="D2055">
            <v>45.21</v>
          </cell>
        </row>
        <row r="2056">
          <cell r="A2056">
            <v>92442</v>
          </cell>
          <cell r="B2056" t="str">
            <v>MONTAGEM E DESMONTAGEM DE FÔRMA DE PILARES RETANGULARES E ESTRUTURAS SIMILARES COM ÁREA MÉDIA DAS SEÇÕES MENOR OU IGUAL A 0,25 M², PÉ-DIREITO SIMPLES, EM CHAPA DE MADEIRA COMPENSADA PLASTIFICADA, 18 UTILIZAÇÕES. AF_12/2015</v>
          </cell>
          <cell r="C2056" t="str">
            <v>M2</v>
          </cell>
          <cell r="D2056">
            <v>37.44</v>
          </cell>
        </row>
        <row r="2057">
          <cell r="A2057">
            <v>92443</v>
          </cell>
          <cell r="B2057" t="str">
            <v>MONTAGEM E DESMONTAGEM DE FÔRMA DE PILARES RETANGULARES E ESTRUTURAS SIMILARES COM ÁREA MÉDIA DAS SEÇÕES MAIOR QUE 0,25 M², PÉ-DIREITO SIMPLES, EM CHAPA DE MADEIRA COMPENSADA PLASTIFICADA, 18 UTILIZAÇÕES. AF_12/2015</v>
          </cell>
          <cell r="C2057" t="str">
            <v>M2</v>
          </cell>
          <cell r="D2057">
            <v>33.06</v>
          </cell>
        </row>
        <row r="2058">
          <cell r="A2058">
            <v>92444</v>
          </cell>
          <cell r="B2058" t="str">
            <v>MONTAGEM E DESMONTAGEM DE FÔRMA DE PILARES RETANGULARES E ESTRUTURAS SIMILARES COM ÁREA MÉDIA DAS SEÇÕES MENOR OU IGUAL A 0,25 M², PÉ-DIREITO DUPLO, EM CHAPA DE MADEIRA COMPENSADA PLASTIFICADA, 18 UTILIZAÇÕES. AF_12/2015</v>
          </cell>
          <cell r="C2058" t="str">
            <v>M2</v>
          </cell>
          <cell r="D2058">
            <v>46.43</v>
          </cell>
        </row>
        <row r="2059">
          <cell r="A2059">
            <v>92445</v>
          </cell>
          <cell r="B2059" t="str">
            <v>MONTAGEM E DESMONTAGEM DE FÔRMA DE PILARES RETANGULARES E ESTRUTURAS SIMILARES COM ÁREA MÉDIA DAS SEÇÕES MAIOR QUE 0,25 M², PÉ-DIREITO DUPLO, EM CHAPA DE MADEIRA COMPENSADA PLASTIFICADA, 18 UTILIZAÇÕES. AF_12/2015</v>
          </cell>
          <cell r="C2059" t="str">
            <v>M2</v>
          </cell>
          <cell r="D2059">
            <v>42.05</v>
          </cell>
        </row>
        <row r="2060">
          <cell r="A2060">
            <v>92446</v>
          </cell>
          <cell r="B2060" t="str">
            <v>MONTAGEM E DESMONTAGEM DE FÔRMA DE VIGA, ESCORAMENTO COM PONTALETE DE MADEIRA, PÉ-DIREITO SIMPLES, EM MADEIRA SERRADA, 1 UTILIZAÇÃO. AF_12/2015</v>
          </cell>
          <cell r="C2060" t="str">
            <v>M2</v>
          </cell>
          <cell r="D2060">
            <v>132.61000000000001</v>
          </cell>
        </row>
        <row r="2061">
          <cell r="A2061">
            <v>92447</v>
          </cell>
          <cell r="B2061" t="str">
            <v>MONTAGEM E DESMONTAGEM DE FÔRMA DE VIGA, ESCORAMENTO COM PONTALETE DE MADEIRA, PÉ-DIREITO SIMPLES, EM MADEIRA SERRADA, 2 UTILIZAÇÕES. AF_12/2015</v>
          </cell>
          <cell r="C2061" t="str">
            <v>M2</v>
          </cell>
          <cell r="D2061">
            <v>98.62</v>
          </cell>
        </row>
        <row r="2062">
          <cell r="A2062">
            <v>92448</v>
          </cell>
          <cell r="B2062" t="str">
            <v>MONTAGEM E DESMONTAGEM DE FÔRMA DE VIGA, ESCORAMENTO COM PONTALETE DE MADEIRA, PÉ-DIREITO SIMPLES, EM MADEIRA SERRADA, 4 UTILIZAÇÕES. AF_12/2015</v>
          </cell>
          <cell r="C2062" t="str">
            <v>M2</v>
          </cell>
          <cell r="D2062">
            <v>82.01</v>
          </cell>
        </row>
        <row r="2063">
          <cell r="A2063">
            <v>92449</v>
          </cell>
          <cell r="B2063" t="str">
            <v>MONTAGEM E DESMONTAGEM DE FÔRMA DE VIGA, ESCORAMENTO COM GARFO DE MADEIRA, PÉ-DIREITO DUPLO, EM CHAPA DE MADEIRA RESINADA, 2 UTILIZAÇÕES. AF_12/2015</v>
          </cell>
          <cell r="C2063" t="str">
            <v>M2</v>
          </cell>
          <cell r="D2063">
            <v>171.7</v>
          </cell>
        </row>
        <row r="2064">
          <cell r="A2064">
            <v>92450</v>
          </cell>
          <cell r="B2064" t="str">
            <v>MONTAGEM E DESMONTAGEM DE FÔRMA DE VIGA, ESCORAMENTO METÁLICO, PÉ-DIREITO DUPLO, EM CHAPA DE MADEIRA RESINADA, 2 UTILIZAÇÕES. AF_12/2015</v>
          </cell>
          <cell r="C2064" t="str">
            <v>M2</v>
          </cell>
          <cell r="D2064">
            <v>234.65</v>
          </cell>
        </row>
        <row r="2065">
          <cell r="A2065">
            <v>92451</v>
          </cell>
          <cell r="B2065" t="str">
            <v>MONTAGEM E DESMONTAGEM DE FÔRMA DE VIGA, ESCORAMENTO COM GARFO DE MADEIRA, PÉ-DIREITO SIMPLES, EM CHAPA DE MADEIRA RESINADA, 2 UTILIZAÇÕES. AF_12/2015</v>
          </cell>
          <cell r="C2065" t="str">
            <v>M2</v>
          </cell>
          <cell r="D2065">
            <v>117.71</v>
          </cell>
        </row>
        <row r="2066">
          <cell r="A2066">
            <v>92452</v>
          </cell>
          <cell r="B2066" t="str">
            <v>MONTAGEM E DESMONTAGEM DE FÔRMA DE VIGA, ESCORAMENTO METÁLICO, PÉ-DIREITO SIMPLES, EM CHAPA DE MADEIRA RESINADA, 2 UTILIZAÇÕES. AF_12/2015</v>
          </cell>
          <cell r="C2066" t="str">
            <v>M2</v>
          </cell>
          <cell r="D2066">
            <v>113.19</v>
          </cell>
        </row>
        <row r="2067">
          <cell r="A2067">
            <v>92453</v>
          </cell>
          <cell r="B2067" t="str">
            <v>MONTAGEM E DESMONTAGEM DE FÔRMA DE VIGA, ESCORAMENTO COM GARFO DE MADEIRA, PÉ-DIREITO DUPLO, EM CHAPA DE MADEIRA RESINADA, 4 UTILIZAÇÕES. AF_12/2015</v>
          </cell>
          <cell r="C2067" t="str">
            <v>M2</v>
          </cell>
          <cell r="D2067">
            <v>147.69999999999999</v>
          </cell>
        </row>
        <row r="2068">
          <cell r="A2068">
            <v>92454</v>
          </cell>
          <cell r="B2068" t="str">
            <v>MONTAGEM E DESMONTAGEM DE FÔRMA DE VIGA, ESCORAMENTO METÁLICO, PÉ-DIREITO DUPLO, EM CHAPA DE MADEIRA RESINADA, 4 UTILIZAÇÕES. AF_12/2015</v>
          </cell>
          <cell r="C2068" t="str">
            <v>M2</v>
          </cell>
          <cell r="D2068">
            <v>214.51</v>
          </cell>
        </row>
        <row r="2069">
          <cell r="A2069">
            <v>92455</v>
          </cell>
          <cell r="B2069" t="str">
            <v>MONTAGEM E DESMONTAGEM DE FÔRMA DE VIGA, ESCORAMENTO COM GARFO DE MADEIRA, PÉ-DIREITO SIMPLES, EM CHAPA DE MADEIRA RESINADA, 4 UTILIZAÇÕES. AF_12/2015</v>
          </cell>
          <cell r="C2069" t="str">
            <v>M2</v>
          </cell>
          <cell r="D2069">
            <v>96.96</v>
          </cell>
        </row>
        <row r="2070">
          <cell r="A2070">
            <v>92456</v>
          </cell>
          <cell r="B2070" t="str">
            <v>MONTAGEM E DESMONTAGEM DE FÔRMA DE VIGA, ESCORAMENTO METÁLICO, PÉ-DIREITO SIMPLES, EM CHAPA DE MADEIRA RESINADA, 4 UTILIZAÇÕES. AF_12/2015</v>
          </cell>
          <cell r="C2070" t="str">
            <v>M2</v>
          </cell>
          <cell r="D2070">
            <v>92.95</v>
          </cell>
        </row>
        <row r="2071">
          <cell r="A2071">
            <v>92457</v>
          </cell>
          <cell r="B2071" t="str">
            <v>MONTAGEM E DESMONTAGEM DE FÔRMA DE VIGA, ESCORAMENTO COM GARFO DE MADEIRA, PÉ-DIREITO DUPLO, EM CHAPA DE MADEIRA RESINADA, 6 UTILIZAÇÕES. AF_12/2015</v>
          </cell>
          <cell r="C2071" t="str">
            <v>M2</v>
          </cell>
          <cell r="D2071">
            <v>128.06</v>
          </cell>
        </row>
        <row r="2072">
          <cell r="A2072">
            <v>92458</v>
          </cell>
          <cell r="B2072" t="str">
            <v>MONTAGEM E DESMONTAGEM DE FÔRMA DE VIGA, ESCORAMENTO METÁLICO, PÉ-DIREITO DUPLO, EM CHAPA DE MADEIRA RESINADA, 6 UTILIZAÇÕES. AF_12/2015</v>
          </cell>
          <cell r="C2072" t="str">
            <v>M2</v>
          </cell>
          <cell r="D2072">
            <v>201.62</v>
          </cell>
        </row>
        <row r="2073">
          <cell r="A2073">
            <v>92459</v>
          </cell>
          <cell r="B2073" t="str">
            <v>MONTAGEM E DESMONTAGEM DE FÔRMA DE VIGA, ESCORAMENTO COM GARFO DE MADEIRA, PÉ-DIREITO SIMPLES, EM CHAPA DE MADEIRA RESINADA, 6 UTILIZAÇÕES. AF_12/2015</v>
          </cell>
          <cell r="C2073" t="str">
            <v>M2</v>
          </cell>
          <cell r="D2073">
            <v>82.14</v>
          </cell>
        </row>
        <row r="2074">
          <cell r="A2074">
            <v>92460</v>
          </cell>
          <cell r="B2074" t="str">
            <v>MONTAGEM E DESMONTAGEM DE FÔRMA DE VIGA, ESCORAMENTO METÁLICO, PÉ-DIREITO SIMPLES, EM CHAPA DE MADEIRA RESINADA, 6 UTILIZAÇÕES. AF_12/2015</v>
          </cell>
          <cell r="C2074" t="str">
            <v>M2</v>
          </cell>
          <cell r="D2074">
            <v>76.23</v>
          </cell>
        </row>
        <row r="2075">
          <cell r="A2075">
            <v>92461</v>
          </cell>
          <cell r="B2075" t="str">
            <v>MONTAGEM E DESMONTAGEM DE FÔRMA DE VIGA, ESCORAMENTO COM GARFO DE MADEIRA, PÉ-DIREITO DUPLO, EM CHAPA DE MADEIRA RESINADA, 8 UTILIZAÇÕES. AF_12/2015</v>
          </cell>
          <cell r="C2075" t="str">
            <v>M2</v>
          </cell>
          <cell r="D2075">
            <v>117.81</v>
          </cell>
        </row>
        <row r="2076">
          <cell r="A2076">
            <v>92462</v>
          </cell>
          <cell r="B2076" t="str">
            <v>MONTAGEM E DESMONTAGEM DE FÔRMA DE VIGA, ESCORAMENTO METÁLICO, PÉ-DIREITO DUPLO, EM CHAPA DE MADEIRA RESINADA, 8 UTILIZAÇÕES. AF_12/2015</v>
          </cell>
          <cell r="C2076" t="str">
            <v>M2</v>
          </cell>
          <cell r="D2076">
            <v>193.35</v>
          </cell>
        </row>
        <row r="2077">
          <cell r="A2077">
            <v>92463</v>
          </cell>
          <cell r="B2077" t="str">
            <v>MONTAGEM E DESMONTAGEM DE FÔRMA DE VIGA, ESCORAMENTO COM GARFO DE MADEIRA, PÉ-DIREITO SIMPLES, EM CHAPA DE MADEIRA RESINADA, 8 UTILIZAÇÕES. AF_12/2015</v>
          </cell>
          <cell r="C2077" t="str">
            <v>M2</v>
          </cell>
          <cell r="D2077">
            <v>74.2</v>
          </cell>
        </row>
        <row r="2078">
          <cell r="A2078">
            <v>92464</v>
          </cell>
          <cell r="B2078" t="str">
            <v>MONTAGEM E DESMONTAGEM DE FÔRMA DE VIGA, ESCORAMENTO METÁLICO, PÉ-DIREITO SIMPLES, EM CHAPA DE MADEIRA RESINADA, 8 UTILIZAÇÕES. AF_12/2015</v>
          </cell>
          <cell r="C2078" t="str">
            <v>M2</v>
          </cell>
          <cell r="D2078">
            <v>72.44</v>
          </cell>
        </row>
        <row r="2079">
          <cell r="A2079">
            <v>92465</v>
          </cell>
          <cell r="B2079" t="str">
            <v>MONTAGEM E DESMONTAGEM DE FÔRMA DE VIGA, ESCORAMENTO COM GARFO DE MADEIRA, PÉ-DIREITO DUPLO, EM CHAPA DE MADEIRA PLASTIFICADA, 10 UTILIZAÇÕES. AF_12/2015</v>
          </cell>
          <cell r="C2079" t="str">
            <v>M2</v>
          </cell>
          <cell r="D2079">
            <v>93.22</v>
          </cell>
        </row>
        <row r="2080">
          <cell r="A2080">
            <v>92466</v>
          </cell>
          <cell r="B2080" t="str">
            <v>MONTAGEM E DESMONTAGEM DE FÔRMA DE VIGA, ESCORAMENTO METÁLICO, PÉ-DIREITO DUPLO, EM CHAPA DE MADEIRA PLASTIFICADA, 10 UTILIZAÇÕES. AF_12/2015</v>
          </cell>
          <cell r="C2080" t="str">
            <v>M2</v>
          </cell>
          <cell r="D2080">
            <v>187.52</v>
          </cell>
        </row>
        <row r="2081">
          <cell r="A2081">
            <v>92467</v>
          </cell>
          <cell r="B2081" t="str">
            <v>MONTAGEM E DESMONTAGEM DE FÔRMA DE VIGA, ESCORAMENTO COM GARFO DE MADEIRA, PÉ-DIREITO SIMPLES, EM CHAPA DE MADEIRA PLASTIFICADA, 10 UTILIZAÇÕES. AF_12/2015</v>
          </cell>
          <cell r="C2081" t="str">
            <v>M2</v>
          </cell>
          <cell r="D2081">
            <v>60.23</v>
          </cell>
        </row>
        <row r="2082">
          <cell r="A2082">
            <v>92468</v>
          </cell>
          <cell r="B2082" t="str">
            <v>MONTAGEM E DESMONTAGEM DE FÔRMA DE VIGA, ESCORAMENTO METÁLICO, PÉ-DIREITO SIMPLES, EM CHAPA DE MADEIRA PLASTIFICADA, 10 UTILIZAÇÕES. AF_12/2015</v>
          </cell>
          <cell r="C2082" t="str">
            <v>M2</v>
          </cell>
          <cell r="D2082">
            <v>66.930000000000007</v>
          </cell>
        </row>
        <row r="2083">
          <cell r="A2083">
            <v>92469</v>
          </cell>
          <cell r="B2083" t="str">
            <v>MONTAGEM E DESMONTAGEM DE FÔRMA DE VIGA, ESCORAMENTO COM GARFO DE MADEIRA, PÉ-DIREITO DUPLO, EM CHAPA DE MADEIRA PLASTIFICADA, 12 UTILIZAÇÕES. AF_12/2015</v>
          </cell>
          <cell r="C2083" t="str">
            <v>M2</v>
          </cell>
          <cell r="D2083">
            <v>84.72</v>
          </cell>
        </row>
        <row r="2084">
          <cell r="A2084">
            <v>92470</v>
          </cell>
          <cell r="B2084" t="str">
            <v>MONTAGEM E DESMONTAGEM DE FÔRMA DE VIGA, ESCORAMENTO METÁLICO, PÉ-DIREITO DUPLO, EM CHAPA DE MADEIRA PLASTIFICADA, 12 UTILIZAÇÕES. AF_12/2015</v>
          </cell>
          <cell r="C2084" t="str">
            <v>M2</v>
          </cell>
          <cell r="D2084">
            <v>182.88</v>
          </cell>
        </row>
        <row r="2085">
          <cell r="A2085">
            <v>92471</v>
          </cell>
          <cell r="B2085" t="str">
            <v>MONTAGEM E DESMONTAGEM DE FÔRMA DE VIGA, ESCORAMENTO COM GARFO DE MADEIRA, PÉ-DIREITO SIMPLES, EM CHAPA DE MADEIRA PLASTIFICADA, 12 UTILIZAÇÕES. AF_12/2015</v>
          </cell>
          <cell r="C2085" t="str">
            <v>M2</v>
          </cell>
          <cell r="D2085">
            <v>54.79</v>
          </cell>
        </row>
        <row r="2086">
          <cell r="A2086">
            <v>92472</v>
          </cell>
          <cell r="B2086" t="str">
            <v>MONTAGEM E DESMONTAGEM DE FÔRMA DE VIGA, ESCORAMENTO METÁLICO, PÉ-DIREITO SIMPLES, EM CHAPA DE MADEIRA PLASTIFICADA, 12 UTILIZAÇÕES. AF_12/2015</v>
          </cell>
          <cell r="C2086" t="str">
            <v>M2</v>
          </cell>
          <cell r="D2086">
            <v>62.92</v>
          </cell>
        </row>
        <row r="2087">
          <cell r="A2087">
            <v>92473</v>
          </cell>
          <cell r="B2087" t="str">
            <v>MONTAGEM E DESMONTAGEM DE FÔRMA DE VIGA, ESCORAMENTO COM GARFO DE MADEIRA, PÉ-DIREITO DUPLO, EM CHAPA DE MADEIRA PLASTIFICADA, 14 UTILIZAÇÕES. AF_12/2015</v>
          </cell>
          <cell r="C2087" t="str">
            <v>M2</v>
          </cell>
          <cell r="D2087">
            <v>77.8</v>
          </cell>
        </row>
        <row r="2088">
          <cell r="A2088">
            <v>92474</v>
          </cell>
          <cell r="B2088" t="str">
            <v>MONTAGEM E DESMONTAGEM DE FÔRMA DE VIGA, ESCORAMENTO METÁLICO, PÉ-DIREITO DUPLO, EM CHAPA DE MADEIRA PLASTIFICADA, 14 UTILIZAÇÕES. AF_12/2015</v>
          </cell>
          <cell r="C2088" t="str">
            <v>M2</v>
          </cell>
          <cell r="D2088">
            <v>178.86</v>
          </cell>
        </row>
        <row r="2089">
          <cell r="A2089">
            <v>92475</v>
          </cell>
          <cell r="B2089" t="str">
            <v>MONTAGEM E DESMONTAGEM DE FÔRMA DE VIGA, ESCORAMENTO COM GARFO DE MADEIRA, PÉ-DIREITO SIMPLES, EM CHAPA DE MADEIRA PLASTIFICADA, 14 UTILIZAÇÕES. AF_12/2015</v>
          </cell>
          <cell r="C2089" t="str">
            <v>M2</v>
          </cell>
          <cell r="D2089">
            <v>50.37</v>
          </cell>
        </row>
        <row r="2090">
          <cell r="A2090">
            <v>92476</v>
          </cell>
          <cell r="B2090" t="str">
            <v>MONTAGEM E DESMONTAGEM DE FÔRMA DE VIGA, ESCORAMENTO METÁLICO, PÉ-DIREITO SIMPLES, EM CHAPA DE MADEIRA PLASTIFICADA, 14 UTILIZAÇÕES. AF_12/2015</v>
          </cell>
          <cell r="C2090" t="str">
            <v>M2</v>
          </cell>
          <cell r="D2090">
            <v>59.49</v>
          </cell>
        </row>
        <row r="2091">
          <cell r="A2091">
            <v>92477</v>
          </cell>
          <cell r="B2091" t="str">
            <v>MONTAGEM E DESMONTAGEM DE FÔRMA DE VIGA, ESCORAMENTO COM GARFO DE MADEIRA, PÉ-DIREITO DUPLO, EM CHAPA DE MADEIRA PLASTIFICADA, 18 UTILIZAÇÕES. AF_12/2015</v>
          </cell>
          <cell r="C2091" t="str">
            <v>M2</v>
          </cell>
          <cell r="D2091">
            <v>63.12</v>
          </cell>
        </row>
        <row r="2092">
          <cell r="A2092">
            <v>92478</v>
          </cell>
          <cell r="B2092" t="str">
            <v>MONTAGEM E DESMONTAGEM DE FÔRMA DE VIGA, ESCORAMENTO METÁLICO, PÉ-DIREITO DUPLO, EM CHAPA DE MADEIRA PLASTIFICADA, 18 UTILIZAÇÕES. AF_12/2015</v>
          </cell>
          <cell r="C2092" t="str">
            <v>M2</v>
          </cell>
          <cell r="D2092">
            <v>171</v>
          </cell>
        </row>
        <row r="2093">
          <cell r="A2093">
            <v>92479</v>
          </cell>
          <cell r="B2093" t="str">
            <v>MONTAGEM E DESMONTAGEM DE FÔRMA DE VIGA, ESCORAMENTO COM GARFO DE MADEIRA, PÉ-DIREITO SIMPLES, EM CHAPA DE MADEIRA PLASTIFICADA, 18 UTILIZAÇÕES. AF_12/2015</v>
          </cell>
          <cell r="C2093" t="str">
            <v>M2</v>
          </cell>
          <cell r="D2093">
            <v>40.97</v>
          </cell>
        </row>
        <row r="2094">
          <cell r="A2094">
            <v>92480</v>
          </cell>
          <cell r="B2094" t="str">
            <v>MONTAGEM E DESMONTAGEM DE FÔRMA DE VIGA, ESCORAMENTO METÁLICO, PÉ-DIREITO SIMPLES, EM CHAPA DE MADEIRA PLASTIFICADA, 18 UTILIZAÇÕES. AF_12/2015</v>
          </cell>
          <cell r="C2094" t="str">
            <v>M2</v>
          </cell>
          <cell r="D2094">
            <v>52.7</v>
          </cell>
        </row>
        <row r="2095">
          <cell r="A2095">
            <v>92481</v>
          </cell>
          <cell r="B2095" t="str">
            <v>MONTAGEM E DESMONTAGEM DE FÔRMA DE LAJE MACIÇA COM ÁREA MÉDIA MENOR OU IGUAL A 20 M², PÉ-DIREITO SIMPLES, EM MADEIRA SERRADA, 1 UTILIZAÇÃO. AF_12/2015</v>
          </cell>
          <cell r="C2095" t="str">
            <v>M2</v>
          </cell>
          <cell r="D2095">
            <v>166.92</v>
          </cell>
        </row>
        <row r="2096">
          <cell r="A2096">
            <v>92482</v>
          </cell>
          <cell r="B2096" t="str">
            <v>MONTAGEM E DESMONTAGEM DE FÔRMA DE LAJE MACIÇA COM ÁREA MÉDIA MAIOR QUE 20 M², PÉ-DIREITO SIMPLES, EM MADEIRA SERRADA, 1 UTILIZAÇÃO. AF_12/2015</v>
          </cell>
          <cell r="C2096" t="str">
            <v>M2</v>
          </cell>
          <cell r="D2096">
            <v>156.11000000000001</v>
          </cell>
        </row>
        <row r="2097">
          <cell r="A2097">
            <v>92483</v>
          </cell>
          <cell r="B2097" t="str">
            <v>MONTAGEM E DESMONTAGEM DE FÔRMA DE LAJE MACIÇA COM ÁREA MÉDIA MENOR OU IGUAL A 20 M², PÉ-DIREITO SIMPLES, EM MADEIRA SERRADA, 2 UTILIZAÇÕES. AF_12/2015</v>
          </cell>
          <cell r="C2097" t="str">
            <v>M2</v>
          </cell>
          <cell r="D2097">
            <v>132.56</v>
          </cell>
        </row>
        <row r="2098">
          <cell r="A2098">
            <v>92484</v>
          </cell>
          <cell r="B2098" t="str">
            <v>MONTAGEM E DESMONTAGEM DE FÔRMA DE LAJE MACIÇA COM ÁREA MÉDIA MAIOR QUE 20 M², PÉ-DIREITO SIMPLES, EM MADEIRA SERRADA, 2 UTILIZAÇÕES. AF_12/2015</v>
          </cell>
          <cell r="C2098" t="str">
            <v>M2</v>
          </cell>
          <cell r="D2098">
            <v>123.02</v>
          </cell>
        </row>
        <row r="2099">
          <cell r="A2099">
            <v>92485</v>
          </cell>
          <cell r="B2099" t="str">
            <v>MONTAGEM E DESMONTAGEM DE FÔRMA DE LAJE MACIÇA COM ÁREA MÉDIA MENOR OU IGUAL A 20 M², PÉ-DIREITO SIMPLES, EM MADEIRA SERRADA, 4 UTILIZAÇÕES. AF_12/2015</v>
          </cell>
          <cell r="C2099" t="str">
            <v>M2</v>
          </cell>
          <cell r="D2099">
            <v>97.93</v>
          </cell>
        </row>
        <row r="2100">
          <cell r="A2100">
            <v>92486</v>
          </cell>
          <cell r="B2100" t="str">
            <v>MONTAGEM E DESMONTAGEM DE FÔRMA DE LAJE MACIÇA COM ÁREA MÉDIA MAIOR QUE 20 M², PÉ-DIREITO SIMPLES, EM MADEIRA SERRADA, 4 UTILIZAÇÕES. AF_12/2015</v>
          </cell>
          <cell r="C2100" t="str">
            <v>M2</v>
          </cell>
          <cell r="D2100">
            <v>90.6</v>
          </cell>
        </row>
        <row r="2101">
          <cell r="A2101">
            <v>92487</v>
          </cell>
          <cell r="B2101" t="str">
            <v>MONTAGEM E DESMONTAGEM DE FÔRMA DE LAJE NERVURADA COM CUBETA E ASSOALHO COM ÁREA MÉDIA MENOR OU IGUAL A 20 M², PÉ-DIREITO DUPLO, EM CHAPA DE MADEIRA COMPENSADA RESINADA, 8 UTILIZAÇÕES. AF_12/2015</v>
          </cell>
          <cell r="C2101" t="str">
            <v>M2</v>
          </cell>
          <cell r="D2101">
            <v>73.13</v>
          </cell>
        </row>
        <row r="2102">
          <cell r="A2102">
            <v>92488</v>
          </cell>
          <cell r="B2102" t="str">
            <v>MONTAGEM E DESMONTAGEM DE FÔRMA DE LAJE NERVURADA COM CUBETA E ASSOALHO COM ÁREA MÉDIA MAIOR QUE 20 M², PÉ-DIREITO DUPLO, EM CHAPA DE MADEIRA COMPENSADA RESINADA, 8 UTILIZAÇÕES. AF_12/2015</v>
          </cell>
          <cell r="C2102" t="str">
            <v>M2</v>
          </cell>
          <cell r="D2102">
            <v>70.599999999999994</v>
          </cell>
        </row>
        <row r="2103">
          <cell r="A2103">
            <v>92489</v>
          </cell>
          <cell r="B2103" t="str">
            <v>MONTAGEM E DESMONTAGEM DE FÔRMA DE LAJE NERVURADA COM CUBETA E ASSOALHO COM ÁREA MÉDIA MENOR OU IGUAL A 20 M², PÉ-DIREITO SIMPLES, EM CHAPA DE MADEIRA COMPENSADA RESINADA, 8 UTILIZAÇÕES. AF_12/2015</v>
          </cell>
          <cell r="C2103" t="str">
            <v>M2</v>
          </cell>
          <cell r="D2103">
            <v>41.5</v>
          </cell>
        </row>
        <row r="2104">
          <cell r="A2104">
            <v>92490</v>
          </cell>
          <cell r="B2104" t="str">
            <v>MONTAGEM E DESMONTAGEM DE FÔRMA DE LAJE NERVURADA COM CUBETA E ASSOALHO COM ÁREA MÉDIA MAIOR QUE 20 M², PÉ-DIREITO SIMPLES, EM CHAPA DE MADEIRA COMPENSADA RESINADA, 8 UTILIZAÇÕES. AF_12/2015</v>
          </cell>
          <cell r="C2104" t="str">
            <v>M2</v>
          </cell>
          <cell r="D2104">
            <v>39.19</v>
          </cell>
        </row>
        <row r="2105">
          <cell r="A2105">
            <v>92491</v>
          </cell>
          <cell r="B2105" t="str">
            <v>MONTAGEM E DESMONTAGEM DE FÔRMA DE LAJE NERVURADA COM CUBETA E ASSOALHO COM ÁREA MÉDIA MENOR OU IGUAL A 20 M², PÉ-DIREITO DUPLO, EM CHAPA DE MADEIRA COMPENSADA RESINADA, 10 UTILIZAÇÕES. AF_12/2015</v>
          </cell>
          <cell r="C2105" t="str">
            <v>M2</v>
          </cell>
          <cell r="D2105">
            <v>70.67</v>
          </cell>
        </row>
        <row r="2106">
          <cell r="A2106">
            <v>92492</v>
          </cell>
          <cell r="B2106" t="str">
            <v>MONTAGEM E DESMONTAGEM DE FÔRMA DE LAJE NERVURADA COM CUBETA E ASSOALHO COM ÁREA MÉDIA MAIOR QUE 20 M², PÉ-DIREITO DUPLO, EM CHAPA DE MADEIRA COMPENSADA RESINADA, 10 UTILIZAÇÕES. AF_12/2015</v>
          </cell>
          <cell r="C2106" t="str">
            <v>M2</v>
          </cell>
          <cell r="D2106">
            <v>68.25</v>
          </cell>
        </row>
        <row r="2107">
          <cell r="A2107">
            <v>92493</v>
          </cell>
          <cell r="B2107" t="str">
            <v>MONTAGEM E DESMONTAGEM DE FÔRMA DE LAJE NERVURADA COM CUBETA E ASSOALHO COM ÁREA MÉDIA MENOR OU IGUAL A 20 M², PÉ-DIREITO SIMPLES, EM CHAPA DE MADEIRA COMPENSADA RESINADA, 10 UTILIZAÇÕES. AF_12/2015</v>
          </cell>
          <cell r="C2107" t="str">
            <v>M2</v>
          </cell>
          <cell r="D2107">
            <v>37.06</v>
          </cell>
        </row>
        <row r="2108">
          <cell r="A2108">
            <v>92494</v>
          </cell>
          <cell r="B2108" t="str">
            <v>MONTAGEM E DESMONTAGEM DE FÔRMA DE LAJE NERVURADA COM CUBETA E ASSOALHO COM ÁREA MÉDIA MAIOR QUE 20 M², PÉ-DIREITO SIMPLES, EM CHAPA DE MADEIRA COMPENSADA RESINADA, 10 UTILIZAÇÕES. AF_12/2015</v>
          </cell>
          <cell r="C2108" t="str">
            <v>M2</v>
          </cell>
          <cell r="D2108">
            <v>37.21</v>
          </cell>
        </row>
        <row r="2109">
          <cell r="A2109">
            <v>92495</v>
          </cell>
          <cell r="B2109" t="str">
            <v>MONTAGEM E DESMONTAGEM DE FÔRMA DE LAJE NERVURADA COM CUBETA E ASSOALHO COM ÁREA MÉDIA MENOR OU IGUAL A 20 M², PÉ-DIREITO DUPLO, EM CHAPA DE MADEIRA COMPENSADA RESINADA, 12 UTILIZAÇÕES. AF_12/2015</v>
          </cell>
          <cell r="C2109" t="str">
            <v>M2</v>
          </cell>
          <cell r="D2109">
            <v>68.98</v>
          </cell>
        </row>
        <row r="2110">
          <cell r="A2110">
            <v>92496</v>
          </cell>
          <cell r="B2110" t="str">
            <v>MONTAGEM E DESMONTAGEM DE FÔRMA DE LAJE NERVURADA COM CUBETA E ASSOALHO COM ÁREA MÉDIA MAIOR QUE 20 M², PÉ-DIREITO DUPLO, EM CHAPA DE MADEIRA COMPENSADA RESINADA, 12 UTILIZAÇÕES. AF_12/2015</v>
          </cell>
          <cell r="C2110" t="str">
            <v>M2</v>
          </cell>
          <cell r="D2110">
            <v>66.67</v>
          </cell>
        </row>
        <row r="2111">
          <cell r="A2111">
            <v>92497</v>
          </cell>
          <cell r="B2111" t="str">
            <v>MONTAGEM E DESMONTAGEM DE FÔRMA DE LAJE NERVURADA COM CUBETA E ASSOALHO COM ÁREA MÉDIA MENOR OU IGUAL A 20 M², PÉ-DIREITO SIMPLES, EM CHAPA DE MADEIRA COMPENSADA RESINADA, 12 UTILIZAÇÕES. AF_12/2015</v>
          </cell>
          <cell r="C2111" t="str">
            <v>M2</v>
          </cell>
          <cell r="D2111">
            <v>38.03</v>
          </cell>
        </row>
        <row r="2112">
          <cell r="A2112">
            <v>92498</v>
          </cell>
          <cell r="B2112" t="str">
            <v>MONTAGEM E DESMONTAGEM DE FÔRMA DE LAJE NERVURADA COM CUBETA E ASSOALHO COM ÁREA MÉDIA MAIOR QUE 20 M², PÉ-DIREITO SIMPLES, EM CHAPA DE MADEIRA COMPENSADA RESINADA, 12 UTILIZAÇÕES. AF_12/2015</v>
          </cell>
          <cell r="C2112" t="str">
            <v>M2</v>
          </cell>
          <cell r="D2112">
            <v>35.89</v>
          </cell>
        </row>
        <row r="2113">
          <cell r="A2113">
            <v>92499</v>
          </cell>
          <cell r="B2113" t="str">
            <v>MONTAGEM E DESMONTAGEM DE FÔRMA DE LAJE NERVURADA COM CUBETA E ASSOALHO COM ÁREA MÉDIA MENOR OU IGUAL A 20 M², PÉ-DIREITO DUPLO, EM CHAPA DE MADEIRA COMPENSADA RESINADA, 14 UTILIZAÇÕES. AF_12/2015</v>
          </cell>
          <cell r="C2113" t="str">
            <v>M2</v>
          </cell>
          <cell r="D2113">
            <v>67.98</v>
          </cell>
        </row>
        <row r="2114">
          <cell r="A2114">
            <v>92500</v>
          </cell>
          <cell r="B2114" t="str">
            <v>MONTAGEM E DESMONTAGEM DE FÔRMA DE LAJE NERVURADA COM CUBETA E ASSOALHO COM ÁREA MÉDIA MAIOR QUE 20 M², PÉ-DIREITO DUPLO, EM CHAPA DE MADEIRA COMPENSADA RESINADA, 14 UTILIZAÇÕES. AF_12/2015</v>
          </cell>
          <cell r="C2114" t="str">
            <v>M2</v>
          </cell>
          <cell r="D2114">
            <v>65.72</v>
          </cell>
        </row>
        <row r="2115">
          <cell r="A2115">
            <v>92501</v>
          </cell>
          <cell r="B2115" t="str">
            <v>MONTAGEM E DESMONTAGEM DE FÔRMA DE LAJE NERVURADA COM CUBETA E ASSOALHO COM ÁREA MÉDIA MENOR OU IGUAL A 20 M², PÉ-DIREITO SIMPLES, EM CHAPA DE MADEIRA COMPENSADA RESINADA, 14 UTILIZAÇÕES. AF_12/2015</v>
          </cell>
          <cell r="C2115" t="str">
            <v>M2</v>
          </cell>
          <cell r="D2115">
            <v>37.21</v>
          </cell>
        </row>
        <row r="2116">
          <cell r="A2116">
            <v>92502</v>
          </cell>
          <cell r="B2116" t="str">
            <v>MONTAGEM E DESMONTAGEM DE FÔRMA DE LAJE NERVURADA COM CUBETA E ASSOALHO COM ÁREA MÉDIA MAIOR QUE 20 M², PÉ-DIREITO SIMPLES, EM CHAPA DE MADEIRA COMPENSADA RESINADA, 14 UTILIZAÇÕES. AF_12/2015</v>
          </cell>
          <cell r="C2116" t="str">
            <v>M2</v>
          </cell>
          <cell r="D2116">
            <v>35.11</v>
          </cell>
        </row>
        <row r="2117">
          <cell r="A2117">
            <v>92503</v>
          </cell>
          <cell r="B2117" t="str">
            <v>MONTAGEM E DESMONTAGEM DE FÔRMA DE LAJE NERVURADA COM CUBETA E ASSOALHO COM ÁREA MÉDIA MENOR OU IGUAL A 20 M², PÉ-DIREITO DUPLO, EM CHAPA DE MADEIRA COMPENSADA RESINADA, 18 UTILIZAÇÕES. AF_12/2015</v>
          </cell>
          <cell r="C2117" t="str">
            <v>M2</v>
          </cell>
          <cell r="D2117">
            <v>66.37</v>
          </cell>
        </row>
        <row r="2118">
          <cell r="A2118">
            <v>92504</v>
          </cell>
          <cell r="B2118" t="str">
            <v>MONTAGEM E DESMONTAGEM DE FÔRMA DE LAJE NERVURADA COM CUBETA E ASSOALHO COM ÁREA MÉDIA MAIOR QUE 20 M², PÉ-DIREITO DUPLO, EM CHAPA DE MADEIRA COMPENSADA RESINADA, 18 UTILIZAÇÕES. AF_12/2015</v>
          </cell>
          <cell r="C2118" t="str">
            <v>M2</v>
          </cell>
          <cell r="D2118">
            <v>40.64</v>
          </cell>
        </row>
        <row r="2119">
          <cell r="A2119">
            <v>92505</v>
          </cell>
          <cell r="B2119" t="str">
            <v>MONTAGEM E DESMONTAGEM DE FÔRMA DE LAJE NERVURADA COM CUBETA E ASSOALHO COM ÁREA MÉDIA MENOR OU IGUAL A 20 M², PÉ-DIREITO SIMPLES, EM CHAPA DE MADEIRA COMPENSADA RESINADA, 18 UTILIZAÇÕES. AF_12/2015</v>
          </cell>
          <cell r="C2119" t="str">
            <v>M2</v>
          </cell>
          <cell r="D2119">
            <v>35.85</v>
          </cell>
        </row>
        <row r="2120">
          <cell r="A2120">
            <v>92506</v>
          </cell>
          <cell r="B2120" t="str">
            <v>MONTAGEM E DESMONTAGEM DE FÔRMA DE LAJE NERVURADA COM CUBETA E ASSOALHO COM ÁREA MÉDIA MAIOR QUE 20 M², PÉ-DIREITO SIMPLES, EM CHAPA DE MADEIRA COMPENSADA RESINADA, 18 UTILIZAÇÕES. AF_12/2015</v>
          </cell>
          <cell r="C2120" t="str">
            <v>M2</v>
          </cell>
          <cell r="D2120">
            <v>33.83</v>
          </cell>
        </row>
        <row r="2121">
          <cell r="A2121">
            <v>92507</v>
          </cell>
          <cell r="B2121" t="str">
            <v>MONTAGEM E DESMONTAGEM DE FÔRMA DE LAJE MACIÇA COM ÁREA MÉDIA MENOR OU IGUAL A 20 M², PÉ-DIREITO DUPLO, EM CHAPA DE MADEIRA COMPENSADA RESINADA, 2 UTILIZAÇÕES. AF_12/2015</v>
          </cell>
          <cell r="C2121" t="str">
            <v>M2</v>
          </cell>
          <cell r="D2121">
            <v>72.790000000000006</v>
          </cell>
        </row>
        <row r="2122">
          <cell r="A2122">
            <v>92508</v>
          </cell>
          <cell r="B2122" t="str">
            <v>MONTAGEM E DESMONTAGEM DE FÔRMA DE LAJE MACIÇA COM ÁREA MÉDIA MAIOR QUE 20 M², PÉ-DIREITO DUPLO, EM CHAPA DE MADEIRA COMPENSADA RESINADA, 2 UTILIZAÇÕES. AF_12/2015</v>
          </cell>
          <cell r="C2122" t="str">
            <v>M2</v>
          </cell>
          <cell r="D2122">
            <v>70.77</v>
          </cell>
        </row>
        <row r="2123">
          <cell r="A2123">
            <v>92509</v>
          </cell>
          <cell r="B2123" t="str">
            <v>MONTAGEM E DESMONTAGEM DE FÔRMA DE LAJE MACIÇA COM ÁREA MÉDIA MENOR OU IGUAL A 20 M², PÉ-DIREITO SIMPLES, EM CHAPA DE MADEIRA COMPENSADA RESINADA, 2 UTILIZAÇÕES. AF_12/2015</v>
          </cell>
          <cell r="C2123" t="str">
            <v>M2</v>
          </cell>
          <cell r="D2123">
            <v>37.57</v>
          </cell>
        </row>
        <row r="2124">
          <cell r="A2124">
            <v>92510</v>
          </cell>
          <cell r="B2124" t="str">
            <v>MONTAGEM E DESMONTAGEM DE FÔRMA DE LAJE MACIÇA COM ÁREA MÉDIA MAIOR QUE 20 M², PÉ-DIREITO SIMPLES, EM CHAPA DE MADEIRA COMPENSADA RESINADA, 2 UTILIZAÇÕES. AF_12/2015</v>
          </cell>
          <cell r="C2124" t="str">
            <v>M2</v>
          </cell>
          <cell r="D2124">
            <v>35.71</v>
          </cell>
        </row>
        <row r="2125">
          <cell r="A2125">
            <v>92511</v>
          </cell>
          <cell r="B2125" t="str">
            <v>MONTAGEM E DESMONTAGEM DE FÔRMA DE LAJE MACIÇA COM ÁREA MÉDIA MENOR OU IGUAL A 20 M², PÉ-DIREITO DUPLO, EM CHAPA DE MADEIRA COMPENSADA RESINADA, 4 UTILIZAÇÕES. AF_12/2015</v>
          </cell>
          <cell r="C2125" t="str">
            <v>M2</v>
          </cell>
          <cell r="D2125">
            <v>59.54</v>
          </cell>
        </row>
        <row r="2126">
          <cell r="A2126">
            <v>92512</v>
          </cell>
          <cell r="B2126" t="str">
            <v>MONTAGEM E DESMONTAGEM DE FÔRMA DE LAJE MACIÇA COM ÁREA MÉDIA MAIOR QUE 20 M², PÉ-DIREITO DUPLO, EM CHAPA DE MADEIRA COMPENSADA RESINADA, 4 UTILIZAÇÕES. AF_12/2015</v>
          </cell>
          <cell r="C2126" t="str">
            <v>M2</v>
          </cell>
          <cell r="D2126">
            <v>57.99</v>
          </cell>
        </row>
        <row r="2127">
          <cell r="A2127">
            <v>92513</v>
          </cell>
          <cell r="B2127" t="str">
            <v>MONTAGEM E DESMONTAGEM DE FÔRMA DE LAJE MACIÇA COM ÁREA MÉDIA MENOR OU IGUAL A 20 M², PÉ-DIREITO SIMPLES, EM CHAPA DE MADEIRA COMPENSADA RESINADA, 4 UTILIZAÇÕES. AF_12/2015</v>
          </cell>
          <cell r="C2127" t="str">
            <v>M2</v>
          </cell>
          <cell r="D2127">
            <v>27.03</v>
          </cell>
        </row>
        <row r="2128">
          <cell r="A2128">
            <v>92514</v>
          </cell>
          <cell r="B2128" t="str">
            <v>MONTAGEM E DESMONTAGEM DE FÔRMA DE LAJE MACIÇA COM ÁREA MÉDIA MAIOR QUE 20 M², PÉ-DIREITO SIMPLES, EM CHAPA DE MADEIRA COMPENSADA RESINADA, 4 UTILIZAÇÕES. AF_12/2015</v>
          </cell>
          <cell r="C2128" t="str">
            <v>M2</v>
          </cell>
          <cell r="D2128">
            <v>25.59</v>
          </cell>
        </row>
        <row r="2129">
          <cell r="A2129">
            <v>92515</v>
          </cell>
          <cell r="B2129" t="str">
            <v>MONTAGEM E DESMONTAGEM DE FÔRMA DE LAJE MACIÇA COM ÁREA MÉDIA MAIOR QUE 20 M², PÉ-DIREITO DUPLO, EM CHAPA DE MADEIRA COMPENSADA RESINADA, 6 UTILIZAÇÕES. AF_12/2015</v>
          </cell>
          <cell r="C2129" t="str">
            <v>M2</v>
          </cell>
          <cell r="D2129">
            <v>53.92</v>
          </cell>
        </row>
        <row r="2130">
          <cell r="A2130">
            <v>92516</v>
          </cell>
          <cell r="B2130" t="str">
            <v>MONTAGEM E DESMONTAGEM DE FÔRMA DE LAJE MACIÇA COM ÁREA MÉDIA MENOR OU IGUAL A 20 M², PÉ-DIREITO DUPLO, EM CHAPA DE MADEIRA COMPENSADA RESINADA, 6 UTILIZAÇÕES. AF_12/2015</v>
          </cell>
          <cell r="C2130" t="str">
            <v>M2</v>
          </cell>
          <cell r="D2130">
            <v>52.59</v>
          </cell>
        </row>
        <row r="2131">
          <cell r="A2131">
            <v>92517</v>
          </cell>
          <cell r="B2131" t="str">
            <v>MONTAGEM E DESMONTAGEM DE FÔRMA DE LAJE MACIÇA COM ÁREA MÉDIA MENOR OU IGUAL A 20 M², PÉ-DIREITO SIMPLES, EM CHAPA DE MADEIRA COMPENSADA RESINADA, 6 UTILIZAÇÕES. AF_12/2015</v>
          </cell>
          <cell r="C2131" t="str">
            <v>M2</v>
          </cell>
          <cell r="D2131">
            <v>22.62</v>
          </cell>
        </row>
        <row r="2132">
          <cell r="A2132">
            <v>92518</v>
          </cell>
          <cell r="B2132" t="str">
            <v>MONTAGEM E DESMONTAGEM DE FÔRMA DE LAJE MACIÇA COM ÁREA MÉDIA MAIOR QUE 20 M², PÉ-DIREITO SIMPLES, EM CHAPA DE MADEIRA COMPENSADA RESINADA, 6 UTILIZAÇÕES. AF_12/2015</v>
          </cell>
          <cell r="C2132" t="str">
            <v>M2</v>
          </cell>
          <cell r="D2132">
            <v>21.37</v>
          </cell>
        </row>
        <row r="2133">
          <cell r="A2133">
            <v>92519</v>
          </cell>
          <cell r="B2133" t="str">
            <v>MONTAGEM E DESMONTAGEM DE FÔRMA DE LAJE MACIÇA COM ÁREA MÉDIA MENOR OU IGUAL A 20 M², PÉ-DIREITO DUPLO, EM CHAPA DE MADEIRA COMPENSADA RESINADA, 8 UTILIZAÇÕES. AF_12/2015</v>
          </cell>
          <cell r="C2133" t="str">
            <v>M2</v>
          </cell>
          <cell r="D2133">
            <v>51.08</v>
          </cell>
        </row>
        <row r="2134">
          <cell r="A2134">
            <v>92520</v>
          </cell>
          <cell r="B2134" t="str">
            <v>MONTAGEM E DESMONTAGEM DE FÔRMA DE LAJE MACIÇA COM ÁREA MÉDIA MAIOR QUE 20 M², PÉ-DIREITO DUPLO, EM CHAPA DE MADEIRA COMPENSADA RESINADA, 8 UTILIZAÇÕES. AF_12/2015</v>
          </cell>
          <cell r="C2134" t="str">
            <v>M2</v>
          </cell>
          <cell r="D2134">
            <v>49.84</v>
          </cell>
        </row>
        <row r="2135">
          <cell r="A2135">
            <v>92521</v>
          </cell>
          <cell r="B2135" t="str">
            <v>MONTAGEM E DESMONTAGEM DE FÔRMA DE LAJE MACIÇA COM ÁREA MÉDIA MENOR OU IGUAL A 20 M², PÉ-DIREITO SIMPLES, EM CHAPA DE MADEIRA COMPENSADA RESINADA, 8 UTILIZAÇÕES. AF_12/2015</v>
          </cell>
          <cell r="C2135" t="str">
            <v>M2</v>
          </cell>
          <cell r="D2135">
            <v>20.37</v>
          </cell>
        </row>
        <row r="2136">
          <cell r="A2136">
            <v>92522</v>
          </cell>
          <cell r="B2136" t="str">
            <v>MONTAGEM E DESMONTAGEM DE FÔRMA DE LAJE MACIÇA COM ÁREA MÉDIA MAIOR QUE 20 M², PÉ-DIREITO SIMPLES, EM CHAPA DE MADEIRA COMPENSADA RESINADA, 8 UTILIZAÇÕES. AF_12/2015</v>
          </cell>
          <cell r="C2136" t="str">
            <v>M2</v>
          </cell>
          <cell r="D2136">
            <v>19.2</v>
          </cell>
        </row>
        <row r="2137">
          <cell r="A2137">
            <v>92523</v>
          </cell>
          <cell r="B2137" t="str">
            <v>MONTAGEM E DESMONTAGEM DE FÔRMA DE LAJE MACIÇA COM ÁREA MÉDIA MENOR OU IGUAL A 20 M², PÉ-DIREITO DUPLO, EM CHAPA DE MADEIRA COMPENSADA PLASTIFICADA, 10 UTILIZAÇÕES. AF_12/2015</v>
          </cell>
          <cell r="C2137" t="str">
            <v>M2</v>
          </cell>
          <cell r="D2137">
            <v>50.67</v>
          </cell>
        </row>
        <row r="2138">
          <cell r="A2138">
            <v>92524</v>
          </cell>
          <cell r="B2138" t="str">
            <v>MONTAGEM E DESMONTAGEM DE FÔRMA DE LAJE MACIÇA COM ÁREA MÉDIA MAIOR QUE 20 M², PÉ-DIREITO DUPLO, EM CHAPA DE MADEIRA COMPENSADA PLASTIFICADA, 10 UTILIZAÇÕES. AF_12/2015</v>
          </cell>
          <cell r="C2138" t="str">
            <v>M2</v>
          </cell>
          <cell r="D2138">
            <v>49.5</v>
          </cell>
        </row>
        <row r="2139">
          <cell r="A2139">
            <v>92525</v>
          </cell>
          <cell r="B2139" t="str">
            <v>MONTAGEM E DESMONTAGEM DE FÔRMA DE LAJE MACIÇA COM ÁREA MÉDIA MENOR OU IGUAL A 20 M², PÉ-DIREITO SIMPLES, EM CHAPA DE MADEIRA COMPENSADA PLASTIFICADA, 10 UTILIZAÇÕES. AF_12/2015</v>
          </cell>
          <cell r="C2139" t="str">
            <v>M2</v>
          </cell>
          <cell r="D2139">
            <v>20.34</v>
          </cell>
        </row>
        <row r="2140">
          <cell r="A2140">
            <v>92526</v>
          </cell>
          <cell r="B2140" t="str">
            <v>MONTAGEM E DESMONTAGEM DE FÔRMA DE LAJE MACIÇA COM ÁREA MÉDIA MAIOR QUE 20 M², PÉ-DIREITO SIMPLES, EM CHAPA DE MADEIRA COMPENSADA PLASTIFICADA, 10 UTILIZAÇÕES. AF_12/2015</v>
          </cell>
          <cell r="C2140" t="str">
            <v>M2</v>
          </cell>
          <cell r="D2140">
            <v>19.22</v>
          </cell>
        </row>
        <row r="2141">
          <cell r="A2141">
            <v>92527</v>
          </cell>
          <cell r="B2141" t="str">
            <v>MONTAGEM E DESMONTAGEM DE FÔRMA DE LAJE MACIÇA COM ÁREA MÉDIA MENOR OU IGUAL A 20 M², PÉ-DIREITO DUPLO, EM CHAPA DE MADEIRA COMPENSADA PLASTIFICADA, 12 UTILIZAÇÕES. AF_12/2015</v>
          </cell>
          <cell r="C2141" t="str">
            <v>M2</v>
          </cell>
          <cell r="D2141">
            <v>49.48</v>
          </cell>
        </row>
        <row r="2142">
          <cell r="A2142">
            <v>92528</v>
          </cell>
          <cell r="B2142" t="str">
            <v>MONTAGEM E DESMONTAGEM DE FÔRMA DE LAJE MACIÇA COM ÁREA MÉDIA MAIOR QUE 20 M², PÉ-DIREITO DUPLO, EM CHAPA DE MADEIRA COMPENSADA PLASTIFICADA, 12 UTILIZAÇÕES. AF_12/2015</v>
          </cell>
          <cell r="C2142" t="str">
            <v>M2</v>
          </cell>
          <cell r="D2142">
            <v>48.35</v>
          </cell>
        </row>
        <row r="2143">
          <cell r="A2143">
            <v>92529</v>
          </cell>
          <cell r="B2143" t="str">
            <v>MONTAGEM E DESMONTAGEM DE FÔRMA DE LAJE MACIÇA COM ÁREA MÉDIA MENOR OU IGUAL A 20 M², PÉ-DIREITO SIMPLES, EM CHAPA DE MADEIRA COMPENSADA PLASTIFICADA, 12 UTILIZAÇÕES. AF_12/2015</v>
          </cell>
          <cell r="C2143" t="str">
            <v>M2</v>
          </cell>
          <cell r="D2143">
            <v>19.36</v>
          </cell>
        </row>
        <row r="2144">
          <cell r="A2144">
            <v>92530</v>
          </cell>
          <cell r="B2144" t="str">
            <v>MONTAGEM E DESMONTAGEM DE FÔRMA DE LAJE MACIÇA COM ÁREA MÉDIA MAIOR QUE 20 M², PÉ-DIREITO SIMPLES, EM CHAPA DE MADEIRA COMPENSADA PLASTIFICADA, 12 UTILIZAÇÕES. AF_12/2015</v>
          </cell>
          <cell r="C2144" t="str">
            <v>M2</v>
          </cell>
          <cell r="D2144">
            <v>18.28</v>
          </cell>
        </row>
        <row r="2145">
          <cell r="A2145">
            <v>92531</v>
          </cell>
          <cell r="B2145" t="str">
            <v>MONTAGEM E DESMONTAGEM DE FÔRMA DE LAJE MACIÇA COM ÁREA MÉDIA MENOR OU IGUAL A 20 M², PÉ-DIREITO DUPLO, EM CHAPA DE MADEIRA COMPENSADA PLASTIFICADA, 14 UTILIZAÇÕES. AF_12/2015</v>
          </cell>
          <cell r="C2145" t="str">
            <v>M2</v>
          </cell>
          <cell r="D2145">
            <v>48.59</v>
          </cell>
        </row>
        <row r="2146">
          <cell r="A2146">
            <v>92532</v>
          </cell>
          <cell r="B2146" t="str">
            <v>MONTAGEM E DESMONTAGEM DE FÔRMA DE LAJE MACIÇA COM ÁREA MÉDIA MAIOR QUE 20 M², PÉ-DIREITO DUPLO, EM CHAPA DE MADEIRA COMPENSADA PLASTIFICADA, 14 UTILIZAÇÕES. AF_12/2015</v>
          </cell>
          <cell r="C2146" t="str">
            <v>M2</v>
          </cell>
          <cell r="D2146">
            <v>47.46</v>
          </cell>
        </row>
        <row r="2147">
          <cell r="A2147">
            <v>92533</v>
          </cell>
          <cell r="B2147" t="str">
            <v>MONTAGEM E DESMONTAGEM DE FÔRMA DE LAJE MACIÇA COM ÁREA MÉDIA MENOR OU IGUAL A 20 M², PÉ-DIREITO SIMPLES, EM CHAPA DE MADEIRA COMPENSADA PLASTIFICADA, 14 UTILIZAÇÕES. AF_12/2015</v>
          </cell>
          <cell r="C2147" t="str">
            <v>M2</v>
          </cell>
          <cell r="D2147">
            <v>18.63</v>
          </cell>
        </row>
        <row r="2148">
          <cell r="A2148">
            <v>92534</v>
          </cell>
          <cell r="B2148" t="str">
            <v>MONTAGEM E DESMONTAGEM DE FÔRMA DE LAJE MACIÇA COM ÁREA MÉDIA MAIOR QUE 20 M², PÉ-DIREITO SIMPLES, EM CHAPA DE MADEIRA COMPENSADA PLASTIFICADA, 14 UTILIZAÇÕES. AF_12/2015</v>
          </cell>
          <cell r="C2148" t="str">
            <v>M2</v>
          </cell>
          <cell r="D2148">
            <v>17.62</v>
          </cell>
        </row>
        <row r="2149">
          <cell r="A2149">
            <v>92535</v>
          </cell>
          <cell r="B2149" t="str">
            <v>MONTAGEM E DESMONTAGEM DE FÔRMA DE LAJE MACIÇA COM ÁREA MÉDIA MENOR OU IGUAL A 20 M², PÉ-DIREITO DUPLO, EM CHAPA DE MADEIRA COMPENSADA PLASTIFICADA, 18 UTILIZAÇÕES. AF_12/2015</v>
          </cell>
          <cell r="C2149" t="str">
            <v>M2</v>
          </cell>
          <cell r="D2149">
            <v>46.99</v>
          </cell>
        </row>
        <row r="2150">
          <cell r="A2150">
            <v>92536</v>
          </cell>
          <cell r="B2150" t="str">
            <v>MONTAGEM E DESMONTAGEM DE FÔRMA DE LAJE MACIÇA COM ÁREA MÉDIA MAIOR QUE 20 M², PÉ-DIREITO DUPLO, EM CHAPA DE MADEIRA COMPENSADA PLASTIFICADA, 18 UTILIZAÇÕES. AF_12/2015</v>
          </cell>
          <cell r="C2150" t="str">
            <v>M2</v>
          </cell>
          <cell r="D2150">
            <v>45.91</v>
          </cell>
        </row>
        <row r="2151">
          <cell r="A2151">
            <v>92537</v>
          </cell>
          <cell r="B2151" t="str">
            <v>MONTAGEM E DESMONTAGEM DE FÔRMA DE LAJE MACIÇA COM ÁREA MÉDIA MENOR OU IGUAL A 20 M², PÉ-DIREITO SIMPLES, EM CHAPA DE MADEIRA COMPENSADA PLASTIFICADA, 18 UTILIZAÇÕES. AF_12/2015</v>
          </cell>
          <cell r="C2151" t="str">
            <v>M2</v>
          </cell>
          <cell r="D2151">
            <v>17.25</v>
          </cell>
        </row>
        <row r="2152">
          <cell r="A2152">
            <v>92538</v>
          </cell>
          <cell r="B2152" t="str">
            <v>MONTAGEM E DESMONTAGEM DE FÔRMA DE LAJE MACIÇA COM ÁREA MÉDIA MAIOR QUE 20 M², PÉ-DIREITO SIMPLES, EM CHAPA DE MADEIRA COMPENSADA PLASTIFICADA, 18 UTILIZAÇÕES. AF_12/2015</v>
          </cell>
          <cell r="C2152" t="str">
            <v>M2</v>
          </cell>
          <cell r="D2152">
            <v>16.260000000000002</v>
          </cell>
        </row>
        <row r="2153">
          <cell r="A2153">
            <v>95934</v>
          </cell>
          <cell r="B2153" t="str">
            <v>FABRICAÇÃO DE FÔRMA PARA ESCADAS, COM 2 LANCES, EM CHAPA DE MADEIRA COMPENSADA PLASTIFICADA, E=18 MM. AF_01/2017</v>
          </cell>
          <cell r="C2153" t="str">
            <v>M2</v>
          </cell>
          <cell r="D2153">
            <v>119.34</v>
          </cell>
        </row>
        <row r="2154">
          <cell r="A2154">
            <v>95935</v>
          </cell>
          <cell r="B2154" t="str">
            <v>FABRICAÇÃO DE FÔRMA PARA ESCADAS, COM 2 LANCES, EM CHAPA DE MADEIRA COMPENSADA RESINADA, E= 17 MM. AF_01/2017</v>
          </cell>
          <cell r="C2154" t="str">
            <v>M2</v>
          </cell>
          <cell r="D2154">
            <v>99.2</v>
          </cell>
        </row>
        <row r="2155">
          <cell r="A2155">
            <v>95936</v>
          </cell>
          <cell r="B2155" t="str">
            <v>FABRICAÇÃO DE FÔRMA PARA ESCADAS, COM 2 LANCES, EM MADEIRA SERRADA, E=25 MM. AF_01/2017</v>
          </cell>
          <cell r="C2155" t="str">
            <v>M2</v>
          </cell>
          <cell r="D2155">
            <v>87.63</v>
          </cell>
        </row>
        <row r="2156">
          <cell r="A2156">
            <v>95937</v>
          </cell>
          <cell r="B2156" t="str">
            <v>MONTAGEM E DESMONTAGEM DE FÔRMA PARA ESCADAS, COM 2 LANCES, EM MADEIRA SERRADA, 1 UTILIZAÇÃO. AF_01/2017</v>
          </cell>
          <cell r="C2156" t="str">
            <v>M2</v>
          </cell>
          <cell r="D2156">
            <v>244.79</v>
          </cell>
        </row>
        <row r="2157">
          <cell r="A2157">
            <v>95938</v>
          </cell>
          <cell r="B2157" t="str">
            <v>MONTAGEM E DESMONTAGEM DE FÔRMA PARA ESCADAS, COM 2 LANCES, EM MADEIRA SERRADA, 2 UTILIZAÇÕES. AF_01/2017</v>
          </cell>
          <cell r="C2157" t="str">
            <v>M2</v>
          </cell>
          <cell r="D2157">
            <v>202.9</v>
          </cell>
        </row>
        <row r="2158">
          <cell r="A2158">
            <v>95939</v>
          </cell>
          <cell r="B2158" t="str">
            <v>MONTAGEM E DESMONTAGEM DE FÔRMA PARA ESCADAS, COM 2 LANCES, EM CHAPA DE MADEIRA COMPENSADA RESINADA, 4 UTILIZAÇÕES. AF_01/2017</v>
          </cell>
          <cell r="C2158" t="str">
            <v>M2</v>
          </cell>
          <cell r="D2158">
            <v>158.22</v>
          </cell>
        </row>
        <row r="2159">
          <cell r="A2159">
            <v>95940</v>
          </cell>
          <cell r="B2159" t="str">
            <v>MONTAGEM E DESMONTAGEM DE FÔRMA PARA ESCADAS, COM 2 LANCES, EM CHAPA DE MADEIRA COMPENSADA PLASTIFICADA, 6 UTILIZAÇÕES. AF_01/2017</v>
          </cell>
          <cell r="C2159" t="str">
            <v>M2</v>
          </cell>
          <cell r="D2159">
            <v>129.84</v>
          </cell>
        </row>
        <row r="2160">
          <cell r="A2160">
            <v>95941</v>
          </cell>
          <cell r="B2160" t="str">
            <v>MONTAGEM E DESMONTAGEM DE FÔRMA PARA ESCADAS, COM 2 LANCES, EM CHAPA DE MADEIRA COMPENSADA PLASTIFICADA, 8 UTILIZAÇÕES. AF_01/2017</v>
          </cell>
          <cell r="C2160" t="str">
            <v>M2</v>
          </cell>
          <cell r="D2160">
            <v>114.56</v>
          </cell>
        </row>
        <row r="2161">
          <cell r="A2161">
            <v>95942</v>
          </cell>
          <cell r="B2161" t="str">
            <v>MONTAGEM E DESMONTAGEM DE FÔRMA PARA ESCADAS, COM 2 LANCES, EM CHAPA DE MADEIRA COMPENSADA PLASTIFICADA, 10 UTILIZAÇÕES. AF_01/2017</v>
          </cell>
          <cell r="C2161" t="str">
            <v>M2</v>
          </cell>
          <cell r="D2161">
            <v>105.03</v>
          </cell>
        </row>
        <row r="2162">
          <cell r="A2162">
            <v>96252</v>
          </cell>
          <cell r="B2162" t="str">
            <v>FABRICAÇÃO DE FÔRMA PARA PILARES CIRCULARES, EM CHAPA DE MADEIRA COMPENSADA RESINADA. AF_06/2017</v>
          </cell>
          <cell r="C2162" t="str">
            <v>M2</v>
          </cell>
          <cell r="D2162">
            <v>151.58000000000001</v>
          </cell>
        </row>
        <row r="2163">
          <cell r="A2163">
            <v>96257</v>
          </cell>
          <cell r="B2163" t="str">
            <v>MONTAGEM E DESMONTAGEM DE FÔRMA DE PILARES CIRCULARES, COM ÁREA MÉDIA DAS SEÇÕES MENOR OU IGUAL A 0,28 M², PÉ-DIREITO SIMPLES, EM MADEIRA, 2 UTILIZAÇÕES. AF_06/2017</v>
          </cell>
          <cell r="C2163" t="str">
            <v>M2</v>
          </cell>
          <cell r="D2163">
            <v>132.54</v>
          </cell>
        </row>
        <row r="2164">
          <cell r="A2164">
            <v>96258</v>
          </cell>
          <cell r="B2164" t="str">
            <v>MONTAGEM E DESMONTAGEM DE FÔRMA DE PILARES CIRCULARES, COM ÁREA MÉDIA DAS SEÇÕES MAIOR QUE 0,28 M², PÉ-DIREITO SIMPLES, EM MADEIRA, 2 UTILIZAÇÕES. AF_06/2017</v>
          </cell>
          <cell r="C2164" t="str">
            <v>M2</v>
          </cell>
          <cell r="D2164">
            <v>123.55</v>
          </cell>
        </row>
        <row r="2165">
          <cell r="A2165">
            <v>96259</v>
          </cell>
          <cell r="B2165" t="str">
            <v>MONTAGEM E DESMONTAGEM DE FÔRMA DE PILARES CIRCULARES, COM ÁREA MÉDIA DAS SEÇÕES MENOR OU IGUAL A 0,28 M², PÉ-DIREITO DUPLO, EM MADEIRA, 2 UTILIZAÇÕES. AF_06/2017</v>
          </cell>
          <cell r="C2165" t="str">
            <v>M2</v>
          </cell>
          <cell r="D2165">
            <v>150.46</v>
          </cell>
        </row>
        <row r="2166">
          <cell r="A2166">
            <v>96529</v>
          </cell>
          <cell r="B2166" t="str">
            <v>FABRICAÇÃO, MONTAGEM E DESMONTAGEM DE FÔRMA PARA SAPATA, EM MADEIRA SERRADA, E=25 MM, 1 UTILIZAÇÃO. AF_06/2017</v>
          </cell>
          <cell r="C2166" t="str">
            <v>M2</v>
          </cell>
          <cell r="D2166">
            <v>195.1</v>
          </cell>
        </row>
        <row r="2167">
          <cell r="A2167">
            <v>96530</v>
          </cell>
          <cell r="B2167" t="str">
            <v>FABRICAÇÃO, MONTAGEM E DESMONTAGEM DE FÔRMA PARA VIGA BALDRAME, EM MADEIRA SERRADA, E=25 MM, 1 UTILIZAÇÃO. AF_06/2017</v>
          </cell>
          <cell r="C2167" t="str">
            <v>M2</v>
          </cell>
          <cell r="D2167">
            <v>92.03</v>
          </cell>
        </row>
        <row r="2168">
          <cell r="A2168">
            <v>96531</v>
          </cell>
          <cell r="B2168" t="str">
            <v>FABRICAÇÃO, MONTAGEM E DESMONTAGEM DE FÔRMA PARA BLOCO DE COROAMENTO, EM MADEIRA SERRADA, E=25 MM, 2 UTILIZAÇÕES. AF_06/2017</v>
          </cell>
          <cell r="C2168" t="str">
            <v>M2</v>
          </cell>
          <cell r="D2168">
            <v>70.989999999999995</v>
          </cell>
        </row>
        <row r="2169">
          <cell r="A2169">
            <v>96532</v>
          </cell>
          <cell r="B2169" t="str">
            <v>FABRICAÇÃO, MONTAGEM E DESMONTAGEM DE FÔRMA PARA SAPATA, EM MADEIRA SERRADA, E=25 MM, 2 UTILIZAÇÕES. AF_06/2017</v>
          </cell>
          <cell r="C2169" t="str">
            <v>M2</v>
          </cell>
          <cell r="D2169">
            <v>130.35</v>
          </cell>
        </row>
        <row r="2170">
          <cell r="A2170">
            <v>96533</v>
          </cell>
          <cell r="B2170" t="str">
            <v>FABRICAÇÃO, MONTAGEM E DESMONTAGEM DE FÔRMA PARA VIGA BALDRAME, EM MADEIRA SERRADA, E=25 MM, 2 UTILIZAÇÕES. AF_06/2017</v>
          </cell>
          <cell r="C2170" t="str">
            <v>M2</v>
          </cell>
          <cell r="D2170">
            <v>61.19</v>
          </cell>
        </row>
        <row r="2171">
          <cell r="A2171">
            <v>96534</v>
          </cell>
          <cell r="B2171" t="str">
            <v>FABRICAÇÃO, MONTAGEM E DESMONTAGEM DE FÔRMA PARA BLOCO DE COROAMENTO, EM MADEIRA SERRADA, E=25 MM, 4 UTILIZAÇÕES. AF_06/2017</v>
          </cell>
          <cell r="C2171" t="str">
            <v>M2</v>
          </cell>
          <cell r="D2171">
            <v>53.75</v>
          </cell>
        </row>
        <row r="2172">
          <cell r="A2172">
            <v>96535</v>
          </cell>
          <cell r="B2172" t="str">
            <v>FABRICAÇÃO, MONTAGEM E DESMONTAGEM DE FÔRMA PARA SAPATA, EM MADEIRA SERRADA, E=25 MM, 4 UTILIZAÇÕES. AF_06/2017</v>
          </cell>
          <cell r="C2172" t="str">
            <v>M2</v>
          </cell>
          <cell r="D2172">
            <v>96.61</v>
          </cell>
        </row>
        <row r="2173">
          <cell r="A2173">
            <v>96536</v>
          </cell>
          <cell r="B2173" t="str">
            <v>FABRICAÇÃO, MONTAGEM E DESMONTAGEM DE FÔRMA PARA VIGA BALDRAME, EM MADEIRA SERRADA, E=25 MM, 4 UTILIZAÇÕES. AF_06/2017</v>
          </cell>
          <cell r="C2173" t="str">
            <v>M2</v>
          </cell>
          <cell r="D2173">
            <v>45.13</v>
          </cell>
        </row>
        <row r="2174">
          <cell r="A2174">
            <v>96537</v>
          </cell>
          <cell r="B2174" t="str">
            <v>FABRICAÇÃO, MONTAGEM E DESMONTAGEM DE FÔRMA PARA BLOCO DE COROAMENTO, EM CHAPA DE MADEIRA COMPENSADA RESINADA, E=17 MM, 2 UTILIZAÇÕES. AF_06/2017</v>
          </cell>
          <cell r="C2174" t="str">
            <v>M2</v>
          </cell>
          <cell r="D2174">
            <v>119.38</v>
          </cell>
        </row>
        <row r="2175">
          <cell r="A2175">
            <v>96538</v>
          </cell>
          <cell r="B2175" t="str">
            <v>FABRICAÇÃO, MONTAGEM E DESMONTAGEM DE FÔRMA PARA SAPATA, EM CHAPA DE MADEIRA COMPENSADA RESINADA, E=17 MM, 2 UTILIZAÇÕES. AF_06/2017</v>
          </cell>
          <cell r="C2175" t="str">
            <v>M2</v>
          </cell>
          <cell r="D2175">
            <v>188.68</v>
          </cell>
        </row>
        <row r="2176">
          <cell r="A2176">
            <v>96539</v>
          </cell>
          <cell r="B2176" t="str">
            <v>FABRICAÇÃO, MONTAGEM E DESMONTAGEM DE FÔRMA PARA VIGA BALDRAME, EM CHAPA DE MADEIRA COMPENSADA RESINADA, E=17 MM, 2 UTILIZAÇÕES. AF_06/2017</v>
          </cell>
          <cell r="C2176" t="str">
            <v>M2</v>
          </cell>
          <cell r="D2176">
            <v>83.9</v>
          </cell>
        </row>
        <row r="2177">
          <cell r="A2177">
            <v>96540</v>
          </cell>
          <cell r="B2177" t="str">
            <v>FABRICAÇÃO, MONTAGEM E DESMONTAGEM DE FÔRMA PARA BLOCO DE COROAMENTO, EM CHAPA DE MADEIRA COMPENSADA RESINADA, E=17 MM, 4 UTILIZAÇÕES. AF_06/2017</v>
          </cell>
          <cell r="C2177" t="str">
            <v>M2</v>
          </cell>
          <cell r="D2177">
            <v>86.79</v>
          </cell>
        </row>
        <row r="2178">
          <cell r="A2178">
            <v>96541</v>
          </cell>
          <cell r="B2178" t="str">
            <v>FABRICAÇÃO, MONTAGEM E DESMONTAGEM DE FÔRMA PARA SAPATA, EM CHAPA DE MADEIRA COMPENSADA RESINADA, E=17 MM, 4 UTILIZAÇÕES. AF_06/2017</v>
          </cell>
          <cell r="C2178" t="str">
            <v>M2</v>
          </cell>
          <cell r="D2178">
            <v>135.59</v>
          </cell>
        </row>
        <row r="2179">
          <cell r="A2179">
            <v>96542</v>
          </cell>
          <cell r="B2179" t="str">
            <v>FABRICAÇÃO, MONTAGEM E DESMONTAGEM DE FÔRMA PARA VIGA BALDRAME, EM CHAPA DE MADEIRA COMPENSADA RESINADA, E=17 MM, 4 UTILIZAÇÕES. AF_06/2017</v>
          </cell>
          <cell r="C2179" t="str">
            <v>M2</v>
          </cell>
          <cell r="D2179">
            <v>64.48</v>
          </cell>
        </row>
        <row r="2180">
          <cell r="A2180">
            <v>96543</v>
          </cell>
          <cell r="B2180" t="str">
            <v>ARMAÇÃO DE BLOCO, VIGA BALDRAME E SAPATA UTILIZANDO AÇO CA-60 DE 5 MM - MONTAGEM. AF_06/2017</v>
          </cell>
          <cell r="C2180" t="str">
            <v>KG</v>
          </cell>
          <cell r="D2180">
            <v>12.39</v>
          </cell>
        </row>
        <row r="2181">
          <cell r="A2181">
            <v>97747</v>
          </cell>
          <cell r="B2181" t="str">
            <v>MONTAGEM E DESMONTAGEM DE FÔRMA DE PILARES CIRCULARES, COM ÁREA MÉDIA DAS SEÇÕES MAIOR QUE 0,28 M², PÉ-DIREITO DUPLO, EM MADEIRA, 2 UTILIZAÇÕES.  AF_06/2017</v>
          </cell>
          <cell r="C2181" t="str">
            <v>M2</v>
          </cell>
          <cell r="D2181">
            <v>138.94999999999999</v>
          </cell>
        </row>
        <row r="2182">
          <cell r="A2182" t="str">
            <v>73771/1</v>
          </cell>
          <cell r="B2182" t="str">
            <v>PROTENSAO DE TIRANTES DE BARRA DE ACO CA-50 EXCL MATERIAIS</v>
          </cell>
          <cell r="C2182" t="str">
            <v>UN</v>
          </cell>
          <cell r="D2182">
            <v>21.87</v>
          </cell>
        </row>
        <row r="2183">
          <cell r="A2183" t="str">
            <v>73990/1</v>
          </cell>
          <cell r="B2183" t="str">
            <v>ARMACAO ACO CA-50 P/1,0M3 DE CONCRETO</v>
          </cell>
          <cell r="C2183" t="str">
            <v>UN</v>
          </cell>
          <cell r="D2183">
            <v>562.87</v>
          </cell>
        </row>
        <row r="2184">
          <cell r="A2184">
            <v>85662</v>
          </cell>
          <cell r="B2184" t="str">
            <v>ARMACAO EM TELA DE ACO SOLDADA NERVURADA Q-92, ACO CA-60, 4,2MM, MALHA 15X15CM</v>
          </cell>
          <cell r="C2184" t="str">
            <v>M2</v>
          </cell>
          <cell r="D2184">
            <v>12.11</v>
          </cell>
        </row>
        <row r="2185">
          <cell r="A2185">
            <v>89996</v>
          </cell>
          <cell r="B2185" t="str">
            <v>ARMAÇÃO VERTICAL DE ALVENARIA ESTRUTURAL; DIÂMETRO DE 10,0 MM. AF_01/2015</v>
          </cell>
          <cell r="C2185" t="str">
            <v>KG</v>
          </cell>
          <cell r="D2185">
            <v>6.92</v>
          </cell>
        </row>
        <row r="2186">
          <cell r="A2186">
            <v>89997</v>
          </cell>
          <cell r="B2186" t="str">
            <v>ARMAÇÃO VERTICAL DE ALVENARIA ESTRUTURAL; DIÂMETRO DE 12,5 MM. AF_01/2015</v>
          </cell>
          <cell r="C2186" t="str">
            <v>KG</v>
          </cell>
          <cell r="D2186">
            <v>5.97</v>
          </cell>
        </row>
        <row r="2187">
          <cell r="A2187">
            <v>89998</v>
          </cell>
          <cell r="B2187" t="str">
            <v>ARMAÇÃO DE CINTA DE ALVENARIA ESTRUTURAL; DIÂMETRO DE 10,0 MM. AF_01/2015</v>
          </cell>
          <cell r="C2187" t="str">
            <v>KG</v>
          </cell>
          <cell r="D2187">
            <v>6.49</v>
          </cell>
        </row>
        <row r="2188">
          <cell r="A2188">
            <v>89999</v>
          </cell>
          <cell r="B2188" t="str">
            <v>ARMAÇÃO DE VERGA E CONTRAVERGA DE ALVENARIA ESTRUTURAL; DIÂMETRO DE 8,0 MM. AF_01/2015</v>
          </cell>
          <cell r="C2188" t="str">
            <v>KG</v>
          </cell>
          <cell r="D2188">
            <v>10.62</v>
          </cell>
        </row>
        <row r="2189">
          <cell r="A2189">
            <v>90000</v>
          </cell>
          <cell r="B2189" t="str">
            <v>ARMAÇÃO DE VERGA E CONTRAVERGA DE ALVENARIA ESTRUTURAL; DIÂMETRO DE 10,0 MM. AF_01/2015</v>
          </cell>
          <cell r="C2189" t="str">
            <v>KG</v>
          </cell>
          <cell r="D2189">
            <v>8.01</v>
          </cell>
        </row>
        <row r="2190">
          <cell r="A2190">
            <v>91593</v>
          </cell>
          <cell r="B2190" t="str">
            <v>ARMAÇÃO DO SISTEMA DE PAREDES DE CONCRETO, EXECUTADA EM PAREDES DE EDIFICAÇÕES DE MÚLTIPLOS PAVIMENTOS, TELA Q-138. AF_06/2019</v>
          </cell>
          <cell r="C2190" t="str">
            <v>KG</v>
          </cell>
          <cell r="D2190">
            <v>8.02</v>
          </cell>
        </row>
        <row r="2191">
          <cell r="A2191">
            <v>91594</v>
          </cell>
          <cell r="B2191" t="str">
            <v>ARMAÇÃO DO SISTEMA DE PAREDES DE CONCRETO, EXECUTADA EM PAREDES DE EDIFICAÇÕES TÉRREAS OU DE MÚLTIPLOS PAVIMENTOS, TELA Q-92. AF_06/2019</v>
          </cell>
          <cell r="C2191" t="str">
            <v>KG</v>
          </cell>
          <cell r="D2191">
            <v>8.34</v>
          </cell>
        </row>
        <row r="2192">
          <cell r="A2192">
            <v>91595</v>
          </cell>
          <cell r="B2192" t="str">
            <v>ARMAÇÃO DO SISTEMA DE PAREDES DE CONCRETO, EXECUTADA EM PAREDES DE EDIFICAÇÕES TÉRREAS, TELA Q-61. AF_06/2019</v>
          </cell>
          <cell r="C2192" t="str">
            <v>KG</v>
          </cell>
          <cell r="D2192">
            <v>9.18</v>
          </cell>
        </row>
        <row r="2193">
          <cell r="A2193">
            <v>91596</v>
          </cell>
          <cell r="B2193" t="str">
            <v>ARMAÇÃO DO SISTEMA DE PAREDES DE CONCRETO, EXECUTADA COMO ARMADURA POSITIVA DE LAJES, TELA Q-138. AF_06/2019</v>
          </cell>
          <cell r="C2193" t="str">
            <v>KG</v>
          </cell>
          <cell r="D2193">
            <v>8.25</v>
          </cell>
        </row>
        <row r="2194">
          <cell r="A2194">
            <v>91597</v>
          </cell>
          <cell r="B2194" t="str">
            <v>ARMAÇÃO DO SISTEMA DE PAREDES DE CONCRETO, EXECUTADA COMO ARMADURA NEGATIVA DE LAJES, TELA T-196. AF_06/2019</v>
          </cell>
          <cell r="C2194" t="str">
            <v>KG</v>
          </cell>
          <cell r="D2194">
            <v>5.75</v>
          </cell>
        </row>
        <row r="2195">
          <cell r="A2195">
            <v>91598</v>
          </cell>
          <cell r="B2195" t="str">
            <v>ARMAÇÃO DO SISTEMA DE PAREDES DE CONCRETO, EXECUTADA COMO ARMADURA POSITIVA DE LAJES, TELA Q-113. AF_06/2019</v>
          </cell>
          <cell r="C2195" t="str">
            <v>KG</v>
          </cell>
          <cell r="D2195">
            <v>8.14</v>
          </cell>
        </row>
        <row r="2196">
          <cell r="A2196">
            <v>91599</v>
          </cell>
          <cell r="B2196" t="str">
            <v>ARMAÇÃO DO SISTEMA DE PAREDES DE CONCRETO, EXECUTADA COMO ARMADURA NEGATIVA DE LAJES, TELA L-159. AF_06/2019</v>
          </cell>
          <cell r="C2196" t="str">
            <v>KG</v>
          </cell>
          <cell r="D2196">
            <v>8.74</v>
          </cell>
        </row>
        <row r="2197">
          <cell r="A2197">
            <v>91600</v>
          </cell>
          <cell r="B2197" t="str">
            <v>ARMAÇÃO DO SISTEMA DE PAREDES DE CONCRETO, EXECUTADA EM PLATIBANDAS, TELA Q-92. AF_06/2019</v>
          </cell>
          <cell r="C2197" t="str">
            <v>KG</v>
          </cell>
          <cell r="D2197">
            <v>10.17</v>
          </cell>
        </row>
        <row r="2198">
          <cell r="A2198">
            <v>91601</v>
          </cell>
          <cell r="B2198" t="str">
            <v>ARMAÇÃO DO SISTEMA DE PAREDES DE CONCRETO, EXECUTADA COMO REFORÇO, VERGALHÃO DE 6,3 MM DE DIÂMETRO. AF_06/2019</v>
          </cell>
          <cell r="C2198" t="str">
            <v>KG</v>
          </cell>
          <cell r="D2198">
            <v>7.8</v>
          </cell>
        </row>
        <row r="2199">
          <cell r="A2199">
            <v>91602</v>
          </cell>
          <cell r="B2199" t="str">
            <v>ARMAÇÃO DO SISTEMA DE PAREDES DE CONCRETO, EXECUTADA COMO REFORÇO, VERGALHÃO DE 8,0 MM DE DIÂMETRO. AF_06/2019</v>
          </cell>
          <cell r="C2199" t="str">
            <v>KG</v>
          </cell>
          <cell r="D2199">
            <v>7.73</v>
          </cell>
        </row>
        <row r="2200">
          <cell r="A2200">
            <v>91603</v>
          </cell>
          <cell r="B2200" t="str">
            <v>ARMAÇÃO DO SISTEMA DE PAREDES DE CONCRETO, EXECUTADA COMO REFORÇO, VERGALHÃO DE 10,0 MM DE DIÂMETRO. AF_06/2019</v>
          </cell>
          <cell r="C2200" t="str">
            <v>KG</v>
          </cell>
          <cell r="D2200">
            <v>6.71</v>
          </cell>
        </row>
        <row r="2201">
          <cell r="A2201">
            <v>92759</v>
          </cell>
          <cell r="B2201" t="str">
            <v>ARMAÇÃO DE PILAR OU VIGA DE UMA ESTRUTURA CONVENCIONAL DE CONCRETO ARMADO EM UM EDIFÍCIO DE MÚLTIPLOS PAVIMENTOS UTILIZANDO AÇO CA-60 DE 5,0 MM - MONTAGEM. AF_12/2015</v>
          </cell>
          <cell r="C2201" t="str">
            <v>KG</v>
          </cell>
          <cell r="D2201">
            <v>10.19</v>
          </cell>
        </row>
        <row r="2202">
          <cell r="A2202">
            <v>92760</v>
          </cell>
          <cell r="B2202" t="str">
            <v>ARMAÇÃO DE PILAR OU VIGA DE UMA ESTRUTURA CONVENCIONAL DE CONCRETO ARMADO EM UM EDIFÍCIO DE MÚLTIPLOS PAVIMENTOS UTILIZANDO AÇO CA-50 DE 6,3 MM - MONTAGEM. AF_12/2015</v>
          </cell>
          <cell r="C2202" t="str">
            <v>KG</v>
          </cell>
          <cell r="D2202">
            <v>9.02</v>
          </cell>
        </row>
        <row r="2203">
          <cell r="A2203">
            <v>92761</v>
          </cell>
          <cell r="B2203" t="str">
            <v>ARMAÇÃO DE PILAR OU VIGA DE UMA ESTRUTURA CONVENCIONAL DE CONCRETO ARMADO EM UM EDIFÍCIO DE MÚLTIPLOS PAVIMENTOS UTILIZANDO AÇO CA-50 DE 8,0 MM - MONTAGEM. AF_12/2015</v>
          </cell>
          <cell r="C2203" t="str">
            <v>KG</v>
          </cell>
          <cell r="D2203">
            <v>8.91</v>
          </cell>
        </row>
        <row r="2204">
          <cell r="A2204">
            <v>92762</v>
          </cell>
          <cell r="B2204" t="str">
            <v>ARMAÇÃO DE PILAR OU VIGA DE UMA ESTRUTURA CONVENCIONAL DE CONCRETO ARMADO EM UM EDIFÍCIO DE MÚLTIPLOS PAVIMENTOS UTILIZANDO AÇO CA-50 DE 10,0 MM - MONTAGEM. AF_12/2015</v>
          </cell>
          <cell r="C2204" t="str">
            <v>KG</v>
          </cell>
          <cell r="D2204">
            <v>7.3</v>
          </cell>
        </row>
        <row r="2205">
          <cell r="A2205">
            <v>92763</v>
          </cell>
          <cell r="B2205" t="str">
            <v>ARMAÇÃO DE PILAR OU VIGA DE UMA ESTRUTURA CONVENCIONAL DE CONCRETO ARMADO EM UM EDIFÍCIO DE MÚLTIPLOS PAVIMENTOS UTILIZANDO AÇO CA-50 DE 12,5 MM - MONTAGEM. AF_12/2015</v>
          </cell>
          <cell r="C2205" t="str">
            <v>KG</v>
          </cell>
          <cell r="D2205">
            <v>6.56</v>
          </cell>
        </row>
        <row r="2206">
          <cell r="A2206">
            <v>92764</v>
          </cell>
          <cell r="B2206" t="str">
            <v>ARMAÇÃO DE PILAR OU VIGA DE UMA ESTRUTURA CONVENCIONAL DE CONCRETO ARMADO EM UM EDIFÍCIO DE MÚLTIPLOS PAVIMENTOS UTILIZANDO AÇO CA-50 DE 16,0 MM - MONTAGEM. AF_12/2015</v>
          </cell>
          <cell r="C2206" t="str">
            <v>KG</v>
          </cell>
          <cell r="D2206">
            <v>6.17</v>
          </cell>
        </row>
        <row r="2207">
          <cell r="A2207">
            <v>92765</v>
          </cell>
          <cell r="B2207" t="str">
            <v>ARMAÇÃO DE PILAR OU VIGA DE UMA ESTRUTURA CONVENCIONAL DE CONCRETO ARMADO EM UM EDIFÍCIO DE MÚLTIPLOS PAVIMENTOS UTILIZANDO AÇO CA-50 DE 20,0 MM - MONTAGEM. AF_12/2015</v>
          </cell>
          <cell r="C2207" t="str">
            <v>KG</v>
          </cell>
          <cell r="D2207">
            <v>5.72</v>
          </cell>
        </row>
        <row r="2208">
          <cell r="A2208">
            <v>92766</v>
          </cell>
          <cell r="B2208" t="str">
            <v>ARMAÇÃO DE PILAR OU VIGA DE UMA ESTRUTURA CONVENCIONAL DE CONCRETO ARMADO EM UM EDIFÍCIO DE MÚLTIPLOS PAVIMENTOS UTILIZANDO AÇO CA-50 DE 25,0 MM - MONTAGEM. AF_12/2015</v>
          </cell>
          <cell r="C2208" t="str">
            <v>KG</v>
          </cell>
          <cell r="D2208">
            <v>6.32</v>
          </cell>
        </row>
        <row r="2209">
          <cell r="A2209">
            <v>92767</v>
          </cell>
          <cell r="B2209" t="str">
            <v>ARMAÇÃO DE LAJE DE UMA ESTRUTURA CONVENCIONAL DE CONCRETO ARMADO EM UM EDIFÍCIO DE MÚLTIPLOS PAVIMENTOS UTILIZANDO AÇO CA-60 DE 4,2 MM - MONTAGEM. AF_12/2015</v>
          </cell>
          <cell r="C2209" t="str">
            <v>KG</v>
          </cell>
          <cell r="D2209">
            <v>10.35</v>
          </cell>
        </row>
        <row r="2210">
          <cell r="A2210">
            <v>92768</v>
          </cell>
          <cell r="B2210" t="str">
            <v>ARMAÇÃO DE LAJE DE UMA ESTRUTURA CONVENCIONAL DE CONCRETO ARMADO EM UM EDIFÍCIO DE MÚLTIPLOS PAVIMENTOS UTILIZANDO AÇO CA-60 DE 5,0 MM - MONTAGEM. AF_12/2015</v>
          </cell>
          <cell r="C2210" t="str">
            <v>KG</v>
          </cell>
          <cell r="D2210">
            <v>9.0299999999999994</v>
          </cell>
        </row>
        <row r="2211">
          <cell r="A2211">
            <v>92769</v>
          </cell>
          <cell r="B2211" t="str">
            <v>ARMAÇÃO DE LAJE DE UMA ESTRUTURA CONVENCIONAL DE CONCRETO ARMADO EM UM EDIFÍCIO DE MÚLTIPLOS PAVIMENTOS UTILIZANDO AÇO CA-50 DE 6,3 MM - MONTAGEM. AF_12/2015</v>
          </cell>
          <cell r="C2211" t="str">
            <v>KG</v>
          </cell>
          <cell r="D2211">
            <v>8.14</v>
          </cell>
        </row>
        <row r="2212">
          <cell r="A2212">
            <v>92770</v>
          </cell>
          <cell r="B2212" t="str">
            <v>ARMAÇÃO DE LAJE DE UMA ESTRUTURA CONVENCIONAL DE CONCRETO ARMADO EM UM EDIFÍCIO DE MÚLTIPLOS PAVIMENTOS UTILIZANDO AÇO CA-50 DE 8,0 MM - MONTAGEM. AF_12/2015</v>
          </cell>
          <cell r="C2212" t="str">
            <v>KG</v>
          </cell>
          <cell r="D2212">
            <v>8.25</v>
          </cell>
        </row>
        <row r="2213">
          <cell r="A2213">
            <v>92771</v>
          </cell>
          <cell r="B2213" t="str">
            <v>ARMAÇÃO DE LAJE DE UMA ESTRUTURA CONVENCIONAL DE CONCRETO ARMADO EM UM EDIFÍCIO DE MÚLTIPLOS PAVIMENTOS UTILIZANDO AÇO CA-50 DE 10,0 MM - MONTAGEM. AF_12/2015</v>
          </cell>
          <cell r="C2213" t="str">
            <v>KG</v>
          </cell>
          <cell r="D2213">
            <v>6.77</v>
          </cell>
        </row>
        <row r="2214">
          <cell r="A2214">
            <v>92772</v>
          </cell>
          <cell r="B2214" t="str">
            <v>ARMAÇÃO DE LAJE DE UMA ESTRUTURA CONVENCIONAL DE CONCRETO ARMADO EM UM EDIFÍCIO DE MÚLTIPLOS PAVIMENTOS UTILIZANDO AÇO CA-50 DE 12,5 MM - MONTAGEM. AF_12/2015</v>
          </cell>
          <cell r="C2214" t="str">
            <v>KG</v>
          </cell>
          <cell r="D2214">
            <v>6.17</v>
          </cell>
        </row>
        <row r="2215">
          <cell r="A2215">
            <v>92773</v>
          </cell>
          <cell r="B2215" t="str">
            <v>ARMAÇÃO DE LAJE DE UMA ESTRUTURA CONVENCIONAL DE CONCRETO ARMADO EM UM EDIFÍCIO DE MÚLTIPLOS PAVIMENTOS UTILIZANDO AÇO CA-50 DE 16,0 MM - MONTAGEM. AF_12/2015</v>
          </cell>
          <cell r="C2215" t="str">
            <v>KG</v>
          </cell>
          <cell r="D2215">
            <v>5.9</v>
          </cell>
        </row>
        <row r="2216">
          <cell r="A2216">
            <v>92774</v>
          </cell>
          <cell r="B2216" t="str">
            <v>ARMAÇÃO DE LAJE DE UMA ESTRUTURA CONVENCIONAL DE CONCRETO ARMADO EM UM EDIFÍCIO DE MÚLTIPLOS PAVIMENTOS UTILIZANDO AÇO CA-50 DE 20,0 MM - MONTAGEM. AF_12/2015</v>
          </cell>
          <cell r="C2216" t="str">
            <v>KG</v>
          </cell>
          <cell r="D2216">
            <v>5.51</v>
          </cell>
        </row>
        <row r="2217">
          <cell r="A2217">
            <v>92775</v>
          </cell>
          <cell r="B2217" t="str">
            <v>ARMAÇÃO DE PILAR OU VIGA DE UMA ESTRUTURA CONVENCIONAL DE CONCRETO ARMADO EM UMA EDIFICAÇÃO TÉRREA OU SOBRADO UTILIZANDO AÇO CA-60 DE 5,0 MM - MONTAGEM. AF_12/2015</v>
          </cell>
          <cell r="C2217" t="str">
            <v>KG</v>
          </cell>
          <cell r="D2217">
            <v>12.46</v>
          </cell>
        </row>
        <row r="2218">
          <cell r="A2218">
            <v>92776</v>
          </cell>
          <cell r="B2218" t="str">
            <v>ARMAÇÃO DE PILAR OU VIGA DE UMA ESTRUTURA CONVENCIONAL DE CONCRETO ARMADO EM UMA EDIFICAÇÃO TÉRREA OU SOBRADO UTILIZANDO AÇO CA-50 DE 6,3 MM - MONTAGEM. AF_12/2015</v>
          </cell>
          <cell r="C2218" t="str">
            <v>KG</v>
          </cell>
          <cell r="D2218">
            <v>10.75</v>
          </cell>
        </row>
        <row r="2219">
          <cell r="A2219">
            <v>92777</v>
          </cell>
          <cell r="B2219" t="str">
            <v>ARMAÇÃO DE PILAR OU VIGA DE UMA ESTRUTURA CONVENCIONAL DE CONCRETO ARMADO EM UMA EDIFICAÇÃO TÉRREA OU SOBRADO UTILIZANDO AÇO CA-50 DE 8,0 MM - MONTAGEM. AF_12/2015</v>
          </cell>
          <cell r="C2219" t="str">
            <v>KG</v>
          </cell>
          <cell r="D2219">
            <v>10.210000000000001</v>
          </cell>
        </row>
        <row r="2220">
          <cell r="A2220">
            <v>92778</v>
          </cell>
          <cell r="B2220" t="str">
            <v>ARMAÇÃO DE PILAR OU VIGA DE UMA ESTRUTURA CONVENCIONAL DE CONCRETO ARMADO EM UMA EDIFICAÇÃO TÉRREA OU SOBRADO UTILIZANDO AÇO CA-50 DE 10,0 MM - MONTAGEM. AF_12/2015</v>
          </cell>
          <cell r="C2220" t="str">
            <v>KG</v>
          </cell>
          <cell r="D2220">
            <v>8.27</v>
          </cell>
        </row>
        <row r="2221">
          <cell r="A2221">
            <v>92779</v>
          </cell>
          <cell r="B2221" t="str">
            <v>ARMAÇÃO DE PILAR OU VIGA DE UMA ESTRUTURA CONVENCIONAL DE CONCRETO ARMADO EM UMA EDIFICAÇÃO TÉRREA OU SOBRADO UTILIZANDO AÇO CA-50 DE 12,5 MM - MONTAGEM. AF_12/2015</v>
          </cell>
          <cell r="C2221" t="str">
            <v>KG</v>
          </cell>
          <cell r="D2221">
            <v>7.27</v>
          </cell>
        </row>
        <row r="2222">
          <cell r="A2222">
            <v>92780</v>
          </cell>
          <cell r="B2222" t="str">
            <v>ARMAÇÃO DE PILAR OU VIGA DE UMA ESTRUTURA CONVENCIONAL DE CONCRETO ARMADO EM UMA EDIFICAÇÃO TÉRREA OU SOBRADO UTILIZANDO AÇO CA-50 DE 16,0 MM - MONTAGEM. AF_12/2015</v>
          </cell>
          <cell r="C2222" t="str">
            <v>KG</v>
          </cell>
          <cell r="D2222">
            <v>6.65</v>
          </cell>
        </row>
        <row r="2223">
          <cell r="A2223">
            <v>92781</v>
          </cell>
          <cell r="B2223" t="str">
            <v>ARMAÇÃO DE PILAR OU VIGA DE UMA ESTRUTURA CONVENCIONAL DE CONCRETO ARMADO EM UMA EDIFICAÇÃO TÉRREA OU SOBRADO UTILIZANDO AÇO CA-50 DE 20,0 MM - MONTAGEM. AF_12/2015</v>
          </cell>
          <cell r="C2223" t="str">
            <v>KG</v>
          </cell>
          <cell r="D2223">
            <v>6.03</v>
          </cell>
        </row>
        <row r="2224">
          <cell r="A2224">
            <v>92782</v>
          </cell>
          <cell r="B2224" t="str">
            <v>ARMAÇÃO DE PILAR OU VIGA DE UMA ESTRUTURA CONVENCIONAL DE CONCRETO ARMADO EM UMA EDIFICAÇÃO TÉRREA OU SOBRADO UTILIZANDO AÇO CA-50 DE 25,0 MM - MONTAGEM. AF_12/2015</v>
          </cell>
          <cell r="C2224" t="str">
            <v>KG</v>
          </cell>
          <cell r="D2224">
            <v>6.5</v>
          </cell>
        </row>
        <row r="2225">
          <cell r="A2225">
            <v>92783</v>
          </cell>
          <cell r="B2225" t="str">
            <v>ARMAÇÃO DE LAJE DE UMA ESTRUTURA CONVENCIONAL DE CONCRETO ARMADO EM UMA EDIFICAÇÃO TÉRREA OU SOBRADO UTILIZANDO AÇO CA-60 DE 4,2 MM - MONTAGEM. AF_12/2015</v>
          </cell>
          <cell r="C2225" t="str">
            <v>KG</v>
          </cell>
          <cell r="D2225">
            <v>12.28</v>
          </cell>
        </row>
        <row r="2226">
          <cell r="A2226">
            <v>92784</v>
          </cell>
          <cell r="B2226" t="str">
            <v>ARMAÇÃO DE LAJE DE UMA ESTRUTURA CONVENCIONAL DE CONCRETO ARMADO EM UMA EDIFICAÇÃO TÉRREA OU SOBRADO UTILIZANDO AÇO CA-60 DE 5,0 MM - MONTAGEM. AF_12/2015</v>
          </cell>
          <cell r="C2226" t="str">
            <v>KG</v>
          </cell>
          <cell r="D2226">
            <v>10.6</v>
          </cell>
        </row>
        <row r="2227">
          <cell r="A2227">
            <v>92785</v>
          </cell>
          <cell r="B2227" t="str">
            <v>ARMAÇÃO DE LAJE DE UMA ESTRUTURA CONVENCIONAL DE CONCRETO ARMADO EM UMA EDIFICAÇÃO TÉRREA OU SOBRADO UTILIZANDO AÇO CA-50 DE 6,3 MM - MONTAGEM. AF_12/2015</v>
          </cell>
          <cell r="C2227" t="str">
            <v>KG</v>
          </cell>
          <cell r="D2227">
            <v>9.32</v>
          </cell>
        </row>
        <row r="2228">
          <cell r="A2228">
            <v>92786</v>
          </cell>
          <cell r="B2228" t="str">
            <v>ARMAÇÃO DE LAJE DE UMA ESTRUTURA CONVENCIONAL DE CONCRETO ARMADO EM UMA EDIFICAÇÃO TÉRREA OU SOBRADO UTILIZANDO AÇO CA-50 DE 8,0 MM - MONTAGEM. AF_12/2015</v>
          </cell>
          <cell r="C2228" t="str">
            <v>KG</v>
          </cell>
          <cell r="D2228">
            <v>9.11</v>
          </cell>
        </row>
        <row r="2229">
          <cell r="A2229">
            <v>92787</v>
          </cell>
          <cell r="B2229" t="str">
            <v>ARMAÇÃO DE LAJE DE UMA ESTRUTURA CONVENCIONAL DE CONCRETO ARMADO EM UMA EDIFICAÇÃO TÉRREA OU SOBRADO UTILIZANDO AÇO CA-50 DE 10,0 MM - MONTAGEM. AF_12/2015</v>
          </cell>
          <cell r="C2229" t="str">
            <v>KG</v>
          </cell>
          <cell r="D2229">
            <v>7.4</v>
          </cell>
        </row>
        <row r="2230">
          <cell r="A2230">
            <v>92788</v>
          </cell>
          <cell r="B2230" t="str">
            <v>ARMAÇÃO DE LAJE DE UMA ESTRUTURA CONVENCIONAL DE CONCRETO ARMADO EM UMA EDIFICAÇÃO TÉRREA OU SOBRADO UTILIZANDO AÇO CA-50 DE 12,5 MM - MONTAGEM. AF_12/2015</v>
          </cell>
          <cell r="C2230" t="str">
            <v>KG</v>
          </cell>
          <cell r="D2230">
            <v>6.62</v>
          </cell>
        </row>
        <row r="2231">
          <cell r="A2231">
            <v>92789</v>
          </cell>
          <cell r="B2231" t="str">
            <v>ARMAÇÃO DE LAJE DE UMA ESTRUTURA CONVENCIONAL DE CONCRETO ARMADO EM UMA EDIFICAÇÃO TÉRREA OU SOBRADO UTILIZANDO AÇO CA-50 DE 16,0 MM - MONTAGEM. AF_12/2015</v>
          </cell>
          <cell r="C2231" t="str">
            <v>KG</v>
          </cell>
          <cell r="D2231">
            <v>6.19</v>
          </cell>
        </row>
        <row r="2232">
          <cell r="A2232">
            <v>92790</v>
          </cell>
          <cell r="B2232" t="str">
            <v>ARMAÇÃO DE LAJE DE UMA ESTRUTURA CONVENCIONAL DE CONCRETO ARMADO EM UMA EDIFICAÇÃO TÉRREA OU SOBRADO UTILIZANDO AÇO CA-50 DE 20,0 MM - MONTAGEM. AF_12/2015</v>
          </cell>
          <cell r="C2232" t="str">
            <v>KG</v>
          </cell>
          <cell r="D2232">
            <v>5.69</v>
          </cell>
        </row>
        <row r="2233">
          <cell r="A2233">
            <v>92791</v>
          </cell>
          <cell r="B2233" t="str">
            <v>CORTE E DOBRA DE AÇO CA-60, DIÂMETRO DE 5,0 MM, UTILIZADO EM ESTRUTURAS DIVERSAS, EXCETO LAJES. AF_12/2015</v>
          </cell>
          <cell r="C2233" t="str">
            <v>KG</v>
          </cell>
          <cell r="D2233">
            <v>6.94</v>
          </cell>
        </row>
        <row r="2234">
          <cell r="A2234">
            <v>92792</v>
          </cell>
          <cell r="B2234" t="str">
            <v>CORTE E DOBRA DE AÇO CA-50, DIÂMETRO DE 6,3 MM, UTILIZADO EM ESTRUTURAS DIVERSAS, EXCETO LAJES. AF_12/2015</v>
          </cell>
          <cell r="C2234" t="str">
            <v>KG</v>
          </cell>
          <cell r="D2234">
            <v>6.46</v>
          </cell>
        </row>
        <row r="2235">
          <cell r="A2235">
            <v>92793</v>
          </cell>
          <cell r="B2235" t="str">
            <v>CORTE E DOBRA DE AÇO CA-50, DIÂMETRO DE 8,0 MM, UTILIZADO EM ESTRUTURAS DIVERSAS, EXCETO LAJES. AF_12/2015</v>
          </cell>
          <cell r="C2235" t="str">
            <v>KG</v>
          </cell>
          <cell r="D2235">
            <v>6.93</v>
          </cell>
        </row>
        <row r="2236">
          <cell r="A2236">
            <v>92794</v>
          </cell>
          <cell r="B2236" t="str">
            <v>CORTE E DOBRA DE AÇO CA-50, DIÂMETRO DE 10,0 MM, UTILIZADO EM ESTRUTURAS DIVERSAS, EXCETO LAJES. AF_12/2015</v>
          </cell>
          <cell r="C2236" t="str">
            <v>KG</v>
          </cell>
          <cell r="D2236">
            <v>5.75</v>
          </cell>
        </row>
        <row r="2237">
          <cell r="A2237">
            <v>92795</v>
          </cell>
          <cell r="B2237" t="str">
            <v>CORTE E DOBRA DE AÇO CA-50, DIÂMETRO DE 12,5 MM, UTILIZADO EM ESTRUTURAS DIVERSAS, EXCETO LAJES. AF_12/2015</v>
          </cell>
          <cell r="C2237" t="str">
            <v>KG</v>
          </cell>
          <cell r="D2237">
            <v>5.36</v>
          </cell>
        </row>
        <row r="2238">
          <cell r="A2238">
            <v>92796</v>
          </cell>
          <cell r="B2238" t="str">
            <v>CORTE E DOBRA DE AÇO CA-50, DIÂMETRO DE 16,0 MM, UTILIZADO EM ESTRUTURAS DIVERSAS, EXCETO LAJES. AF_12/2015</v>
          </cell>
          <cell r="C2238" t="str">
            <v>KG</v>
          </cell>
          <cell r="D2238">
            <v>5.28</v>
          </cell>
        </row>
        <row r="2239">
          <cell r="A2239">
            <v>92797</v>
          </cell>
          <cell r="B2239" t="str">
            <v>CORTE E DOBRA DE AÇO CA-50, DIÂMETRO DE 20,0 MM, UTILIZADO EM ESTRUTURAS DIVERSAS, EXCETO LAJES. AF_12/2015</v>
          </cell>
          <cell r="C2239" t="str">
            <v>KG</v>
          </cell>
          <cell r="D2239">
            <v>5.04</v>
          </cell>
        </row>
        <row r="2240">
          <cell r="A2240">
            <v>92798</v>
          </cell>
          <cell r="B2240" t="str">
            <v>CORTE E DOBRA DE AÇO CA-50, DIÂMETRO DE 25,0 MM, UTILIZADO EM ESTRUTURAS DIVERSAS, EXCETO LAJES. AF_12/2015</v>
          </cell>
          <cell r="C2240" t="str">
            <v>KG</v>
          </cell>
          <cell r="D2240">
            <v>5.81</v>
          </cell>
        </row>
        <row r="2241">
          <cell r="A2241">
            <v>92799</v>
          </cell>
          <cell r="B2241" t="str">
            <v>CORTE E DOBRA DE AÇO CA-60, DIÂMETRO DE 4,2 MM, UTILIZADO EM LAJE. AF_12/2015</v>
          </cell>
          <cell r="C2241" t="str">
            <v>KG</v>
          </cell>
          <cell r="D2241">
            <v>7.31</v>
          </cell>
        </row>
        <row r="2242">
          <cell r="A2242">
            <v>92800</v>
          </cell>
          <cell r="B2242" t="str">
            <v>CORTE E DOBRA DE AÇO CA-60, DIÂMETRO DE 5,0 MM, UTILIZADO EM LAJE. AF_12/2015</v>
          </cell>
          <cell r="C2242" t="str">
            <v>KG</v>
          </cell>
          <cell r="D2242">
            <v>6.52</v>
          </cell>
        </row>
        <row r="2243">
          <cell r="A2243">
            <v>92801</v>
          </cell>
          <cell r="B2243" t="str">
            <v>CORTE E DOBRA DE AÇO CA-50, DIÂMETRO DE 6,3 MM, UTILIZADO EM LAJE. AF_12/2015</v>
          </cell>
          <cell r="C2243" t="str">
            <v>KG</v>
          </cell>
          <cell r="D2243">
            <v>6.21</v>
          </cell>
        </row>
        <row r="2244">
          <cell r="A2244">
            <v>92802</v>
          </cell>
          <cell r="B2244" t="str">
            <v>CORTE E DOBRA DE AÇO CA-50, DIÂMETRO DE 8,0 MM, UTILIZADO EM LAJE. AF_12/2015</v>
          </cell>
          <cell r="C2244" t="str">
            <v>KG</v>
          </cell>
          <cell r="D2244">
            <v>6.79</v>
          </cell>
        </row>
        <row r="2245">
          <cell r="A2245">
            <v>92803</v>
          </cell>
          <cell r="B2245" t="str">
            <v>CORTE E DOBRA DE AÇO CA-50, DIÂMETRO DE 10,0 MM, UTILIZADO EM LAJE. AF_12/2015</v>
          </cell>
          <cell r="C2245" t="str">
            <v>KG</v>
          </cell>
          <cell r="D2245">
            <v>5.66</v>
          </cell>
        </row>
        <row r="2246">
          <cell r="A2246">
            <v>92804</v>
          </cell>
          <cell r="B2246" t="str">
            <v>CORTE E DOBRA DE AÇO CA-50, DIÂMETRO DE 12,5 MM, UTILIZADO EM LAJE. AF_12/2015</v>
          </cell>
          <cell r="C2246" t="str">
            <v>KG</v>
          </cell>
          <cell r="D2246">
            <v>5.31</v>
          </cell>
        </row>
        <row r="2247">
          <cell r="A2247">
            <v>92805</v>
          </cell>
          <cell r="B2247" t="str">
            <v>CORTE E DOBRA DE AÇO CA-50, DIÂMETRO DE 16,0 MM, UTILIZADO EM LAJE. AF_12/2015</v>
          </cell>
          <cell r="C2247" t="str">
            <v>KG</v>
          </cell>
          <cell r="D2247">
            <v>5.26</v>
          </cell>
        </row>
        <row r="2248">
          <cell r="A2248">
            <v>92806</v>
          </cell>
          <cell r="B2248" t="str">
            <v>CORTE E DOBRA DE AÇO CA-50, DIÂMETRO DE 20,0 MM, UTILIZADO EM LAJE. AF_12/2015</v>
          </cell>
          <cell r="C2248" t="str">
            <v>KG</v>
          </cell>
          <cell r="D2248">
            <v>5.0199999999999996</v>
          </cell>
        </row>
        <row r="2249">
          <cell r="A2249">
            <v>92875</v>
          </cell>
          <cell r="B2249" t="str">
            <v>CORTE E DOBRA DE AÇO CA-25, DIÂMETRO DE 6,3 MM. AF_12/2015</v>
          </cell>
          <cell r="C2249" t="str">
            <v>KG</v>
          </cell>
          <cell r="D2249">
            <v>5.92</v>
          </cell>
        </row>
        <row r="2250">
          <cell r="A2250">
            <v>92876</v>
          </cell>
          <cell r="B2250" t="str">
            <v>CORTE E DOBRA DE AÇO CA-25, DIÂMETRO DE 8,0 MM. AF_12/2015</v>
          </cell>
          <cell r="C2250" t="str">
            <v>KG</v>
          </cell>
          <cell r="D2250">
            <v>5.61</v>
          </cell>
        </row>
        <row r="2251">
          <cell r="A2251">
            <v>92877</v>
          </cell>
          <cell r="B2251" t="str">
            <v>CORTE E DOBRA DE AÇO CA-25, DIÂMETRO DE 10,0 MM. AF_12/2015</v>
          </cell>
          <cell r="C2251" t="str">
            <v>KG</v>
          </cell>
          <cell r="D2251">
            <v>5.07</v>
          </cell>
        </row>
        <row r="2252">
          <cell r="A2252">
            <v>92878</v>
          </cell>
          <cell r="B2252" t="str">
            <v>CORTE E DOBRA DE AÇO CA-25, DIÂMETRO DE 12,5 MM. AF_12/2015</v>
          </cell>
          <cell r="C2252" t="str">
            <v>KG</v>
          </cell>
          <cell r="D2252">
            <v>4.9800000000000004</v>
          </cell>
        </row>
        <row r="2253">
          <cell r="A2253">
            <v>92879</v>
          </cell>
          <cell r="B2253" t="str">
            <v>CORTE E DOBRA DE AÇO CA-25, DIÂMETRO DE 16,0 MM. AF_12/2015</v>
          </cell>
          <cell r="C2253" t="str">
            <v>KG</v>
          </cell>
          <cell r="D2253">
            <v>4.9000000000000004</v>
          </cell>
        </row>
        <row r="2254">
          <cell r="A2254">
            <v>92880</v>
          </cell>
          <cell r="B2254" t="str">
            <v>CORTE E DOBRA DE AÇO CA-25, DIÂMETRO DE 20,0 MM. AF_12/2015</v>
          </cell>
          <cell r="C2254" t="str">
            <v>KG</v>
          </cell>
          <cell r="D2254">
            <v>5.01</v>
          </cell>
        </row>
        <row r="2255">
          <cell r="A2255">
            <v>92881</v>
          </cell>
          <cell r="B2255" t="str">
            <v>CORTE E DOBRA DE AÇO CA-25, DIÂMETRO DE 25,0 MM. AF_12/2015</v>
          </cell>
          <cell r="C2255" t="str">
            <v>KG</v>
          </cell>
          <cell r="D2255">
            <v>4.99</v>
          </cell>
        </row>
        <row r="2256">
          <cell r="A2256">
            <v>92882</v>
          </cell>
          <cell r="B2256" t="str">
            <v>ARMAÇÃO UTILIZANDO AÇO CA-25 DE 6,3 MM - MONTAGEM. AF_12/2015</v>
          </cell>
          <cell r="C2256" t="str">
            <v>KG</v>
          </cell>
          <cell r="D2256">
            <v>8.48</v>
          </cell>
        </row>
        <row r="2257">
          <cell r="A2257">
            <v>92883</v>
          </cell>
          <cell r="B2257" t="str">
            <v>ARMAÇÃO UTILIZANDO AÇO CA-25 DE 8,0 MM - MONTAGEM. AF_12/2015</v>
          </cell>
          <cell r="C2257" t="str">
            <v>KG</v>
          </cell>
          <cell r="D2257">
            <v>7.59</v>
          </cell>
        </row>
        <row r="2258">
          <cell r="A2258">
            <v>92884</v>
          </cell>
          <cell r="B2258" t="str">
            <v>ARMAÇÃO UTILIZANDO AÇO CA-25 DE 10,0 MM - MONTAGEM. AF_12/2015</v>
          </cell>
          <cell r="C2258" t="str">
            <v>KG</v>
          </cell>
          <cell r="D2258">
            <v>6.62</v>
          </cell>
        </row>
        <row r="2259">
          <cell r="A2259">
            <v>92885</v>
          </cell>
          <cell r="B2259" t="str">
            <v>ARMAÇÃO UTILIZANDO AÇO CA-25 DE 12,5 MM - MONTAGEM. AF_12/2015</v>
          </cell>
          <cell r="C2259" t="str">
            <v>KG</v>
          </cell>
          <cell r="D2259">
            <v>6.18</v>
          </cell>
        </row>
        <row r="2260">
          <cell r="A2260">
            <v>92886</v>
          </cell>
          <cell r="B2260" t="str">
            <v>ARMAÇÃO UTILIZANDO AÇO CA-25 DE 16,0 MM - MONTAGEM. AF_12/2015</v>
          </cell>
          <cell r="C2260" t="str">
            <v>KG</v>
          </cell>
          <cell r="D2260">
            <v>5.79</v>
          </cell>
        </row>
        <row r="2261">
          <cell r="A2261">
            <v>92887</v>
          </cell>
          <cell r="B2261" t="str">
            <v>ARMAÇÃO UTILIZANDO AÇO CA-25 DE 20,0 MM - MONTAGEM. AF_12/2015</v>
          </cell>
          <cell r="C2261" t="str">
            <v>KG</v>
          </cell>
          <cell r="D2261">
            <v>5.69</v>
          </cell>
        </row>
        <row r="2262">
          <cell r="A2262">
            <v>92888</v>
          </cell>
          <cell r="B2262" t="str">
            <v>ARMAÇÃO UTILIZANDO AÇO CA-25 DE 25,0 MM - MONTAGEM. AF_12/2015</v>
          </cell>
          <cell r="C2262" t="str">
            <v>KG</v>
          </cell>
          <cell r="D2262">
            <v>5.5</v>
          </cell>
        </row>
        <row r="2263">
          <cell r="A2263">
            <v>92915</v>
          </cell>
          <cell r="B2263" t="str">
            <v>ARMAÇÃO DE ESTRUTURAS DE CONCRETO ARMADO, EXCETO VIGAS, PILARES, LAJES E FUNDAÇÕES, UTILIZANDO AÇO CA-60 DE 5,0 MM - MONTAGEM. AF_12/2015</v>
          </cell>
          <cell r="C2263" t="str">
            <v>KG</v>
          </cell>
          <cell r="D2263">
            <v>11.33</v>
          </cell>
        </row>
        <row r="2264">
          <cell r="A2264">
            <v>92916</v>
          </cell>
          <cell r="B2264" t="str">
            <v>ARMAÇÃO DE ESTRUTURAS DE CONCRETO ARMADO, EXCETO VIGAS, PILARES, LAJES E FUNDAÇÕES, UTILIZANDO AÇO CA-50 DE 6,3 MM - MONTAGEM. AF_12/2015</v>
          </cell>
          <cell r="C2264" t="str">
            <v>KG</v>
          </cell>
          <cell r="D2264">
            <v>9.8800000000000008</v>
          </cell>
        </row>
        <row r="2265">
          <cell r="A2265">
            <v>92917</v>
          </cell>
          <cell r="B2265" t="str">
            <v>ARMAÇÃO DE ESTRUTURAS DE CONCRETO ARMADO, EXCETO VIGAS, PILARES, LAJES E FUNDAÇÕES, UTILIZANDO AÇO CA-50 DE 8,0 MM - MONTAGEM. AF_12/2015</v>
          </cell>
          <cell r="C2265" t="str">
            <v>KG</v>
          </cell>
          <cell r="D2265">
            <v>9.56</v>
          </cell>
        </row>
        <row r="2266">
          <cell r="A2266">
            <v>92919</v>
          </cell>
          <cell r="B2266" t="str">
            <v>ARMAÇÃO DE ESTRUTURAS DE CONCRETO ARMADO, EXCETO VIGAS, PILARES, LAJES E FUNDAÇÕES, UTILIZANDO AÇO CA-50 DE 10,0 MM - MONTAGEM. AF_12/2015</v>
          </cell>
          <cell r="C2266" t="str">
            <v>KG</v>
          </cell>
          <cell r="D2266">
            <v>7.78</v>
          </cell>
        </row>
        <row r="2267">
          <cell r="A2267">
            <v>92921</v>
          </cell>
          <cell r="B2267" t="str">
            <v>ARMAÇÃO DE ESTRUTURAS DE CONCRETO ARMADO, EXCETO VIGAS, PILARES, LAJES E FUNDAÇÕES, UTILIZANDO AÇO CA-50 DE 12,5 MM - MONTAGEM. AF_12/2015</v>
          </cell>
          <cell r="C2267" t="str">
            <v>KG</v>
          </cell>
          <cell r="D2267">
            <v>6.92</v>
          </cell>
        </row>
        <row r="2268">
          <cell r="A2268">
            <v>92922</v>
          </cell>
          <cell r="B2268" t="str">
            <v>ARMAÇÃO DE ESTRUTURAS DE CONCRETO ARMADO, EXCETO VIGAS, PILARES, LAJES E FUNDAÇÕES, UTILIZANDO AÇO CA-50 DE 16,0 MM - MONTAGEM. AF_12/2015</v>
          </cell>
          <cell r="C2268" t="str">
            <v>KG</v>
          </cell>
          <cell r="D2268">
            <v>6.41</v>
          </cell>
        </row>
        <row r="2269">
          <cell r="A2269">
            <v>92923</v>
          </cell>
          <cell r="B2269" t="str">
            <v>ARMAÇÃO DE ESTRUTURAS DE CONCRETO ARMADO, EXCETO VIGAS, PILARES, LAJES E FUNDAÇÕES, UTILIZANDO AÇO CA-50 DE 20,0 MM - MONTAGEM. AF_12/2015</v>
          </cell>
          <cell r="C2269" t="str">
            <v>KG</v>
          </cell>
          <cell r="D2269">
            <v>5.88</v>
          </cell>
        </row>
        <row r="2270">
          <cell r="A2270">
            <v>92924</v>
          </cell>
          <cell r="B2270" t="str">
            <v>ARMAÇÃO DE ESTRUTURAS DE CONCRETO ARMADO, EXCETO VIGAS, PILARES, LAJES E FUNDAÇÕES, UTILIZANDO AÇO CA-50 DE 25,0 MM - MONTAGEM. AF_12/2015</v>
          </cell>
          <cell r="C2270" t="str">
            <v>KG</v>
          </cell>
          <cell r="D2270">
            <v>6.41</v>
          </cell>
        </row>
        <row r="2271">
          <cell r="A2271">
            <v>95445</v>
          </cell>
          <cell r="B2271" t="str">
            <v>CORTE E DOBRA DE AÇO CA-60, DIÂMETRO DE 5,0 MM, UTILIZADO EM ESTRIBO CONTÍNUO HELICOIDAL. AF_10/2016</v>
          </cell>
          <cell r="C2271" t="str">
            <v>KG</v>
          </cell>
          <cell r="D2271">
            <v>5.46</v>
          </cell>
        </row>
        <row r="2272">
          <cell r="A2272">
            <v>95446</v>
          </cell>
          <cell r="B2272" t="str">
            <v>CORTE E DOBRA DE AÇO CA-50, DIÂMETRO DE 6,3 MM, UTILIZADO EM ESTRIBO CONTÍNUO HELICOIDAL. AF_10/2016</v>
          </cell>
          <cell r="C2272" t="str">
            <v>KG</v>
          </cell>
          <cell r="D2272">
            <v>5.59</v>
          </cell>
        </row>
        <row r="2273">
          <cell r="A2273">
            <v>95576</v>
          </cell>
          <cell r="B2273" t="str">
            <v>MONTAGEM DE ARMADURA LONGITUDINAL/TRANSVERSAL DE ESTACAS DE SEÇÃO CIRCULAR, DIÂMETRO = 8,0 MM. AF_11/2016</v>
          </cell>
          <cell r="C2273" t="str">
            <v>KG</v>
          </cell>
          <cell r="D2273">
            <v>9.06</v>
          </cell>
        </row>
        <row r="2274">
          <cell r="A2274">
            <v>95577</v>
          </cell>
          <cell r="B2274" t="str">
            <v>MONTAGEM DE ARMADURA LONGITUDINAL DE ESTACAS DE SEÇÃO CIRCULAR, DIÂMETRO = 10,0 MM. AF_11/2016</v>
          </cell>
          <cell r="C2274" t="str">
            <v>KG</v>
          </cell>
          <cell r="D2274">
            <v>7.5</v>
          </cell>
        </row>
        <row r="2275">
          <cell r="A2275">
            <v>95578</v>
          </cell>
          <cell r="B2275" t="str">
            <v>MONTAGEM DE ARMADURA LONGITUDINAL/TRANSVERSAL DE ESTACAS DE SEÇÃO CIRCULAR, DIÂMETRO = 12,5 MM. AF_11/2016</v>
          </cell>
          <cell r="C2275" t="str">
            <v>KG</v>
          </cell>
          <cell r="D2275">
            <v>6.82</v>
          </cell>
        </row>
        <row r="2276">
          <cell r="A2276">
            <v>95579</v>
          </cell>
          <cell r="B2276" t="str">
            <v>MONTAGEM DE ARMADURA LONGITUDINAL DE ESTACAS DE SEÇÃO CIRCULAR, DIÂMETRO = 16,0 MM. AF_11/2016</v>
          </cell>
          <cell r="C2276" t="str">
            <v>KG</v>
          </cell>
          <cell r="D2276">
            <v>6.46</v>
          </cell>
        </row>
        <row r="2277">
          <cell r="A2277">
            <v>95580</v>
          </cell>
          <cell r="B2277" t="str">
            <v>MONTAGEM DE ARMADURA LONGITUDINAL DE ESTACAS DE SEÇÃO CIRCULAR, DIÂMETRO = 20,0 MM. AF_11/2016</v>
          </cell>
          <cell r="C2277" t="str">
            <v>KG</v>
          </cell>
          <cell r="D2277">
            <v>6.05</v>
          </cell>
        </row>
        <row r="2278">
          <cell r="A2278">
            <v>95581</v>
          </cell>
          <cell r="B2278" t="str">
            <v>MONTAGEM DE ARMADURA LONGITUDINAL DE ESTACAS DE SEÇÃO CIRCULAR, DIÂMETRO = 25,0 MM. AF_11/2016</v>
          </cell>
          <cell r="C2278" t="str">
            <v>KG</v>
          </cell>
          <cell r="D2278">
            <v>6.66</v>
          </cell>
        </row>
        <row r="2279">
          <cell r="A2279">
            <v>95583</v>
          </cell>
          <cell r="B2279" t="str">
            <v>MONTAGEM DE ARMADURA TRANSVERSAL DE ESTACAS DE SEÇÃO CIRCULAR, DIÂMETRO = 5,0 MM. AF_11/2016</v>
          </cell>
          <cell r="C2279" t="str">
            <v>KG</v>
          </cell>
          <cell r="D2279">
            <v>11.78</v>
          </cell>
        </row>
        <row r="2280">
          <cell r="A2280">
            <v>95584</v>
          </cell>
          <cell r="B2280" t="str">
            <v>MONTAGEM DE ARMADURA TRANSVERSAL DE ESTACAS DE SEÇÃO CIRCULAR, DIÂMETRO = 6,3 MM. AF_11/2016</v>
          </cell>
          <cell r="C2280" t="str">
            <v>KG</v>
          </cell>
          <cell r="D2280">
            <v>9.61</v>
          </cell>
        </row>
        <row r="2281">
          <cell r="A2281">
            <v>95585</v>
          </cell>
          <cell r="B2281" t="str">
            <v>MONTAGEM DE ARMADURA LONGITUDINAL/TRANSVERSAL DE ESTACAS DE SEÇÃO RETANGULAR (BARRETE), DIÂMETRO = 8,0 MM. AF_11/2016</v>
          </cell>
          <cell r="C2281" t="str">
            <v>KG</v>
          </cell>
          <cell r="D2281">
            <v>9.4499999999999993</v>
          </cell>
        </row>
        <row r="2282">
          <cell r="A2282">
            <v>95586</v>
          </cell>
          <cell r="B2282" t="str">
            <v>MONTAGEM DE ARMADURA LONGITUDINAL DE ESTACAS DE SEÇÃO RETANGULAR (BARRETE), DIÂMETRO = 10,0 MM. AF_11/2016</v>
          </cell>
          <cell r="C2282" t="str">
            <v>KG</v>
          </cell>
          <cell r="D2282">
            <v>7.8</v>
          </cell>
        </row>
        <row r="2283">
          <cell r="A2283">
            <v>95587</v>
          </cell>
          <cell r="B2283" t="str">
            <v>MONTAGEM DE ARMADURA LONGITUDINAL/TRANSVERSAL DE ESTACAS DE SEÇÃO RETANGULAR (BARRETE), DIÂMETRO = 12,5 MM. AF_11/2016</v>
          </cell>
          <cell r="C2283" t="str">
            <v>KG</v>
          </cell>
          <cell r="D2283">
            <v>7.07</v>
          </cell>
        </row>
        <row r="2284">
          <cell r="A2284">
            <v>95588</v>
          </cell>
          <cell r="B2284" t="str">
            <v>MONTAGEM DE ARMADURA LONGITUDINAL DE ESTACAS DE SEÇÃO RETANGULAR (BARRETE), DIÂMETRO = 16,0 MM. AF_11/2016</v>
          </cell>
          <cell r="C2284" t="str">
            <v>KG</v>
          </cell>
          <cell r="D2284">
            <v>6.66</v>
          </cell>
        </row>
        <row r="2285">
          <cell r="A2285">
            <v>95589</v>
          </cell>
          <cell r="B2285" t="str">
            <v>MONTAGEM DE ARMADURA LONGITUDINAL DE ESTACAS DE SEÇÃO RETANGULAR (BARRETE), DIÂMETRO = 20,0 MM. AF_11/2016</v>
          </cell>
          <cell r="C2285" t="str">
            <v>KG</v>
          </cell>
          <cell r="D2285">
            <v>6.2</v>
          </cell>
        </row>
        <row r="2286">
          <cell r="A2286">
            <v>95590</v>
          </cell>
          <cell r="B2286" t="str">
            <v>MONTAGEM DE ARMADURA LONGITUDINAL DE ESTACAS DE SEÇÃO RETANGULAR (BARRETE), DIÂMETRO = 25,0 MM. AF_11/2016</v>
          </cell>
          <cell r="C2286" t="str">
            <v>KG</v>
          </cell>
          <cell r="D2286">
            <v>6.8</v>
          </cell>
        </row>
        <row r="2287">
          <cell r="A2287">
            <v>95592</v>
          </cell>
          <cell r="B2287" t="str">
            <v>MONTAGEM DE ARMADURA TRANSVERSAL DE ESTACAS DE SEÇÃO RETANGULAR (BARRETE), DIÂMETRO = 5,0 MM. AF_11/2016</v>
          </cell>
          <cell r="C2287" t="str">
            <v>KG</v>
          </cell>
          <cell r="D2287">
            <v>14.48</v>
          </cell>
        </row>
        <row r="2288">
          <cell r="A2288">
            <v>95593</v>
          </cell>
          <cell r="B2288" t="str">
            <v>MONTAGEM DE ARMADURA TRANSVERSAL DE ESTACAS DE SEÇÃO RETANGULAR (BARRETE), DIÂMETRO = 6,3 MM. AF_11/2016</v>
          </cell>
          <cell r="C2288" t="str">
            <v>KG</v>
          </cell>
          <cell r="D2288">
            <v>11.22</v>
          </cell>
        </row>
        <row r="2289">
          <cell r="A2289">
            <v>95943</v>
          </cell>
          <cell r="B2289" t="str">
            <v>ARMAÇÃO DE ESCADA, COM 2 LANCES, DE UMA ESTRUTURA CONVENCIONAL DE CONCRETO ARMADO UTILIZANDO AÇO CA-60 DE 5,0 MM - MONTAGEM. AF_01/2017</v>
          </cell>
          <cell r="C2289" t="str">
            <v>KG</v>
          </cell>
          <cell r="D2289">
            <v>15.21</v>
          </cell>
        </row>
        <row r="2290">
          <cell r="A2290">
            <v>95944</v>
          </cell>
          <cell r="B2290" t="str">
            <v>ARMAÇÃO DE ESCADA, COM 2 LANCES, DE UMA ESTRUTURA CONVENCIONAL DE CONCRETO ARMADO UTILIZANDO AÇO CA-50 DE 6,3 MM - MONTAGEM. AF_01/2017</v>
          </cell>
          <cell r="C2290" t="str">
            <v>KG</v>
          </cell>
          <cell r="D2290">
            <v>13.3</v>
          </cell>
        </row>
        <row r="2291">
          <cell r="A2291">
            <v>95945</v>
          </cell>
          <cell r="B2291" t="str">
            <v>ARMAÇÃO DE ESCADA, COM 2 LANCES, DE UMA ESTRUTURA CONVENCIONAL DE CONCRETO ARMADO UTILIZANDO AÇO CA-50 DE 8,0 MM - MONTAGEM. AF_01/2017</v>
          </cell>
          <cell r="C2291" t="str">
            <v>KG</v>
          </cell>
          <cell r="D2291">
            <v>11.11</v>
          </cell>
        </row>
        <row r="2292">
          <cell r="A2292">
            <v>95946</v>
          </cell>
          <cell r="B2292" t="str">
            <v>ARMAÇÃO DE ESCADA, COM 2 LANCES, DE UMA ESTRUTURA CONVENCIONAL DE CONCRETO ARMADO UTILIZANDO AÇO CA-50 DE 10,0 MM - MONTAGEM. AF_01/2017</v>
          </cell>
          <cell r="C2292" t="str">
            <v>KG</v>
          </cell>
          <cell r="D2292">
            <v>8.1300000000000008</v>
          </cell>
        </row>
        <row r="2293">
          <cell r="A2293">
            <v>95947</v>
          </cell>
          <cell r="B2293" t="str">
            <v>ARMAÇÃO DE ESCADA, COM 2 LANCES, DE UMA ESTRUTURA CONVENCIONAL DE CONCRETO ARMADO UTILIZANDO AÇO CA-50 DE 12,5 MM - MONTAGEM. AF_01/2017</v>
          </cell>
          <cell r="C2293" t="str">
            <v>KG</v>
          </cell>
          <cell r="D2293">
            <v>6.57</v>
          </cell>
        </row>
        <row r="2294">
          <cell r="A2294">
            <v>95948</v>
          </cell>
          <cell r="B2294" t="str">
            <v>ARMAÇÃO DE ESCADA, COM 2 LANCES, DE UMA ESTRUTURA CONVENCIONAL DE CONCRETO ARMADO UTILIZANDO AÇO CA-50 DE 16,0 MM - MONTAGEM. AF_01/2017</v>
          </cell>
          <cell r="C2294" t="str">
            <v>KG</v>
          </cell>
          <cell r="D2294">
            <v>5.72</v>
          </cell>
        </row>
        <row r="2295">
          <cell r="A2295">
            <v>96544</v>
          </cell>
          <cell r="B2295" t="str">
            <v>ARMAÇÃO DE BLOCO, VIGA BALDRAME OU SAPATA UTILIZANDO AÇO CA-50 DE 6,3 MM - MONTAGEM. AF_06/2017</v>
          </cell>
          <cell r="C2295" t="str">
            <v>KG</v>
          </cell>
          <cell r="D2295">
            <v>10.7</v>
          </cell>
        </row>
        <row r="2296">
          <cell r="A2296">
            <v>96545</v>
          </cell>
          <cell r="B2296" t="str">
            <v>ARMAÇÃO DE BLOCO, VIGA BALDRAME OU SAPATA UTILIZANDO AÇO CA-50 DE 8 MM - MONTAGEM. AF_06/2017</v>
          </cell>
          <cell r="C2296" t="str">
            <v>KG</v>
          </cell>
          <cell r="D2296">
            <v>10.220000000000001</v>
          </cell>
        </row>
        <row r="2297">
          <cell r="A2297">
            <v>96546</v>
          </cell>
          <cell r="B2297" t="str">
            <v>ARMAÇÃO DE BLOCO, VIGA BALDRAME OU SAPATA UTILIZANDO AÇO CA-50 DE 10 MM - MONTAGEM. AF_06/2017</v>
          </cell>
          <cell r="C2297" t="str">
            <v>KG</v>
          </cell>
          <cell r="D2297">
            <v>8.34</v>
          </cell>
        </row>
        <row r="2298">
          <cell r="A2298">
            <v>96547</v>
          </cell>
          <cell r="B2298" t="str">
            <v>ARMAÇÃO DE BLOCO, VIGA BALDRAME OU SAPATA UTILIZANDO AÇO CA-50 DE 12,5 MM - MONTAGEM. AF_06/2017</v>
          </cell>
          <cell r="C2298" t="str">
            <v>KG</v>
          </cell>
          <cell r="D2298">
            <v>7.39</v>
          </cell>
        </row>
        <row r="2299">
          <cell r="A2299">
            <v>96548</v>
          </cell>
          <cell r="B2299" t="str">
            <v>ARMAÇÃO DE BLOCO, VIGA BALDRAME OU SAPATA UTILIZANDO AÇO CA-50 DE 16 MM - MONTAGEM. AF_06/2017</v>
          </cell>
          <cell r="C2299" t="str">
            <v>KG</v>
          </cell>
          <cell r="D2299">
            <v>6.82</v>
          </cell>
        </row>
        <row r="2300">
          <cell r="A2300">
            <v>96549</v>
          </cell>
          <cell r="B2300" t="str">
            <v>ARMAÇÃO DE BLOCO, VIGA BALDRAME OU SAPATA UTILIZANDO AÇO CA-50 DE 20 MM - MONTAGEM. AF_06/2017</v>
          </cell>
          <cell r="C2300" t="str">
            <v>KG</v>
          </cell>
          <cell r="D2300">
            <v>6.25</v>
          </cell>
        </row>
        <row r="2301">
          <cell r="A2301">
            <v>96550</v>
          </cell>
          <cell r="B2301" t="str">
            <v>ARMAÇÃO DE BLOCO, VIGA BALDRAME OU SAPATA UTILIZANDO AÇO CA-50 DE 25 MM - MONTAGEM. AF_06/2017</v>
          </cell>
          <cell r="C2301" t="str">
            <v>KG</v>
          </cell>
          <cell r="D2301">
            <v>6.76</v>
          </cell>
        </row>
        <row r="2302">
          <cell r="A2302">
            <v>100066</v>
          </cell>
          <cell r="B2302" t="str">
            <v>ARMAÇÃO DO SISTEMA DE PAREDES DE CONCRETO, EXECUTADA COMO ARMADURA POSITIVA DE LAJES, TELA Q-196. AF_06/2019</v>
          </cell>
          <cell r="C2302" t="str">
            <v>KG</v>
          </cell>
          <cell r="D2302">
            <v>7.73</v>
          </cell>
        </row>
        <row r="2303">
          <cell r="A2303">
            <v>100067</v>
          </cell>
          <cell r="B2303" t="str">
            <v>ARMAÇÃO DO SISTEMA DE PAREDES DE CONCRETO, EXECUTADA COMO REFORÇO, VERGALHÃO DE 5,0 MM DE DIÂMETRO. AF_06/2019</v>
          </cell>
          <cell r="C2303" t="str">
            <v>KG</v>
          </cell>
          <cell r="D2303">
            <v>7.99</v>
          </cell>
        </row>
        <row r="2304">
          <cell r="A2304">
            <v>100068</v>
          </cell>
          <cell r="B2304" t="str">
            <v>ARMAÇÃO DO SISTEMA DE PAREDES DE CONCRETO, EXECUTADA COMO REFORÇO, VERGALHÃO DE 12,5 MM DE DIÂMETRO. AF_06/2019</v>
          </cell>
          <cell r="C2304" t="str">
            <v>KG</v>
          </cell>
          <cell r="D2304">
            <v>6.19</v>
          </cell>
        </row>
        <row r="2305">
          <cell r="A2305">
            <v>40780</v>
          </cell>
          <cell r="B2305" t="str">
            <v>REGULARIZAÇÃO DE SUPERFICIE DE CONCRETO APARENTE</v>
          </cell>
          <cell r="C2305" t="str">
            <v>M2</v>
          </cell>
          <cell r="D2305">
            <v>9.6</v>
          </cell>
        </row>
        <row r="2306">
          <cell r="A2306" t="str">
            <v>74157/4</v>
          </cell>
          <cell r="B2306" t="str">
            <v>LANCAMENTO/APLICACAO MANUAL DE CONCRETO EM FUNDACOES</v>
          </cell>
          <cell r="C2306" t="str">
            <v>M3</v>
          </cell>
          <cell r="D2306">
            <v>106.98</v>
          </cell>
        </row>
        <row r="2307">
          <cell r="A2307">
            <v>89993</v>
          </cell>
          <cell r="B2307" t="str">
            <v>GRAUTEAMENTO VERTICAL EM ALVENARIA ESTRUTURAL. AF_01/2015</v>
          </cell>
          <cell r="C2307" t="str">
            <v>M3</v>
          </cell>
          <cell r="D2307">
            <v>615.19000000000005</v>
          </cell>
        </row>
        <row r="2308">
          <cell r="A2308">
            <v>89994</v>
          </cell>
          <cell r="B2308" t="str">
            <v>GRAUTEAMENTO DE CINTA INTERMEDIÁRIA OU DE CONTRAVERGA EM ALVENARIA ESTRUTURAL. AF_01/2015</v>
          </cell>
          <cell r="C2308" t="str">
            <v>M3</v>
          </cell>
          <cell r="D2308">
            <v>508.24</v>
          </cell>
        </row>
        <row r="2309">
          <cell r="A2309">
            <v>89995</v>
          </cell>
          <cell r="B2309" t="str">
            <v>GRAUTEAMENTO DE CINTA SUPERIOR OU DE VERGA EM ALVENARIA ESTRUTURAL. AF_01/2015</v>
          </cell>
          <cell r="C2309" t="str">
            <v>M3</v>
          </cell>
          <cell r="D2309">
            <v>587.83000000000004</v>
          </cell>
        </row>
        <row r="2310">
          <cell r="A2310">
            <v>90278</v>
          </cell>
          <cell r="B2310" t="str">
            <v>GRAUTE FGK=15 MPA; TRAÇO 1:0,04:2,0:2,4 (CIMENTO/ CAL/ AREIA GROSSA/ BRITA 0) - PREPARO MECÂNICO COM BETONEIRA 400 L. AF_02/2015</v>
          </cell>
          <cell r="C2310" t="str">
            <v>M3</v>
          </cell>
          <cell r="D2310">
            <v>280.56</v>
          </cell>
        </row>
        <row r="2311">
          <cell r="A2311">
            <v>90279</v>
          </cell>
          <cell r="B2311" t="str">
            <v>GRAUTE FGK=20 MPA; TRAÇO 1:0,04:1,6:1,9 (CIMENTO/ CAL/ AREIA GROSSA/ BRITA 0) - PREPARO MECÂNICO COM BETONEIRA 400 L. AF_02/2015</v>
          </cell>
          <cell r="C2311" t="str">
            <v>M3</v>
          </cell>
          <cell r="D2311">
            <v>297.61</v>
          </cell>
        </row>
        <row r="2312">
          <cell r="A2312">
            <v>90280</v>
          </cell>
          <cell r="B2312" t="str">
            <v>GRAUTE FGK=25 MPA; TRAÇO 1:0,02:1,2:1,5 (CIMENTO/ CAL/ AREIA GROSSA/ BRITA 0) - PREPARO MECÂNICO COM BETONEIRA 400 L. AF_02/2015</v>
          </cell>
          <cell r="C2312" t="str">
            <v>M3</v>
          </cell>
          <cell r="D2312">
            <v>331.08</v>
          </cell>
        </row>
        <row r="2313">
          <cell r="A2313">
            <v>90281</v>
          </cell>
          <cell r="B2313" t="str">
            <v>GRAUTE FGK=30 MPA; TRAÇO 1:0,02:0,8:1,1 (CIMENTO/ CAL/ AREIA GROSSA/ BRITA 0) - PREPARO MECÂNICO COM BETONEIRA 400 L. AF_02/2015</v>
          </cell>
          <cell r="C2313" t="str">
            <v>M3</v>
          </cell>
          <cell r="D2313">
            <v>376.92</v>
          </cell>
        </row>
        <row r="2314">
          <cell r="A2314">
            <v>90282</v>
          </cell>
          <cell r="B2314" t="str">
            <v>GRAUTE FGK=15 MPA; TRAÇO 1:2,0:2,4 (CIMENTO/ AREIA GROSSA/ BRITA 0/ ADITIVO) - PREPARO MECÂNICO COM BETONEIRA 400 L. AF_02/2015</v>
          </cell>
          <cell r="C2314" t="str">
            <v>M3</v>
          </cell>
          <cell r="D2314">
            <v>285.08</v>
          </cell>
        </row>
        <row r="2315">
          <cell r="A2315">
            <v>90283</v>
          </cell>
          <cell r="B2315" t="str">
            <v>GRAUTE FGK=20 MPA; TRAÇO 1:1,6:1,9 (CIMENTO/ AREIA GROSSA/ BRITA 0/ ADITIVO) - PREPARO MECÂNICO COM BETONEIRA 400 L. AF_02/2015</v>
          </cell>
          <cell r="C2315" t="str">
            <v>M3</v>
          </cell>
          <cell r="D2315">
            <v>303.25</v>
          </cell>
        </row>
        <row r="2316">
          <cell r="A2316">
            <v>90284</v>
          </cell>
          <cell r="B2316" t="str">
            <v>GRAUTE FGK=25 MPA; TRAÇO 1:1,2:1,5 (CIMENTO/ AREIA GROSSA/ BRITA 0/ ADITIVO) - PREPARO MECÂNICO COM BETONEIRA 400 L. AF_02/2015</v>
          </cell>
          <cell r="C2316" t="str">
            <v>M3</v>
          </cell>
          <cell r="D2316">
            <v>337.55</v>
          </cell>
        </row>
        <row r="2317">
          <cell r="A2317">
            <v>90285</v>
          </cell>
          <cell r="B2317" t="str">
            <v>GRAUTE FGK=30 MPA; TRAÇO 1:0,8:1,1 (CIMENTO/ AREIA GROSSA/ BRITA 0/ ADITIVO) - PREPARO MECÂNICO COM BETONEIRA 400 L. AF_02/2015</v>
          </cell>
          <cell r="C2317" t="str">
            <v>M3</v>
          </cell>
          <cell r="D2317">
            <v>386.04</v>
          </cell>
        </row>
        <row r="2318">
          <cell r="A2318">
            <v>90853</v>
          </cell>
          <cell r="B2318" t="str">
            <v>CONCRETAGEM DE LAJES EM EDIFICAÇÕES UNIFAMILIARES FEITAS COM SISTEMA DE FÔRMAS MANUSEÁVEIS, COM CONCRETO USINADO BOMBEÁVEL FCK 20 MPA - LANÇAMENTO, ADENSAMENTO E ACABAMENTO. AF_06/2015</v>
          </cell>
          <cell r="C2318" t="str">
            <v>M3</v>
          </cell>
          <cell r="D2318">
            <v>460.83</v>
          </cell>
        </row>
        <row r="2319">
          <cell r="A2319">
            <v>90854</v>
          </cell>
          <cell r="B2319" t="str">
            <v>CONCRETAGEM DE PAREDES EM EDIFICAÇÕES UNIFAMILIARES FEITAS COM SISTEMA DE FÔRMAS MANUSEÁVEIS, COM CONCRETO USINADO BOMBEÁVEL FCK 20 MPA - LANÇAMENTO, ADENSAMENTO E ACABAMENTO. AF_06/2015</v>
          </cell>
          <cell r="C2319" t="str">
            <v>M3</v>
          </cell>
          <cell r="D2319">
            <v>446.82</v>
          </cell>
        </row>
        <row r="2320">
          <cell r="A2320">
            <v>90855</v>
          </cell>
          <cell r="B2320" t="str">
            <v>CONCRETAGEM DE PLATIBANDA EM EDIFICAÇÕES UNIFAMILIARES FEITAS COM SISTEMA DE FÔRMAS MANUSEÁVEIS, COM CONCRETO USINADO BOMBEÁVEL FCK 20 MPA - LANÇAMENTO, ADENSAMENTO E ACABAMENTO. AF_06/2015</v>
          </cell>
          <cell r="C2320" t="str">
            <v>M3</v>
          </cell>
          <cell r="D2320">
            <v>488.44</v>
          </cell>
        </row>
        <row r="2321">
          <cell r="A2321">
            <v>90856</v>
          </cell>
          <cell r="B2321" t="str">
            <v>CONCRETAGEM DE LAJES EM EDIFICAÇÕES MULTIFAMILIARES FEITAS COM SISTEMA DE FÔRMAS MANUSEÁVEIS, COM CONCRETO USINADO BOMBEÁVEL FCK 20 MPA - LANÇAMENTO, ADENSAMENTO E ACABAMENTO. AF_06/2015</v>
          </cell>
          <cell r="C2321" t="str">
            <v>M3</v>
          </cell>
          <cell r="D2321">
            <v>464.5</v>
          </cell>
        </row>
        <row r="2322">
          <cell r="A2322">
            <v>90857</v>
          </cell>
          <cell r="B2322" t="str">
            <v>CONCRETAGEM DE PAREDES EM EDIFICAÇÕES MULTIFAMILIARES FEITAS COM SISTEMA DE FÔRMAS MANUSEÁVEIS, COM CONCRETO USINADO BOMBEÁVEL FCK 20 MPA - LANÇAMENTO, ADENSAMENTO E ACABAMENTO. AF_06/2015</v>
          </cell>
          <cell r="C2322" t="str">
            <v>M3</v>
          </cell>
          <cell r="D2322">
            <v>449.26</v>
          </cell>
        </row>
        <row r="2323">
          <cell r="A2323">
            <v>90858</v>
          </cell>
          <cell r="B2323" t="str">
            <v>CONCRETAGEM DE PLATIBANDA EM EDIFICAÇÕES MULTIFAMILIARES FEITAS COM SISTEMA DE FÔRMAS MANUSEÁVEIS, COM CONCRETO USINADO BOMBEÁVEL FCK 20 MPA - LANÇAMENTO, ADENSAMENTO E ACABAMENTO. AF_06/2015</v>
          </cell>
          <cell r="C2323" t="str">
            <v>M3</v>
          </cell>
          <cell r="D2323">
            <v>505.25</v>
          </cell>
        </row>
        <row r="2324">
          <cell r="A2324">
            <v>90859</v>
          </cell>
          <cell r="B2324" t="str">
            <v>CONCRETAGEM DE PLATIBANDA EM EDIFICAÇÕES UNIFAMILIARES FEITAS COM SISTEMA DE FÔRMAS MANUSEÁVEIS, COM CONCRETO USINADO AUTOADENSÁVEL FCK 20 MPA - LANÇAMENTO E ACABAMENTO. AF_06/2015</v>
          </cell>
          <cell r="C2324" t="str">
            <v>M3</v>
          </cell>
          <cell r="D2324">
            <v>439.28</v>
          </cell>
        </row>
        <row r="2325">
          <cell r="A2325">
            <v>90860</v>
          </cell>
          <cell r="B2325" t="str">
            <v>CONCRETAGEM DE PLATIBANDA EM EDIFICAÇÕES MULTIFAMILIARES FEITAS COM SISTEMA DE FÔRMAS MANUSEÁVEIS, COM CONCRETO USINADO AUTOADENSÁVEL FCK 20 MPA - LANÇAMENTO E ACABAMENTO. AF_06/2015</v>
          </cell>
          <cell r="C2325" t="str">
            <v>M3</v>
          </cell>
          <cell r="D2325">
            <v>444.37</v>
          </cell>
        </row>
        <row r="2326">
          <cell r="A2326">
            <v>90861</v>
          </cell>
          <cell r="B2326" t="str">
            <v>CONCRETAGEM DE EDIFICAÇÕES (PAREDES E LAJES) FEITAS COM SISTEMA DE FÔRMAS MANUSEÁVEIS, COM CONCRETO USINADO BOMBEÁVEL FCK 20 MPA - LANÇAMENTO, ADENSAMENTO E ACABAMENTO. AF_06/2015</v>
          </cell>
          <cell r="C2326" t="str">
            <v>M3</v>
          </cell>
          <cell r="D2326">
            <v>453.54</v>
          </cell>
        </row>
        <row r="2327">
          <cell r="A2327">
            <v>90862</v>
          </cell>
          <cell r="B2327" t="str">
            <v>CONCRETAGEM DE EDIFICAÇÕES (PAREDES E LAJES) FEITAS COM SISTEMA DE FÔRMAS MANUSEÁVEIS, COM CONCRETO USINADO AUTOADENSÁVEL FCK 20 MPA - LANÇAMENTO E ACABAMENTO. AF_06/2015</v>
          </cell>
          <cell r="C2327" t="str">
            <v>M3</v>
          </cell>
          <cell r="D2327">
            <v>412.92</v>
          </cell>
        </row>
        <row r="2328">
          <cell r="A2328">
            <v>92718</v>
          </cell>
          <cell r="B2328" t="str">
            <v>CONCRETAGEM DE PILARES, FCK = 25 MPA,  COM USO DE BALDES EM EDIFICAÇÃO COM SEÇÃO MÉDIA DE PILARES MENOR OU IGUAL A 0,25 M² - LANÇAMENTO, ADENSAMENTO E ACABAMENTO. AF_12/2015</v>
          </cell>
          <cell r="C2328" t="str">
            <v>M3</v>
          </cell>
          <cell r="D2328">
            <v>530.48</v>
          </cell>
        </row>
        <row r="2329">
          <cell r="A2329">
            <v>92719</v>
          </cell>
          <cell r="B2329" t="str">
            <v>CONCRETAGEM DE PILARES, FCK = 25 MPA, COM USO DE GRUA EM EDIFICAÇÃO COM SEÇÃO MÉDIA DE PILARES MENOR OU IGUAL A 0,25 M² - LANÇAMENTO, ADENSAMENTO E ACABAMENTO. AF_12/2015</v>
          </cell>
          <cell r="C2329" t="str">
            <v>M3</v>
          </cell>
          <cell r="D2329">
            <v>396.35</v>
          </cell>
        </row>
        <row r="2330">
          <cell r="A2330">
            <v>92720</v>
          </cell>
          <cell r="B2330" t="str">
            <v>CONCRETAGEM DE PILARES, FCK = 25 MPA, COM USO DE BOMBA EM EDIFICAÇÃO COM SEÇÃO MÉDIA DE PILARES MENOR OU IGUAL A 0,25 M² - LANÇAMENTO, ADENSAMENTO E ACABAMENTO. AF_12/2015</v>
          </cell>
          <cell r="C2330" t="str">
            <v>M3</v>
          </cell>
          <cell r="D2330">
            <v>453.06</v>
          </cell>
        </row>
        <row r="2331">
          <cell r="A2331">
            <v>92721</v>
          </cell>
          <cell r="B2331" t="str">
            <v>CONCRETAGEM DE PILARES, FCK = 25 MPA, COM USO DE GRUA EM EDIFICAÇÃO COM SEÇÃO MÉDIA DE PILARES MAIOR QUE 0,25 M² - LANÇAMENTO, ADENSAMENTO E ACABAMENTO. AF_12/2015</v>
          </cell>
          <cell r="C2331" t="str">
            <v>M3</v>
          </cell>
          <cell r="D2331">
            <v>388.16</v>
          </cell>
        </row>
        <row r="2332">
          <cell r="A2332">
            <v>92722</v>
          </cell>
          <cell r="B2332" t="str">
            <v>CONCRETAGEM DE PILARES, FCK = 25 MPA, COM USO DE BOMBA EM EDIFICAÇÃO COM SEÇÃO MÉDIA DE PILARES MAIOR QUE 0,25 M² - LANÇAMENTO, ADENSAMENTO E ACABAMENTO. AF_12/2015</v>
          </cell>
          <cell r="C2332" t="str">
            <v>M3</v>
          </cell>
          <cell r="D2332">
            <v>449.65</v>
          </cell>
        </row>
        <row r="2333">
          <cell r="A2333">
            <v>92723</v>
          </cell>
          <cell r="B2333" t="str">
            <v>CONCRETAGEM DE VIGAS E LAJES, FCK=20 MPA, PARA LAJES PREMOLDADAS COM USO DE BOMBA EM EDIFICAÇÃO COM ÁREA MÉDIA DE LAJES MENOR OU IGUAL A 20 M² - LANÇAMENTO, ADENSAMENTO E ACABAMENTO. AF_12/2015</v>
          </cell>
          <cell r="C2333" t="str">
            <v>M3</v>
          </cell>
          <cell r="D2333">
            <v>436.41</v>
          </cell>
        </row>
        <row r="2334">
          <cell r="A2334">
            <v>92724</v>
          </cell>
          <cell r="B2334" t="str">
            <v>CONCRETAGEM DE VIGAS E LAJES, FCK=20 MPA, PARA LAJES PREMOLDADAS COM USO DE BOMBA EM EDIFICAÇÃO COM ÁREA MÉDIA DE LAJES MAIOR QUE 20 M² - LANÇAMENTO, ADENSAMENTO E ACABAMENTO. AF_12/2015</v>
          </cell>
          <cell r="C2334" t="str">
            <v>M3</v>
          </cell>
          <cell r="D2334">
            <v>433.42</v>
          </cell>
        </row>
        <row r="2335">
          <cell r="A2335">
            <v>92725</v>
          </cell>
          <cell r="B2335" t="str">
            <v>CONCRETAGEM DE VIGAS E LAJES, FCK=20 MPA, PARA LAJES MACIÇAS OU NERVURADAS COM USO DE BOMBA EM EDIFICAÇÃO COM ÁREA MÉDIA DE LAJES MENOR OU IGUAL A 20 M² - LANÇAMENTO, ADENSAMENTO E ACABAMENTO. AF_12/2015</v>
          </cell>
          <cell r="C2335" t="str">
            <v>M3</v>
          </cell>
          <cell r="D2335">
            <v>432.16</v>
          </cell>
        </row>
        <row r="2336">
          <cell r="A2336">
            <v>92726</v>
          </cell>
          <cell r="B2336" t="str">
            <v>CONCRETAGEM DE VIGAS E LAJES, FCK=20 MPA, PARA LAJES MACIÇAS OU NERVURADAS COM USO DE BOMBA EM EDIFICAÇÃO COM ÁREA MÉDIA DE LAJES MAIOR QUE 20 M² - LANÇAMENTO, ADENSAMENTO E ACABAMENTO. AF_12/2015</v>
          </cell>
          <cell r="C2336" t="str">
            <v>M3</v>
          </cell>
          <cell r="D2336">
            <v>430.03</v>
          </cell>
        </row>
        <row r="2337">
          <cell r="A2337">
            <v>92727</v>
          </cell>
          <cell r="B2337" t="str">
            <v>CONCRETAGEM DE VIGAS E LAJES, FCK=20 MPA, PARA LAJES PREMOLDADAS COM JERICAS EM ELEVADOR DE CABO EM EDIFICAÇÃO DE MULTIPAVIMENTOS ATÉ 16 ANDARES, COM ÁREA MÉDIA DE LAJES MENOR OU IGUAL A 20 M² - LANÇAMENTO, ADENSAMENTO E ACABAMENTO. AF_12/2015</v>
          </cell>
          <cell r="C2337" t="str">
            <v>M3</v>
          </cell>
          <cell r="D2337">
            <v>467.68</v>
          </cell>
        </row>
        <row r="2338">
          <cell r="A2338">
            <v>92728</v>
          </cell>
          <cell r="B2338" t="str">
            <v>CONCRETAGEM DE VIGAS E LAJES, FCK=20 MPA, PARA LAJES PREMOLDADAS COM JERICAS EM ELEVADOR DE CABO EM EDIFICAÇÃO DE MULTIPAVIMENTOS ATÉ 16 ANDARES, COM ÁREA MÉDIA DE LAJES MAIOR QUE 20 M² - LANÇAMENTO, ADENSAMENTO E ACABAMENTO. AF_12/2015</v>
          </cell>
          <cell r="C2338" t="str">
            <v>M3</v>
          </cell>
          <cell r="D2338">
            <v>446.26</v>
          </cell>
        </row>
        <row r="2339">
          <cell r="A2339">
            <v>92729</v>
          </cell>
          <cell r="B2339" t="str">
            <v>CONCRETAGEM DE VIGAS E LAJES, FCK=20 MPA, PARA LAJES MACIÇAS OU NERVURADAS COM JERICAS EM ELEVADOR DE CABO EM EDIFICAÇÃO DE ATÉ 16 ANDARES, COM ÁREA MÉDIA DE LAJES MENOR OU IGUAL A 20 M² - LANÇAMENTO, ADENSAMENTO E ACABAMENTO. AF_12/2015</v>
          </cell>
          <cell r="C2339" t="str">
            <v>M3</v>
          </cell>
          <cell r="D2339">
            <v>437.19</v>
          </cell>
        </row>
        <row r="2340">
          <cell r="A2340">
            <v>92730</v>
          </cell>
          <cell r="B2340" t="str">
            <v>CONCRETAGEM DE VIGAS E LAJES, FCK=20 MPA, PARA LAJES MACIÇAS OU NERVURADAS COM JERICAS EM ELEVADOR DE CABO EM EDIFICAÇÃO DE MULTIPAVIMENTOS ATÉ 16 ANDARES, COM ÁREA MÉDIA DE LAJES MAIOR QUE 20 M² - LANÇAMENTO, ADENSAMENTO E ACABAMENTO. AF_12/2015</v>
          </cell>
          <cell r="C2340" t="str">
            <v>M3</v>
          </cell>
          <cell r="D2340">
            <v>422.08</v>
          </cell>
        </row>
        <row r="2341">
          <cell r="A2341">
            <v>92731</v>
          </cell>
          <cell r="B2341" t="str">
            <v>CONCRETAGEM DE VIGAS E LAJES, FCK=20 MPA, PARA LAJES PREMOLDADAS COM JERICAS EM CREMALHEIRA EM EDIFICAÇÃO DE MULTIPAVIMENTOS ATÉ 16 ANDARES, COM ÁREA MÉDIA DE LAJES MENOR OU IGUAL A 20 M² - LANÇAMENTO, ADENSAMENTO E ACABAMENTO. AF_12/2015</v>
          </cell>
          <cell r="C2341" t="str">
            <v>M3</v>
          </cell>
          <cell r="D2341">
            <v>439.66</v>
          </cell>
        </row>
        <row r="2342">
          <cell r="A2342">
            <v>92732</v>
          </cell>
          <cell r="B2342" t="str">
            <v>CONCRETAGEM DE VIGAS E LAJES, FCK=20 MPA, PARA LAJES PREMOLDADAS COM JERICAS EM CREMALHEIRA EM EDIFICAÇÃO DE MULTIPAVIMENTOS ATÉ 16 ANDARES, COM ÁREA MÉDIA DE LAJES MAIOR QUE 20 M² - LANÇAMENTO, ADENSAMENTO E ACABAMENTO. AF_12/2015</v>
          </cell>
          <cell r="C2342" t="str">
            <v>M3</v>
          </cell>
          <cell r="D2342">
            <v>424.97</v>
          </cell>
        </row>
        <row r="2343">
          <cell r="A2343">
            <v>92733</v>
          </cell>
          <cell r="B2343" t="str">
            <v>CONCRETAGEM DE VIGAS E LAJES, FCK=20 MPA, PARA LAJES MACIÇAS OU NERVURADAS COM JERICAS EM CREMALHEIRA EM EDIFICAÇÃO DE MULTIPAVIMENTOS ATÉ 16 ANDARES, COM ÁREA MÉDIA DE LAJES MENOR OU IGUAL A 20 M² - LANÇAMENTO, ADENSAMENTO E ACABAMENTO. AF_12/2015</v>
          </cell>
          <cell r="C2343" t="str">
            <v>M3</v>
          </cell>
          <cell r="D2343">
            <v>418.71</v>
          </cell>
        </row>
        <row r="2344">
          <cell r="A2344">
            <v>92734</v>
          </cell>
          <cell r="B2344" t="str">
            <v>CONCRETAGEM DE VIGAS E LAJES, FCK=20 MPA, PARA LAJES MACIÇAS OU NERVURADAS COM JERICAS EM CREMALHEIRA EM EDIFICAÇÃO DE MULTIPAVIMENTOS ATÉ 16 ANDARES, COM ÁREA MÉDIA DE LAJES MAIOR QUE 20 M² - LANÇAMENTO, ADENSAMENTO E ACABAMENTO. AF_12/2015</v>
          </cell>
          <cell r="C2344" t="str">
            <v>M3</v>
          </cell>
          <cell r="D2344">
            <v>408.35</v>
          </cell>
        </row>
        <row r="2345">
          <cell r="A2345">
            <v>92735</v>
          </cell>
          <cell r="B2345" t="str">
            <v>CONCRETAGEM DE VIGAS E LAJES, FCK=20 MPA, PARA LAJES PREMOLDADAS COM GRUA DE CAÇAMBA DE 350 L EM EDIFICAÇÃO DE MULTIPAVIMENTOS ATÉ 16 ANDARES, COM ÁREA MÉDIA DE LAJES MENOR OU IGUAL A 20 M² - LANÇAMENTO, ADENSAMENTO E ACABAMENTO. AF_12/2015</v>
          </cell>
          <cell r="C2345" t="str">
            <v>M3</v>
          </cell>
          <cell r="D2345">
            <v>414.03</v>
          </cell>
        </row>
        <row r="2346">
          <cell r="A2346">
            <v>92736</v>
          </cell>
          <cell r="B2346" t="str">
            <v>CONCRETAGEM DE VIGAS E LAJES, FCK=20 MPA, PARA LAJES PREMOLDADAS COM GRUA DE CAÇAMBA DE 350 L EM EDIFICAÇÃO DE MULTIPAVIMENTOS ATÉ 16 ANDARES, COM ÁREA MÉDIA DE LAJES MAIOR QUE 20 M² - LANÇAMENTO, ADENSAMENTO E ACABAMENTO. AF_12/2015</v>
          </cell>
          <cell r="C2346" t="str">
            <v>M3</v>
          </cell>
          <cell r="D2346">
            <v>402.89</v>
          </cell>
        </row>
        <row r="2347">
          <cell r="A2347">
            <v>92739</v>
          </cell>
          <cell r="B2347" t="str">
            <v>CONCRETAGEM DE VIGAS E LAJES, FCK=20 MPA, PARA LAJES MACIÇAS OU NERVURADAS COM GRUA DE CAÇAMBA DE 500 L EM EDIFICAÇÃO DE MULTIPAVIMENTOS ATÉ 16 ANDARES, COM ÁREA MÉDIA DE LAJES MENOR OU IGUAL A 20 M² - LANÇAMENTO, ADENSAMENTO E ACABAMENTO. AF_12/2015</v>
          </cell>
          <cell r="C2347" t="str">
            <v>M3</v>
          </cell>
          <cell r="D2347">
            <v>386.7</v>
          </cell>
        </row>
        <row r="2348">
          <cell r="A2348">
            <v>92740</v>
          </cell>
          <cell r="B2348" t="str">
            <v>CONCRETAGEM DE VIGAS E LAJES, FCK=20 MPA, PARA LAJES MACIÇAS OU NERVURADAS COM GRUA DE CAÇAMBA DE 500 L EM EDIFICAÇÃO DE MULTIPAVIMENTOS ATÉ 16 ANDARES, COM ÁREA MÉDIA DE LAJES MAIOR QUE 20 M² - LANÇAMENTO, ADENSAMENTO E ACABAMENTO. AF_12/2015</v>
          </cell>
          <cell r="C2348" t="str">
            <v>M3</v>
          </cell>
          <cell r="D2348">
            <v>381.17</v>
          </cell>
        </row>
        <row r="2349">
          <cell r="A2349">
            <v>92741</v>
          </cell>
          <cell r="B2349" t="str">
            <v>CONCRETAGEM DE VIGAS E LAJES, FCK=20 MPA, PARA QUALQUER TIPO DE LAJE COM BALDES EM EDIFICAÇÃO TÉRREA, COM ÁREA MÉDIA DE LAJES MENOR OU IGUAL A 20 M² - LANÇAMENTO, ADENSAMENTO E ACABAMENTO. AF_12/2015</v>
          </cell>
          <cell r="C2349" t="str">
            <v>M3</v>
          </cell>
          <cell r="D2349">
            <v>584.97</v>
          </cell>
        </row>
        <row r="2350">
          <cell r="A2350">
            <v>92742</v>
          </cell>
          <cell r="B2350" t="str">
            <v>CONCRETAGEM DE VIGAS E LAJES, FCK=20 MPA, PARA QUALQUER TIPO DE LAJE COM BALDES EM EDIFICAÇÃO DE MULTIPAVIMENTOS ATÉ 04 ANDARES, COM ÁREA MÉDIA DE LAJES MENOR OU IGUAL A 20 M² - LANÇAMENTO, ADENSAMENTO E ACABAMENTO. AF_12/2015</v>
          </cell>
          <cell r="C2350" t="str">
            <v>M3</v>
          </cell>
          <cell r="D2350">
            <v>799.15</v>
          </cell>
        </row>
        <row r="2351">
          <cell r="A2351">
            <v>92873</v>
          </cell>
          <cell r="B2351" t="str">
            <v>LANÇAMENTO COM USO DE BALDES, ADENSAMENTO E ACABAMENTO DE CONCRETO EM ESTRUTURAS. AF_12/2015</v>
          </cell>
          <cell r="C2351" t="str">
            <v>M3</v>
          </cell>
          <cell r="D2351">
            <v>165.83</v>
          </cell>
        </row>
        <row r="2352">
          <cell r="A2352">
            <v>92874</v>
          </cell>
          <cell r="B2352" t="str">
            <v>LANÇAMENTO COM USO DE BOMBA, ADENSAMENTO E ACABAMENTO DE CONCRETO EM ESTRUTURAS. AF_12/2015</v>
          </cell>
          <cell r="C2352" t="str">
            <v>M3</v>
          </cell>
          <cell r="D2352">
            <v>27.52</v>
          </cell>
        </row>
        <row r="2353">
          <cell r="A2353">
            <v>94962</v>
          </cell>
          <cell r="B2353" t="str">
            <v>CONCRETO MAGRO PARA LASTRO, TRAÇO 1:4,5:4,5 (CIMENTO/ AREIA MÉDIA/ BRITA 1)  - PREPARO MECÂNICO COM BETONEIRA 400 L. AF_07/2016</v>
          </cell>
          <cell r="C2353" t="str">
            <v>M3</v>
          </cell>
          <cell r="D2353">
            <v>249.96</v>
          </cell>
        </row>
        <row r="2354">
          <cell r="A2354">
            <v>94963</v>
          </cell>
          <cell r="B2354" t="str">
            <v>CONCRETO FCK = 15MPA, TRAÇO 1:3,4:3,5 (CIMENTO/ AREIA MÉDIA/ BRITA 1)  - PREPARO MECÂNICO COM BETONEIRA 400 L. AF_07/2016</v>
          </cell>
          <cell r="C2354" t="str">
            <v>M3</v>
          </cell>
          <cell r="D2354">
            <v>277.05</v>
          </cell>
        </row>
        <row r="2355">
          <cell r="A2355">
            <v>94964</v>
          </cell>
          <cell r="B2355" t="str">
            <v>CONCRETO FCK = 20MPA, TRAÇO 1:2,7:3 (CIMENTO/ AREIA MÉDIA/ BRITA 1)  - PREPARO MECÂNICO COM BETONEIRA 400 L. AF_07/2016</v>
          </cell>
          <cell r="C2355" t="str">
            <v>M3</v>
          </cell>
          <cell r="D2355">
            <v>303.31</v>
          </cell>
        </row>
        <row r="2356">
          <cell r="A2356">
            <v>94965</v>
          </cell>
          <cell r="B2356" t="str">
            <v>CONCRETO FCK = 25MPA, TRAÇO 1:2,3:2,7 (CIMENTO/ AREIA MÉDIA/ BRITA 1)  - PREPARO MECÂNICO COM BETONEIRA 400 L. AF_07/2016</v>
          </cell>
          <cell r="C2356" t="str">
            <v>M3</v>
          </cell>
          <cell r="D2356">
            <v>314.61</v>
          </cell>
        </row>
        <row r="2357">
          <cell r="A2357">
            <v>94966</v>
          </cell>
          <cell r="B2357" t="str">
            <v>CONCRETO FCK = 30MPA, TRAÇO 1:2,1:2,5 (CIMENTO/ AREIA MÉDIA/ BRITA 1)  - PREPARO MECÂNICO COM BETONEIRA 400 L. AF_07/2016</v>
          </cell>
          <cell r="C2357" t="str">
            <v>M3</v>
          </cell>
          <cell r="D2357">
            <v>325.43</v>
          </cell>
        </row>
        <row r="2358">
          <cell r="A2358">
            <v>94967</v>
          </cell>
          <cell r="B2358" t="str">
            <v>CONCRETO FCK = 40MPA, TRAÇO 1:1,6:1,9 (CIMENTO/ AREIA MÉDIA/ BRITA 1)  - PREPARO MECÂNICO COM BETONEIRA 400 L. AF_07/2016</v>
          </cell>
          <cell r="C2358" t="str">
            <v>M3</v>
          </cell>
          <cell r="D2358">
            <v>371.24</v>
          </cell>
        </row>
        <row r="2359">
          <cell r="A2359">
            <v>94968</v>
          </cell>
          <cell r="B2359" t="str">
            <v>CONCRETO MAGRO PARA LASTRO, TRAÇO 1:4,5:4,5 (CIMENTO/ AREIA MÉDIA/ BRITA 1)  - PREPARO MECÂNICO COM BETONEIRA 600 L. AF_07/2016</v>
          </cell>
          <cell r="C2359" t="str">
            <v>M3</v>
          </cell>
          <cell r="D2359">
            <v>247.36</v>
          </cell>
        </row>
        <row r="2360">
          <cell r="A2360">
            <v>94969</v>
          </cell>
          <cell r="B2360" t="str">
            <v>CONCRETO FCK = 15MPA, TRAÇO 1:3,4:3,5 (CIMENTO/ AREIA MÉDIA/ BRITA 1)  - PREPARO MECÂNICO COM BETONEIRA 600 L. AF_07/2016</v>
          </cell>
          <cell r="C2360" t="str">
            <v>M3</v>
          </cell>
          <cell r="D2360">
            <v>272.14</v>
          </cell>
        </row>
        <row r="2361">
          <cell r="A2361">
            <v>94970</v>
          </cell>
          <cell r="B2361" t="str">
            <v>CONCRETO FCK = 20MPA, TRAÇO 1:2,7:3 (CIMENTO/ AREIA MÉDIA/ BRITA 1)  - PREPARO MECÂNICO COM BETONEIRA 600 L. AF_07/2016</v>
          </cell>
          <cell r="C2361" t="str">
            <v>M3</v>
          </cell>
          <cell r="D2361">
            <v>293.95</v>
          </cell>
        </row>
        <row r="2362">
          <cell r="A2362">
            <v>94971</v>
          </cell>
          <cell r="B2362" t="str">
            <v>CONCRETO FCK = 25MPA, TRAÇO 1:2,3:2,7 (CIMENTO/ AREIA MÉDIA/ BRITA 1)  - PREPARO MECÂNICO COM BETONEIRA 600 L. AF_07/2016</v>
          </cell>
          <cell r="C2362" t="str">
            <v>M3</v>
          </cell>
          <cell r="D2362">
            <v>309.62</v>
          </cell>
        </row>
        <row r="2363">
          <cell r="A2363">
            <v>94972</v>
          </cell>
          <cell r="B2363" t="str">
            <v>CONCRETO FCK = 30MPA, TRAÇO 1:2,1:2,5 (CIMENTO/ AREIA MÉDIA/ BRITA 1)  - PREPARO MECÂNICO COM BETONEIRA 600 L. AF_07/2016</v>
          </cell>
          <cell r="C2363" t="str">
            <v>M3</v>
          </cell>
          <cell r="D2363">
            <v>320.27</v>
          </cell>
        </row>
        <row r="2364">
          <cell r="A2364">
            <v>94973</v>
          </cell>
          <cell r="B2364" t="str">
            <v>CONCRETO FCK = 40MPA, TRAÇO 1:1,6:1,9 (CIMENTO/ AREIA MÉDIA/ BRITA 1)  - PREPARO MECÂNICO COM BETONEIRA 600 L. AF_07/2016</v>
          </cell>
          <cell r="C2364" t="str">
            <v>M3</v>
          </cell>
          <cell r="D2364">
            <v>364.88</v>
          </cell>
        </row>
        <row r="2365">
          <cell r="A2365">
            <v>94974</v>
          </cell>
          <cell r="B2365" t="str">
            <v>CONCRETO MAGRO PARA LASTRO, TRAÇO 1:4,5:4,5 (CIMENTO/ AREIA MÉDIA/ BRITA 1)  - PREPARO MANUAL. AF_07/2016</v>
          </cell>
          <cell r="C2365" t="str">
            <v>M3</v>
          </cell>
          <cell r="D2365">
            <v>357.66</v>
          </cell>
        </row>
        <row r="2366">
          <cell r="A2366">
            <v>94975</v>
          </cell>
          <cell r="B2366" t="str">
            <v>CONCRETO FCK = 15MPA, TRAÇO 1:3,4:3,5 (CIMENTO/ AREIA MÉDIA/ BRITA 1)  - PREPARO MANUAL. AF_07/2016</v>
          </cell>
          <cell r="C2366" t="str">
            <v>M3</v>
          </cell>
          <cell r="D2366">
            <v>383.13</v>
          </cell>
        </row>
        <row r="2367">
          <cell r="A2367">
            <v>96555</v>
          </cell>
          <cell r="B2367" t="str">
            <v>CONCRETAGEM DE BLOCOS DE COROAMENTO E VIGAS BALDRAME, FCK 30 MPA, COM USO DE JERICA  LANÇAMENTO, ADENSAMENTO E ACABAMENTO. AF_06/2017</v>
          </cell>
          <cell r="C2367" t="str">
            <v>M3</v>
          </cell>
          <cell r="D2367">
            <v>457.2</v>
          </cell>
        </row>
        <row r="2368">
          <cell r="A2368">
            <v>96556</v>
          </cell>
          <cell r="B2368" t="str">
            <v>CONCRETAGEM DE SAPATAS, FCK 30 MPA, COM USO DE JERICA  LANÇAMENTO, ADENSAMENTO E ACABAMENTO. AF_06/2017</v>
          </cell>
          <cell r="C2368" t="str">
            <v>M3</v>
          </cell>
          <cell r="D2368">
            <v>522.25</v>
          </cell>
        </row>
        <row r="2369">
          <cell r="A2369">
            <v>96557</v>
          </cell>
          <cell r="B2369" t="str">
            <v>CONCRETAGEM DE BLOCOS DE COROAMENTO E VIGAS BALDRAMES, FCK 30 MPA, COM USO DE BOMBA  LANÇAMENTO, ADENSAMENTO E ACABAMENTO. AF_06/2017</v>
          </cell>
          <cell r="C2369" t="str">
            <v>M3</v>
          </cell>
          <cell r="D2369">
            <v>474.95</v>
          </cell>
        </row>
        <row r="2370">
          <cell r="A2370">
            <v>96558</v>
          </cell>
          <cell r="B2370" t="str">
            <v>CONCRETAGEM DE SAPATAS, FCK 30 MPA, COM USO DE BOMBA  LANÇAMENTO, ADENSAMENTO E ACABAMENTO. AF_11/2016</v>
          </cell>
          <cell r="C2370" t="str">
            <v>M3</v>
          </cell>
          <cell r="D2370">
            <v>480.83</v>
          </cell>
        </row>
        <row r="2371">
          <cell r="A2371">
            <v>99235</v>
          </cell>
          <cell r="B2371" t="str">
            <v>CONCRETAGEM DE EDIFICAÇÕES (PAREDES E LAJES) FEITAS COM SISTEMA DE FÔRMAS MANUSEÁVEIS, COM CONCRETO USINADO AUTOADENSÁVEL FCK 25 MPA - LANÇAMENTO E ACABAMENTO. AF_06/2015</v>
          </cell>
          <cell r="C2371" t="str">
            <v>M3</v>
          </cell>
          <cell r="D2371">
            <v>427.08</v>
          </cell>
        </row>
        <row r="2372">
          <cell r="A2372">
            <v>99431</v>
          </cell>
          <cell r="B2372" t="str">
            <v>CONCRETAGEM DE LAJES EM EDIFICAÇÕES UNIFAMILIARES FEITAS COM SISTEMA DE FÔRMAS MANUSEÁVEIS, COM CONCRETO USINADO BOMBEÁVEL FCK 25 MPA - LANÇAMENTO, ADENSAMENTO E ACABAMENTO (EXCLUSIVE BOMBA LANÇA). AF_06/2015</v>
          </cell>
          <cell r="C2372" t="str">
            <v>M3</v>
          </cell>
          <cell r="D2372">
            <v>506.11</v>
          </cell>
        </row>
        <row r="2373">
          <cell r="A2373">
            <v>99432</v>
          </cell>
          <cell r="B2373" t="str">
            <v>CONCRETAGEM DE PAREDES EM EDIFICAÇÕES UNIFAMILIARES FEITAS COM SISTEMA DE FÔRMAS MANUSEÁVEIS, COM CONCRETO USINADO BOMBEÁVEL FCK 25 MPA - LANÇAMENTO, ADENSAMENTO E ACABAMENTO (EXCLUSIVE BOMBA LANÇA). AF_06/2015</v>
          </cell>
          <cell r="C2373" t="str">
            <v>M3</v>
          </cell>
          <cell r="D2373">
            <v>480.12</v>
          </cell>
        </row>
        <row r="2374">
          <cell r="A2374">
            <v>99433</v>
          </cell>
          <cell r="B2374" t="str">
            <v>CONCRETAGEM DE PLATIBANDA EM EDIFICAÇÕES UNIFAMILIARES FEITAS COM SISTEMA DE FÔRMAS MANUSEÁVEIS, COM CONCRETO USINADO BOMBEÁVEL FCK 25 MPA, - LANÇAMENTO, ADENSAMENTO E ACABAMENTO (EXCLUSIVE BOMBA LANÇA). AF_06/2015</v>
          </cell>
          <cell r="C2374" t="str">
            <v>M3</v>
          </cell>
          <cell r="D2374">
            <v>535.36</v>
          </cell>
        </row>
        <row r="2375">
          <cell r="A2375">
            <v>99434</v>
          </cell>
          <cell r="B2375" t="str">
            <v>CONCRETAGEM DE LAJES EM EDIFICAÇÕES MULTIFAMILIARES FEITAS COM SISTEMA DE FÔRMAS MANUSEÁVEIS, COM CONCRETO USINADO BOMBEÁVEL FCK 25 MPA - LANÇAMENTO, ADENSAMENTO E ACABAMENTO (EXCLUSIVE BOMBA LANÇA). AF_06/2015</v>
          </cell>
          <cell r="C2375" t="str">
            <v>M3</v>
          </cell>
          <cell r="D2375">
            <v>509.78</v>
          </cell>
        </row>
        <row r="2376">
          <cell r="A2376">
            <v>99435</v>
          </cell>
          <cell r="B2376" t="str">
            <v>CONCRETAGEM DE PAREDES EM EDIFICAÇÕES MULTIFAMILIARES FEITAS COM SISTEMA DE FÔRMAS MANUSEÁVEIS, COM CONCRETO USINADO BOMBEÁVEL FCK 25 MPA - LANÇAMENTO, ADENSAMENTO E ACABAMENTO (EXCLUSIVE BOMBA LANÇA). AF_06/2015</v>
          </cell>
          <cell r="C2376" t="str">
            <v>M3</v>
          </cell>
          <cell r="D2376">
            <v>493.32</v>
          </cell>
        </row>
        <row r="2377">
          <cell r="A2377">
            <v>99436</v>
          </cell>
          <cell r="B2377" t="str">
            <v>CONCRETAGEM DE PLATIBANDA EM EDIFICAÇÕES MULTIFAMILIARES FEITAS COM SISTEMA DE FÔRMAS MANUSEÁVEIS, COM CONCRETO USINADO BOMBEÁVEL FCK 25 MPA - LANÇAMENTO, ADENSAMENTO E ACABAMENTO (EXCLUSIVE BOMBA LANÇA). AF_06/2015</v>
          </cell>
          <cell r="C2377" t="str">
            <v>M3</v>
          </cell>
          <cell r="D2377">
            <v>552.16999999999996</v>
          </cell>
        </row>
        <row r="2378">
          <cell r="A2378">
            <v>99437</v>
          </cell>
          <cell r="B2378" t="str">
            <v>CONCRETAGEM DE PLATIBANDA EM EDIFICAÇÕES UNIFAMILIARES FEITAS COM SISTEMA DE FÔRMAS MANUSEÁVEIS, COM CONCRETO USINADO AUTOADENSÁVEL FCK 25 MPA - LANÇAMENTO E ACABAMENTO. AF_06/2015</v>
          </cell>
          <cell r="C2378" t="str">
            <v>M3</v>
          </cell>
          <cell r="D2378">
            <v>454.22</v>
          </cell>
        </row>
        <row r="2379">
          <cell r="A2379">
            <v>99438</v>
          </cell>
          <cell r="B2379" t="str">
            <v>CONCRETAGEM DE PLATIBANDA EM EDIFICAÇÕES MULTIFAMILIARES FEITAS COM SISTEMA DE FÔRMAS MANUSEÁVEIS, COM CONCRETO USINADO AUTOADENSÁVEL FCK 25 MPA - LANÇAMENTO E ACABAMENTO. AF_06/2015</v>
          </cell>
          <cell r="C2379" t="str">
            <v>M3</v>
          </cell>
          <cell r="D2379">
            <v>459.31</v>
          </cell>
        </row>
        <row r="2380">
          <cell r="A2380">
            <v>99439</v>
          </cell>
          <cell r="B2380" t="str">
            <v>CONCRETAGEM DE EDIFICAÇÕES (PAREDES E LAJES) FEITAS COM SISTEMA DE FÔRMAS MANUSEÁVEIS, COM CONCRETO USINADO BOMBEÁVEL FCK 25 MPA - LANÇAMENTO, ADENSAMENTO E ACABAMENTO (EXCLUSIVE BOMBA LANÇA). AF_06/2015</v>
          </cell>
          <cell r="C2380" t="str">
            <v>M3</v>
          </cell>
          <cell r="D2380">
            <v>498.01</v>
          </cell>
        </row>
        <row r="2381">
          <cell r="A2381" t="str">
            <v>74141/1</v>
          </cell>
          <cell r="B2381" t="str">
            <v>LAJE PRE-MOLD BETA 11 P/1KN/M2 VAOS 4,40M/INCL VIGOTAS TIJOLOS ARMADURA NEGATIVA CAPEAMENTO 3CM CONCRETO 20MPA ESCORAMENTO MATERIAL E MAO  DE OBRA.</v>
          </cell>
          <cell r="C2381" t="str">
            <v>M2</v>
          </cell>
          <cell r="D2381">
            <v>88.62</v>
          </cell>
        </row>
        <row r="2382">
          <cell r="A2382" t="str">
            <v>74141/2</v>
          </cell>
          <cell r="B2382" t="str">
            <v>LAJE PRE-MOLD BETA 12 P/3,5KN/M2 VAO 4,1M INCL VIGOTAS TIJOLOS ARMADU-RA NEGATIVA CAPEAMENTO 3CM CONCRETO 15MPA ESCORAMENTO MATERIAIS E MAO DE OBRA.</v>
          </cell>
          <cell r="C2382" t="str">
            <v>M2</v>
          </cell>
          <cell r="D2382">
            <v>97.78</v>
          </cell>
        </row>
        <row r="2383">
          <cell r="A2383" t="str">
            <v>74141/3</v>
          </cell>
          <cell r="B2383" t="str">
            <v>LAJE PRE-MOLD BETA 16 P/3,5KN/M2 VAO 5,2M INCL VIGOTAS TIJOLOS ARMADU-RA NEGATIVA CAPEAMENTO 3CM CONCRETO 15MPA ESCORAMENTO MATERIAL E MAO  DE OBRA.</v>
          </cell>
          <cell r="C2383" t="str">
            <v>M2</v>
          </cell>
          <cell r="D2383">
            <v>117.62</v>
          </cell>
        </row>
        <row r="2384">
          <cell r="A2384" t="str">
            <v>74141/4</v>
          </cell>
          <cell r="B2384" t="str">
            <v>LAJE PRE-MOLD BETA 20 P/3,5KN/M2 VAO 6,2M INCL VIGOTAS TIJOLOS ARMADU-RA NEGATIVA CAPEAMENTO 3CM CONCRETO 15MPA ESCORAMENTO MATERIAL E MAO  DE OBRA.</v>
          </cell>
          <cell r="C2384" t="str">
            <v>M2</v>
          </cell>
          <cell r="D2384">
            <v>135.88999999999999</v>
          </cell>
        </row>
        <row r="2385">
          <cell r="A2385" t="str">
            <v>74202/1</v>
          </cell>
          <cell r="B2385" t="str">
            <v>LAJE PRE-MOLDADA P/FORRO, SOBRECARGA 100KG/M2, VAOS ATE 3,50M/E=8CM, C/LAJOTAS E CAP.C/CONC FCK=20MPA, 3CM, INTER-EIXO 38CM, C/ESCORAMENTO (REAPR.3X) E FERRAGEM NEGATIVA</v>
          </cell>
          <cell r="C2385" t="str">
            <v>M2</v>
          </cell>
          <cell r="D2385">
            <v>79.56</v>
          </cell>
        </row>
        <row r="2386">
          <cell r="A2386" t="str">
            <v>74202/2</v>
          </cell>
          <cell r="B2386" t="str">
            <v>LAJE PRE-MOLDADA P/PISO, SOBRECARGA 200KG/M2, VAOS ATE 3,50M/E=8CM, C/LAJOTAS E CAP.C/CONC FCK=20MPA, 4CM, INTER-EIXO 38CM, C/ESCORAMENTO (REAPR.3X) E FERRAGEM NEGATIVA</v>
          </cell>
          <cell r="C2386" t="str">
            <v>M2</v>
          </cell>
          <cell r="D2386">
            <v>86.81</v>
          </cell>
        </row>
        <row r="2387">
          <cell r="A2387" t="str">
            <v>73817/1</v>
          </cell>
          <cell r="B2387" t="str">
            <v>EMBASAMENTO DE MATERIAL GRANULAR - PO DE PEDRA</v>
          </cell>
          <cell r="C2387" t="str">
            <v>M3</v>
          </cell>
          <cell r="D2387">
            <v>94.93</v>
          </cell>
        </row>
        <row r="2388">
          <cell r="A2388" t="str">
            <v>73817/2</v>
          </cell>
          <cell r="B2388" t="str">
            <v>EMBASAMENTO DE MATERIAL GRANULAR - RACHAO</v>
          </cell>
          <cell r="C2388" t="str">
            <v>M3</v>
          </cell>
          <cell r="D2388">
            <v>124.99</v>
          </cell>
        </row>
        <row r="2389">
          <cell r="A2389" t="str">
            <v>74078/1</v>
          </cell>
          <cell r="B2389" t="str">
            <v>AGULHAMENTO FUNDO DE VALAS C/MACO 30KG PEDRA-DE-MAO H=10CM</v>
          </cell>
          <cell r="C2389" t="str">
            <v>M2</v>
          </cell>
          <cell r="D2389">
            <v>31.41</v>
          </cell>
        </row>
        <row r="2390">
          <cell r="A2390">
            <v>83518</v>
          </cell>
          <cell r="B2390" t="str">
            <v>ALVENARIA EMBASAMENTO E=20 CM BLOCO CONCRETO</v>
          </cell>
          <cell r="C2390" t="str">
            <v>M3</v>
          </cell>
          <cell r="D2390">
            <v>340.38</v>
          </cell>
        </row>
        <row r="2391">
          <cell r="A2391">
            <v>95467</v>
          </cell>
          <cell r="B2391" t="str">
            <v>EMBASAMENTO C/PEDRA ARGAMASSADA UTILIZANDO ARG.CIM/AREIA 1:4</v>
          </cell>
          <cell r="C2391" t="str">
            <v>M3</v>
          </cell>
          <cell r="D2391">
            <v>383.15</v>
          </cell>
        </row>
        <row r="2392">
          <cell r="A2392">
            <v>68328</v>
          </cell>
          <cell r="B2392" t="str">
            <v>JUNTA DE DILATACAO COM ISOPOR 10 MM</v>
          </cell>
          <cell r="C2392" t="str">
            <v>M2</v>
          </cell>
          <cell r="D2392">
            <v>10.64</v>
          </cell>
        </row>
        <row r="2393">
          <cell r="A2393" t="str">
            <v>73898/1</v>
          </cell>
          <cell r="B2393" t="str">
            <v>JUNTA DE DILATACAO ELASTICA (PVC) O-220/6 PRESSAO ATE 30 MCA</v>
          </cell>
          <cell r="C2393" t="str">
            <v>M</v>
          </cell>
          <cell r="D2393">
            <v>96.6</v>
          </cell>
        </row>
        <row r="2394">
          <cell r="A2394">
            <v>79471</v>
          </cell>
          <cell r="B2394" t="str">
            <v>PINTURA ADESIVA P/ CONCRETO, A BASE DE RESINA EPOXI ( SIKADUR 32 )</v>
          </cell>
          <cell r="C2394" t="str">
            <v>KG</v>
          </cell>
          <cell r="D2394">
            <v>57.13</v>
          </cell>
        </row>
        <row r="2395">
          <cell r="A2395">
            <v>98576</v>
          </cell>
          <cell r="B2395" t="str">
            <v>TRATAMENTO DE JUNTA DE DILATAÇÃO COM MANTA ASFÁLTICA ADERIDA COM MAÇARICO. AF_06/2018</v>
          </cell>
          <cell r="C2395" t="str">
            <v>M</v>
          </cell>
          <cell r="D2395">
            <v>15.29</v>
          </cell>
        </row>
        <row r="2396">
          <cell r="A2396">
            <v>93182</v>
          </cell>
          <cell r="B2396" t="str">
            <v>VERGA PRÉ-MOLDADA PARA JANELAS COM ATÉ 1,5 M DE VÃO. AF_03/2016</v>
          </cell>
          <cell r="C2396" t="str">
            <v>M</v>
          </cell>
          <cell r="D2396">
            <v>21.97</v>
          </cell>
        </row>
        <row r="2397">
          <cell r="A2397">
            <v>93183</v>
          </cell>
          <cell r="B2397" t="str">
            <v>VERGA PRÉ-MOLDADA PARA JANELAS COM MAIS DE 1,5 M DE VÃO. AF_03/2016</v>
          </cell>
          <cell r="C2397" t="str">
            <v>M</v>
          </cell>
          <cell r="D2397">
            <v>27.98</v>
          </cell>
        </row>
        <row r="2398">
          <cell r="A2398">
            <v>93184</v>
          </cell>
          <cell r="B2398" t="str">
            <v>VERGA PRÉ-MOLDADA PARA PORTAS COM ATÉ 1,5 M DE VÃO. AF_03/2016</v>
          </cell>
          <cell r="C2398" t="str">
            <v>M</v>
          </cell>
          <cell r="D2398">
            <v>16.98</v>
          </cell>
        </row>
        <row r="2399">
          <cell r="A2399">
            <v>93185</v>
          </cell>
          <cell r="B2399" t="str">
            <v>VERGA PRÉ-MOLDADA PARA PORTAS COM MAIS DE 1,5 M DE VÃO. AF_03/2016</v>
          </cell>
          <cell r="C2399" t="str">
            <v>M</v>
          </cell>
          <cell r="D2399">
            <v>27.5</v>
          </cell>
        </row>
        <row r="2400">
          <cell r="A2400">
            <v>93186</v>
          </cell>
          <cell r="B2400" t="str">
            <v>VERGA MOLDADA IN LOCO EM CONCRETO PARA JANELAS COM ATÉ 1,5 M DE VÃO. AF_03/2016</v>
          </cell>
          <cell r="C2400" t="str">
            <v>M</v>
          </cell>
          <cell r="D2400">
            <v>39.799999999999997</v>
          </cell>
        </row>
        <row r="2401">
          <cell r="A2401">
            <v>93187</v>
          </cell>
          <cell r="B2401" t="str">
            <v>VERGA MOLDADA IN LOCO EM CONCRETO PARA JANELAS COM MAIS DE 1,5 M DE VÃO. AF_03/2016</v>
          </cell>
          <cell r="C2401" t="str">
            <v>M</v>
          </cell>
          <cell r="D2401">
            <v>45.26</v>
          </cell>
        </row>
        <row r="2402">
          <cell r="A2402">
            <v>93188</v>
          </cell>
          <cell r="B2402" t="str">
            <v>VERGA MOLDADA IN LOCO EM CONCRETO PARA PORTAS COM ATÉ 1,5 M DE VÃO. AF_03/2016</v>
          </cell>
          <cell r="C2402" t="str">
            <v>M</v>
          </cell>
          <cell r="D2402">
            <v>39.450000000000003</v>
          </cell>
        </row>
        <row r="2403">
          <cell r="A2403">
            <v>93189</v>
          </cell>
          <cell r="B2403" t="str">
            <v>VERGA MOLDADA IN LOCO EM CONCRETO PARA PORTAS COM MAIS DE 1,5 M DE VÃO. AF_03/2016</v>
          </cell>
          <cell r="C2403" t="str">
            <v>M</v>
          </cell>
          <cell r="D2403">
            <v>45.84</v>
          </cell>
        </row>
        <row r="2404">
          <cell r="A2404">
            <v>93190</v>
          </cell>
          <cell r="B2404" t="str">
            <v>VERGA MOLDADA IN LOCO COM UTILIZAÇÃO DE BLOCOS CANALETA PARA JANELAS COM ATÉ 1,5 M DE VÃO. AF_03/2016</v>
          </cell>
          <cell r="C2404" t="str">
            <v>M</v>
          </cell>
          <cell r="D2404">
            <v>29.76</v>
          </cell>
        </row>
        <row r="2405">
          <cell r="A2405">
            <v>93191</v>
          </cell>
          <cell r="B2405" t="str">
            <v>VERGA MOLDADA IN LOCO COM UTILIZAÇÃO DE BLOCOS CANALETA PARA JANELAS COM MAIS DE 1,5 M DE VÃO. AF_03/2016</v>
          </cell>
          <cell r="C2405" t="str">
            <v>M</v>
          </cell>
          <cell r="D2405">
            <v>30.94</v>
          </cell>
        </row>
        <row r="2406">
          <cell r="A2406">
            <v>93192</v>
          </cell>
          <cell r="B2406" t="str">
            <v>VERGA MOLDADA IN LOCO COM UTILIZAÇÃO DE BLOCOS CANALETA PARA PORTAS COM ATÉ 1,5 M DE VÃO. AF_03/2016</v>
          </cell>
          <cell r="C2406" t="str">
            <v>M</v>
          </cell>
          <cell r="D2406">
            <v>33.729999999999997</v>
          </cell>
        </row>
        <row r="2407">
          <cell r="A2407">
            <v>93193</v>
          </cell>
          <cell r="B2407" t="str">
            <v>VERGA MOLDADA IN LOCO COM UTILIZAÇÃO DE BLOCOS CANALETA PARA PORTAS COM MAIS DE 1,5 M DE VÃO. AF_03/2016</v>
          </cell>
          <cell r="C2407" t="str">
            <v>M</v>
          </cell>
          <cell r="D2407">
            <v>31.57</v>
          </cell>
        </row>
        <row r="2408">
          <cell r="A2408">
            <v>93194</v>
          </cell>
          <cell r="B2408" t="str">
            <v>CONTRAVERGA PRÉ-MOLDADA PARA VÃOS DE ATÉ 1,5 M DE COMPRIMENTO. AF_03/2016</v>
          </cell>
          <cell r="C2408" t="str">
            <v>M</v>
          </cell>
          <cell r="D2408">
            <v>21.66</v>
          </cell>
        </row>
        <row r="2409">
          <cell r="A2409">
            <v>93195</v>
          </cell>
          <cell r="B2409" t="str">
            <v>CONTRAVERGA PRÉ-MOLDADA PARA VÃOS DE MAIS DE 1,5 M DE COMPRIMENTO. AF_03/2016</v>
          </cell>
          <cell r="C2409" t="str">
            <v>M</v>
          </cell>
          <cell r="D2409">
            <v>25.47</v>
          </cell>
        </row>
        <row r="2410">
          <cell r="A2410">
            <v>93196</v>
          </cell>
          <cell r="B2410" t="str">
            <v>CONTRAVERGA MOLDADA IN LOCO EM CONCRETO PARA VÃOS DE ATÉ 1,5 M DE COMPRIMENTO. AF_03/2016</v>
          </cell>
          <cell r="C2410" t="str">
            <v>M</v>
          </cell>
          <cell r="D2410">
            <v>37.89</v>
          </cell>
        </row>
        <row r="2411">
          <cell r="A2411">
            <v>93197</v>
          </cell>
          <cell r="B2411" t="str">
            <v>CONTRAVERGA MOLDADA IN LOCO EM CONCRETO PARA VÃOS DE MAIS DE 1,5 M DE COMPRIMENTO. AF_03/2016</v>
          </cell>
          <cell r="C2411" t="str">
            <v>M</v>
          </cell>
          <cell r="D2411">
            <v>41.76</v>
          </cell>
        </row>
        <row r="2412">
          <cell r="A2412">
            <v>93198</v>
          </cell>
          <cell r="B2412" t="str">
            <v>CONTRAVERGA MOLDADA IN LOCO COM UTILIZAÇÃO DE BLOCOS CANALETA PARA VÃOS DE ATÉ 1,5 M DE COMPRIMENTO. AF_03/2016</v>
          </cell>
          <cell r="C2412" t="str">
            <v>M</v>
          </cell>
          <cell r="D2412">
            <v>26.85</v>
          </cell>
        </row>
        <row r="2413">
          <cell r="A2413">
            <v>93199</v>
          </cell>
          <cell r="B2413" t="str">
            <v>CONTRAVERGA MOLDADA IN LOCO COM UTILIZAÇÃO DE BLOCOS CANALETA PARA VÃOS DE MAIS DE 1,5 M DE COMPRIMENTO. AF_03/2016</v>
          </cell>
          <cell r="C2413" t="str">
            <v>M</v>
          </cell>
          <cell r="D2413">
            <v>26.4</v>
          </cell>
        </row>
        <row r="2414">
          <cell r="A2414">
            <v>93200</v>
          </cell>
          <cell r="B2414" t="str">
            <v>FIXAÇÃO (ENCUNHAMENTO) DE ALVENARIA DE VEDAÇÃO COM ARGAMASSA APLICADA COM BISNAGA. AF_03/2016</v>
          </cell>
          <cell r="C2414" t="str">
            <v>M</v>
          </cell>
          <cell r="D2414">
            <v>2.11</v>
          </cell>
        </row>
        <row r="2415">
          <cell r="A2415">
            <v>93201</v>
          </cell>
          <cell r="B2415" t="str">
            <v>FIXAÇÃO (ENCUNHAMENTO) DE ALVENARIA DE VEDAÇÃO COM ARGAMASSA APLICADA COM COLHER. AF_03/2016</v>
          </cell>
          <cell r="C2415" t="str">
            <v>M</v>
          </cell>
          <cell r="D2415">
            <v>4.6100000000000003</v>
          </cell>
        </row>
        <row r="2416">
          <cell r="A2416">
            <v>93202</v>
          </cell>
          <cell r="B2416" t="str">
            <v>FIXAÇÃO (ENCUNHAMENTO) DE ALVENARIA DE VEDAÇÃO COM TIJOLO MACIÇO. AF_03/2016</v>
          </cell>
          <cell r="C2416" t="str">
            <v>M</v>
          </cell>
          <cell r="D2416">
            <v>18.32</v>
          </cell>
        </row>
        <row r="2417">
          <cell r="A2417">
            <v>93203</v>
          </cell>
          <cell r="B2417" t="str">
            <v>FIXAÇÃO (ENCUNHAMENTO) DE ALVENARIA DE VEDAÇÃO COM ESPUMA DE POLIURETANO EXPANSIVA. AF_03/2016</v>
          </cell>
          <cell r="C2417" t="str">
            <v>M</v>
          </cell>
          <cell r="D2417">
            <v>11.05</v>
          </cell>
        </row>
        <row r="2418">
          <cell r="A2418">
            <v>93204</v>
          </cell>
          <cell r="B2418" t="str">
            <v>CINTA DE AMARRAÇÃO DE ALVENARIA MOLDADA IN LOCO EM CONCRETO. AF_03/2016</v>
          </cell>
          <cell r="C2418" t="str">
            <v>M</v>
          </cell>
          <cell r="D2418">
            <v>31.28</v>
          </cell>
        </row>
        <row r="2419">
          <cell r="A2419">
            <v>93205</v>
          </cell>
          <cell r="B2419" t="str">
            <v>CINTA DE AMARRAÇÃO DE ALVENARIA MOLDADA IN LOCO COM UTILIZAÇÃO DE BLOCOS CANALETA. AF_03/2016</v>
          </cell>
          <cell r="C2419" t="str">
            <v>M</v>
          </cell>
          <cell r="D2419">
            <v>24.2</v>
          </cell>
        </row>
        <row r="2420">
          <cell r="A2420">
            <v>71623</v>
          </cell>
          <cell r="B2420" t="str">
            <v>CHAPIM DE CONCRETO APARENTE COM ACABAMENTO DESEMPENADO, FORMA DE COMPENSADO PLASTIFICADO (MADEIRIT) DE 14 X 10 CM, FUNDIDO NO LOCAL.</v>
          </cell>
          <cell r="C2420" t="str">
            <v>M</v>
          </cell>
          <cell r="D2420">
            <v>27.49</v>
          </cell>
        </row>
        <row r="2421">
          <cell r="A2421" t="str">
            <v>74144/2</v>
          </cell>
          <cell r="B2421" t="str">
            <v>SUPORTE APOIO CAIXA D AGUA BARROTES MADEIRA DE 1</v>
          </cell>
          <cell r="C2421" t="str">
            <v>UN</v>
          </cell>
          <cell r="D2421">
            <v>13.3</v>
          </cell>
        </row>
        <row r="2422">
          <cell r="A2422">
            <v>83513</v>
          </cell>
          <cell r="B2422" t="str">
            <v>FORNECIMENTO DE PERFIL SIMPLES "I" OU "H" ATE 8" INCLUSIVE PERDAS</v>
          </cell>
          <cell r="C2422" t="str">
            <v>KG</v>
          </cell>
          <cell r="D2422">
            <v>8.41</v>
          </cell>
        </row>
        <row r="2423">
          <cell r="A2423">
            <v>83514</v>
          </cell>
          <cell r="B2423" t="str">
            <v>FORNECIMENTO DE PERFIL SIMPLES "I" OU "H" 8 A 12" INCLUSIVE PERDAS</v>
          </cell>
          <cell r="C2423" t="str">
            <v>KG</v>
          </cell>
          <cell r="D2423">
            <v>7.6</v>
          </cell>
        </row>
        <row r="2424">
          <cell r="A2424">
            <v>84153</v>
          </cell>
          <cell r="B2424" t="str">
            <v>APARELHO DE APOIO NEOPRENE NAO FRETADO (1,4KG/DM3)</v>
          </cell>
          <cell r="C2424" t="str">
            <v>KG</v>
          </cell>
          <cell r="D2424">
            <v>66.77</v>
          </cell>
        </row>
        <row r="2425">
          <cell r="A2425">
            <v>84154</v>
          </cell>
          <cell r="B2425" t="str">
            <v>APARELHO APOIO NEOPRENE FRETADO</v>
          </cell>
          <cell r="C2425" t="str">
            <v>DM3</v>
          </cell>
          <cell r="D2425">
            <v>138.19</v>
          </cell>
        </row>
        <row r="2426">
          <cell r="A2426">
            <v>85233</v>
          </cell>
          <cell r="B2426" t="str">
            <v>ESCADA EM CONCRETO ARMADO, FCK = 15 MPA, MOLDADA IN LOCO</v>
          </cell>
          <cell r="C2426" t="str">
            <v>M3</v>
          </cell>
          <cell r="D2426">
            <v>2278.2199999999998</v>
          </cell>
        </row>
        <row r="2427">
          <cell r="A2427">
            <v>95952</v>
          </cell>
          <cell r="B2427" t="str">
            <v>(COMPOSIÇÃO REPRESENTATIVA) EXECUÇÃO DE ESTRUTURAS DE CONCRETO ARMADO CONVENCIONAL, PARA EDIFICAÇÃO HABITACIONAL MULTIFAMILIAR (PRÉDIO), FCK = 25 MPA. AF_01/2017</v>
          </cell>
          <cell r="C2427" t="str">
            <v>M3</v>
          </cell>
          <cell r="D2427">
            <v>1505.23</v>
          </cell>
        </row>
        <row r="2428">
          <cell r="A2428">
            <v>95953</v>
          </cell>
          <cell r="B2428" t="str">
            <v>(COMPOSIÇÃO REPRESENTATIVA) EXECUÇÃO DE ESTRUTURAS DE CONCRETO ARMADO, PARA EDIFICAÇÃO HABITACIONAL UNIFAMILIAR COM DOIS PAVIMENTOS (CASA ISOLADA), FCK = 25 MPA. AF_01/2017</v>
          </cell>
          <cell r="C2428" t="str">
            <v>M3</v>
          </cell>
          <cell r="D2428">
            <v>2457.84</v>
          </cell>
        </row>
        <row r="2429">
          <cell r="A2429">
            <v>95954</v>
          </cell>
          <cell r="B2429" t="str">
            <v>(COMPOSIÇÃO REPRESENTATIVA) EXECUÇÃO DE ESTRUTURAS DE CONCRETO ARMADO, PARA EDIFICAÇÃO HABITACIONAL UNIFAMILIAR COM DOIS PAVIMENTOS (CASA EM EMPREENDIMENTOS), FCK = 25 MPA. AF_01/2017</v>
          </cell>
          <cell r="C2429" t="str">
            <v>M3</v>
          </cell>
          <cell r="D2429">
            <v>1738.29</v>
          </cell>
        </row>
        <row r="2430">
          <cell r="A2430">
            <v>95955</v>
          </cell>
          <cell r="B2430" t="str">
            <v>(COMPOSIÇÃO REPRESENTATIVA) EXECUÇÃO DE ESTRUTURAS DE CONCRETO ARMADO, PARA EDIFICAÇÃO HABITACIONAL UNIFAMILIAR TÉRREA (CASA ISOLADA), FCK = 25 MPA. AF_01/2017</v>
          </cell>
          <cell r="C2430" t="str">
            <v>M3</v>
          </cell>
          <cell r="D2430">
            <v>2139.38</v>
          </cell>
        </row>
        <row r="2431">
          <cell r="A2431">
            <v>95956</v>
          </cell>
          <cell r="B2431" t="str">
            <v>(COMPOSIÇÃO REPRESENTATIVA) EXECUÇÃO DE ESTRUTURAS DE CONCRETO ARMADO, PARA EDIFICAÇÃO HABITACIONAL UNIFAMILIAR TÉRREA (CASA EM EMPREENDIMENTOS), FCK = 25 MPA. AF_01/2017</v>
          </cell>
          <cell r="C2431" t="str">
            <v>M3</v>
          </cell>
          <cell r="D2431">
            <v>1664.85</v>
          </cell>
        </row>
        <row r="2432">
          <cell r="A2432">
            <v>95957</v>
          </cell>
          <cell r="B2432" t="str">
            <v>(COMPOSIÇÃO REPRESENTATIVA) EXECUÇÃO DE ESTRUTURAS DE CONCRETO ARMADO, PARA EDIFICAÇÃO INSTITUCIONAL TÉRREA, FCK = 25 MPA. AF_01/2017</v>
          </cell>
          <cell r="C2432" t="str">
            <v>M3</v>
          </cell>
          <cell r="D2432">
            <v>2116.09</v>
          </cell>
        </row>
        <row r="2433">
          <cell r="A2433">
            <v>95969</v>
          </cell>
          <cell r="B2433" t="str">
            <v>(COMPOSIÇÃO REPRESENTATIVA) EXECUÇÃO DE ESCADA EM CONCRETO ARMADO, MOLDADA IN LOCO, FCK = 25 MPA. AF_02/2017</v>
          </cell>
          <cell r="C2433" t="str">
            <v>M3</v>
          </cell>
          <cell r="D2433">
            <v>2113.29</v>
          </cell>
        </row>
        <row r="2434">
          <cell r="A2434">
            <v>97733</v>
          </cell>
          <cell r="B2434" t="str">
            <v>PEÇA RETANGULAR PRÉ-MOLDADA, VOLUME DE CONCRETO DE ATÉ 10 LITROS, TAXA DE AÇO APROXIMADA DE 30KG/M³. AF_01/2018</v>
          </cell>
          <cell r="C2434" t="str">
            <v>M3</v>
          </cell>
          <cell r="D2434">
            <v>2425.2600000000002</v>
          </cell>
        </row>
        <row r="2435">
          <cell r="A2435">
            <v>97734</v>
          </cell>
          <cell r="B2435" t="str">
            <v>PEÇA RETANGULAR PRÉ-MOLDADA, VOLUME DE CONCRETO DE 10 A 30 LITROS, TAXA DE AÇO APROXIMADA DE 30KG/M³. AF_01/2018</v>
          </cell>
          <cell r="C2435" t="str">
            <v>M3</v>
          </cell>
          <cell r="D2435">
            <v>2115.0500000000002</v>
          </cell>
        </row>
        <row r="2436">
          <cell r="A2436">
            <v>97735</v>
          </cell>
          <cell r="B2436" t="str">
            <v>PEÇA RETANGULAR PRÉ-MOLDADA, VOLUME DE CONCRETO DE 30 A 100 LITROS, TAXA DE AÇO APROXIMADA DE 30KG/M³. AF_01/2018</v>
          </cell>
          <cell r="C2436" t="str">
            <v>M3</v>
          </cell>
          <cell r="D2436">
            <v>1735.42</v>
          </cell>
        </row>
        <row r="2437">
          <cell r="A2437">
            <v>97736</v>
          </cell>
          <cell r="B2437" t="str">
            <v>PEÇA RETANGULAR PRÉ-MOLDADA, VOLUME DE CONCRETO ACIMA DE 100 LITROS, TAXA DE AÇO APROXIMADA DE 30KG/M³. AF_01/2018</v>
          </cell>
          <cell r="C2437" t="str">
            <v>M3</v>
          </cell>
          <cell r="D2437">
            <v>1055.3599999999999</v>
          </cell>
        </row>
        <row r="2438">
          <cell r="A2438">
            <v>97737</v>
          </cell>
          <cell r="B2438" t="str">
            <v>PEÇA RETANGULAR PRÉ-MOLDADA, VOLUME DE CONCRETO DE 30 A 70 LITROS , TAXA DE AÇO APROXIMADA DE 70KG/M³. AF_01/2018</v>
          </cell>
          <cell r="C2438" t="str">
            <v>M3</v>
          </cell>
          <cell r="D2438">
            <v>2376.87</v>
          </cell>
        </row>
        <row r="2439">
          <cell r="A2439">
            <v>97738</v>
          </cell>
          <cell r="B2439" t="str">
            <v>PEÇA CIRCULAR PRÉ-MOLDADA, VOLUME DE CONCRETO DE 10 A 30 LITROS, TAXA DE FIBRA DE POLIPROPILENO APROXIMADA DE 6 KG/M³. AF_01/2018_P</v>
          </cell>
          <cell r="C2439" t="str">
            <v>M3</v>
          </cell>
          <cell r="D2439">
            <v>3237.33</v>
          </cell>
        </row>
        <row r="2440">
          <cell r="A2440">
            <v>97739</v>
          </cell>
          <cell r="B2440" t="str">
            <v>PEÇA CIRCULAR PRÉ-MOLDADA, VOLUME DE CONCRETO DE 30 A 100 LITROS, TAXA DE AÇO APROXIMADA DE 30KG/M³. AF_01/2018</v>
          </cell>
          <cell r="C2440" t="str">
            <v>M3</v>
          </cell>
          <cell r="D2440">
            <v>1970.87</v>
          </cell>
        </row>
        <row r="2441">
          <cell r="A2441">
            <v>97740</v>
          </cell>
          <cell r="B2441" t="str">
            <v>PEÇA CIRCULAR PRÉ-MOLDADA, VOLUME DE CONCRETO ACIMA DE 100 LITROS, TAXA DE AÇO APROXIMADA DE 30KG/M³. AF_01/2018</v>
          </cell>
          <cell r="C2441" t="str">
            <v>M3</v>
          </cell>
          <cell r="D2441">
            <v>1399.93</v>
          </cell>
        </row>
        <row r="2442">
          <cell r="A2442">
            <v>98615</v>
          </cell>
          <cell r="B2442" t="str">
            <v>CONTENÇÃO EM CORTINA COM ESTACAS ESPAÇADAS COM 30 CM DE DIÂMETRO E PROFUNDIDADE MENOR OU IGUAL A 10 M. AF_06/2018</v>
          </cell>
          <cell r="C2442" t="str">
            <v>M2</v>
          </cell>
          <cell r="D2442">
            <v>91.57</v>
          </cell>
        </row>
        <row r="2443">
          <cell r="A2443">
            <v>98616</v>
          </cell>
          <cell r="B2443" t="str">
            <v>CONTENÇÃO EM CORTINA COM ESTACAS ESPAÇADAS COM 30 CM DE DIÂMETRO E PROFUNDIDADE MAIOR QUE 10 M E MENOR OU IGUAL A 15 M. AF_06/2018</v>
          </cell>
          <cell r="C2443" t="str">
            <v>M2</v>
          </cell>
          <cell r="D2443">
            <v>72.790000000000006</v>
          </cell>
        </row>
        <row r="2444">
          <cell r="A2444">
            <v>98617</v>
          </cell>
          <cell r="B2444" t="str">
            <v>CONTENÇÃO EM CORTINA COM ESTACAS ESPAÇADAS COM 30 CM DE DIÂMETRO E PROFUNDIDADE MAIOR QUE 15 M. AF_06/2018</v>
          </cell>
          <cell r="C2444" t="str">
            <v>M2</v>
          </cell>
          <cell r="D2444">
            <v>67.55</v>
          </cell>
        </row>
        <row r="2445">
          <cell r="A2445">
            <v>98618</v>
          </cell>
          <cell r="B2445" t="str">
            <v>CONTENÇÃO EM CORTINA COM ESTACAS ESPAÇADAS COM 40 CM DE DIÂMETRO E PROFUNDIDADE MENOR OU IGUAL A 10 M. AF_06/2018</v>
          </cell>
          <cell r="C2445" t="str">
            <v>M2</v>
          </cell>
          <cell r="D2445">
            <v>92.59</v>
          </cell>
        </row>
        <row r="2446">
          <cell r="A2446">
            <v>98619</v>
          </cell>
          <cell r="B2446" t="str">
            <v>CONTENÇÃO EM CORTINA COM ESTACAS ESPAÇADAS COM 40 CM DE DIÂMETRO E PROFUNDIDADE MAIOR QUE 10 M E MENOR OU IGUAL A 15 M. AF_06/2018</v>
          </cell>
          <cell r="C2446" t="str">
            <v>M2</v>
          </cell>
          <cell r="D2446">
            <v>84.64</v>
          </cell>
        </row>
        <row r="2447">
          <cell r="A2447">
            <v>98620</v>
          </cell>
          <cell r="B2447" t="str">
            <v>CONTENÇÃO EM CORTINA COM ESTACAS ESPAÇADAS COM 40 CM DE DIÂMETRO E PROFUNDIDADE MAIOR QUE 15 M. AF_06/2018</v>
          </cell>
          <cell r="C2447" t="str">
            <v>M2</v>
          </cell>
          <cell r="D2447">
            <v>80.64</v>
          </cell>
        </row>
        <row r="2448">
          <cell r="A2448">
            <v>98621</v>
          </cell>
          <cell r="B2448" t="str">
            <v>CONTENÇÃO EM CORTINA COM ESTACAS ESPAÇADAS COM 50 CM DE DIÂMETRO E PROFUNDIDADE MENOR OU IGUAL A 10 M. AF_06/2018</v>
          </cell>
          <cell r="C2448" t="str">
            <v>M2</v>
          </cell>
          <cell r="D2448">
            <v>105.45</v>
          </cell>
        </row>
        <row r="2449">
          <cell r="A2449">
            <v>98622</v>
          </cell>
          <cell r="B2449" t="str">
            <v>CONTENÇÃO EM CORTINA COM ESTACAS ESPAÇADAS COM 50 CM DE DIÂMETRO E PROFUNDIDADE MAIOR QUE 10 M E MENOR OU IGUAL A 15 M. AF_06/2018</v>
          </cell>
          <cell r="C2449" t="str">
            <v>M2</v>
          </cell>
          <cell r="D2449">
            <v>99.04</v>
          </cell>
        </row>
        <row r="2450">
          <cell r="A2450">
            <v>98623</v>
          </cell>
          <cell r="B2450" t="str">
            <v>CONTENÇÃO EM CORTINA COM ESTACAS ESPAÇADAS COM 50 CM DE DIÂMETRO E PROFUNDIDADE MAIOR QUE 15 M. AF_06/2018</v>
          </cell>
          <cell r="C2450" t="str">
            <v>M2</v>
          </cell>
          <cell r="D2450">
            <v>95.77</v>
          </cell>
        </row>
        <row r="2451">
          <cell r="A2451">
            <v>98624</v>
          </cell>
          <cell r="B2451" t="str">
            <v>CONTENÇÃO EM CORTINA COM ESTACAS ESPAÇADAS COM 60 CM DE DIÂMETRO E PROFUNDIDADE MENOR OU IGUAL A 10 M. AF_06/2018</v>
          </cell>
          <cell r="C2451" t="str">
            <v>M2</v>
          </cell>
          <cell r="D2451">
            <v>119.36</v>
          </cell>
        </row>
        <row r="2452">
          <cell r="A2452">
            <v>98625</v>
          </cell>
          <cell r="B2452" t="str">
            <v>CONTENÇÃO EM CORTINA COM ESTACAS ESPAÇADAS COM 60 CM DE DIÂMETRO E PROFUNDIDADE MAIOR QUE 10 M E MENOR OU IGUAL A 15 M. AF_06/2018</v>
          </cell>
          <cell r="C2452" t="str">
            <v>M2</v>
          </cell>
          <cell r="D2452">
            <v>113.96</v>
          </cell>
        </row>
        <row r="2453">
          <cell r="A2453">
            <v>98626</v>
          </cell>
          <cell r="B2453" t="str">
            <v>CONTENÇÃO EM CORTINA COM ESTACAS ESPAÇADAS COM 60 CM DE DIÂMETRO E PROFUNDIDADE MAIOR QUE 15 M. AF_06/2018</v>
          </cell>
          <cell r="C2453" t="str">
            <v>M2</v>
          </cell>
          <cell r="D2453">
            <v>111.15</v>
          </cell>
        </row>
        <row r="2454">
          <cell r="A2454">
            <v>98655</v>
          </cell>
          <cell r="B2454" t="str">
            <v>EXECUÇÃO DE MURETA GUIA PARA CONTENÇÃO/ FUNDAÇÃO COM 30 CM DE ESPESSURA. AF_06/2018</v>
          </cell>
          <cell r="C2454" t="str">
            <v>M</v>
          </cell>
          <cell r="D2454">
            <v>408.77</v>
          </cell>
        </row>
        <row r="2455">
          <cell r="A2455">
            <v>98656</v>
          </cell>
          <cell r="B2455" t="str">
            <v>EXECUÇÃO DE MURETA GUIA PARA CONTENÇÃO/ FUNDAÇÃO COM 40 CM DE ESPESSURA. AF_06/2018</v>
          </cell>
          <cell r="C2455" t="str">
            <v>M</v>
          </cell>
          <cell r="D2455">
            <v>414.49</v>
          </cell>
        </row>
        <row r="2456">
          <cell r="A2456">
            <v>98657</v>
          </cell>
          <cell r="B2456" t="str">
            <v>EXECUÇÃO DE MURETA GUIA PARA CONTENÇÃO/ FUNDAÇÃO COM 50 CM DE ESPESSURA. AF_06/2018</v>
          </cell>
          <cell r="C2456" t="str">
            <v>M</v>
          </cell>
          <cell r="D2456">
            <v>420.22</v>
          </cell>
        </row>
        <row r="2457">
          <cell r="A2457">
            <v>98658</v>
          </cell>
          <cell r="B2457" t="str">
            <v>EXECUÇÃO DE MURETA GUIA PARA CONTENÇÃO/ FUNDAÇÃO COM 60 CM DE ESPESSURA. AF_06/2018</v>
          </cell>
          <cell r="C2457" t="str">
            <v>M</v>
          </cell>
          <cell r="D2457">
            <v>425.94</v>
          </cell>
        </row>
        <row r="2458">
          <cell r="A2458">
            <v>98659</v>
          </cell>
          <cell r="B2458" t="str">
            <v>EXECUÇÃO DE MURETA GUIA PARA CONTENÇÃO/ FUNDAÇÃO COM 80 CM DE ESPESSURA. AF_06/2018</v>
          </cell>
          <cell r="C2458" t="str">
            <v>M</v>
          </cell>
          <cell r="D2458">
            <v>437.4</v>
          </cell>
        </row>
        <row r="2459">
          <cell r="A2459">
            <v>98746</v>
          </cell>
          <cell r="B2459" t="str">
            <v>SOLDA DE TOPO EM CHAPA/PERFIL/TUBO DE AÇO CHANFRADO, ESPESSURA=1/4''. AF_06/2018</v>
          </cell>
          <cell r="C2459" t="str">
            <v>M</v>
          </cell>
          <cell r="D2459">
            <v>39.74</v>
          </cell>
        </row>
        <row r="2460">
          <cell r="A2460">
            <v>98749</v>
          </cell>
          <cell r="B2460" t="str">
            <v>SOLDA DE TOPO EM CHAPA/PERFIL/TUBO DE AÇO CHANFRADO, ESPESSURA=5/16''. AF_06/2018</v>
          </cell>
          <cell r="C2460" t="str">
            <v>M</v>
          </cell>
          <cell r="D2460">
            <v>45</v>
          </cell>
        </row>
        <row r="2461">
          <cell r="A2461">
            <v>98750</v>
          </cell>
          <cell r="B2461" t="str">
            <v>SOLDA DE TOPO EM CHAPA/PERFIL/TUBO DE AÇO CHANFRADO, ESPESSURA=3/8''. AF_06/2018</v>
          </cell>
          <cell r="C2461" t="str">
            <v>M</v>
          </cell>
          <cell r="D2461">
            <v>51.12</v>
          </cell>
        </row>
        <row r="2462">
          <cell r="A2462">
            <v>98751</v>
          </cell>
          <cell r="B2462" t="str">
            <v>SOLDA DE TOPO EM CHAPA/PERFIL/TUBO DE AÇO CHANFRADO, ESPESSURA=1/2''. AF_06/2018</v>
          </cell>
          <cell r="C2462" t="str">
            <v>M</v>
          </cell>
          <cell r="D2462">
            <v>67.010000000000005</v>
          </cell>
        </row>
        <row r="2463">
          <cell r="A2463">
            <v>98752</v>
          </cell>
          <cell r="B2463" t="str">
            <v>SOLDA DE TOPO EM CHAPA/PERFIL/TUBO DE AÇO CHANFRADO, ESPESSURA=5/8''. AF_06/2018</v>
          </cell>
          <cell r="C2463" t="str">
            <v>M</v>
          </cell>
          <cell r="D2463">
            <v>85.8</v>
          </cell>
        </row>
        <row r="2464">
          <cell r="A2464">
            <v>98753</v>
          </cell>
          <cell r="B2464" t="str">
            <v>SOLDA DE TOPO EM CHAPA/PERFIL/TUBO DE AÇO CHANFRADO, ESPESSURA=3/4''. AF_06/2018</v>
          </cell>
          <cell r="C2464" t="str">
            <v>M</v>
          </cell>
          <cell r="D2464">
            <v>108.87</v>
          </cell>
        </row>
        <row r="2465">
          <cell r="A2465">
            <v>98560</v>
          </cell>
          <cell r="B2465" t="str">
            <v>IMPERMEABILIZAÇÃO DE PISO COM ARGAMASSA DE CIMENTO E AREIA, COM ADITIVO IMPERMEABILIZANTE, E = 2CM. AF_06/2018</v>
          </cell>
          <cell r="C2465" t="str">
            <v>M2</v>
          </cell>
          <cell r="D2465">
            <v>34.590000000000003</v>
          </cell>
        </row>
        <row r="2466">
          <cell r="A2466">
            <v>98561</v>
          </cell>
          <cell r="B2466" t="str">
            <v>IMPERMEABILIZAÇÃO DE PAREDES COM ARGAMASSA DE CIMENTO E AREIA, COM ADITIVO IMPERMEABILIZANTE, E = 2CM. AF_06/2018</v>
          </cell>
          <cell r="C2466" t="str">
            <v>M2</v>
          </cell>
          <cell r="D2466">
            <v>30.68</v>
          </cell>
        </row>
        <row r="2467">
          <cell r="A2467">
            <v>98562</v>
          </cell>
          <cell r="B2467" t="str">
            <v>IMPERMEABILIZAÇÃO DE FLOREIRA OU VIGA BALDRAME COM ARGAMASSA DE CIMENTO E AREIA, COM ADITIVO IMPERMEABILIZANTE, E = 2 CM. AF_06/2018</v>
          </cell>
          <cell r="C2467" t="str">
            <v>M2</v>
          </cell>
          <cell r="D2467">
            <v>30.12</v>
          </cell>
        </row>
        <row r="2468">
          <cell r="A2468">
            <v>83735</v>
          </cell>
          <cell r="B2468" t="str">
            <v>IMPERMEABILIZACAO DE SUPERFICIE COM CIMENTO IMPERMEABILIZANTE DE PEGA ULTRA RAPIDA, TRACO 1:1, E=0,5 CM</v>
          </cell>
          <cell r="C2468" t="str">
            <v>M2</v>
          </cell>
          <cell r="D2468">
            <v>54.81</v>
          </cell>
        </row>
        <row r="2469">
          <cell r="A2469">
            <v>98555</v>
          </cell>
          <cell r="B2469" t="str">
            <v>IMPERMEABILIZAÇÃO DE SUPERFÍCIE COM ARGAMASSA POLIMÉRICA / MEMBRANA ACRÍLICA, 3 DEMÃOS. AF_06/2018</v>
          </cell>
          <cell r="C2469" t="str">
            <v>M2</v>
          </cell>
          <cell r="D2469">
            <v>28.23</v>
          </cell>
        </row>
        <row r="2470">
          <cell r="A2470">
            <v>98556</v>
          </cell>
          <cell r="B2470" t="str">
            <v>IMPERMEABILIZAÇÃO DE SUPERFÍCIE COM ARGAMASSA POLIMÉRICA / MEMBRANA ACRÍLICA, 4 DEMÃOS, REFORÇADA COM VÉU DE POLIÉSTER (MAV). AF_06/2018</v>
          </cell>
          <cell r="C2470" t="str">
            <v>M2</v>
          </cell>
          <cell r="D2470">
            <v>48.07</v>
          </cell>
        </row>
        <row r="2471">
          <cell r="A2471">
            <v>98558</v>
          </cell>
          <cell r="B2471" t="str">
            <v>TRATAMENTO DE RALO OU PONTO EMERGENTE COM ARGAMASSA POLIMÉRICA / MEMBRANA ACRÍLICA REFORÇADO COM VÉU DE POLIÉSTER (MAV). AF_06/2018</v>
          </cell>
          <cell r="C2471" t="str">
            <v>UN</v>
          </cell>
          <cell r="D2471">
            <v>7.36</v>
          </cell>
        </row>
        <row r="2472">
          <cell r="A2472">
            <v>98559</v>
          </cell>
          <cell r="B2472" t="str">
            <v>TRATAMENTO DE RODAPÉ COM VÉU DE POLIÉSTER. AF_06/2018</v>
          </cell>
          <cell r="C2472" t="str">
            <v>M</v>
          </cell>
          <cell r="D2472">
            <v>3.36</v>
          </cell>
        </row>
        <row r="2473">
          <cell r="A2473">
            <v>68053</v>
          </cell>
          <cell r="B2473" t="str">
            <v>FORNECIMENTO/INSTALACAO LONA PLASTICA PRETA, PARA IMPERMEABILIZACAO, ESPESSURA 150 MICRAS.</v>
          </cell>
          <cell r="C2473" t="str">
            <v>M2</v>
          </cell>
          <cell r="D2473">
            <v>5.24</v>
          </cell>
        </row>
        <row r="2474">
          <cell r="A2474" t="str">
            <v>74033/1</v>
          </cell>
          <cell r="B2474" t="str">
            <v>IMPERMEABILIZACAO DE SUPERFICIE COM GEOMEMBRANA (MANTA TERMOPLASTICA LISA) TIPO PEAD, E=2MM.</v>
          </cell>
          <cell r="C2474" t="str">
            <v>M2</v>
          </cell>
          <cell r="D2474">
            <v>43.79</v>
          </cell>
        </row>
        <row r="2475">
          <cell r="A2475">
            <v>98546</v>
          </cell>
          <cell r="B2475" t="str">
            <v>IMPERMEABILIZAÇÃO DE SUPERFÍCIE COM MANTA ASFÁLTICA, UMA CAMADA, INCLUSIVE APLICAÇÃO DE PRIMER ASFÁLTICO, E=3MM. AF_06/2018</v>
          </cell>
          <cell r="C2475" t="str">
            <v>M2</v>
          </cell>
          <cell r="D2475">
            <v>75.650000000000006</v>
          </cell>
        </row>
        <row r="2476">
          <cell r="A2476">
            <v>98547</v>
          </cell>
          <cell r="B2476" t="str">
            <v>IMPERMEABILIZAÇÃO DE SUPERFÍCIE COM MANTA ASFÁLTICA, DUAS CAMADAS, INCLUSIVE APLICAÇÃO DE PRIMER ASFÁLTICO, E=3MM E E=4MM. AF_06/2018</v>
          </cell>
          <cell r="C2476" t="str">
            <v>M2</v>
          </cell>
          <cell r="D2476">
            <v>138.59</v>
          </cell>
        </row>
        <row r="2477">
          <cell r="A2477" t="str">
            <v>73762/4</v>
          </cell>
          <cell r="B2477" t="str">
            <v>IMPERMEABILIZACAO DE SUPERFICIE COM ASFALTO ELASTOMERICO, INCLUSOS PRIMER E VEU DE FIBRA DE VIDRO.</v>
          </cell>
          <cell r="C2477" t="str">
            <v>M2</v>
          </cell>
          <cell r="D2477">
            <v>135.6</v>
          </cell>
        </row>
        <row r="2478">
          <cell r="A2478" t="str">
            <v>74066/2</v>
          </cell>
          <cell r="B2478" t="str">
            <v>IMPERMEABILIZACAO DE SUPERFICIE, COM IMPERMEABILIZANTE FLEXIVEL A BASE ACRILICA.</v>
          </cell>
          <cell r="C2478" t="str">
            <v>M2</v>
          </cell>
          <cell r="D2478">
            <v>76.459999999999994</v>
          </cell>
        </row>
        <row r="2479">
          <cell r="A2479" t="str">
            <v>74106/1</v>
          </cell>
          <cell r="B2479" t="str">
            <v>IMPERMEABILIZACAO DE ESTRUTURAS ENTERRADAS, COM TINTA ASFALTICA, DUAS DEMAOS.</v>
          </cell>
          <cell r="C2479" t="str">
            <v>M2</v>
          </cell>
          <cell r="D2479">
            <v>9.26</v>
          </cell>
        </row>
        <row r="2480">
          <cell r="A2480">
            <v>98557</v>
          </cell>
          <cell r="B2480" t="str">
            <v>IMPERMEABILIZAÇÃO DE SUPERFÍCIE COM EMULSÃO ASFÁLTICA, 2 DEMÃOS AF_06/2018</v>
          </cell>
          <cell r="C2480" t="str">
            <v>M2</v>
          </cell>
          <cell r="D2480">
            <v>26.86</v>
          </cell>
        </row>
        <row r="2481">
          <cell r="A2481" t="str">
            <v>73872/1</v>
          </cell>
          <cell r="B2481" t="str">
            <v>IMPERMEABILIZACAO COM PINTURA A BASE DE RESINA EPOXI ALCATRAO, UMA DEMAO.</v>
          </cell>
          <cell r="C2481" t="str">
            <v>M2</v>
          </cell>
          <cell r="D2481">
            <v>27.86</v>
          </cell>
        </row>
        <row r="2482">
          <cell r="A2482" t="str">
            <v>73872/2</v>
          </cell>
          <cell r="B2482" t="str">
            <v>IMPERMEABILIZACAO COM PINTURA A BASE DE RESINA EPOXI ALCATRAO, DUAS DEMAOS.</v>
          </cell>
          <cell r="C2482" t="str">
            <v>M2</v>
          </cell>
          <cell r="D2482">
            <v>54.15</v>
          </cell>
        </row>
        <row r="2483">
          <cell r="A2483">
            <v>72124</v>
          </cell>
          <cell r="B2483" t="str">
            <v>IMPERMEABILIZACAO DE SUPERFICIE COM MASTIQUE ELASTICO A BASE DE SILICONE, POR VOLUME.</v>
          </cell>
          <cell r="C2483" t="str">
            <v>DM3</v>
          </cell>
          <cell r="D2483">
            <v>98.07</v>
          </cell>
        </row>
        <row r="2484">
          <cell r="A2484" t="str">
            <v>74025/1</v>
          </cell>
          <cell r="B2484" t="str">
            <v>IMPERMEABILIZACAO DE SUPERFICIE COM MASTIQUE BETUMINOSO A FRIO, POR METRO.</v>
          </cell>
          <cell r="C2484" t="str">
            <v>M</v>
          </cell>
          <cell r="D2484">
            <v>47.4</v>
          </cell>
        </row>
        <row r="2485">
          <cell r="A2485" t="str">
            <v>74190/1</v>
          </cell>
          <cell r="B2485" t="str">
            <v>IMPERMEABILIZACAO DE SUPERFICIE COM MASTIQUE BETUMINOSO A FRIO, POR AREA.</v>
          </cell>
          <cell r="C2485" t="str">
            <v>M2</v>
          </cell>
          <cell r="D2485">
            <v>157.37</v>
          </cell>
        </row>
        <row r="2486">
          <cell r="A2486">
            <v>98563</v>
          </cell>
          <cell r="B2486" t="str">
            <v>PROTEÇÃO MECÂNICA DE SUPERFÍCIE HORIZONTAL COM ARGAMASSA DE CIMENTO E AREIA, TRAÇO 1:3, E=2CM. AF_06/2018</v>
          </cell>
          <cell r="C2486" t="str">
            <v>M2</v>
          </cell>
          <cell r="D2486">
            <v>24.59</v>
          </cell>
        </row>
        <row r="2487">
          <cell r="A2487">
            <v>98564</v>
          </cell>
          <cell r="B2487" t="str">
            <v>PROTEÇÃO MECÂNICA DE SUPERFÍCIE VERTICAL COM ARGAMASSA DE CIMENTO E AREIA, TRAÇO 1:3, E=2CM. AF_06/2018</v>
          </cell>
          <cell r="C2487" t="str">
            <v>M2</v>
          </cell>
          <cell r="D2487">
            <v>35.880000000000003</v>
          </cell>
        </row>
        <row r="2488">
          <cell r="A2488">
            <v>98565</v>
          </cell>
          <cell r="B2488" t="str">
            <v>PROTEÇÃO MECÂNICA DE SUPERFICIE HORIZONTAL COM ARGAMASSA DE CIMENTO E AREIA, TRAÇO 1:3, E=3CM. AF_06/2018</v>
          </cell>
          <cell r="C2488" t="str">
            <v>M2</v>
          </cell>
          <cell r="D2488">
            <v>35.54</v>
          </cell>
        </row>
        <row r="2489">
          <cell r="A2489">
            <v>98566</v>
          </cell>
          <cell r="B2489" t="str">
            <v>PROTEÇÃO MECÂNICA DE SUPERFÍCIE VERTICAL COM ARGAMASSA DE CIMENTO E AREIA, TRAÇO 1:3, E=3CM. AF_06/2018</v>
          </cell>
          <cell r="C2489" t="str">
            <v>M2</v>
          </cell>
          <cell r="D2489">
            <v>46.83</v>
          </cell>
        </row>
        <row r="2490">
          <cell r="A2490">
            <v>98567</v>
          </cell>
          <cell r="B2490" t="str">
            <v>PROTEÇÃO MECÂNICA DE SUPERFICIE HORIZONTAL COM ARGAMASSA DE CIMENTO E AREIA, TRAÇO 1:3, E=4CM. AF_06/2018</v>
          </cell>
          <cell r="C2490" t="str">
            <v>M2</v>
          </cell>
          <cell r="D2490">
            <v>45.96</v>
          </cell>
        </row>
        <row r="2491">
          <cell r="A2491">
            <v>98568</v>
          </cell>
          <cell r="B2491" t="str">
            <v>PROTEÇÃO MECÂNICA DE SUPERFÍCIE VERTICAL COM ARGAMASSA DE CIMENTO E AREIA, TRAÇO 1:3, E=4CM. AF_06/2018</v>
          </cell>
          <cell r="C2491" t="str">
            <v>M2</v>
          </cell>
          <cell r="D2491">
            <v>57.24</v>
          </cell>
        </row>
        <row r="2492">
          <cell r="A2492">
            <v>98569</v>
          </cell>
          <cell r="B2492" t="str">
            <v>PROTEÇÃO MECÂNICA DE SUPERFICIE HORIZONTAL COM ARGAMASSA DE CIMENTO E AREIA, TRAÇO 1:3, E=5CM. AF_06/2018</v>
          </cell>
          <cell r="C2492" t="str">
            <v>M2</v>
          </cell>
          <cell r="D2492">
            <v>56.89</v>
          </cell>
        </row>
        <row r="2493">
          <cell r="A2493">
            <v>98570</v>
          </cell>
          <cell r="B2493" t="str">
            <v>PROTEÇÃO MECÂNICA DE SUPERFÍCIE VERTICAL COM ARGAMASSA DE CIMENTO E AREIA, TRAÇO 1:3, E=5CM. AF_06/2018</v>
          </cell>
          <cell r="C2493" t="str">
            <v>M2</v>
          </cell>
          <cell r="D2493">
            <v>68.209999999999994</v>
          </cell>
        </row>
        <row r="2494">
          <cell r="A2494">
            <v>98571</v>
          </cell>
          <cell r="B2494" t="str">
            <v>PROTEÇÃO MECÂNICA DE SUPERFICIE HORIZONTAL COM CONCRETO 15 MPA, E=4CM. AF_06/2018</v>
          </cell>
          <cell r="C2494" t="str">
            <v>M2</v>
          </cell>
          <cell r="D2494">
            <v>30.54</v>
          </cell>
        </row>
        <row r="2495">
          <cell r="A2495">
            <v>98572</v>
          </cell>
          <cell r="B2495" t="str">
            <v>PROTEÇÃO MECÂNICA DE SUPERFICIE HORIZONTAL COM CONCRETO 15 MPA, E=5CM. AF_06/2018</v>
          </cell>
          <cell r="C2495" t="str">
            <v>M2</v>
          </cell>
          <cell r="D2495">
            <v>37.72</v>
          </cell>
        </row>
        <row r="2496">
          <cell r="A2496">
            <v>98573</v>
          </cell>
          <cell r="B2496" t="str">
            <v>PROTEÇÃO MECÂNICA DE SUPERFÍCIE VERTICAL COM CONCRETO 15 MPA, E=5CM. AF_06/2018</v>
          </cell>
          <cell r="C2496" t="str">
            <v>M2</v>
          </cell>
          <cell r="D2496">
            <v>48.69</v>
          </cell>
        </row>
        <row r="2497">
          <cell r="A2497" t="str">
            <v>73798/1</v>
          </cell>
          <cell r="B2497" t="str">
            <v>DUTO ESPIRAL FLEXIVEL SINGELO PEAD D=50MM(2") REVESTIDO COM PVC COM FIO GUIA DE ACO GALVANIZADO, LANCADO DIRETO NO SOLO, INCL CONEXOES</v>
          </cell>
          <cell r="C2497" t="str">
            <v>M</v>
          </cell>
          <cell r="D2497">
            <v>23.82</v>
          </cell>
        </row>
        <row r="2498">
          <cell r="A2498" t="str">
            <v>73798/3</v>
          </cell>
          <cell r="B2498" t="str">
            <v>DUTO ESPIRAL FLEXIVEL SINGELO PEAD D=75MM(3") REVESTIDO COM PVC COM FIO GUIA DE ACO GALVANIZADO, LANCADO DIRETO NO SOLO, INCL CONEXOES</v>
          </cell>
          <cell r="C2498" t="str">
            <v>M</v>
          </cell>
          <cell r="D2498">
            <v>37.07</v>
          </cell>
        </row>
        <row r="2499">
          <cell r="A2499">
            <v>91831</v>
          </cell>
          <cell r="B2499" t="str">
            <v>ELETRODUTO FLEXÍVEL CORRUGADO, PVC, DN 20 MM (1/2"), PARA CIRCUITOS TERMINAIS, INSTALADO EM FORRO - FORNECIMENTO E INSTALAÇÃO. AF_12/2015</v>
          </cell>
          <cell r="C2499" t="str">
            <v>M</v>
          </cell>
          <cell r="D2499">
            <v>5.75</v>
          </cell>
        </row>
        <row r="2500">
          <cell r="A2500">
            <v>91833</v>
          </cell>
          <cell r="B2500" t="str">
            <v>ELETRODUTO FLEXÍVEL CORRUGADO REFORÇADO, PVC, DN 20 MM (1/2"), PARA CIRCUITOS TERMINAIS, INSTALADO EM FORRO - FORNECIMENTO E INSTALAÇÃO. AF_12/2015</v>
          </cell>
          <cell r="C2500" t="str">
            <v>M</v>
          </cell>
          <cell r="D2500">
            <v>6.03</v>
          </cell>
        </row>
        <row r="2501">
          <cell r="A2501">
            <v>91834</v>
          </cell>
          <cell r="B2501" t="str">
            <v>ELETRODUTO FLEXÍVEL CORRUGADO, PVC, DN 25 MM (3/4"), PARA CIRCUITOS TERMINAIS, INSTALADO EM FORRO - FORNECIMENTO E INSTALAÇÃO. AF_12/2015</v>
          </cell>
          <cell r="C2501" t="str">
            <v>M</v>
          </cell>
          <cell r="D2501">
            <v>6.42</v>
          </cell>
        </row>
        <row r="2502">
          <cell r="A2502">
            <v>91835</v>
          </cell>
          <cell r="B2502" t="str">
            <v>ELETRODUTO FLEXÍVEL CORRUGADO REFORÇADO, PVC, DN 25 MM (3/4"), PARA CIRCUITOS TERMINAIS, INSTALADO EM FORRO - FORNECIMENTO E INSTALAÇÃO. AF_12/2015</v>
          </cell>
          <cell r="C2502" t="str">
            <v>M</v>
          </cell>
          <cell r="D2502">
            <v>7.16</v>
          </cell>
        </row>
        <row r="2503">
          <cell r="A2503">
            <v>91836</v>
          </cell>
          <cell r="B2503" t="str">
            <v>ELETRODUTO FLEXÍVEL CORRUGADO, PVC, DN 32 MM (1"), PARA CIRCUITOS TERMINAIS, INSTALADO EM FORRO - FORNECIMENTO E INSTALAÇÃO. AF_12/2015</v>
          </cell>
          <cell r="C2503" t="str">
            <v>M</v>
          </cell>
          <cell r="D2503">
            <v>8.19</v>
          </cell>
        </row>
        <row r="2504">
          <cell r="A2504">
            <v>91837</v>
          </cell>
          <cell r="B2504" t="str">
            <v>ELETRODUTO FLEXÍVEL CORRUGADO REFORÇADO, PVC, DN 32 MM (1"), PARA CIRCUITOS TERMINAIS, INSTALADO EM FORRO - FORNECIMENTO E INSTALAÇÃO. AF_12/2015</v>
          </cell>
          <cell r="C2504" t="str">
            <v>M</v>
          </cell>
          <cell r="D2504">
            <v>9.9499999999999993</v>
          </cell>
        </row>
        <row r="2505">
          <cell r="A2505">
            <v>91839</v>
          </cell>
          <cell r="B2505" t="str">
            <v>ELETRODUTO FLEXÍVEL LISO, PEAD, DN 32 MM (1"), PARA CIRCUITOS TERMINAIS, INSTALADO EM FORRO - FORNECIMENTO E INSTALAÇÃO. AF_12/2015</v>
          </cell>
          <cell r="C2505" t="str">
            <v>M</v>
          </cell>
          <cell r="D2505">
            <v>8.01</v>
          </cell>
        </row>
        <row r="2506">
          <cell r="A2506">
            <v>91840</v>
          </cell>
          <cell r="B2506" t="str">
            <v>ELETRODUTO FLEXÍVEL CORRUGADO, PEAD, DN 40 MM (1 1/4"), PARA CIRCUITOS TERMINAIS, INSTALADO EM FORRO - FORNECIMENTO E INSTALAÇÃO. AF_12/2015</v>
          </cell>
          <cell r="C2506" t="str">
            <v>M</v>
          </cell>
          <cell r="D2506">
            <v>10.039999999999999</v>
          </cell>
        </row>
        <row r="2507">
          <cell r="A2507">
            <v>91841</v>
          </cell>
          <cell r="B2507" t="str">
            <v>ELETRODUTO FLEXÍVEL LISO, PEAD, DN 40 MM (1 1/4"), PARA CIRCUITOS TERMINAIS, INSTALADO EM FORRO - FORNECIMENTO E INSTALAÇÃO. AF_12/2015</v>
          </cell>
          <cell r="C2507" t="str">
            <v>M</v>
          </cell>
          <cell r="D2507">
            <v>9.51</v>
          </cell>
        </row>
        <row r="2508">
          <cell r="A2508">
            <v>91842</v>
          </cell>
          <cell r="B2508" t="str">
            <v>ELETRODUTO FLEXÍVEL CORRUGADO, PVC, DN 20 MM (1/2"), PARA CIRCUITOS TERMINAIS, INSTALADO EM LAJE - FORNECIMENTO E INSTALAÇÃO. AF_12/2015</v>
          </cell>
          <cell r="C2508" t="str">
            <v>M</v>
          </cell>
          <cell r="D2508">
            <v>4.0199999999999996</v>
          </cell>
        </row>
        <row r="2509">
          <cell r="A2509">
            <v>91843</v>
          </cell>
          <cell r="B2509" t="str">
            <v>ELETRODUTO FLEXÍVEL CORRUGADO REFORÇADO, PVC, DN 20 MM (1/2"), PARA CIRCUITOS TERMINAIS, INSTALADO EM LAJE - FORNECIMENTO E INSTALAÇÃO. AF_12/2015</v>
          </cell>
          <cell r="C2509" t="str">
            <v>M</v>
          </cell>
          <cell r="D2509">
            <v>4.3</v>
          </cell>
        </row>
        <row r="2510">
          <cell r="A2510">
            <v>91844</v>
          </cell>
          <cell r="B2510" t="str">
            <v>ELETRODUTO FLEXÍVEL CORRUGADO, PVC, DN 25 MM (3/4"), PARA CIRCUITOS TERMINAIS, INSTALADO EM LAJE - FORNECIMENTO E INSTALAÇÃO. AF_12/2015</v>
          </cell>
          <cell r="C2510" t="str">
            <v>M</v>
          </cell>
          <cell r="D2510">
            <v>4.6900000000000004</v>
          </cell>
        </row>
        <row r="2511">
          <cell r="A2511">
            <v>91845</v>
          </cell>
          <cell r="B2511" t="str">
            <v>ELETRODUTO FLEXÍVEL CORRUGADO REFORÇADO, PVC, DN 25 MM (3/4"), PARA CIRCUITOS TERMINAIS, INSTALADO EM LAJE - FORNECIMENTO E INSTALAÇÃO. AF_12/2015</v>
          </cell>
          <cell r="C2511" t="str">
            <v>M</v>
          </cell>
          <cell r="D2511">
            <v>5.43</v>
          </cell>
        </row>
        <row r="2512">
          <cell r="A2512">
            <v>91846</v>
          </cell>
          <cell r="B2512" t="str">
            <v>ELETRODUTO FLEXÍVEL CORRUGADO, PVC, DN 32 MM (1"), PARA CIRCUITOS TERMINAIS, INSTALADO EM LAJE - FORNECIMENTO E INSTALAÇÃO. AF_12/2015</v>
          </cell>
          <cell r="C2512" t="str">
            <v>M</v>
          </cell>
          <cell r="D2512">
            <v>6.45</v>
          </cell>
        </row>
        <row r="2513">
          <cell r="A2513">
            <v>91847</v>
          </cell>
          <cell r="B2513" t="str">
            <v>ELETRODUTO FLEXÍVEL CORRUGADO REFORÇADO, PVC, DN 32 MM (1"), PARA CIRCUITOS TERMINAIS, INSTALADO EM LAJE - FORNECIMENTO E INSTALAÇÃO. AF_12/2015</v>
          </cell>
          <cell r="C2513" t="str">
            <v>M</v>
          </cell>
          <cell r="D2513">
            <v>8.2100000000000009</v>
          </cell>
        </row>
        <row r="2514">
          <cell r="A2514">
            <v>91849</v>
          </cell>
          <cell r="B2514" t="str">
            <v>ELETRODUTO FLEXÍVEL LISO, PEAD, DN 32 MM (1"), PARA CIRCUITOS TERMINAIS, INSTALADO EM LAJE - FORNECIMENTO E INSTALAÇÃO. AF_12/2015</v>
          </cell>
          <cell r="C2514" t="str">
            <v>M</v>
          </cell>
          <cell r="D2514">
            <v>6.27</v>
          </cell>
        </row>
        <row r="2515">
          <cell r="A2515">
            <v>91850</v>
          </cell>
          <cell r="B2515" t="str">
            <v>ELETRODUTO FLEXÍVEL CORRUGADO, PEAD, DN 40 MM (1 1/4"), PARA CIRCUITOS TERMINAIS, INSTALADO EM LAJE - FORNECIMENTO E INSTALAÇÃO. AF_12/2015</v>
          </cell>
          <cell r="C2515" t="str">
            <v>M</v>
          </cell>
          <cell r="D2515">
            <v>8.36</v>
          </cell>
        </row>
        <row r="2516">
          <cell r="A2516">
            <v>91851</v>
          </cell>
          <cell r="B2516" t="str">
            <v>ELETRODUTO FLEXÍVEL LISO, PEAD, DN 40 MM (1 1/4"), PARA CIRCUITOS TERMINAIS, INSTALADO EM LAJE - FORNECIMENTO E INSTALAÇÃO. AF_12/2015</v>
          </cell>
          <cell r="C2516" t="str">
            <v>M</v>
          </cell>
          <cell r="D2516">
            <v>7.83</v>
          </cell>
        </row>
        <row r="2517">
          <cell r="A2517">
            <v>91852</v>
          </cell>
          <cell r="B2517" t="str">
            <v>ELETRODUTO FLEXÍVEL CORRUGADO, PVC, DN 20 MM (1/2"), PARA CIRCUITOS TERMINAIS, INSTALADO EM PAREDE - FORNECIMENTO E INSTALAÇÃO. AF_12/2015</v>
          </cell>
          <cell r="C2517" t="str">
            <v>M</v>
          </cell>
          <cell r="D2517">
            <v>6.03</v>
          </cell>
        </row>
        <row r="2518">
          <cell r="A2518">
            <v>91853</v>
          </cell>
          <cell r="B2518" t="str">
            <v>ELETRODUTO FLEXÍVEL CORRUGADO REFORÇADO, PVC, DN 20 MM (1/2"), PARA CIRCUITOS TERMINAIS, INSTALADO EM PAREDE - FORNECIMENTO E INSTALAÇÃO. AF_12/2015</v>
          </cell>
          <cell r="C2518" t="str">
            <v>M</v>
          </cell>
          <cell r="D2518">
            <v>6.29</v>
          </cell>
        </row>
        <row r="2519">
          <cell r="A2519">
            <v>91854</v>
          </cell>
          <cell r="B2519" t="str">
            <v>ELETRODUTO FLEXÍVEL CORRUGADO, PVC, DN 25 MM (3/4"), PARA CIRCUITOS TERMINAIS, INSTALADO EM PAREDE - FORNECIMENTO E INSTALAÇÃO. AF_12/2015</v>
          </cell>
          <cell r="C2519" t="str">
            <v>M</v>
          </cell>
          <cell r="D2519">
            <v>6.69</v>
          </cell>
        </row>
        <row r="2520">
          <cell r="A2520">
            <v>91855</v>
          </cell>
          <cell r="B2520" t="str">
            <v>ELETRODUTO FLEXÍVEL CORRUGADO REFORÇADO, PVC, DN 25 MM (3/4"), PARA CIRCUITOS TERMINAIS, INSTALADO EM PAREDE - FORNECIMENTO E INSTALAÇÃO. AF_12/2015</v>
          </cell>
          <cell r="C2520" t="str">
            <v>M</v>
          </cell>
          <cell r="D2520">
            <v>7.38</v>
          </cell>
        </row>
        <row r="2521">
          <cell r="A2521">
            <v>91856</v>
          </cell>
          <cell r="B2521" t="str">
            <v>ELETRODUTO FLEXÍVEL CORRUGADO, PVC, DN 32 MM (1"), PARA CIRCUITOS TERMINAIS, INSTALADO EM PAREDE - FORNECIMENTO E INSTALAÇÃO. AF_12/2015</v>
          </cell>
          <cell r="C2521" t="str">
            <v>M</v>
          </cell>
          <cell r="D2521">
            <v>8.3699999999999992</v>
          </cell>
        </row>
        <row r="2522">
          <cell r="A2522">
            <v>91857</v>
          </cell>
          <cell r="B2522" t="str">
            <v>ELETRODUTO FLEXÍVEL CORRUGADO REFORÇADO, PVC, DN 32 MM (1"), PARA CIRCUITOS TERMINAIS, INSTALADO EM PAREDE - FORNECIMENTO E INSTALAÇÃO. AF_12/2015</v>
          </cell>
          <cell r="C2522" t="str">
            <v>M</v>
          </cell>
          <cell r="D2522">
            <v>10</v>
          </cell>
        </row>
        <row r="2523">
          <cell r="A2523">
            <v>91859</v>
          </cell>
          <cell r="B2523" t="str">
            <v>ELETRODUTO FLEXÍVEL LISO, PEAD, DN 32 MM (1"), PARA CIRCUITOS TERMINAIS, INSTALADO EM PAREDE - FORNECIMENTO E INSTALAÇÃO. AF_12/2015</v>
          </cell>
          <cell r="C2523" t="str">
            <v>M</v>
          </cell>
          <cell r="D2523">
            <v>8.2100000000000009</v>
          </cell>
        </row>
        <row r="2524">
          <cell r="A2524">
            <v>91860</v>
          </cell>
          <cell r="B2524" t="str">
            <v>ELETRODUTO FLEXÍVEL CORRUGADO, PEAD, DN 40 MM (1 1/4"), PARA CIRCUITOS TERMINAIS, INSTALADO EM PAREDE - FORNECIMENTO E INSTALAÇÃO. AF_12/2015</v>
          </cell>
          <cell r="C2524" t="str">
            <v>M</v>
          </cell>
          <cell r="D2524">
            <v>10.19</v>
          </cell>
        </row>
        <row r="2525">
          <cell r="A2525">
            <v>91861</v>
          </cell>
          <cell r="B2525" t="str">
            <v>ELETRODUTO FLEXÍVEL LISO, PEAD, DN 40 MM (1 1/4"), PARA CIRCUITOS TERMINAIS, INSTALADO EM PAREDE - FORNECIMENTO E INSTALAÇÃO. AF_12/2015</v>
          </cell>
          <cell r="C2525" t="str">
            <v>M</v>
          </cell>
          <cell r="D2525">
            <v>9.6999999999999993</v>
          </cell>
        </row>
        <row r="2526">
          <cell r="A2526">
            <v>91862</v>
          </cell>
          <cell r="B2526" t="str">
            <v>ELETRODUTO RÍGIDO ROSCÁVEL, PVC, DN 20 MM (1/2"), PARA CIRCUITOS TERMINAIS, INSTALADO EM FORRO - FORNECIMENTO E INSTALAÇÃO. AF_12/2015</v>
          </cell>
          <cell r="C2526" t="str">
            <v>M</v>
          </cell>
          <cell r="D2526">
            <v>6.82</v>
          </cell>
        </row>
        <row r="2527">
          <cell r="A2527">
            <v>91863</v>
          </cell>
          <cell r="B2527" t="str">
            <v>ELETRODUTO RÍGIDO ROSCÁVEL, PVC, DN 25 MM (3/4"), PARA CIRCUITOS TERMINAIS, INSTALADO EM FORRO - FORNECIMENTO E INSTALAÇÃO. AF_12/2015</v>
          </cell>
          <cell r="C2527" t="str">
            <v>M</v>
          </cell>
          <cell r="D2527">
            <v>7.96</v>
          </cell>
        </row>
        <row r="2528">
          <cell r="A2528">
            <v>91864</v>
          </cell>
          <cell r="B2528" t="str">
            <v>ELETRODUTO RÍGIDO ROSCÁVEL, PVC, DN 32 MM (1"), PARA CIRCUITOS TERMINAIS, INSTALADO EM FORRO - FORNECIMENTO E INSTALAÇÃO. AF_12/2015</v>
          </cell>
          <cell r="C2528" t="str">
            <v>M</v>
          </cell>
          <cell r="D2528">
            <v>10.27</v>
          </cell>
        </row>
        <row r="2529">
          <cell r="A2529">
            <v>91865</v>
          </cell>
          <cell r="B2529" t="str">
            <v>ELETRODUTO RÍGIDO ROSCÁVEL, PVC, DN 40 MM (1 1/4"), PARA CIRCUITOS TERMINAIS, INSTALADO EM FORRO - FORNECIMENTO E INSTALAÇÃO. AF_12/2015</v>
          </cell>
          <cell r="C2529" t="str">
            <v>M</v>
          </cell>
          <cell r="D2529">
            <v>12.62</v>
          </cell>
        </row>
        <row r="2530">
          <cell r="A2530">
            <v>91866</v>
          </cell>
          <cell r="B2530" t="str">
            <v>ELETRODUTO RÍGIDO ROSCÁVEL, PVC, DN 20 MM (1/2"), PARA CIRCUITOS TERMINAIS, INSTALADO EM LAJE - FORNECIMENTO E INSTALAÇÃO. AF_12/2015</v>
          </cell>
          <cell r="C2530" t="str">
            <v>M</v>
          </cell>
          <cell r="D2530">
            <v>5.2</v>
          </cell>
        </row>
        <row r="2531">
          <cell r="A2531">
            <v>91867</v>
          </cell>
          <cell r="B2531" t="str">
            <v>ELETRODUTO RÍGIDO ROSCÁVEL, PVC, DN 25 MM (3/4"), PARA CIRCUITOS TERMINAIS, INSTALADO EM LAJE - FORNECIMENTO E INSTALAÇÃO. AF_12/2015</v>
          </cell>
          <cell r="C2531" t="str">
            <v>M</v>
          </cell>
          <cell r="D2531">
            <v>6.34</v>
          </cell>
        </row>
        <row r="2532">
          <cell r="A2532">
            <v>91868</v>
          </cell>
          <cell r="B2532" t="str">
            <v>ELETRODUTO RÍGIDO ROSCÁVEL, PVC, DN 32 MM (1"), PARA CIRCUITOS TERMINAIS, INSTALADO EM LAJE - FORNECIMENTO E INSTALAÇÃO. AF_12/2015</v>
          </cell>
          <cell r="C2532" t="str">
            <v>M</v>
          </cell>
          <cell r="D2532">
            <v>8.65</v>
          </cell>
        </row>
        <row r="2533">
          <cell r="A2533">
            <v>91869</v>
          </cell>
          <cell r="B2533" t="str">
            <v>ELETRODUTO RÍGIDO ROSCÁVEL, PVC, DN 40 MM (1 1/4"), PARA CIRCUITOS TERMINAIS, INSTALADO EM LAJE - FORNECIMENTO E INSTALAÇÃO. AF_12/2015</v>
          </cell>
          <cell r="C2533" t="str">
            <v>M</v>
          </cell>
          <cell r="D2533">
            <v>11.01</v>
          </cell>
        </row>
        <row r="2534">
          <cell r="A2534">
            <v>91870</v>
          </cell>
          <cell r="B2534" t="str">
            <v>ELETRODUTO RÍGIDO ROSCÁVEL, PVC, DN 20 MM (1/2"), PARA CIRCUITOS TERMINAIS, INSTALADO EM PAREDE - FORNECIMENTO E INSTALAÇÃO. AF_12/2015</v>
          </cell>
          <cell r="C2534" t="str">
            <v>M</v>
          </cell>
          <cell r="D2534">
            <v>7.69</v>
          </cell>
        </row>
        <row r="2535">
          <cell r="A2535">
            <v>91871</v>
          </cell>
          <cell r="B2535" t="str">
            <v>ELETRODUTO RÍGIDO ROSCÁVEL, PVC, DN 25 MM (3/4"), PARA CIRCUITOS TERMINAIS, INSTALADO EM PAREDE - FORNECIMENTO E INSTALAÇÃO. AF_12/2015</v>
          </cell>
          <cell r="C2535" t="str">
            <v>M</v>
          </cell>
          <cell r="D2535">
            <v>8.86</v>
          </cell>
        </row>
        <row r="2536">
          <cell r="A2536">
            <v>91872</v>
          </cell>
          <cell r="B2536" t="str">
            <v>ELETRODUTO RÍGIDO ROSCÁVEL, PVC, DN 32 MM (1"), PARA CIRCUITOS TERMINAIS, INSTALADO EM PAREDE - FORNECIMENTO E INSTALAÇÃO. AF_12/2015</v>
          </cell>
          <cell r="C2536" t="str">
            <v>M</v>
          </cell>
          <cell r="D2536">
            <v>11.17</v>
          </cell>
        </row>
        <row r="2537">
          <cell r="A2537">
            <v>91873</v>
          </cell>
          <cell r="B2537" t="str">
            <v>ELETRODUTO RÍGIDO ROSCÁVEL, PVC, DN 40 MM (1 1/4"), PARA CIRCUITOS TERMINAIS, INSTALADO EM PAREDE - FORNECIMENTO E INSTALAÇÃO. AF_12/2015</v>
          </cell>
          <cell r="C2537" t="str">
            <v>M</v>
          </cell>
          <cell r="D2537">
            <v>13.49</v>
          </cell>
        </row>
        <row r="2538">
          <cell r="A2538">
            <v>93008</v>
          </cell>
          <cell r="B2538" t="str">
            <v>ELETRODUTO RÍGIDO ROSCÁVEL, PVC, DN 50 MM (1 1/2") - FORNECIMENTO E INSTALAÇÃO. AF_12/2015</v>
          </cell>
          <cell r="C2538" t="str">
            <v>M</v>
          </cell>
          <cell r="D2538">
            <v>10.42</v>
          </cell>
        </row>
        <row r="2539">
          <cell r="A2539">
            <v>93009</v>
          </cell>
          <cell r="B2539" t="str">
            <v>ELETRODUTO RÍGIDO ROSCÁVEL, PVC, DN 60 MM (2") - FORNECIMENTO E INSTALAÇÃO. AF_12/2015</v>
          </cell>
          <cell r="C2539" t="str">
            <v>M</v>
          </cell>
          <cell r="D2539">
            <v>15.03</v>
          </cell>
        </row>
        <row r="2540">
          <cell r="A2540">
            <v>93010</v>
          </cell>
          <cell r="B2540" t="str">
            <v>ELETRODUTO RÍGIDO ROSCÁVEL, PVC, DN 75 MM (2 1/2") - FORNECIMENTO E INSTALAÇÃO. AF_12/2015</v>
          </cell>
          <cell r="C2540" t="str">
            <v>M</v>
          </cell>
          <cell r="D2540">
            <v>20.65</v>
          </cell>
        </row>
        <row r="2541">
          <cell r="A2541">
            <v>93011</v>
          </cell>
          <cell r="B2541" t="str">
            <v>ELETRODUTO RÍGIDO ROSCÁVEL, PVC, DN 85 MM (3") - FORNECIMENTO E INSTALAÇÃO. AF_12/2015</v>
          </cell>
          <cell r="C2541" t="str">
            <v>M</v>
          </cell>
          <cell r="D2541">
            <v>25.09</v>
          </cell>
        </row>
        <row r="2542">
          <cell r="A2542">
            <v>93012</v>
          </cell>
          <cell r="B2542" t="str">
            <v>ELETRODUTO RÍGIDO ROSCÁVEL, PVC, DN 110 MM (4") - FORNECIMENTO E INSTALAÇÃO. AF_12/2015</v>
          </cell>
          <cell r="C2542" t="str">
            <v>M</v>
          </cell>
          <cell r="D2542">
            <v>37.44</v>
          </cell>
        </row>
        <row r="2543">
          <cell r="A2543">
            <v>95726</v>
          </cell>
          <cell r="B2543" t="str">
            <v>ELETRODUTO RÍGIDO SOLDÁVEL, PVC, DN 20 MM (½), APARENTE, INSTALADO EM TETO - FORNECIMENTO E INSTALAÇÃO. AF_11/2016_P</v>
          </cell>
          <cell r="C2543" t="str">
            <v>M</v>
          </cell>
          <cell r="D2543">
            <v>4.7300000000000004</v>
          </cell>
        </row>
        <row r="2544">
          <cell r="A2544">
            <v>95727</v>
          </cell>
          <cell r="B2544" t="str">
            <v>ELETRODUTO RÍGIDO SOLDÁVEL, PVC, DN 25 MM (3/4), APARENTE, INSTALADO EM TETO - FORNECIMENTO E INSTALAÇÃO. AF_11/2016_P</v>
          </cell>
          <cell r="C2544" t="str">
            <v>M</v>
          </cell>
          <cell r="D2544">
            <v>5.34</v>
          </cell>
        </row>
        <row r="2545">
          <cell r="A2545">
            <v>95728</v>
          </cell>
          <cell r="B2545" t="str">
            <v>ELETRODUTO RÍGIDO SOLDÁVEL, PVC, DN 32 MM (1), APARENTE, INSTALADO EM TETO - FORNECIMENTO E INSTALAÇÃO. AF_11/2016_P</v>
          </cell>
          <cell r="C2545" t="str">
            <v>M</v>
          </cell>
          <cell r="D2545">
            <v>6.6</v>
          </cell>
        </row>
        <row r="2546">
          <cell r="A2546">
            <v>95729</v>
          </cell>
          <cell r="B2546" t="str">
            <v>ELETRODUTO RÍGIDO SOLDÁVEL, PVC, DN 20 MM (½), APARENTE, INSTALADO EM PAREDE - FORNECIMENTO E INSTALAÇÃO. AF_11/2016_P</v>
          </cell>
          <cell r="C2546" t="str">
            <v>M</v>
          </cell>
          <cell r="D2546">
            <v>6.32</v>
          </cell>
        </row>
        <row r="2547">
          <cell r="A2547">
            <v>95730</v>
          </cell>
          <cell r="B2547" t="str">
            <v>ELETRODUTO RÍGIDO SOLDÁVEL, PVC, DN 25 MM (3/4), APARENTE, INSTALADO EM PAREDE - FORNECIMENTO E INSTALAÇÃO. AF_11/2016_P</v>
          </cell>
          <cell r="C2547" t="str">
            <v>M</v>
          </cell>
          <cell r="D2547">
            <v>6.92</v>
          </cell>
        </row>
        <row r="2548">
          <cell r="A2548">
            <v>95731</v>
          </cell>
          <cell r="B2548" t="str">
            <v>ELETRODUTO RÍGIDO SOLDÁVEL, PVC, DN 32 MM (1), APARENTE, INSTALADO EM PAREDE - FORNECIMENTO E INSTALAÇÃO. AF_11/2016_P</v>
          </cell>
          <cell r="C2548" t="str">
            <v>M</v>
          </cell>
          <cell r="D2548">
            <v>8.18</v>
          </cell>
        </row>
        <row r="2549">
          <cell r="A2549">
            <v>95732</v>
          </cell>
          <cell r="B2549" t="str">
            <v>LUVA PARA ELETRODUTO, PVC, SOLDÁVEL, DN 20 MM (1/2), APARENTE, INSTALADA EM TETO - FORNECIMENTO E INSTALAÇÃO. AF_11/2016_P</v>
          </cell>
          <cell r="C2549" t="str">
            <v>UN</v>
          </cell>
          <cell r="D2549">
            <v>3.41</v>
          </cell>
        </row>
        <row r="2550">
          <cell r="A2550">
            <v>95745</v>
          </cell>
          <cell r="B2550" t="str">
            <v>ELETRODUTO DE AÇO GALVANIZADO, CLASSE LEVE, DN 20 MM (3/4), APARENTE, INSTALADO EM TETO - FORNECIMENTO E INSTALAÇÃO. AF_11/2016_P</v>
          </cell>
          <cell r="C2550" t="str">
            <v>M</v>
          </cell>
          <cell r="D2550">
            <v>16.91</v>
          </cell>
        </row>
        <row r="2551">
          <cell r="A2551">
            <v>95746</v>
          </cell>
          <cell r="B2551" t="str">
            <v>ELETRODUTO DE AÇO GALVANIZADO, CLASSE LEVE, DN 25 MM (1), APARENTE, INSTALADO EM TETO - FORNECIMENTO E INSTALAÇÃO. AF_11/2016_P</v>
          </cell>
          <cell r="C2551" t="str">
            <v>M</v>
          </cell>
          <cell r="D2551">
            <v>21.02</v>
          </cell>
        </row>
        <row r="2552">
          <cell r="A2552">
            <v>95747</v>
          </cell>
          <cell r="B2552" t="str">
            <v>ELETRODUTO DE AÇO GALVANIZADO, CLASSE SEMI PESADO, DN 32 MM (1 1/4), APARENTE, INSTALADO EM TETO - FORNECIMENTO E INSTALAÇÃO. AF_11/2016_P</v>
          </cell>
          <cell r="C2552" t="str">
            <v>M</v>
          </cell>
          <cell r="D2552">
            <v>34.65</v>
          </cell>
        </row>
        <row r="2553">
          <cell r="A2553">
            <v>95748</v>
          </cell>
          <cell r="B2553" t="str">
            <v>ELETRODUTO DE AÇO GALVANIZADO, CLASSE SEMI PESADO, DN 40 MM (1 1/2 ), APARENTE, INSTALADO EM TETO - FORNECIMENTO E INSTALAÇÃO. AF_11/2016_P</v>
          </cell>
          <cell r="C2553" t="str">
            <v>M</v>
          </cell>
          <cell r="D2553">
            <v>37.450000000000003</v>
          </cell>
        </row>
        <row r="2554">
          <cell r="A2554">
            <v>95749</v>
          </cell>
          <cell r="B2554" t="str">
            <v>ELETRODUTO DE AÇO GALVANIZADO, CLASSE LEVE, DN 20 MM (3/4), APARENTE, INSTALADO EM PAREDE - FORNECIMENTO E INSTALAÇÃO. AF_11/2016_P</v>
          </cell>
          <cell r="C2554" t="str">
            <v>M</v>
          </cell>
          <cell r="D2554">
            <v>22.07</v>
          </cell>
        </row>
        <row r="2555">
          <cell r="A2555">
            <v>95750</v>
          </cell>
          <cell r="B2555" t="str">
            <v>ELETRODUTO DE AÇO GALVANIZADO, CLASSE LEVE, DN 25 MM (1), APARENTE, INSTALADO EM PAREDE - FORNECIMENTO E INSTALAÇÃO. AF_11/2016_P</v>
          </cell>
          <cell r="C2555" t="str">
            <v>M</v>
          </cell>
          <cell r="D2555">
            <v>26.05</v>
          </cell>
        </row>
        <row r="2556">
          <cell r="A2556">
            <v>95751</v>
          </cell>
          <cell r="B2556" t="str">
            <v>ELETRODUTO DE AÇO GALVANIZADO, CLASSE SEMI PESADO, DN 32 MM (1 1/4), APARENTE, INSTALADO EM PAREDE - FORNECIMENTO E INSTALAÇÃO. AF_11/2016_P</v>
          </cell>
          <cell r="C2556" t="str">
            <v>M</v>
          </cell>
          <cell r="D2556">
            <v>39.520000000000003</v>
          </cell>
        </row>
        <row r="2557">
          <cell r="A2557">
            <v>95752</v>
          </cell>
          <cell r="B2557" t="str">
            <v>ELETRODUTO DE AÇO GALVANIZADO, CLASSE SEMI PESADO, DN 40 MM (1 1/2  ), APARENTE, INSTALADO EM PAREDE - FORNECIMENTO E INSTALAÇÃO. AF_11/2016_P</v>
          </cell>
          <cell r="C2557" t="str">
            <v>M</v>
          </cell>
          <cell r="D2557">
            <v>42.14</v>
          </cell>
        </row>
        <row r="2558">
          <cell r="A2558">
            <v>97667</v>
          </cell>
          <cell r="B2558" t="str">
            <v>ELETRODUTO FLEXÍVEL CORRUGADO, PEAD, DN 50 (1 ½)  - FORNECIMENTO E INSTALAÇÃO. AF_04/2016</v>
          </cell>
          <cell r="C2558" t="str">
            <v>M</v>
          </cell>
          <cell r="D2558">
            <v>6.27</v>
          </cell>
        </row>
        <row r="2559">
          <cell r="A2559">
            <v>97668</v>
          </cell>
          <cell r="B2559" t="str">
            <v>ELETRODUTO FLEXÍVEL CORRUGADO, PEAD, DN 63 (2")  - FORNECIMENTO E INSTALAÇÃO. AF_04/2016</v>
          </cell>
          <cell r="C2559" t="str">
            <v>M</v>
          </cell>
          <cell r="D2559">
            <v>9.6</v>
          </cell>
        </row>
        <row r="2560">
          <cell r="A2560">
            <v>97669</v>
          </cell>
          <cell r="B2560" t="str">
            <v>ELETRODUTO FLEXÍVEL CORRUGADO, PEAD, DN 90 (3) - FORNECIMENTO E INSTALAÇÃO. AF_04/2016</v>
          </cell>
          <cell r="C2560" t="str">
            <v>M</v>
          </cell>
          <cell r="D2560">
            <v>15.28</v>
          </cell>
        </row>
        <row r="2561">
          <cell r="A2561">
            <v>97670</v>
          </cell>
          <cell r="B2561" t="str">
            <v>ELETRODUTO FLEXÍVEL CORRUGADO, PEAD, DN 100 (4) - FORNECIMENTO E INSTALAÇÃO. AF_04/2016</v>
          </cell>
          <cell r="C2561" t="str">
            <v>M</v>
          </cell>
          <cell r="D2561">
            <v>19.7</v>
          </cell>
        </row>
        <row r="2562">
          <cell r="A2562">
            <v>72263</v>
          </cell>
          <cell r="B2562" t="str">
            <v>TERMINAL OU CONECTOR DE PRESSAO - PARA CABO 50MM2 - FORNECIMENTO E INSTALACAO</v>
          </cell>
          <cell r="C2562" t="str">
            <v>UN</v>
          </cell>
          <cell r="D2562">
            <v>21.09</v>
          </cell>
        </row>
        <row r="2563">
          <cell r="A2563">
            <v>72271</v>
          </cell>
          <cell r="B2563" t="str">
            <v>CONECTOR PARAFUSO FENDIDO SPLIT-BOLT - PARA CABO DE 16MM2 - FORNECIMENTO E INSTALACAO</v>
          </cell>
          <cell r="C2563" t="str">
            <v>UN</v>
          </cell>
          <cell r="D2563">
            <v>12.46</v>
          </cell>
        </row>
        <row r="2564">
          <cell r="A2564">
            <v>72272</v>
          </cell>
          <cell r="B2564" t="str">
            <v>CONECTOR PARAFUSO FENDIDO SPLIT-BOLT - PARA CABO DE 35MM2 - FORNECIMENTO E INSTALACAO</v>
          </cell>
          <cell r="C2564" t="str">
            <v>UN</v>
          </cell>
          <cell r="D2564">
            <v>14.06</v>
          </cell>
        </row>
        <row r="2565">
          <cell r="A2565" t="str">
            <v>73782/2</v>
          </cell>
          <cell r="B2565" t="str">
            <v>TERMINAL METALICO A PRESSAO PARA 1 CABO DE 50 MM2 - FORNECIMENTO E INSTALACAO</v>
          </cell>
          <cell r="C2565" t="str">
            <v>UN</v>
          </cell>
          <cell r="D2565">
            <v>35.99</v>
          </cell>
        </row>
        <row r="2566">
          <cell r="A2566" t="str">
            <v>73782/3</v>
          </cell>
          <cell r="B2566" t="str">
            <v>TERMINAL METALICO A PRESSAO PARA 1 CABO DE 95 MM2 - FORNECIMENTO E INSTALACAO</v>
          </cell>
          <cell r="C2566" t="str">
            <v>UN</v>
          </cell>
          <cell r="D2566">
            <v>55.96</v>
          </cell>
        </row>
        <row r="2567">
          <cell r="A2567" t="str">
            <v>73782/4</v>
          </cell>
          <cell r="B2567" t="str">
            <v>TERMINAL A PRESSAO REFORCADO PARA CONEXAO DE CABO DE COBRE A BARRA, CABO 150 E 185MM2 - FORNECIMENTO E INSTALACAO</v>
          </cell>
          <cell r="C2567" t="str">
            <v>UN</v>
          </cell>
          <cell r="D2567">
            <v>139.52000000000001</v>
          </cell>
        </row>
        <row r="2568">
          <cell r="A2568" t="str">
            <v>73782/5</v>
          </cell>
          <cell r="B2568" t="str">
            <v>TERMINAL METALICO A PRESSAO P/ 1 CABO DE COBRE DE 25 MM2 COM 1 FURO DE FIXAÇÃO - FORNECIMENTO E INSTALACAO</v>
          </cell>
          <cell r="C2568" t="str">
            <v>UN</v>
          </cell>
          <cell r="D2568">
            <v>23.06</v>
          </cell>
        </row>
        <row r="2569">
          <cell r="A2569">
            <v>83377</v>
          </cell>
          <cell r="B2569" t="str">
            <v>CONECTOR DE PARAFUSO FENDIDO EM LIGA DE COBRE COM SEPARADOR DE CABOS PARA CABO 50 MM2 - FORNECIMENTO E INSTALACAO</v>
          </cell>
          <cell r="C2569" t="str">
            <v>UN</v>
          </cell>
          <cell r="D2569">
            <v>12.14</v>
          </cell>
        </row>
        <row r="2570">
          <cell r="A2570">
            <v>91874</v>
          </cell>
          <cell r="B2570" t="str">
            <v>LUVA PARA ELETRODUTO, PVC, ROSCÁVEL, DN 20 MM (1/2"), PARA CIRCUITOS TERMINAIS, INSTALADA EM FORRO - FORNECIMENTO E INSTALAÇÃO. AF_12/2015</v>
          </cell>
          <cell r="C2570" t="str">
            <v>UN</v>
          </cell>
          <cell r="D2570">
            <v>3.65</v>
          </cell>
        </row>
        <row r="2571">
          <cell r="A2571">
            <v>91875</v>
          </cell>
          <cell r="B2571" t="str">
            <v>LUVA PARA ELETRODUTO, PVC, ROSCÁVEL, DN 25 MM (3/4"), PARA CIRCUITOS TERMINAIS, INSTALADA EM FORRO - FORNECIMENTO E INSTALAÇÃO. AF_12/2015</v>
          </cell>
          <cell r="C2571" t="str">
            <v>UN</v>
          </cell>
          <cell r="D2571">
            <v>4.8099999999999996</v>
          </cell>
        </row>
        <row r="2572">
          <cell r="A2572">
            <v>91876</v>
          </cell>
          <cell r="B2572" t="str">
            <v>LUVA PARA ELETRODUTO, PVC, ROSCÁVEL, DN 32 MM (1"), PARA CIRCUITOS TERMINAIS, INSTALADA EM FORRO - FORNECIMENTO E INSTALAÇÃO. AF_12/2015</v>
          </cell>
          <cell r="C2572" t="str">
            <v>UN</v>
          </cell>
          <cell r="D2572">
            <v>6.35</v>
          </cell>
        </row>
        <row r="2573">
          <cell r="A2573">
            <v>91877</v>
          </cell>
          <cell r="B2573" t="str">
            <v>LUVA PARA ELETRODUTO, PVC, ROSCÁVEL, DN 40 MM (1 1/4"), PARA CIRCUITOS TERMINAIS, INSTALADA EM FORRO - FORNECIMENTO E INSTALAÇÃO. AF_12/2015</v>
          </cell>
          <cell r="C2573" t="str">
            <v>UN</v>
          </cell>
          <cell r="D2573">
            <v>8.3800000000000008</v>
          </cell>
        </row>
        <row r="2574">
          <cell r="A2574">
            <v>91878</v>
          </cell>
          <cell r="B2574" t="str">
            <v>LUVA PARA ELETRODUTO, PVC, ROSCÁVEL, DN 20 MM (1/2"), PARA CIRCUITOS TERMINAIS, INSTALADA EM LAJE - FORNECIMENTO E INSTALAÇÃO. AF_12/2015</v>
          </cell>
          <cell r="C2574" t="str">
            <v>UN</v>
          </cell>
          <cell r="D2574">
            <v>4.74</v>
          </cell>
        </row>
        <row r="2575">
          <cell r="A2575">
            <v>91879</v>
          </cell>
          <cell r="B2575" t="str">
            <v>LUVA PARA ELETRODUTO, PVC, ROSCÁVEL, DN 25 MM (3/4"), PARA CIRCUITOS TERMINAIS, INSTALADA EM LAJE - FORNECIMENTO E INSTALAÇÃO. AF_12/2015</v>
          </cell>
          <cell r="C2575" t="str">
            <v>UN</v>
          </cell>
          <cell r="D2575">
            <v>5.86</v>
          </cell>
        </row>
        <row r="2576">
          <cell r="A2576">
            <v>91880</v>
          </cell>
          <cell r="B2576" t="str">
            <v>LUVA PARA ELETRODUTO, PVC, ROSCÁVEL, DN 32 MM (1"), PARA CIRCUITOS TERMINAIS, INSTALADA EM LAJE - FORNECIMENTO E INSTALAÇÃO. AF_12/2015</v>
          </cell>
          <cell r="C2576" t="str">
            <v>UN</v>
          </cell>
          <cell r="D2576">
            <v>7.42</v>
          </cell>
        </row>
        <row r="2577">
          <cell r="A2577">
            <v>91881</v>
          </cell>
          <cell r="B2577" t="str">
            <v>LUVA PARA ELETRODUTO, PVC, ROSCÁVEL, DN 40 MM (1 1/4"), PARA CIRCUITOS TERMINAIS, INSTALADA EM LAJE - FORNECIMENTO E INSTALAÇÃO. AF_12/2015</v>
          </cell>
          <cell r="C2577" t="str">
            <v>UN</v>
          </cell>
          <cell r="D2577">
            <v>9.4600000000000009</v>
          </cell>
        </row>
        <row r="2578">
          <cell r="A2578">
            <v>91882</v>
          </cell>
          <cell r="B2578" t="str">
            <v>LUVA PARA ELETRODUTO, PVC, ROSCÁVEL, DN 20 MM (1/2"), PARA CIRCUITOS TERMINAIS, INSTALADA EM PAREDE - FORNECIMENTO E INSTALAÇÃO. AF_12/2015</v>
          </cell>
          <cell r="C2578" t="str">
            <v>UN</v>
          </cell>
          <cell r="D2578">
            <v>5.89</v>
          </cell>
        </row>
        <row r="2579">
          <cell r="A2579">
            <v>91884</v>
          </cell>
          <cell r="B2579" t="str">
            <v>LUVA PARA ELETRODUTO, PVC, ROSCÁVEL, DN 25 MM (3/4"), PARA CIRCUITOS TERMINAIS, INSTALADA EM PAREDE - FORNECIMENTO E INSTALAÇÃO. AF_12/2015</v>
          </cell>
          <cell r="C2579" t="str">
            <v>UN</v>
          </cell>
          <cell r="D2579">
            <v>6.76</v>
          </cell>
        </row>
        <row r="2580">
          <cell r="A2580">
            <v>91885</v>
          </cell>
          <cell r="B2580" t="str">
            <v>LUVA PARA ELETRODUTO, PVC, ROSCÁVEL, DN 32 MM (1"), PARA CIRCUITOS TERMINAIS, INSTALADA EM PAREDE - FORNECIMENTO E INSTALAÇÃO. AF_12/2015</v>
          </cell>
          <cell r="C2580" t="str">
            <v>UN</v>
          </cell>
          <cell r="D2580">
            <v>7.94</v>
          </cell>
        </row>
        <row r="2581">
          <cell r="A2581">
            <v>91886</v>
          </cell>
          <cell r="B2581" t="str">
            <v>LUVA PARA ELETRODUTO, PVC, ROSCÁVEL, DN 40 MM (1 1/4"), PARA CIRCUITOS TERMINAIS, INSTALADA EM PAREDE - FORNECIMENTO E INSTALAÇÃO. AF_12/2015</v>
          </cell>
          <cell r="C2581" t="str">
            <v>UN</v>
          </cell>
          <cell r="D2581">
            <v>9.58</v>
          </cell>
        </row>
        <row r="2582">
          <cell r="A2582">
            <v>91887</v>
          </cell>
          <cell r="B2582" t="str">
            <v>CURVA 90 GRAUS PARA ELETRODUTO, PVC, ROSCÁVEL, DN 20 MM (1/2"), PARA CIRCUITOS TERMINAIS, INSTALADA EM FORRO - FORNECIMENTO E INSTALAÇÃO. AF_12/2015</v>
          </cell>
          <cell r="C2582" t="str">
            <v>UN</v>
          </cell>
          <cell r="D2582">
            <v>6.57</v>
          </cell>
        </row>
        <row r="2583">
          <cell r="A2583">
            <v>91889</v>
          </cell>
          <cell r="B2583" t="str">
            <v>CURVA 180 GRAUS PARA ELETRODUTO, PVC, ROSCÁVEL, DN 20 MM (1/2"), PARA CIRCUITOS TERMINAIS, INSTALADA EM FORRO - FORNECIMENTO E INSTALAÇÃO. AF_12/2015</v>
          </cell>
          <cell r="C2583" t="str">
            <v>UN</v>
          </cell>
          <cell r="D2583">
            <v>6.36</v>
          </cell>
        </row>
        <row r="2584">
          <cell r="A2584">
            <v>91890</v>
          </cell>
          <cell r="B2584" t="str">
            <v>CURVA 90 GRAUS PARA ELETRODUTO, PVC, ROSCÁVEL, DN 25 MM (3/4"), PARA CIRCUITOS TERMINAIS, INSTALADA EM FORRO - FORNECIMENTO E INSTALAÇÃO. AF_12/2015</v>
          </cell>
          <cell r="C2584" t="str">
            <v>UN</v>
          </cell>
          <cell r="D2584">
            <v>7.9</v>
          </cell>
        </row>
        <row r="2585">
          <cell r="A2585">
            <v>91892</v>
          </cell>
          <cell r="B2585" t="str">
            <v>CURVA 180 GRAUS PARA ELETRODUTO, PVC, ROSCÁVEL, DN 25 MM (3/4"), PARA CIRCUITOS TERMINAIS, INSTALADA EM FORRO - FORNECIMENTO E INSTALAÇÃO. AF_12/2015</v>
          </cell>
          <cell r="C2585" t="str">
            <v>UN</v>
          </cell>
          <cell r="D2585">
            <v>9.2899999999999991</v>
          </cell>
        </row>
        <row r="2586">
          <cell r="A2586">
            <v>91893</v>
          </cell>
          <cell r="B2586" t="str">
            <v>CURVA 90 GRAUS PARA ELETRODUTO, PVC, ROSCÁVEL, DN 32 MM (1"), PARA CIRCUITOS TERMINAIS, INSTALADA EM FORRO - FORNECIMENTO E INSTALAÇÃO. AF_12/2015</v>
          </cell>
          <cell r="C2586" t="str">
            <v>UN</v>
          </cell>
          <cell r="D2586">
            <v>10.72</v>
          </cell>
        </row>
        <row r="2587">
          <cell r="A2587">
            <v>91895</v>
          </cell>
          <cell r="B2587" t="str">
            <v>CURVA 180 GRAUS PARA ELETRODUTO, PVC, ROSCÁVEL, DN 32 MM (1"), PARA CIRCUITOS TERMINAIS, INSTALADA EM FORRO - FORNECIMENTO E INSTALAÇÃO. AF_12/2015</v>
          </cell>
          <cell r="C2587" t="str">
            <v>UN</v>
          </cell>
          <cell r="D2587">
            <v>12.14</v>
          </cell>
        </row>
        <row r="2588">
          <cell r="A2588">
            <v>91896</v>
          </cell>
          <cell r="B2588" t="str">
            <v>CURVA 90 GRAUS PARA ELETRODUTO, PVC, ROSCÁVEL, DN 40 MM (1 1/4"), PARA CIRCUITOS TERMINAIS, INSTALADA EM FORRO - FORNECIMENTO E INSTALAÇÃO. AF_12/2015</v>
          </cell>
          <cell r="C2588" t="str">
            <v>UN</v>
          </cell>
          <cell r="D2588">
            <v>13.15</v>
          </cell>
        </row>
        <row r="2589">
          <cell r="A2589">
            <v>91898</v>
          </cell>
          <cell r="B2589" t="str">
            <v>CURVA 180 GRAUS PARA ELETRODUTO, PVC, ROSCÁVEL, DN 40 MM (1 1/4"), PARA CIRCUITOS TERMINAIS, INSTALADA EM FORRO - FORNECIMENTO E INSTALAÇÃO. AF_12/2015</v>
          </cell>
          <cell r="C2589" t="str">
            <v>UN</v>
          </cell>
          <cell r="D2589">
            <v>14.67</v>
          </cell>
        </row>
        <row r="2590">
          <cell r="A2590">
            <v>91899</v>
          </cell>
          <cell r="B2590" t="str">
            <v>CURVA 90 GRAUS PARA ELETRODUTO, PVC, ROSCÁVEL, DN 20 MM (1/2"), PARA CIRCUITOS TERMINAIS, INSTALADA EM LAJE - FORNECIMENTO E INSTALAÇÃO. AF_12/2015</v>
          </cell>
          <cell r="C2590" t="str">
            <v>UN</v>
          </cell>
          <cell r="D2590">
            <v>8.1300000000000008</v>
          </cell>
        </row>
        <row r="2591">
          <cell r="A2591">
            <v>91901</v>
          </cell>
          <cell r="B2591" t="str">
            <v>CURVA 180 GRAUS PARA ELETRODUTO, PVC, ROSCÁVEL, DN 20 MM (1/2"), PARA CIRCUITOS TERMINAIS, INSTALADA EM LAJE - FORNECIMENTO E INSTALAÇÃO. AF_12/2015</v>
          </cell>
          <cell r="C2591" t="str">
            <v>UN</v>
          </cell>
          <cell r="D2591">
            <v>7.92</v>
          </cell>
        </row>
        <row r="2592">
          <cell r="A2592">
            <v>91902</v>
          </cell>
          <cell r="B2592" t="str">
            <v>CURVA 90 GRAUS PARA ELETRODUTO, PVC, ROSCÁVEL, DN 25 MM (3/4"), PARA CIRCUITOS TERMINAIS, INSTALADA EM LAJE - FORNECIMENTO E INSTALAÇÃO. AF_12/2015</v>
          </cell>
          <cell r="C2592" t="str">
            <v>UN</v>
          </cell>
          <cell r="D2592">
            <v>9.4600000000000009</v>
          </cell>
        </row>
        <row r="2593">
          <cell r="A2593">
            <v>91904</v>
          </cell>
          <cell r="B2593" t="str">
            <v>CURVA 180 GRAUS PARA ELETRODUTO, PVC, ROSCÁVEL, DN 25 MM (3/4"), PARA CIRCUITOS TERMINAIS, INSTALADA EM LAJE - FORNECIMENTO E INSTALAÇÃO. AF_12/2015</v>
          </cell>
          <cell r="C2593" t="str">
            <v>UN</v>
          </cell>
          <cell r="D2593">
            <v>10.85</v>
          </cell>
        </row>
        <row r="2594">
          <cell r="A2594">
            <v>91905</v>
          </cell>
          <cell r="B2594" t="str">
            <v>CURVA 90 GRAUS PARA ELETRODUTO, PVC, ROSCÁVEL, DN 32 MM (1"), PARA CIRCUITOS TERMINAIS, INSTALADA EM LAJE - FORNECIMENTO E INSTALAÇÃO. AF_12/2015</v>
          </cell>
          <cell r="C2594" t="str">
            <v>UN</v>
          </cell>
          <cell r="D2594">
            <v>12.29</v>
          </cell>
        </row>
        <row r="2595">
          <cell r="A2595">
            <v>91907</v>
          </cell>
          <cell r="B2595" t="str">
            <v>CURVA 180 GRAUS PARA ELETRODUTO, PVC, ROSCÁVEL, DN 32 MM (1), PARA CIRCUITOS TERMINAIS, INSTALADA EM LAJE - FORNECIMENTO E INSTALAÇÃO. AF_12/2015</v>
          </cell>
          <cell r="C2595" t="str">
            <v>UN</v>
          </cell>
          <cell r="D2595">
            <v>13.71</v>
          </cell>
        </row>
        <row r="2596">
          <cell r="A2596">
            <v>91908</v>
          </cell>
          <cell r="B2596" t="str">
            <v>CURVA 90 GRAUS PARA ELETRODUTO, PVC, ROSCÁVEL, DN 40 MM (1 1/4"), PARA CIRCUITOS TERMINAIS, INSTALADA EM LAJE - FORNECIMENTO E INSTALAÇÃO. AF_12/2015</v>
          </cell>
          <cell r="C2596" t="str">
            <v>UN</v>
          </cell>
          <cell r="D2596">
            <v>14.76</v>
          </cell>
        </row>
        <row r="2597">
          <cell r="A2597">
            <v>91910</v>
          </cell>
          <cell r="B2597" t="str">
            <v>CURVA 180 GRAUS PARA ELETRODUTO, PVC, ROSCÁVEL, DN 40 MM (1 1/4"), PARA CIRCUITOS TERMINAIS, INSTALADA EM LAJE - FORNECIMENTO E INSTALAÇÃO. AF_12/2015</v>
          </cell>
          <cell r="C2597" t="str">
            <v>UN</v>
          </cell>
          <cell r="D2597">
            <v>16.28</v>
          </cell>
        </row>
        <row r="2598">
          <cell r="A2598">
            <v>91911</v>
          </cell>
          <cell r="B2598" t="str">
            <v>CURVA 90 GRAUS PARA ELETRODUTO, PVC, ROSCÁVEL, DN 20 MM (1/2"), PARA CIRCUITOS TERMINAIS, INSTALADA EM PAREDE - FORNECIMENTO E INSTALAÇÃO. AF_12/2015</v>
          </cell>
          <cell r="C2598" t="str">
            <v>UN</v>
          </cell>
          <cell r="D2598">
            <v>9.92</v>
          </cell>
        </row>
        <row r="2599">
          <cell r="A2599">
            <v>91913</v>
          </cell>
          <cell r="B2599" t="str">
            <v>CURVA 180 GRAUS PARA ELETRODUTO, PVC, ROSCÁVEL, DN 20 MM (1/2"), PARA CIRCUITOS TERMINAIS, INSTALADA EM PAREDE - FORNECIMENTO E INSTALAÇÃO. AF_12/2015</v>
          </cell>
          <cell r="C2599" t="str">
            <v>UN</v>
          </cell>
          <cell r="D2599">
            <v>9.7100000000000009</v>
          </cell>
        </row>
        <row r="2600">
          <cell r="A2600">
            <v>91914</v>
          </cell>
          <cell r="B2600" t="str">
            <v>CURVA 90 GRAUS PARA ELETRODUTO, PVC, ROSCÁVEL, DN 25 MM (3/4"), PARA CIRCUITOS TERMINAIS, INSTALADA EM PAREDE - FORNECIMENTO E INSTALAÇÃO. AF_12/2015</v>
          </cell>
          <cell r="C2600" t="str">
            <v>UN</v>
          </cell>
          <cell r="D2600">
            <v>10.84</v>
          </cell>
        </row>
        <row r="2601">
          <cell r="A2601">
            <v>91916</v>
          </cell>
          <cell r="B2601" t="str">
            <v>CURVA 180 GRAUS PARA ELETRODUTO, PVC, ROSCÁVEL, DN 25 MM (3/4"), PARA CIRCUITOS TERMINAIS, INSTALADA EM PAREDE - FORNECIMENTO E INSTALAÇÃO. AF_12/2015</v>
          </cell>
          <cell r="C2601" t="str">
            <v>UN</v>
          </cell>
          <cell r="D2601">
            <v>12.23</v>
          </cell>
        </row>
        <row r="2602">
          <cell r="A2602">
            <v>91917</v>
          </cell>
          <cell r="B2602" t="str">
            <v>CURVA 90 GRAUS PARA ELETRODUTO, PVC, ROSCÁVEL, DN 32 MM (1"), PARA CIRCUITOS TERMINAIS, INSTALADA EM PAREDE - FORNECIMENTO E INSTALAÇÃO. AF_12/2015</v>
          </cell>
          <cell r="C2602" t="str">
            <v>UN</v>
          </cell>
          <cell r="D2602">
            <v>13.1</v>
          </cell>
        </row>
        <row r="2603">
          <cell r="A2603">
            <v>91919</v>
          </cell>
          <cell r="B2603" t="str">
            <v>CURVA 180 GRAUS PARA ELETRODUTO, PVC, ROSCÁVEL, DN 32 MM (1), PARA CIRCUITOS TERMINAIS, INSTALADA EM PAREDE - FORNECIMENTO E INSTALAÇÃO. AF_12/2015</v>
          </cell>
          <cell r="C2603" t="str">
            <v>UN</v>
          </cell>
          <cell r="D2603">
            <v>14.52</v>
          </cell>
        </row>
        <row r="2604">
          <cell r="A2604">
            <v>91920</v>
          </cell>
          <cell r="B2604" t="str">
            <v>CURVA 90 GRAUS PARA ELETRODUTO, PVC, ROSCÁVEL, DN 40 MM (1 1/4"), PARA CIRCUITOS TERMINAIS, INSTALADA EM PAREDE - FORNECIMENTO E INSTALAÇÃO. AF_12/2015</v>
          </cell>
          <cell r="C2604" t="str">
            <v>UN</v>
          </cell>
          <cell r="D2604">
            <v>14.94</v>
          </cell>
        </row>
        <row r="2605">
          <cell r="A2605">
            <v>91922</v>
          </cell>
          <cell r="B2605" t="str">
            <v>CURVA 180 GRAUS PARA ELETRODUTO, PVC, ROSCÁVEL, DN 40 MM (1 1/4"), PARA CIRCUITOS TERMINAIS, INSTALADA EM PAREDE - FORNECIMENTO E INSTALAÇÃO. AF_12/2015</v>
          </cell>
          <cell r="C2605" t="str">
            <v>UN</v>
          </cell>
          <cell r="D2605">
            <v>16.46</v>
          </cell>
        </row>
        <row r="2606">
          <cell r="A2606">
            <v>93013</v>
          </cell>
          <cell r="B2606" t="str">
            <v>LUVA PARA ELETRODUTO, PVC, ROSCÁVEL, DN 50 MM (1 1/2") - FORNECIMENTO E INSTALAÇÃO. AF_12/2015</v>
          </cell>
          <cell r="C2606" t="str">
            <v>UN</v>
          </cell>
          <cell r="D2606">
            <v>10.85</v>
          </cell>
        </row>
        <row r="2607">
          <cell r="A2607">
            <v>93014</v>
          </cell>
          <cell r="B2607" t="str">
            <v>LUVA PARA ELETRODUTO, PVC, ROSCÁVEL, DN 60 MM (2") - FORNECIMENTO E INSTALAÇÃO. AF_12/2015</v>
          </cell>
          <cell r="C2607" t="str">
            <v>UN</v>
          </cell>
          <cell r="D2607">
            <v>13.24</v>
          </cell>
        </row>
        <row r="2608">
          <cell r="A2608">
            <v>93015</v>
          </cell>
          <cell r="B2608" t="str">
            <v>LUVA PARA ELETRODUTO, PVC, ROSCÁVEL, DN 75 MM (2 1/2") - FORNECIMENTO E INSTALAÇÃO. AF_12/2015</v>
          </cell>
          <cell r="C2608" t="str">
            <v>UN</v>
          </cell>
          <cell r="D2608">
            <v>19.559999999999999</v>
          </cell>
        </row>
        <row r="2609">
          <cell r="A2609">
            <v>93016</v>
          </cell>
          <cell r="B2609" t="str">
            <v>LUVA PARA ELETRODUTO, PVC, ROSCÁVEL, DN 85 MM (3") - FORNECIMENTO E INSTALAÇÃO. AF_12/2015</v>
          </cell>
          <cell r="C2609" t="str">
            <v>UN</v>
          </cell>
          <cell r="D2609">
            <v>23.6</v>
          </cell>
        </row>
        <row r="2610">
          <cell r="A2610">
            <v>93017</v>
          </cell>
          <cell r="B2610" t="str">
            <v>LUVA PARA ELETRODUTO, PVC, ROSCÁVEL, DN 110 MM (4") - FORNECIMENTO E INSTALAÇÃO. AF_12/2015</v>
          </cell>
          <cell r="C2610" t="str">
            <v>UN</v>
          </cell>
          <cell r="D2610">
            <v>34.950000000000003</v>
          </cell>
        </row>
        <row r="2611">
          <cell r="A2611">
            <v>93018</v>
          </cell>
          <cell r="B2611" t="str">
            <v>CURVA 90 GRAUS PARA ELETRODUTO, PVC, ROSCÁVEL, DN 50 MM (1 1/2") - FORNECIMENTO E INSTALAÇÃO. AF_12/2015</v>
          </cell>
          <cell r="C2611" t="str">
            <v>UN</v>
          </cell>
          <cell r="D2611">
            <v>16.53</v>
          </cell>
        </row>
        <row r="2612">
          <cell r="A2612">
            <v>93020</v>
          </cell>
          <cell r="B2612" t="str">
            <v>CURVA 90 GRAUS PARA ELETRODUTO, PVC, ROSCÁVEL, DN 60 MM (2") - FORNECIMENTO E INSTALAÇÃO. AF_12/2015</v>
          </cell>
          <cell r="C2612" t="str">
            <v>UN</v>
          </cell>
          <cell r="D2612">
            <v>20.96</v>
          </cell>
        </row>
        <row r="2613">
          <cell r="A2613">
            <v>93022</v>
          </cell>
          <cell r="B2613" t="str">
            <v>CURVA 90 GRAUS PARA ELETRODUTO, PVC, ROSCÁVEL, DN 75 MM (2 1/2") - FORNECIMENTO E INSTALAÇÃO. AF_12/2015</v>
          </cell>
          <cell r="C2613" t="str">
            <v>UN</v>
          </cell>
          <cell r="D2613">
            <v>33.93</v>
          </cell>
        </row>
        <row r="2614">
          <cell r="A2614">
            <v>93024</v>
          </cell>
          <cell r="B2614" t="str">
            <v>CURVA 90 GRAUS PARA ELETRODUTO, PVC, ROSCÁVEL, DN 85 MM (3") - FORNECIMENTO E INSTALAÇÃO. AF_12/2015</v>
          </cell>
          <cell r="C2614" t="str">
            <v>UN</v>
          </cell>
          <cell r="D2614">
            <v>35.82</v>
          </cell>
        </row>
        <row r="2615">
          <cell r="A2615">
            <v>93026</v>
          </cell>
          <cell r="B2615" t="str">
            <v>CURVA 90 GRAUS PARA ELETRODUTO, PVC, ROSCÁVEL, DN 110 MM (4") - FORNECIMENTO E INSTALAÇÃO. AF_12/2015</v>
          </cell>
          <cell r="C2615" t="str">
            <v>UN</v>
          </cell>
          <cell r="D2615">
            <v>57.39</v>
          </cell>
        </row>
        <row r="2616">
          <cell r="A2616">
            <v>95733</v>
          </cell>
          <cell r="B2616" t="str">
            <v>LUVA PARA ELETRODUTO, PVC, SOLDÁVEL, DN 25 MM (3/4), APARENTE, INSTALADA EM TETO - FORNECIMENTO E INSTALAÇÃO. AF_11/2016_P</v>
          </cell>
          <cell r="C2616" t="str">
            <v>UN</v>
          </cell>
          <cell r="D2616">
            <v>4.43</v>
          </cell>
        </row>
        <row r="2617">
          <cell r="A2617">
            <v>95734</v>
          </cell>
          <cell r="B2617" t="str">
            <v>LUVA PARA ELETRODUTO, PVC, SOLDÁVEL, DN 32 MM (1), APARENTE, INSTALADA EM TETO - FORNECIMENTO E INSTALAÇÃO. AF_11/2016_P</v>
          </cell>
          <cell r="C2617" t="str">
            <v>UN</v>
          </cell>
          <cell r="D2617">
            <v>5.89</v>
          </cell>
        </row>
        <row r="2618">
          <cell r="A2618">
            <v>95735</v>
          </cell>
          <cell r="B2618" t="str">
            <v>LUVA PARA ELETRODUTO, PVC, SOLDÁVEL, DN 20 MM (1/2), APARENTE, INSTALADA EM PAREDE - FORNECIMENTO E INSTALAÇÃO. AF_11/2016_P</v>
          </cell>
          <cell r="C2618" t="str">
            <v>UN</v>
          </cell>
          <cell r="D2618">
            <v>5.0599999999999996</v>
          </cell>
        </row>
        <row r="2619">
          <cell r="A2619">
            <v>95736</v>
          </cell>
          <cell r="B2619" t="str">
            <v>LUVA PARA ELETRODUTO, PVC, SOLDÁVEL, DN 25 MM (3/4), APARENTE, INSTALADA EM PAREDE - FORNECIMENTO E INSTALAÇÃO. AF_11/2016_P</v>
          </cell>
          <cell r="C2619" t="str">
            <v>UN</v>
          </cell>
          <cell r="D2619">
            <v>5.89</v>
          </cell>
        </row>
        <row r="2620">
          <cell r="A2620">
            <v>95738</v>
          </cell>
          <cell r="B2620" t="str">
            <v>LUVA PARA ELETRODUTO, PVC, SOLDÁVEL, DN 32 MM (1), APARENTE, INSTALADA EM PAREDE - FORNECIMENTO E INSTALAÇÃO. AF_11/2016_P</v>
          </cell>
          <cell r="C2620" t="str">
            <v>UN</v>
          </cell>
          <cell r="D2620">
            <v>7.08</v>
          </cell>
        </row>
        <row r="2621">
          <cell r="A2621">
            <v>95753</v>
          </cell>
          <cell r="B2621" t="str">
            <v>LUVA DE EMENDA PARA ELETRODUTO, AÇO GALVANIZADO, DN 20 MM (3/4  ), APARENTE, INSTALADA EM TETO - FORNECIMENTO E INSTALAÇÃO. AF_11/2016_P</v>
          </cell>
          <cell r="C2621" t="str">
            <v>UN</v>
          </cell>
          <cell r="D2621">
            <v>5.61</v>
          </cell>
        </row>
        <row r="2622">
          <cell r="A2622">
            <v>95754</v>
          </cell>
          <cell r="B2622" t="str">
            <v>LUVA DE EMENDA PARA ELETRODUTO, AÇO GALVANIZADO, DN 25 MM (1''), APARENTE, INSTALADA EM TETO - FORNECIMENTO E INSTALAÇÃO. AF_11/2016_P</v>
          </cell>
          <cell r="C2622" t="str">
            <v>UN</v>
          </cell>
          <cell r="D2622">
            <v>7</v>
          </cell>
        </row>
        <row r="2623">
          <cell r="A2623">
            <v>95755</v>
          </cell>
          <cell r="B2623" t="str">
            <v>LUVA DE EMENDA PARA ELETRODUTO, AÇO GALVANIZADO, DN 32 MM (1 1/4''), APARENTE, INSTALADA EM TETO - FORNECIMENTO E INSTALAÇÃO. AF_11/2016_P</v>
          </cell>
          <cell r="C2623" t="str">
            <v>UN</v>
          </cell>
          <cell r="D2623">
            <v>10.06</v>
          </cell>
        </row>
        <row r="2624">
          <cell r="A2624">
            <v>95756</v>
          </cell>
          <cell r="B2624" t="str">
            <v>LUVA DE EMENDA PARA ELETRODUTO, AÇO GALVANIZADO, DN 40 MM (1 1/2''), APARENTE, INSTALADA EM TETO - FORNECIMENTO E INSTALAÇÃO. AF_11/2016_P</v>
          </cell>
          <cell r="C2624" t="str">
            <v>UN</v>
          </cell>
          <cell r="D2624">
            <v>13.39</v>
          </cell>
        </row>
        <row r="2625">
          <cell r="A2625">
            <v>95757</v>
          </cell>
          <cell r="B2625" t="str">
            <v>LUVA DE EMENDA PARA ELETRODUTO, AÇO GALVANIZADO, DN 20 MM (3/4''), APARENTE, INSTALADA EM PAREDE - FORNECIMENTO E INSTALAÇÃO. AF_11/2016_P</v>
          </cell>
          <cell r="C2625" t="str">
            <v>UN</v>
          </cell>
          <cell r="D2625">
            <v>8.48</v>
          </cell>
        </row>
        <row r="2626">
          <cell r="A2626">
            <v>95758</v>
          </cell>
          <cell r="B2626" t="str">
            <v>LUVA DE EMENDA PARA ELETRODUTO, AÇO GALVANIZADO, DN 25 MM (1''), APARENTE, INSTALADA EM PAREDE - FORNECIMENTO E INSTALAÇÃO. AF_11/2016_P</v>
          </cell>
          <cell r="C2626" t="str">
            <v>UN</v>
          </cell>
          <cell r="D2626">
            <v>9.5299999999999994</v>
          </cell>
        </row>
        <row r="2627">
          <cell r="A2627">
            <v>95759</v>
          </cell>
          <cell r="B2627" t="str">
            <v>LUVA DE EMENDA PARA ELETRODUTO, AÇO GALVANIZADO, DN 32 MM (1 1/4''), APARENTE, INSTALADA EM PAREDE - FORNECIMENTO E INSTALAÇÃO. AF_11/2016_P</v>
          </cell>
          <cell r="C2627" t="str">
            <v>UN</v>
          </cell>
          <cell r="D2627">
            <v>12.12</v>
          </cell>
        </row>
        <row r="2628">
          <cell r="A2628">
            <v>95760</v>
          </cell>
          <cell r="B2628" t="str">
            <v>LUVA DE EMENDA PARA ELETRODUTO, AÇO GALVANIZADO, DN 40 MM (1 1/2''), APARENTE, INSTALADA EM PAREDE - FORNECIMENTO E INSTALAÇÃO. AF_11/2016_P</v>
          </cell>
          <cell r="C2628" t="str">
            <v>UN</v>
          </cell>
          <cell r="D2628">
            <v>14.9</v>
          </cell>
        </row>
        <row r="2629">
          <cell r="A2629">
            <v>97559</v>
          </cell>
          <cell r="B2629" t="str">
            <v>CURVA 135 GRAUS PARA ELETRODUTO, PVC, ROSCÁVEL, DN 25 MM (3/4), PARA CIRCUITOS TERMINAIS, INSTALADA EM FORRO - FORNECIMENTO E INSTALAÇÃO. AF_12/2015</v>
          </cell>
          <cell r="C2629" t="str">
            <v>UN</v>
          </cell>
          <cell r="D2629">
            <v>7.75</v>
          </cell>
        </row>
        <row r="2630">
          <cell r="A2630">
            <v>97562</v>
          </cell>
          <cell r="B2630" t="str">
            <v>CURVA 135 GRAUS PARA ELETRODUTO, PVC, ROSCÁVEL, DN 25 MM (3/4), PARA CIRCUITOS TERMINAIS, INSTALADA EM LAJE - FORNECIMENTO E INSTALAÇÃO. AF_12/2015</v>
          </cell>
          <cell r="C2630" t="str">
            <v>UN</v>
          </cell>
          <cell r="D2630">
            <v>9.31</v>
          </cell>
        </row>
        <row r="2631">
          <cell r="A2631">
            <v>97564</v>
          </cell>
          <cell r="B2631" t="str">
            <v>CURVA 135 GRAUS PARA ELETRODUTO, PVC, ROSCÁVEL, DN 25 MM (3/4), PARA CIRCUITOS TERMINAIS, INSTALADA EM PAREDE - FORNECIMENTO E INSTALAÇÃO. AF_12/2015</v>
          </cell>
          <cell r="C2631" t="str">
            <v>UN</v>
          </cell>
          <cell r="D2631">
            <v>10.69</v>
          </cell>
        </row>
        <row r="2632">
          <cell r="A2632">
            <v>91924</v>
          </cell>
          <cell r="B2632" t="str">
            <v>CABO DE COBRE FLEXÍVEL ISOLADO, 1,5 MM², ANTI-CHAMA 450/750 V, PARA CIRCUITOS TERMINAIS - FORNECIMENTO E INSTALAÇÃO. AF_12/2015</v>
          </cell>
          <cell r="C2632" t="str">
            <v>M</v>
          </cell>
          <cell r="D2632">
            <v>1.86</v>
          </cell>
        </row>
        <row r="2633">
          <cell r="A2633">
            <v>91925</v>
          </cell>
          <cell r="B2633" t="str">
            <v>CABO DE COBRE FLEXÍVEL ISOLADO, 1,5 MM², ANTI-CHAMA 0,6/1,0 KV, PARA CIRCUITOS TERMINAIS - FORNECIMENTO E INSTALAÇÃO. AF_12/2015</v>
          </cell>
          <cell r="C2633" t="str">
            <v>M</v>
          </cell>
          <cell r="D2633">
            <v>2.5099999999999998</v>
          </cell>
        </row>
        <row r="2634">
          <cell r="A2634">
            <v>91926</v>
          </cell>
          <cell r="B2634" t="str">
            <v>CABO DE COBRE FLEXÍVEL ISOLADO, 2,5 MM², ANTI-CHAMA 450/750 V, PARA CIRCUITOS TERMINAIS - FORNECIMENTO E INSTALAÇÃO. AF_12/2015</v>
          </cell>
          <cell r="C2634" t="str">
            <v>M</v>
          </cell>
          <cell r="D2634">
            <v>2.62</v>
          </cell>
        </row>
        <row r="2635">
          <cell r="A2635">
            <v>91927</v>
          </cell>
          <cell r="B2635" t="str">
            <v>CABO DE COBRE FLEXÍVEL ISOLADO, 2,5 MM², ANTI-CHAMA 0,6/1,0 KV, PARA CIRCUITOS TERMINAIS - FORNECIMENTO E INSTALAÇÃO. AF_12/2015</v>
          </cell>
          <cell r="C2635" t="str">
            <v>M</v>
          </cell>
          <cell r="D2635">
            <v>3.36</v>
          </cell>
        </row>
        <row r="2636">
          <cell r="A2636">
            <v>91928</v>
          </cell>
          <cell r="B2636" t="str">
            <v>CABO DE COBRE FLEXÍVEL ISOLADO, 4 MM², ANTI-CHAMA 450/750 V, PARA CIRCUITOS TERMINAIS - FORNECIMENTO E INSTALAÇÃO. AF_12/2015</v>
          </cell>
          <cell r="C2636" t="str">
            <v>M</v>
          </cell>
          <cell r="D2636">
            <v>4.18</v>
          </cell>
        </row>
        <row r="2637">
          <cell r="A2637">
            <v>91929</v>
          </cell>
          <cell r="B2637" t="str">
            <v>CABO DE COBRE FLEXÍVEL ISOLADO, 4 MM², ANTI-CHAMA 0,6/1,0 KV, PARA CIRCUITOS TERMINAIS - FORNECIMENTO E INSTALAÇÃO. AF_12/2015</v>
          </cell>
          <cell r="C2637" t="str">
            <v>M</v>
          </cell>
          <cell r="D2637">
            <v>4.7</v>
          </cell>
        </row>
        <row r="2638">
          <cell r="A2638">
            <v>91930</v>
          </cell>
          <cell r="B2638" t="str">
            <v>CABO DE COBRE FLEXÍVEL ISOLADO, 6 MM², ANTI-CHAMA 450/750 V, PARA CIRCUITOS TERMINAIS - FORNECIMENTO E INSTALAÇÃO. AF_12/2015</v>
          </cell>
          <cell r="C2638" t="str">
            <v>M</v>
          </cell>
          <cell r="D2638">
            <v>5.69</v>
          </cell>
        </row>
        <row r="2639">
          <cell r="A2639">
            <v>91931</v>
          </cell>
          <cell r="B2639" t="str">
            <v>CABO DE COBRE FLEXÍVEL ISOLADO, 6 MM², ANTI-CHAMA 0,6/1,0 KV, PARA CIRCUITOS TERMINAIS - FORNECIMENTO E INSTALAÇÃO. AF_12/2015</v>
          </cell>
          <cell r="C2639" t="str">
            <v>M</v>
          </cell>
          <cell r="D2639">
            <v>6.31</v>
          </cell>
        </row>
        <row r="2640">
          <cell r="A2640">
            <v>91932</v>
          </cell>
          <cell r="B2640" t="str">
            <v>CABO DE COBRE FLEXÍVEL ISOLADO, 10 MM², ANTI-CHAMA 450/750 V, PARA CIRCUITOS TERMINAIS - FORNECIMENTO E INSTALAÇÃO. AF_12/2015</v>
          </cell>
          <cell r="C2640" t="str">
            <v>M</v>
          </cell>
          <cell r="D2640">
            <v>9.2899999999999991</v>
          </cell>
        </row>
        <row r="2641">
          <cell r="A2641">
            <v>91933</v>
          </cell>
          <cell r="B2641" t="str">
            <v>CABO DE COBRE FLEXÍVEL ISOLADO, 10 MM², ANTI-CHAMA 0,6/1,0 KV, PARA CIRCUITOS TERMINAIS - FORNECIMENTO E INSTALAÇÃO. AF_12/2015</v>
          </cell>
          <cell r="C2641" t="str">
            <v>M</v>
          </cell>
          <cell r="D2641">
            <v>9.86</v>
          </cell>
        </row>
        <row r="2642">
          <cell r="A2642">
            <v>91934</v>
          </cell>
          <cell r="B2642" t="str">
            <v>CABO DE COBRE FLEXÍVEL ISOLADO, 16 MM², ANTI-CHAMA 450/750 V, PARA CIRCUITOS TERMINAIS - FORNECIMENTO E INSTALAÇÃO. AF_12/2015</v>
          </cell>
          <cell r="C2642" t="str">
            <v>M</v>
          </cell>
          <cell r="D2642">
            <v>14.16</v>
          </cell>
        </row>
        <row r="2643">
          <cell r="A2643">
            <v>91935</v>
          </cell>
          <cell r="B2643" t="str">
            <v>CABO DE COBRE FLEXÍVEL ISOLADO, 16 MM², ANTI-CHAMA 0,6/1,0 KV, PARA CIRCUITOS TERMINAIS - FORNECIMENTO E INSTALAÇÃO. AF_12/2015</v>
          </cell>
          <cell r="C2643" t="str">
            <v>M</v>
          </cell>
          <cell r="D2643">
            <v>14.99</v>
          </cell>
        </row>
        <row r="2644">
          <cell r="A2644">
            <v>92979</v>
          </cell>
          <cell r="B2644" t="str">
            <v>CABO DE COBRE FLEXÍVEL ISOLADO, 10 MM², ANTI-CHAMA 450/750 V, PARA DISTRIBUIÇÃO - FORNECIMENTO E INSTALAÇÃO. AF_12/2015</v>
          </cell>
          <cell r="C2644" t="str">
            <v>M</v>
          </cell>
          <cell r="D2644">
            <v>5.87</v>
          </cell>
        </row>
        <row r="2645">
          <cell r="A2645">
            <v>92980</v>
          </cell>
          <cell r="B2645" t="str">
            <v>CABO DE COBRE FLEXÍVEL ISOLADO, 10 MM², ANTI-CHAMA 0,6/1,0 KV, PARA DISTRIBUIÇÃO - FORNECIMENTO E INSTALAÇÃO. AF_12/2015</v>
          </cell>
          <cell r="C2645" t="str">
            <v>M</v>
          </cell>
          <cell r="D2645">
            <v>6.36</v>
          </cell>
        </row>
        <row r="2646">
          <cell r="A2646">
            <v>92981</v>
          </cell>
          <cell r="B2646" t="str">
            <v>CABO DE COBRE FLEXÍVEL ISOLADO, 16 MM², ANTI-CHAMA 450/750 V, PARA DISTRIBUIÇÃO - FORNECIMENTO E INSTALAÇÃO. AF_12/2015</v>
          </cell>
          <cell r="C2646" t="str">
            <v>M</v>
          </cell>
          <cell r="D2646">
            <v>9.02</v>
          </cell>
        </row>
        <row r="2647">
          <cell r="A2647">
            <v>92982</v>
          </cell>
          <cell r="B2647" t="str">
            <v>CABO DE COBRE FLEXÍVEL ISOLADO, 16 MM², ANTI-CHAMA 0,6/1,0 KV, PARA DISTRIBUIÇÃO - FORNECIMENTO E INSTALAÇÃO. AF_12/2015</v>
          </cell>
          <cell r="C2647" t="str">
            <v>M</v>
          </cell>
          <cell r="D2647">
            <v>9.74</v>
          </cell>
        </row>
        <row r="2648">
          <cell r="A2648">
            <v>92983</v>
          </cell>
          <cell r="B2648" t="str">
            <v>CABO DE COBRE FLEXÍVEL ISOLADO, 25 MM², ANTI-CHAMA 450/750 V, PARA DISTRIBUIÇÃO - FORNECIMENTO E INSTALAÇÃO. AF_12/2015</v>
          </cell>
          <cell r="C2648" t="str">
            <v>M</v>
          </cell>
          <cell r="D2648">
            <v>15.9</v>
          </cell>
        </row>
        <row r="2649">
          <cell r="A2649">
            <v>92984</v>
          </cell>
          <cell r="B2649" t="str">
            <v>CABO DE COBRE FLEXÍVEL ISOLADO, 25 MM², ANTI-CHAMA 0,6/1,0 KV, PARA DISTRIBUIÇÃO - FORNECIMENTO E INSTALAÇÃO. AF_12/2015</v>
          </cell>
          <cell r="C2649" t="str">
            <v>M</v>
          </cell>
          <cell r="D2649">
            <v>16.3</v>
          </cell>
        </row>
        <row r="2650">
          <cell r="A2650">
            <v>92985</v>
          </cell>
          <cell r="B2650" t="str">
            <v>CABO DE COBRE FLEXÍVEL ISOLADO, 35 MM², ANTI-CHAMA 450/750 V, PARA DISTRIBUIÇÃO - FORNECIMENTO E INSTALAÇÃO. AF_12/2015</v>
          </cell>
          <cell r="C2650" t="str">
            <v>M</v>
          </cell>
          <cell r="D2650">
            <v>21.29</v>
          </cell>
        </row>
        <row r="2651">
          <cell r="A2651">
            <v>92986</v>
          </cell>
          <cell r="B2651" t="str">
            <v>CABO DE COBRE FLEXÍVEL ISOLADO, 35 MM², ANTI-CHAMA 0,6/1,0 KV, PARA DISTRIBUIÇÃO - FORNECIMENTO E INSTALAÇÃO. AF_12/2015</v>
          </cell>
          <cell r="C2651" t="str">
            <v>M</v>
          </cell>
          <cell r="D2651">
            <v>21.9</v>
          </cell>
        </row>
        <row r="2652">
          <cell r="A2652">
            <v>92987</v>
          </cell>
          <cell r="B2652" t="str">
            <v>CABO DE COBRE FLEXÍVEL ISOLADO, 50 MM², ANTI-CHAMA 450/750 V, PARA DISTRIBUIÇÃO - FORNECIMENTO E INSTALAÇÃO. AF_12/2015</v>
          </cell>
          <cell r="C2652" t="str">
            <v>M</v>
          </cell>
          <cell r="D2652">
            <v>30.49</v>
          </cell>
        </row>
        <row r="2653">
          <cell r="A2653">
            <v>92988</v>
          </cell>
          <cell r="B2653" t="str">
            <v>CABO DE COBRE FLEXÍVEL ISOLADO, 50 MM², ANTI-CHAMA 0,6/1,0 KV, PARA DISTRIBUIÇÃO - FORNECIMENTO E INSTALAÇÃO. AF_12/2015</v>
          </cell>
          <cell r="C2653" t="str">
            <v>M</v>
          </cell>
          <cell r="D2653">
            <v>30.56</v>
          </cell>
        </row>
        <row r="2654">
          <cell r="A2654">
            <v>92989</v>
          </cell>
          <cell r="B2654" t="str">
            <v>CABO DE COBRE FLEXÍVEL ISOLADO, 70 MM², ANTI-CHAMA 450/750 V, PARA DISTRIBUIÇÃO - FORNECIMENTO E INSTALAÇÃO. AF_12/2015</v>
          </cell>
          <cell r="C2654" t="str">
            <v>M</v>
          </cell>
          <cell r="D2654">
            <v>42.23</v>
          </cell>
        </row>
        <row r="2655">
          <cell r="A2655">
            <v>92990</v>
          </cell>
          <cell r="B2655" t="str">
            <v>CABO DE COBRE FLEXÍVEL ISOLADO, 70 MM², ANTI-CHAMA 0,6/1,0 KV, PARA DISTRIBUIÇÃO - FORNECIMENTO E INSTALAÇÃO. AF_12/2015</v>
          </cell>
          <cell r="C2655" t="str">
            <v>M</v>
          </cell>
          <cell r="D2655">
            <v>41.75</v>
          </cell>
        </row>
        <row r="2656">
          <cell r="A2656">
            <v>92991</v>
          </cell>
          <cell r="B2656" t="str">
            <v>CABO DE COBRE FLEXÍVEL ISOLADO, 95 MM², ANTI-CHAMA 450/750 V, PARA DISTRIBUIÇÃO - FORNECIMENTO E INSTALAÇÃO. AF_12/2015</v>
          </cell>
          <cell r="C2656" t="str">
            <v>M</v>
          </cell>
          <cell r="D2656">
            <v>55.01</v>
          </cell>
        </row>
        <row r="2657">
          <cell r="A2657">
            <v>92992</v>
          </cell>
          <cell r="B2657" t="str">
            <v>CABO DE COBRE FLEXÍVEL ISOLADO, 95 MM², ANTI-CHAMA 0,6/1,0 KV, PARA DISTRIBUIÇÃO - FORNECIMENTO E INSTALAÇÃO. AF_12/2015</v>
          </cell>
          <cell r="C2657" t="str">
            <v>M</v>
          </cell>
          <cell r="D2657">
            <v>55.04</v>
          </cell>
        </row>
        <row r="2658">
          <cell r="A2658">
            <v>92993</v>
          </cell>
          <cell r="B2658" t="str">
            <v>CABO DE COBRE FLEXÍVEL ISOLADO, 120 MM², ANTI-CHAMA 450/750 V, PARA DISTRIBUIÇÃO - FORNECIMENTO E INSTALAÇÃO. AF_12/2015</v>
          </cell>
          <cell r="C2658" t="str">
            <v>M</v>
          </cell>
          <cell r="D2658">
            <v>70.42</v>
          </cell>
        </row>
        <row r="2659">
          <cell r="A2659">
            <v>92994</v>
          </cell>
          <cell r="B2659" t="str">
            <v>CABO DE COBRE FLEXÍVEL ISOLADO, 120 MM², ANTI-CHAMA 0,6/1,0 KV, PARA DISTRIBUIÇÃO - FORNECIMENTO E INSTALAÇÃO. AF_12/2015</v>
          </cell>
          <cell r="C2659" t="str">
            <v>M</v>
          </cell>
          <cell r="D2659">
            <v>71.099999999999994</v>
          </cell>
        </row>
        <row r="2660">
          <cell r="A2660">
            <v>92995</v>
          </cell>
          <cell r="B2660" t="str">
            <v>CABO DE COBRE FLEXÍVEL ISOLADO, 150 MM², ANTI-CHAMA 450/750 V, PARA DISTRIBUIÇÃO - FORNECIMENTO E INSTALAÇÃO. AF_12/2015</v>
          </cell>
          <cell r="C2660" t="str">
            <v>M</v>
          </cell>
          <cell r="D2660">
            <v>87.52</v>
          </cell>
        </row>
        <row r="2661">
          <cell r="A2661">
            <v>92996</v>
          </cell>
          <cell r="B2661" t="str">
            <v>CABO DE COBRE FLEXÍVEL ISOLADO, 150 MM², ANTI-CHAMA 0,6/1,0 KV, PARA DISTRIBUIÇÃO - FORNECIMENTO E INSTALAÇÃO. AF_12/2015</v>
          </cell>
          <cell r="C2661" t="str">
            <v>M</v>
          </cell>
          <cell r="D2661">
            <v>87.75</v>
          </cell>
        </row>
        <row r="2662">
          <cell r="A2662">
            <v>92997</v>
          </cell>
          <cell r="B2662" t="str">
            <v>CABO DE COBRE FLEXÍVEL ISOLADO, 185 MM², ANTI-CHAMA 450/750 V, PARA DISTRIBUIÇÃO - FORNECIMENTO E INSTALAÇÃO. AF_12/2015</v>
          </cell>
          <cell r="C2662" t="str">
            <v>M</v>
          </cell>
          <cell r="D2662">
            <v>106.28</v>
          </cell>
        </row>
        <row r="2663">
          <cell r="A2663">
            <v>92998</v>
          </cell>
          <cell r="B2663" t="str">
            <v>CABO DE COBRE FLEXÍVEL ISOLADO, 185 MM², ANTI-CHAMA 0,6/1,0 KV, PARA DISTRIBUIÇÃO - FORNECIMENTO E INSTALAÇÃO. AF_12/2015</v>
          </cell>
          <cell r="C2663" t="str">
            <v>M</v>
          </cell>
          <cell r="D2663">
            <v>107.27</v>
          </cell>
        </row>
        <row r="2664">
          <cell r="A2664">
            <v>92999</v>
          </cell>
          <cell r="B2664" t="str">
            <v>CABO DE COBRE FLEXÍVEL ISOLADO, 240 MM², ANTI-CHAMA 450/750 V, PARA DISTRIBUIÇÃO - FORNECIMENTO E INSTALAÇÃO. AF_12/2015</v>
          </cell>
          <cell r="C2664" t="str">
            <v>M</v>
          </cell>
          <cell r="D2664">
            <v>139.82</v>
          </cell>
        </row>
        <row r="2665">
          <cell r="A2665">
            <v>93000</v>
          </cell>
          <cell r="B2665" t="str">
            <v>CABO DE COBRE FLEXÍVEL ISOLADO, 240 MM², ANTI-CHAMA 0,6/1,0 KV, PARA DISTRIBUIÇÃO - FORNECIMENTO E INSTALAÇÃO. AF_12/2015</v>
          </cell>
          <cell r="C2665" t="str">
            <v>M</v>
          </cell>
          <cell r="D2665">
            <v>140.66</v>
          </cell>
        </row>
        <row r="2666">
          <cell r="A2666">
            <v>93001</v>
          </cell>
          <cell r="B2666" t="str">
            <v>CABO DE COBRE RÍGIDO ISOLADO, 300 MM², ANTI-CHAMA 450/750 V, PARA DISTRIBUIÇÃO - FORNECIMENTO E INSTALAÇÃO. AF_12/2015</v>
          </cell>
          <cell r="C2666" t="str">
            <v>M</v>
          </cell>
          <cell r="D2666">
            <v>170.68</v>
          </cell>
        </row>
        <row r="2667">
          <cell r="A2667">
            <v>93002</v>
          </cell>
          <cell r="B2667" t="str">
            <v>CABO DE COBRE FLEXÍVEL ISOLADO, 300 MM², ANTI-CHAMA 0,6/1,0 KV, PARA DISTRIBUIÇÃO - FORNECIMENTO E INSTALAÇÃO. AF_12/2015</v>
          </cell>
          <cell r="C2667" t="str">
            <v>M</v>
          </cell>
          <cell r="D2667">
            <v>175.34</v>
          </cell>
        </row>
        <row r="2668">
          <cell r="A2668">
            <v>83446</v>
          </cell>
          <cell r="B2668" t="str">
            <v>CAIXA DE PASSAGEM 30X30X40 COM TAMPA E DRENO BRITA</v>
          </cell>
          <cell r="C2668" t="str">
            <v>UN</v>
          </cell>
          <cell r="D2668">
            <v>159</v>
          </cell>
        </row>
        <row r="2669">
          <cell r="A2669">
            <v>91936</v>
          </cell>
          <cell r="B2669" t="str">
            <v>CAIXA OCTOGONAL 4" X 4", PVC, INSTALADA EM LAJE - FORNECIMENTO E INSTALAÇÃO. AF_12/2015</v>
          </cell>
          <cell r="C2669" t="str">
            <v>UN</v>
          </cell>
          <cell r="D2669">
            <v>9.66</v>
          </cell>
        </row>
        <row r="2670">
          <cell r="A2670">
            <v>91937</v>
          </cell>
          <cell r="B2670" t="str">
            <v>CAIXA OCTOGONAL 3" X 3", PVC, INSTALADA EM LAJE - FORNECIMENTO E INSTALAÇÃO. AF_12/2015</v>
          </cell>
          <cell r="C2670" t="str">
            <v>UN</v>
          </cell>
          <cell r="D2670">
            <v>8.32</v>
          </cell>
        </row>
        <row r="2671">
          <cell r="A2671">
            <v>91939</v>
          </cell>
          <cell r="B2671" t="str">
            <v>CAIXA RETANGULAR 4" X 2" ALTA (2,00 M DO PISO), PVC, INSTALADA EM PAREDE - FORNECIMENTO E INSTALAÇÃO. AF_12/2015</v>
          </cell>
          <cell r="C2671" t="str">
            <v>UN</v>
          </cell>
          <cell r="D2671">
            <v>21.39</v>
          </cell>
        </row>
        <row r="2672">
          <cell r="A2672">
            <v>91940</v>
          </cell>
          <cell r="B2672" t="str">
            <v>CAIXA RETANGULAR 4" X 2" MÉDIA (1,30 M DO PISO), PVC, INSTALADA EM PAREDE - FORNECIMENTO E INSTALAÇÃO. AF_12/2015</v>
          </cell>
          <cell r="C2672" t="str">
            <v>UN</v>
          </cell>
          <cell r="D2672">
            <v>11.25</v>
          </cell>
        </row>
        <row r="2673">
          <cell r="A2673">
            <v>91941</v>
          </cell>
          <cell r="B2673" t="str">
            <v>CAIXA RETANGULAR 4" X 2" BAIXA (0,30 M DO PISO), PVC, INSTALADA EM PAREDE - FORNECIMENTO E INSTALAÇÃO. AF_12/2015</v>
          </cell>
          <cell r="C2673" t="str">
            <v>UN</v>
          </cell>
          <cell r="D2673">
            <v>7.45</v>
          </cell>
        </row>
        <row r="2674">
          <cell r="A2674">
            <v>91942</v>
          </cell>
          <cell r="B2674" t="str">
            <v>CAIXA RETANGULAR 4" X 4" ALTA (2,00 M DO PISO), PVC, INSTALADA EM PAREDE - FORNECIMENTO E INSTALAÇÃO. AF_12/2015</v>
          </cell>
          <cell r="C2674" t="str">
            <v>UN</v>
          </cell>
          <cell r="D2674">
            <v>26.05</v>
          </cell>
        </row>
        <row r="2675">
          <cell r="A2675">
            <v>91943</v>
          </cell>
          <cell r="B2675" t="str">
            <v>CAIXA RETANGULAR 4" X 4" MÉDIA (1,30 M DO PISO), PVC, INSTALADA EM PAREDE - FORNECIMENTO E INSTALAÇÃO. AF_12/2015</v>
          </cell>
          <cell r="C2675" t="str">
            <v>UN</v>
          </cell>
          <cell r="D2675">
            <v>14.38</v>
          </cell>
        </row>
        <row r="2676">
          <cell r="A2676">
            <v>91944</v>
          </cell>
          <cell r="B2676" t="str">
            <v>CAIXA RETANGULAR 4" X 4" BAIXA (0,30 M DO PISO), PVC, INSTALADA EM PAREDE - FORNECIMENTO E INSTALAÇÃO. AF_12/2015</v>
          </cell>
          <cell r="C2676" t="str">
            <v>UN</v>
          </cell>
          <cell r="D2676">
            <v>10.01</v>
          </cell>
        </row>
        <row r="2677">
          <cell r="A2677">
            <v>92865</v>
          </cell>
          <cell r="B2677" t="str">
            <v>CAIXA OCTOGONAL 4" X 4", METÁLICA, INSTALADA EM LAJE - FORNECIMENTO E INSTALAÇÃO. AF_12/2015</v>
          </cell>
          <cell r="C2677" t="str">
            <v>UN</v>
          </cell>
          <cell r="D2677">
            <v>7.9</v>
          </cell>
        </row>
        <row r="2678">
          <cell r="A2678">
            <v>92866</v>
          </cell>
          <cell r="B2678" t="str">
            <v>CAIXA SEXTAVADA 3" X 3", METÁLICA, INSTALADA EM LAJE - FORNECIMENTO E INSTALAÇÃO. AF_12/2015</v>
          </cell>
          <cell r="C2678" t="str">
            <v>UN</v>
          </cell>
          <cell r="D2678">
            <v>6.65</v>
          </cell>
        </row>
        <row r="2679">
          <cell r="A2679">
            <v>92867</v>
          </cell>
          <cell r="B2679" t="str">
            <v>CAIXA RETANGULAR 4" X 2" ALTA (2,00 M DO PISO), METÁLICA, INSTALADA EM PAREDE - FORNECIMENTO E INSTALAÇÃO. AF_12/2015</v>
          </cell>
          <cell r="C2679" t="str">
            <v>UN</v>
          </cell>
          <cell r="D2679">
            <v>20.94</v>
          </cell>
        </row>
        <row r="2680">
          <cell r="A2680">
            <v>92868</v>
          </cell>
          <cell r="B2680" t="str">
            <v>CAIXA RETANGULAR 4" X 2" MÉDIA (1,30 M DO PISO), METÁLICA, INSTALADA EM PAREDE - FORNECIMENTO E INSTALAÇÃO. AF_12/2015</v>
          </cell>
          <cell r="C2680" t="str">
            <v>UN</v>
          </cell>
          <cell r="D2680">
            <v>10.8</v>
          </cell>
        </row>
        <row r="2681">
          <cell r="A2681">
            <v>92869</v>
          </cell>
          <cell r="B2681" t="str">
            <v>CAIXA RETANGULAR 4" X 2" BAIXA (0,30 M DO PISO), METÁLICA, INSTALADA EM PAREDE - FORNECIMENTO E INSTALAÇÃO. AF_12/2015</v>
          </cell>
          <cell r="C2681" t="str">
            <v>UN</v>
          </cell>
          <cell r="D2681">
            <v>7</v>
          </cell>
        </row>
        <row r="2682">
          <cell r="A2682">
            <v>92870</v>
          </cell>
          <cell r="B2682" t="str">
            <v>CAIXA RETANGULAR 4" X 4" ALTA (2,00 M DO PISO), METÁLICA, INSTALADA EM PAREDE - FORNECIMENTO E INSTALAÇÃO. AF_12/2015</v>
          </cell>
          <cell r="C2682" t="str">
            <v>UN</v>
          </cell>
          <cell r="D2682">
            <v>25.32</v>
          </cell>
        </row>
        <row r="2683">
          <cell r="A2683">
            <v>92871</v>
          </cell>
          <cell r="B2683" t="str">
            <v>CAIXA RETANGULAR 4" X 4" MÉDIA (1,30 M DO PISO), METÁLICA, INSTALADA EM PAREDE - FORNECIMENTO E INSTALAÇÃO. AF_12/2015</v>
          </cell>
          <cell r="C2683" t="str">
            <v>UN</v>
          </cell>
          <cell r="D2683">
            <v>13.65</v>
          </cell>
        </row>
        <row r="2684">
          <cell r="A2684">
            <v>92872</v>
          </cell>
          <cell r="B2684" t="str">
            <v>CAIXA RETANGULAR 4" X 4" BAIXA (0,30 M DO PISO), METÁLICA, INSTALADA EM PAREDE - FORNECIMENTO E INSTALAÇÃO. AF_12/2015</v>
          </cell>
          <cell r="C2684" t="str">
            <v>UN</v>
          </cell>
          <cell r="D2684">
            <v>9.2799999999999994</v>
          </cell>
        </row>
        <row r="2685">
          <cell r="A2685">
            <v>95777</v>
          </cell>
          <cell r="B2685" t="str">
            <v>CONDULETE DE ALUMÍNIO, TIPO B, PARA ELETRODUTO DE AÇO GALVANIZADO DN 20 MM (3/4''), APARENTE - FORNECIMENTO E INSTALAÇÃO. AF_11/2016_P</v>
          </cell>
          <cell r="C2685" t="str">
            <v>UN</v>
          </cell>
          <cell r="D2685">
            <v>19.059999999999999</v>
          </cell>
        </row>
        <row r="2686">
          <cell r="A2686">
            <v>95778</v>
          </cell>
          <cell r="B2686" t="str">
            <v>CONDULETE DE ALUMÍNIO, TIPO C, PARA ELETRODUTO DE AÇO GALVANIZADO DN 20 MM (3/4''), APARENTE - FORNECIMENTO E INSTALAÇÃO. AF_11/2016_P</v>
          </cell>
          <cell r="C2686" t="str">
            <v>UN</v>
          </cell>
          <cell r="D2686">
            <v>19.43</v>
          </cell>
        </row>
        <row r="2687">
          <cell r="A2687">
            <v>95779</v>
          </cell>
          <cell r="B2687" t="str">
            <v>CONDULETE DE ALUMÍNIO, TIPO E, PARA ELETRODUTO DE AÇO GALVANIZADO DN 20 MM (3/4''), APARENTE - FORNECIMENTO E INSTALAÇÃO. AF_11/2016_P</v>
          </cell>
          <cell r="C2687" t="str">
            <v>UN</v>
          </cell>
          <cell r="D2687">
            <v>18.2</v>
          </cell>
        </row>
        <row r="2688">
          <cell r="A2688">
            <v>95780</v>
          </cell>
          <cell r="B2688" t="str">
            <v>CONDULETE DE ALUMÍNIO, TIPO B, PARA ELETRODUTO DE AÇO GALVANIZADO DN 25 MM (1''), APARENTE - FORNECIMENTO E INSTALAÇÃO. AF_11/2016_P</v>
          </cell>
          <cell r="C2688" t="str">
            <v>UN</v>
          </cell>
          <cell r="D2688">
            <v>21.28</v>
          </cell>
        </row>
        <row r="2689">
          <cell r="A2689">
            <v>95781</v>
          </cell>
          <cell r="B2689" t="str">
            <v>CONDULETE DE ALUMÍNIO, TIPO C, PARA ELETRODUTO DE AÇO GALVANIZADO DN 25 MM (1''), APARENTE - FORNECIMENTO E INSTALAÇÃO. AF_11/2016_P</v>
          </cell>
          <cell r="C2689" t="str">
            <v>UN</v>
          </cell>
          <cell r="D2689">
            <v>21.55</v>
          </cell>
        </row>
        <row r="2690">
          <cell r="A2690">
            <v>95782</v>
          </cell>
          <cell r="B2690" t="str">
            <v>CONDULETE DE ALUMÍNIO, TIPO E, ELETRODUTO DE AÇO GALVANIZADO DN 25 MM (1''), APARENTE - FORNECIMENTO E INSTALAÇÃO. AF_11/2016_P</v>
          </cell>
          <cell r="C2690" t="str">
            <v>UN</v>
          </cell>
          <cell r="D2690">
            <v>22.26</v>
          </cell>
        </row>
        <row r="2691">
          <cell r="A2691">
            <v>95785</v>
          </cell>
          <cell r="B2691" t="str">
            <v>CONDULETE DE ALUMÍNIO, TIPO E, PARA ELETRODUTO DE AÇO GALVANIZADO DN 32 MM (1 1/4''), APARENTE - FORNECIMENTO E INSTALAÇÃO. AF_11/2016_P</v>
          </cell>
          <cell r="C2691" t="str">
            <v>UN</v>
          </cell>
          <cell r="D2691">
            <v>24.95</v>
          </cell>
        </row>
        <row r="2692">
          <cell r="A2692">
            <v>95787</v>
          </cell>
          <cell r="B2692" t="str">
            <v>CONDULETE DE ALUMÍNIO, TIPO LR, PARA ELETRODUTO DE AÇO GALVANIZADO DN 20 MM (3/4''), APARENTE - FORNECIMENTO E INSTALAÇÃO. AF_11/2016_P</v>
          </cell>
          <cell r="C2692" t="str">
            <v>UN</v>
          </cell>
          <cell r="D2692">
            <v>19.62</v>
          </cell>
        </row>
        <row r="2693">
          <cell r="A2693">
            <v>95789</v>
          </cell>
          <cell r="B2693" t="str">
            <v>CONDULETE DE ALUMÍNIO, TIPO LR, PARA ELETRODUTO DE AÇO GALVANIZADO DN 25 MM (1''), APARENTE - FORNECIMENTO E INSTALAÇÃO. AF_11/2016_P</v>
          </cell>
          <cell r="C2693" t="str">
            <v>UN</v>
          </cell>
          <cell r="D2693">
            <v>23.48</v>
          </cell>
        </row>
        <row r="2694">
          <cell r="A2694">
            <v>95791</v>
          </cell>
          <cell r="B2694" t="str">
            <v>CONDULETE DE ALUMÍNIO, TIPO LR, PARA ELETRODUTO DE AÇO GALVANIZADO DN 32 MM (1 1/4''), APARENTE - FORNECIMENTO E INSTALAÇÃO. AF_11/2016_P</v>
          </cell>
          <cell r="C2694" t="str">
            <v>UN</v>
          </cell>
          <cell r="D2694">
            <v>29.22</v>
          </cell>
        </row>
        <row r="2695">
          <cell r="A2695">
            <v>95795</v>
          </cell>
          <cell r="B2695" t="str">
            <v>CONDULETE DE ALUMÍNIO, TIPO T, PARA ELETRODUTO DE AÇO GALVANIZADO DN 20 MM (3/4''), APARENTE - FORNECIMENTO E INSTALAÇÃO. AF_11/2016_P</v>
          </cell>
          <cell r="C2695" t="str">
            <v>UN</v>
          </cell>
          <cell r="D2695">
            <v>22.68</v>
          </cell>
        </row>
        <row r="2696">
          <cell r="A2696">
            <v>95796</v>
          </cell>
          <cell r="B2696" t="str">
            <v>CONDULETE DE ALUMÍNIO, TIPO T, PARA ELETRODUTO DE AÇO GALVANIZADO DN 25 MM (1''), APARENTE - FORNECIMENTO E INSTALAÇÃO. AF_11/2016_P</v>
          </cell>
          <cell r="C2696" t="str">
            <v>UN</v>
          </cell>
          <cell r="D2696">
            <v>27.65</v>
          </cell>
        </row>
        <row r="2697">
          <cell r="A2697">
            <v>95797</v>
          </cell>
          <cell r="B2697" t="str">
            <v>CONDULETE DE ALUMÍNIO, TIPO T, PARA ELETRODUTO DE AÇO GALVANIZADO DN 32 MM (1 1/4''), APARENTE - FORNECIMENTO E INSTALAÇÃO. AF_11/2016_P</v>
          </cell>
          <cell r="C2697" t="str">
            <v>UN</v>
          </cell>
          <cell r="D2697">
            <v>34.14</v>
          </cell>
        </row>
        <row r="2698">
          <cell r="A2698">
            <v>95801</v>
          </cell>
          <cell r="B2698" t="str">
            <v>CONDULETE DE ALUMÍNIO, TIPO X, PARA ELETRODUTO DE AÇO GALVANIZADO DN 20 MM (3/4''), APARENTE - FORNECIMENTO E INSTALAÇÃO. AF_11/2016_P</v>
          </cell>
          <cell r="C2698" t="str">
            <v>UN</v>
          </cell>
          <cell r="D2698">
            <v>26.9</v>
          </cell>
        </row>
        <row r="2699">
          <cell r="A2699">
            <v>95802</v>
          </cell>
          <cell r="B2699" t="str">
            <v>CONDULETE DE ALUMÍNIO, TIPO X, PARA ELETRODUTO DE AÇO GALVANIZADO DN 25 MM (1''), APARENTE - FORNECIMENTO E INSTALAÇÃO. AF_11/2016_P</v>
          </cell>
          <cell r="C2699" t="str">
            <v>UN</v>
          </cell>
          <cell r="D2699">
            <v>29.84</v>
          </cell>
        </row>
        <row r="2700">
          <cell r="A2700">
            <v>95803</v>
          </cell>
          <cell r="B2700" t="str">
            <v>CONDULETE DE ALUMÍNIO, TIPO X, PARA ELETRODUTO DE AÇO GALVANIZADO DN 32 MM (1 1/4''), APARENTE - FORNECIMENTO E INSTALAÇÃO. AF_11/2016_P</v>
          </cell>
          <cell r="C2700" t="str">
            <v>UN</v>
          </cell>
          <cell r="D2700">
            <v>38.159999999999997</v>
          </cell>
        </row>
        <row r="2701">
          <cell r="A2701">
            <v>95804</v>
          </cell>
          <cell r="B2701" t="str">
            <v>CONDULETE DE PVC, TIPO B, PARA ELETRODUTO DE PVC SOLDÁVEL DN 20 MM (1/2''), APARENTE - FORNECIMENTO E INSTALAÇÃO. AF_11/2016</v>
          </cell>
          <cell r="C2701" t="str">
            <v>UN</v>
          </cell>
          <cell r="D2701">
            <v>17.84</v>
          </cell>
        </row>
        <row r="2702">
          <cell r="A2702">
            <v>95805</v>
          </cell>
          <cell r="B2702" t="str">
            <v>CONDULETE DE PVC, TIPO B, PARA ELETRODUTO DE PVC SOLDÁVEL DN 25 MM (3/4''), APARENTE - FORNECIMENTO E INSTALAÇÃO. AF_11/2016</v>
          </cell>
          <cell r="C2702" t="str">
            <v>UN</v>
          </cell>
          <cell r="D2702">
            <v>18</v>
          </cell>
        </row>
        <row r="2703">
          <cell r="A2703">
            <v>95806</v>
          </cell>
          <cell r="B2703" t="str">
            <v>CONDULETE DE PVC, TIPO B, PARA ELETRODUTO DE PVC SOLDÁVEL DN 32 MM (1''), APARENTE - FORNECIMENTO E INSTALAÇÃO. AF_11/2016</v>
          </cell>
          <cell r="C2703" t="str">
            <v>UN</v>
          </cell>
          <cell r="D2703">
            <v>18.57</v>
          </cell>
        </row>
        <row r="2704">
          <cell r="A2704">
            <v>95807</v>
          </cell>
          <cell r="B2704" t="str">
            <v>CONDULETE DE PVC, TIPO LL, PARA ELETRODUTO DE PVC SOLDÁVEL DN 20 MM (1/2''), APARENTE - FORNECIMENTO E INSTALAÇÃO. AF_11/2016</v>
          </cell>
          <cell r="C2704" t="str">
            <v>UN</v>
          </cell>
          <cell r="D2704">
            <v>20.56</v>
          </cell>
        </row>
        <row r="2705">
          <cell r="A2705">
            <v>95808</v>
          </cell>
          <cell r="B2705" t="str">
            <v>CONDULETE DE PVC, TIPO LL, PARA ELETRODUTO DE PVC SOLDÁVEL DN 25 MM (3/4''), APARENTE - FORNECIMENTO E INSTALAÇÃO. AF_11/2016</v>
          </cell>
          <cell r="C2705" t="str">
            <v>UN</v>
          </cell>
          <cell r="D2705">
            <v>21.09</v>
          </cell>
        </row>
        <row r="2706">
          <cell r="A2706">
            <v>95809</v>
          </cell>
          <cell r="B2706" t="str">
            <v>CONDULETE DE PVC, TIPO LL, PARA ELETRODUTO DE PVC SOLDÁVEL DN 32 MM (1''), APARENTE - FORNECIMENTO E INSTALAÇÃO. AF_11/2016</v>
          </cell>
          <cell r="C2706" t="str">
            <v>UN</v>
          </cell>
          <cell r="D2706">
            <v>23.1</v>
          </cell>
        </row>
        <row r="2707">
          <cell r="A2707">
            <v>95810</v>
          </cell>
          <cell r="B2707" t="str">
            <v>CONDULETE DE PVC, TIPO LB, PARA ELETRODUTO DE PVC SOLDÁVEL DN 20 MM (1/2''), APARENTE - FORNECIMENTO E INSTALAÇÃO. AF_11/2016</v>
          </cell>
          <cell r="C2707" t="str">
            <v>UN</v>
          </cell>
          <cell r="D2707">
            <v>10.78</v>
          </cell>
        </row>
        <row r="2708">
          <cell r="A2708">
            <v>95811</v>
          </cell>
          <cell r="B2708" t="str">
            <v>CONDULETE DE PVC, TIPO LB, PARA ELETRODUTO DE PVC SOLDÁVEL DN 25 MM (3/4''), APARENTE - FORNECIMENTO E INSTALAÇÃO. AF_11/2016</v>
          </cell>
          <cell r="C2708" t="str">
            <v>UN</v>
          </cell>
          <cell r="D2708">
            <v>11.31</v>
          </cell>
        </row>
        <row r="2709">
          <cell r="A2709">
            <v>95812</v>
          </cell>
          <cell r="B2709" t="str">
            <v>CONDULETE DE PVC, TIPO LB, PARA ELETRODUTO DE PVC SOLDÁVEL DN 32 MM (1''), APARENTE - FORNECIMENTO E INSTALAÇÃO. AF_11/2016</v>
          </cell>
          <cell r="C2709" t="str">
            <v>UN</v>
          </cell>
          <cell r="D2709">
            <v>13.31</v>
          </cell>
        </row>
        <row r="2710">
          <cell r="A2710">
            <v>95813</v>
          </cell>
          <cell r="B2710" t="str">
            <v>CONDULETE DE PVC, TIPO TB, PARA ELETRODUTO DE PVC SOLDÁVEL DN 20 MM (1/2''), APARENTE - FORNECIMENTO E INSTALAÇÃO. AF_11/2016</v>
          </cell>
          <cell r="C2710" t="str">
            <v>UN</v>
          </cell>
          <cell r="D2710">
            <v>13.09</v>
          </cell>
        </row>
        <row r="2711">
          <cell r="A2711">
            <v>95814</v>
          </cell>
          <cell r="B2711" t="str">
            <v>CONDULETE DE PVC, TIPO TB, PARA ELETRODUTO DE PVC SOLDÁVEL DN 25 MM (3/4''), APARENTE - FORNECIMENTO E INSTALAÇÃO. AF_11/2016</v>
          </cell>
          <cell r="C2711" t="str">
            <v>UN</v>
          </cell>
          <cell r="D2711">
            <v>13.89</v>
          </cell>
        </row>
        <row r="2712">
          <cell r="A2712">
            <v>95815</v>
          </cell>
          <cell r="B2712" t="str">
            <v>CONDULETE DE PVC, TIPO TB, PARA ELETRODUTO DE PVC SOLDÁVEL DN 32 MM (1''), APARENTE - FORNECIMENTO E INSTALAÇÃO. AF_11/2016</v>
          </cell>
          <cell r="C2712" t="str">
            <v>UN</v>
          </cell>
          <cell r="D2712">
            <v>17.72</v>
          </cell>
        </row>
        <row r="2713">
          <cell r="A2713">
            <v>95816</v>
          </cell>
          <cell r="B2713" t="str">
            <v>CONDULETE DE PVC, TIPO X, PARA ELETRODUTO DE PVC SOLDÁVEL DN 20 MM (1/2''), APARENTE - FORNECIMENTO E INSTALAÇÃO. AF_11/2016</v>
          </cell>
          <cell r="C2713" t="str">
            <v>UN</v>
          </cell>
          <cell r="D2713">
            <v>25.35</v>
          </cell>
        </row>
        <row r="2714">
          <cell r="A2714">
            <v>95817</v>
          </cell>
          <cell r="B2714" t="str">
            <v>CONDULETE DE PVC, TIPO X, PARA ELETRODUTO DE PVC SOLDÁVEL DN 25 MM (3/4''), APARENTE - FORNECIMENTO E INSTALAÇÃO. AF_11/2016</v>
          </cell>
          <cell r="C2714" t="str">
            <v>UN</v>
          </cell>
          <cell r="D2714">
            <v>26.1</v>
          </cell>
        </row>
        <row r="2715">
          <cell r="A2715">
            <v>95818</v>
          </cell>
          <cell r="B2715" t="str">
            <v>CONDULETE DE PVC, TIPO X, PARA ELETRODUTO DE PVC SOLDÁVEL DN 32 MM (1''), APARENTE - FORNECIMENTO E INSTALAÇÃO. AF_11/2016</v>
          </cell>
          <cell r="C2715" t="str">
            <v>UN</v>
          </cell>
          <cell r="D2715">
            <v>31.27</v>
          </cell>
        </row>
        <row r="2716">
          <cell r="A2716">
            <v>97886</v>
          </cell>
          <cell r="B2716" t="str">
            <v>CAIXA ENTERRADA ELÉTRICA RETANGULAR, EM ALVENARIA COM TIJOLOS CERÂMICOS MACIÇOS, FUNDO COM BRITA, DIMENSÕES INTERNAS: 0,3X0,3X0,3 M. AF_05/2018</v>
          </cell>
          <cell r="C2716" t="str">
            <v>UN</v>
          </cell>
          <cell r="D2716">
            <v>128.85</v>
          </cell>
        </row>
        <row r="2717">
          <cell r="A2717">
            <v>97887</v>
          </cell>
          <cell r="B2717" t="str">
            <v>CAIXA ENTERRADA ELÉTRICA RETANGULAR, EM ALVENARIA COM TIJOLOS CERÂMICOS MACIÇOS, FUNDO COM BRITA, DIMENSÕES INTERNAS: 0,4X0,4X0,4 M. AF_05/2018</v>
          </cell>
          <cell r="C2717" t="str">
            <v>UN</v>
          </cell>
          <cell r="D2717">
            <v>203.54</v>
          </cell>
        </row>
        <row r="2718">
          <cell r="A2718">
            <v>97888</v>
          </cell>
          <cell r="B2718" t="str">
            <v>CAIXA ENTERRADA ELÉTRICA RETANGULAR, EM ALVENARIA COM TIJOLOS CERÂMICOS MACIÇOS, FUNDO COM BRITA, DIMENSÕES INTERNAS: 0,6X0,6X0,6 M. AF_05/2018</v>
          </cell>
          <cell r="C2718" t="str">
            <v>UN</v>
          </cell>
          <cell r="D2718">
            <v>392.26</v>
          </cell>
        </row>
        <row r="2719">
          <cell r="A2719">
            <v>97889</v>
          </cell>
          <cell r="B2719" t="str">
            <v>CAIXA ENTERRADA ELÉTRICA RETANGULAR, EM ALVENARIA COM TIJOLOS CERÂMICOS MACIÇOS, FUNDO COM BRITA, DIMENSÕES INTERNAS: 0,8X0,8X0,6 M. AF_05/2018</v>
          </cell>
          <cell r="C2719" t="str">
            <v>UN</v>
          </cell>
          <cell r="D2719">
            <v>525.27</v>
          </cell>
        </row>
        <row r="2720">
          <cell r="A2720">
            <v>97890</v>
          </cell>
          <cell r="B2720" t="str">
            <v>CAIXA ENTERRADA ELÉTRICA RETANGULAR, EM ALVENARIA COM TIJOLOS CERÂMICOS MACIÇOS, FUNDO COM BRITA, DIMENSÕES INTERNAS: 1X1X0,6 M. AF_05/2018</v>
          </cell>
          <cell r="C2720" t="str">
            <v>UN</v>
          </cell>
          <cell r="D2720">
            <v>602.02</v>
          </cell>
        </row>
        <row r="2721">
          <cell r="A2721">
            <v>97891</v>
          </cell>
          <cell r="B2721" t="str">
            <v>CAIXA ENTERRADA ELÉTRICA RETANGULAR, EM ALVENARIA COM BLOCOS DE CONCRETO, FUNDO COM BRITA, DIMENSÕES INTERNAS: 0,4X0,4X0,4 M. AF_05/2018</v>
          </cell>
          <cell r="C2721" t="str">
            <v>UN</v>
          </cell>
          <cell r="D2721">
            <v>153.34</v>
          </cell>
        </row>
        <row r="2722">
          <cell r="A2722">
            <v>97892</v>
          </cell>
          <cell r="B2722" t="str">
            <v>CAIXA ENTERRADA ELÉTRICA RETANGULAR, EM ALVENARIA COM BLOCOS DE CONCRETO, FUNDO COM BRITA, DIMENSÕES INTERNAS: 0,6X0,6X0,6 M. AF_05/2018</v>
          </cell>
          <cell r="C2722" t="str">
            <v>UN</v>
          </cell>
          <cell r="D2722">
            <v>286.08999999999997</v>
          </cell>
        </row>
        <row r="2723">
          <cell r="A2723">
            <v>97893</v>
          </cell>
          <cell r="B2723" t="str">
            <v>CAIXA ENTERRADA ELÉTRICA RETANGULAR, EM ALVENARIA COM BLOCOS DE CONCRETO, FUNDO COM BRITA, DIMENSÕES INTERNAS: 0,8X0,8X0,6 M. AF_05/2018</v>
          </cell>
          <cell r="C2723" t="str">
            <v>UN</v>
          </cell>
          <cell r="D2723">
            <v>389.88</v>
          </cell>
        </row>
        <row r="2724">
          <cell r="A2724">
            <v>97894</v>
          </cell>
          <cell r="B2724" t="str">
            <v>CAIXA ENTERRADA ELÉTRICA RETANGULAR, EM ALVENARIA COM BLOCOS DE CONCRETO, FUNDO COM BRITA, DIMENSÕES INTERNAS: 1X1X0,6 M. AF_05/2018</v>
          </cell>
          <cell r="C2724" t="str">
            <v>UN</v>
          </cell>
          <cell r="D2724">
            <v>437.95</v>
          </cell>
        </row>
        <row r="2725">
          <cell r="A2725">
            <v>68066</v>
          </cell>
          <cell r="B2725" t="str">
            <v>CAIXA DE PROTECAO PARA MEDIDOR MONOFASICO, FORNECIMENTO E INSTALACAO</v>
          </cell>
          <cell r="C2725" t="str">
            <v>UN</v>
          </cell>
          <cell r="D2725">
            <v>127.85</v>
          </cell>
        </row>
        <row r="2726">
          <cell r="A2726">
            <v>72319</v>
          </cell>
          <cell r="B2726" t="str">
            <v>DISJUNTOR BAIXA TENSAO TRIPOLAR A SECO  800A/600V, INCLUSIVE ELETROTÉCNICO</v>
          </cell>
          <cell r="C2726" t="str">
            <v>UN</v>
          </cell>
          <cell r="D2726">
            <v>3777.01</v>
          </cell>
        </row>
        <row r="2727">
          <cell r="A2727">
            <v>72341</v>
          </cell>
          <cell r="B2727" t="str">
            <v>CONTATOR TRIPOLAR I NOMINAL 12A - FORNECIMENTO E INSTALACAO INCLUSIVE ELETROTÉCNICO</v>
          </cell>
          <cell r="C2727" t="str">
            <v>UN</v>
          </cell>
          <cell r="D2727">
            <v>225.87</v>
          </cell>
        </row>
        <row r="2728">
          <cell r="A2728">
            <v>72343</v>
          </cell>
          <cell r="B2728" t="str">
            <v>CONTATOR TRIPOLAR I NOMINAL 22A - FORNECIMENTO E INSTALACAO INCLUSIVE ELETROTÉCNICO</v>
          </cell>
          <cell r="C2728" t="str">
            <v>UN</v>
          </cell>
          <cell r="D2728">
            <v>267.92</v>
          </cell>
        </row>
        <row r="2729">
          <cell r="A2729">
            <v>72344</v>
          </cell>
          <cell r="B2729" t="str">
            <v>CONTATOR TRIPOLAR I NOMINAL 36A - FORNECIMENTO E INSTALACAO INCLUSIVE ELETROTÉCNICO</v>
          </cell>
          <cell r="C2729" t="str">
            <v>UN</v>
          </cell>
          <cell r="D2729">
            <v>419.55</v>
          </cell>
        </row>
        <row r="2730">
          <cell r="A2730">
            <v>72345</v>
          </cell>
          <cell r="B2730" t="str">
            <v>CONTATOR TRIPOLAR I NOMIMAL 94A - FORNECIMENTO E INSTALACAO INCLUSIVE ELETROTÉCNICO</v>
          </cell>
          <cell r="C2730" t="str">
            <v>UN</v>
          </cell>
          <cell r="D2730">
            <v>1195.3800000000001</v>
          </cell>
        </row>
        <row r="2731">
          <cell r="A2731" t="str">
            <v>74130/1</v>
          </cell>
          <cell r="B2731" t="str">
            <v>DISJUNTOR TERMOMAGNETICO MONOPOLAR PADRAO NEMA (AMERICANO) 10 A 30A 240V, FORNECIMENTO E INSTALACAO</v>
          </cell>
          <cell r="C2731" t="str">
            <v>UN</v>
          </cell>
          <cell r="D2731">
            <v>11.52</v>
          </cell>
        </row>
        <row r="2732">
          <cell r="A2732" t="str">
            <v>74130/2</v>
          </cell>
          <cell r="B2732" t="str">
            <v>DISJUNTOR TERMOMAGNETICO MONOPOLAR PADRAO NEMA (AMERICANO) 35 A 50A 240V, FORNECIMENTO E INSTALACAO</v>
          </cell>
          <cell r="C2732" t="str">
            <v>UN</v>
          </cell>
          <cell r="D2732">
            <v>17.55</v>
          </cell>
        </row>
        <row r="2733">
          <cell r="A2733" t="str">
            <v>74130/3</v>
          </cell>
          <cell r="B2733" t="str">
            <v>DISJUNTOR TERMOMAGNETICO BIPOLAR PADRAO NEMA (AMERICANO) 10 A 50A 240V, FORNECIMENTO E INSTALACAO</v>
          </cell>
          <cell r="C2733" t="str">
            <v>UN</v>
          </cell>
          <cell r="D2733">
            <v>51.05</v>
          </cell>
        </row>
        <row r="2734">
          <cell r="A2734" t="str">
            <v>74130/4</v>
          </cell>
          <cell r="B2734" t="str">
            <v>DISJUNTOR TERMOMAGNETICO TRIPOLAR PADRAO NEMA (AMERICANO) 10 A 50A 240V, FORNECIMENTO E INSTALACAO</v>
          </cell>
          <cell r="C2734" t="str">
            <v>UN</v>
          </cell>
          <cell r="D2734">
            <v>74.64</v>
          </cell>
        </row>
        <row r="2735">
          <cell r="A2735" t="str">
            <v>74130/5</v>
          </cell>
          <cell r="B2735" t="str">
            <v>DISJUNTOR TERMOMAGNETICO TRIPOLAR PADRAO NEMA (AMERICANO) 60 A 100A 240V, FORNECIMENTO E INSTALACAO</v>
          </cell>
          <cell r="C2735" t="str">
            <v>UN</v>
          </cell>
          <cell r="D2735">
            <v>99.07</v>
          </cell>
        </row>
        <row r="2736">
          <cell r="A2736" t="str">
            <v>74130/6</v>
          </cell>
          <cell r="B2736" t="str">
            <v>DISJUNTOR TERMOMAGNETICO TRIPOLAR PADRAO NEMA (AMERICANO) 125 A 150A 240V, FORNECIMENTO E INSTALACAO</v>
          </cell>
          <cell r="C2736" t="str">
            <v>UN</v>
          </cell>
          <cell r="D2736">
            <v>278.14</v>
          </cell>
        </row>
        <row r="2737">
          <cell r="A2737" t="str">
            <v>74130/7</v>
          </cell>
          <cell r="B2737" t="str">
            <v>DISJUNTOR TERMOMAGNETICO TRIPOLAR EM CAIXA MOLDADA 250A 600V, FORNECIMENTO E INSTALACAO</v>
          </cell>
          <cell r="C2737" t="str">
            <v>UN</v>
          </cell>
          <cell r="D2737">
            <v>716.75</v>
          </cell>
        </row>
        <row r="2738">
          <cell r="A2738" t="str">
            <v>74130/8</v>
          </cell>
          <cell r="B2738" t="str">
            <v>DISJUNTOR TERMOMAGNETICO TRIPOLAR EM CAIXA MOLDADA 300 A 400A 600V, FORNECIMENTO E INSTALACAO</v>
          </cell>
          <cell r="C2738" t="str">
            <v>UN</v>
          </cell>
          <cell r="D2738">
            <v>978.99</v>
          </cell>
        </row>
        <row r="2739">
          <cell r="A2739" t="str">
            <v>74130/9</v>
          </cell>
          <cell r="B2739" t="str">
            <v>DISJUNTOR TERMOMAGNETICO TRIPOLAR EM CAIXA MOLDADA 500 A 600A 600V, FORNECIMENTO E INSTALACAO</v>
          </cell>
          <cell r="C2739" t="str">
            <v>UN</v>
          </cell>
          <cell r="D2739">
            <v>1602.75</v>
          </cell>
        </row>
        <row r="2740">
          <cell r="A2740" t="str">
            <v>74130/10</v>
          </cell>
          <cell r="B2740" t="str">
            <v>DISJUNTOR TERMOMAGNETICO TRIPOLAR EM CAIXA MOLDADA 175 A 225A 240V, FORNECIMENTO E INSTALACAO</v>
          </cell>
          <cell r="C2740" t="str">
            <v>UN</v>
          </cell>
          <cell r="D2740">
            <v>434.01</v>
          </cell>
        </row>
        <row r="2741">
          <cell r="A2741" t="str">
            <v>74131/1</v>
          </cell>
          <cell r="B2741" t="str">
            <v>QUADRO DE DISTRIBUICAO DE ENERGIA DE EMBUTIR, EM CHAPA METALICA, PARA 3 DISJUNTORES TERMOMAGNETICOS MONOPOLARES SEM BARRAMENTO FORNECIMENTO E INSTALACAO</v>
          </cell>
          <cell r="C2741" t="str">
            <v>UN</v>
          </cell>
          <cell r="D2741">
            <v>61.01</v>
          </cell>
        </row>
        <row r="2742">
          <cell r="A2742" t="str">
            <v>74131/4</v>
          </cell>
          <cell r="B2742" t="str">
            <v>QUADRO DE DISTRIBUICAO DE ENERGIA DE EMBUTIR, EM CHAPA METALICA, PARA 18 DISJUNTORES TERMOMAGNETICOS MONOPOLARES, COM BARRAMENTO TRIFASICO E NEUTRO, FORNECIMENTO E INSTALACAO</v>
          </cell>
          <cell r="C2742" t="str">
            <v>UN</v>
          </cell>
          <cell r="D2742">
            <v>394.99</v>
          </cell>
        </row>
        <row r="2743">
          <cell r="A2743" t="str">
            <v>74131/5</v>
          </cell>
          <cell r="B2743" t="str">
            <v>QUADRO DE DISTRIBUICAO DE ENERGIA DE EMBUTIR, EM CHAPA METALICA, PARA 24 DISJUNTORES TERMOMAGNETICOS MONOPOLARES, COM BARRAMENTO TRIFASICO E NEUTRO, FORNECIMENTO E INSTALACAO</v>
          </cell>
          <cell r="C2743" t="str">
            <v>UN</v>
          </cell>
          <cell r="D2743">
            <v>458.48</v>
          </cell>
        </row>
        <row r="2744">
          <cell r="A2744" t="str">
            <v>74131/6</v>
          </cell>
          <cell r="B2744" t="str">
            <v>QUADRO DE DISTRIBUICAO DE ENERGIA DE EMBUTIR, EM CHAPA METALICA, PARA 32 DISJUNTORES TERMOMAGNETICOS MONOPOLARES, COM BARRAMENTO TRIFASICO E NEUTRO, FORNECIMENTO E INSTALACAO</v>
          </cell>
          <cell r="C2744" t="str">
            <v>UN</v>
          </cell>
          <cell r="D2744">
            <v>888.87</v>
          </cell>
        </row>
        <row r="2745">
          <cell r="A2745" t="str">
            <v>74131/7</v>
          </cell>
          <cell r="B2745" t="str">
            <v>QUADRO DE DISTRIBUICAO DE ENERGIA DE EMBUTIR, EM CHAPA METALICA, PARA 40 DISJUNTORES TERMOMAGNETICOS MONOPOLARES, COM BARRAMENTO TRIFASICO E NEUTRO, FORNECIMENTO E INSTALACAO</v>
          </cell>
          <cell r="C2745" t="str">
            <v>UN</v>
          </cell>
          <cell r="D2745">
            <v>740.08</v>
          </cell>
        </row>
        <row r="2746">
          <cell r="A2746" t="str">
            <v>74131/8</v>
          </cell>
          <cell r="B2746" t="str">
            <v>QUADRO DE DISTRIBUICAO DE ENERGIA DE EMBUTIR, EM CHAPA METALICA, PARA 50 DISJUNTORES TERMOMAGNETICOS MONOPOLARES, COM BARRAMENTO TRIFASICO E NEUTRO, FORNECIMENTO E INSTALACAO</v>
          </cell>
          <cell r="C2746" t="str">
            <v>UN</v>
          </cell>
          <cell r="D2746">
            <v>1098.1600000000001</v>
          </cell>
        </row>
        <row r="2747">
          <cell r="A2747">
            <v>83463</v>
          </cell>
          <cell r="B2747" t="str">
            <v>QUADRO DE DISTRIBUICAO DE ENERGIA EM CHAPA DE ACO GALVANIZADO, PARA 12 DISJUNTORES TERMOMAGNETICOS MONOPOLARES, COM BARRAMENTO TRIFASICO E NEUTRO - FORNECIMENTO E INSTALACAO</v>
          </cell>
          <cell r="C2747" t="str">
            <v>UN</v>
          </cell>
          <cell r="D2747">
            <v>290.60000000000002</v>
          </cell>
        </row>
        <row r="2748">
          <cell r="A2748">
            <v>84402</v>
          </cell>
          <cell r="B2748" t="str">
            <v>QUADRO DE DISTRIBUICAO DE ENERGIA P/ 6 DISJUNTORES TERMOMAGNETICOS MONOPOLARES SEM BARRAMENTO, DE EMBUTIR, EM CHAPA METALICA - FORNECIMENTO E INSTALACAO</v>
          </cell>
          <cell r="C2748" t="str">
            <v>UN</v>
          </cell>
          <cell r="D2748">
            <v>69.92</v>
          </cell>
        </row>
        <row r="2749">
          <cell r="A2749">
            <v>93653</v>
          </cell>
          <cell r="B2749" t="str">
            <v>DISJUNTOR MONOPOLAR TIPO DIN, CORRENTE NOMINAL DE 10A - FORNECIMENTO E INSTALAÇÃO. AF_04/2016</v>
          </cell>
          <cell r="C2749" t="str">
            <v>UN</v>
          </cell>
          <cell r="D2749">
            <v>8.81</v>
          </cell>
        </row>
        <row r="2750">
          <cell r="A2750">
            <v>93654</v>
          </cell>
          <cell r="B2750" t="str">
            <v>DISJUNTOR MONOPOLAR TIPO DIN, CORRENTE NOMINAL DE 16A - FORNECIMENTO E INSTALAÇÃO. AF_04/2016</v>
          </cell>
          <cell r="C2750" t="str">
            <v>UN</v>
          </cell>
          <cell r="D2750">
            <v>9.3000000000000007</v>
          </cell>
        </row>
        <row r="2751">
          <cell r="A2751">
            <v>93655</v>
          </cell>
          <cell r="B2751" t="str">
            <v>DISJUNTOR MONOPOLAR TIPO DIN, CORRENTE NOMINAL DE 20A - FORNECIMENTO E INSTALAÇÃO. AF_04/2016</v>
          </cell>
          <cell r="C2751" t="str">
            <v>UN</v>
          </cell>
          <cell r="D2751">
            <v>10.16</v>
          </cell>
        </row>
        <row r="2752">
          <cell r="A2752">
            <v>93656</v>
          </cell>
          <cell r="B2752" t="str">
            <v>DISJUNTOR MONOPOLAR TIPO DIN, CORRENTE NOMINAL DE 25A - FORNECIMENTO E INSTALAÇÃO. AF_04/2016</v>
          </cell>
          <cell r="C2752" t="str">
            <v>UN</v>
          </cell>
          <cell r="D2752">
            <v>10.16</v>
          </cell>
        </row>
        <row r="2753">
          <cell r="A2753">
            <v>93657</v>
          </cell>
          <cell r="B2753" t="str">
            <v>DISJUNTOR MONOPOLAR TIPO DIN, CORRENTE NOMINAL DE 32A - FORNECIMENTO E INSTALAÇÃO. AF_04/2016</v>
          </cell>
          <cell r="C2753" t="str">
            <v>UN</v>
          </cell>
          <cell r="D2753">
            <v>11.26</v>
          </cell>
        </row>
        <row r="2754">
          <cell r="A2754">
            <v>93658</v>
          </cell>
          <cell r="B2754" t="str">
            <v>DISJUNTOR MONOPOLAR TIPO DIN, CORRENTE NOMINAL DE 40A - FORNECIMENTO E INSTALAÇÃO. AF_04/2016</v>
          </cell>
          <cell r="C2754" t="str">
            <v>UN</v>
          </cell>
          <cell r="D2754">
            <v>16.3</v>
          </cell>
        </row>
        <row r="2755">
          <cell r="A2755">
            <v>93659</v>
          </cell>
          <cell r="B2755" t="str">
            <v>DISJUNTOR MONOPOLAR TIPO DIN, CORRENTE NOMINAL DE 50A - FORNECIMENTO E INSTALAÇÃO. AF_04/2016</v>
          </cell>
          <cell r="C2755" t="str">
            <v>UN</v>
          </cell>
          <cell r="D2755">
            <v>18.52</v>
          </cell>
        </row>
        <row r="2756">
          <cell r="A2756">
            <v>93660</v>
          </cell>
          <cell r="B2756" t="str">
            <v>DISJUNTOR BIPOLAR TIPO DIN, CORRENTE NOMINAL DE 10A - FORNECIMENTO E INSTALAÇÃO. AF_04/2016</v>
          </cell>
          <cell r="C2756" t="str">
            <v>UN</v>
          </cell>
          <cell r="D2756">
            <v>43.29</v>
          </cell>
        </row>
        <row r="2757">
          <cell r="A2757">
            <v>93661</v>
          </cell>
          <cell r="B2757" t="str">
            <v>DISJUNTOR BIPOLAR TIPO DIN, CORRENTE NOMINAL DE 16A - FORNECIMENTO E INSTALAÇÃO. AF_04/2016</v>
          </cell>
          <cell r="C2757" t="str">
            <v>UN</v>
          </cell>
          <cell r="D2757">
            <v>44.22</v>
          </cell>
        </row>
        <row r="2758">
          <cell r="A2758">
            <v>93662</v>
          </cell>
          <cell r="B2758" t="str">
            <v>DISJUNTOR BIPOLAR TIPO DIN, CORRENTE NOMINAL DE 20A - FORNECIMENTO E INSTALAÇÃO. AF_04/2016</v>
          </cell>
          <cell r="C2758" t="str">
            <v>UN</v>
          </cell>
          <cell r="D2758">
            <v>46.02</v>
          </cell>
        </row>
        <row r="2759">
          <cell r="A2759">
            <v>93663</v>
          </cell>
          <cell r="B2759" t="str">
            <v>DISJUNTOR BIPOLAR TIPO DIN, CORRENTE NOMINAL DE 25A - FORNECIMENTO E INSTALAÇÃO. AF_04/2016</v>
          </cell>
          <cell r="C2759" t="str">
            <v>UN</v>
          </cell>
          <cell r="D2759">
            <v>46.02</v>
          </cell>
        </row>
        <row r="2760">
          <cell r="A2760">
            <v>93664</v>
          </cell>
          <cell r="B2760" t="str">
            <v>DISJUNTOR BIPOLAR TIPO DIN, CORRENTE NOMINAL DE 32A - FORNECIMENTO E INSTALAÇÃO. AF_04/2016</v>
          </cell>
          <cell r="C2760" t="str">
            <v>UN</v>
          </cell>
          <cell r="D2760">
            <v>48.18</v>
          </cell>
        </row>
        <row r="2761">
          <cell r="A2761">
            <v>93665</v>
          </cell>
          <cell r="B2761" t="str">
            <v>DISJUNTOR BIPOLAR TIPO DIN, CORRENTE NOMINAL DE 40A - FORNECIMENTO E INSTALAÇÃO. AF_04/2016</v>
          </cell>
          <cell r="C2761" t="str">
            <v>UN</v>
          </cell>
          <cell r="D2761">
            <v>51.02</v>
          </cell>
        </row>
        <row r="2762">
          <cell r="A2762">
            <v>93666</v>
          </cell>
          <cell r="B2762" t="str">
            <v>DISJUNTOR BIPOLAR TIPO DIN, CORRENTE NOMINAL DE 50A - FORNECIMENTO E INSTALAÇÃO. AF_04/2016</v>
          </cell>
          <cell r="C2762" t="str">
            <v>UN</v>
          </cell>
          <cell r="D2762">
            <v>55.44</v>
          </cell>
        </row>
        <row r="2763">
          <cell r="A2763">
            <v>93667</v>
          </cell>
          <cell r="B2763" t="str">
            <v>DISJUNTOR TRIPOLAR TIPO DIN, CORRENTE NOMINAL DE 10A - FORNECIMENTO E INSTALAÇÃO. AF_04/2016</v>
          </cell>
          <cell r="C2763" t="str">
            <v>UN</v>
          </cell>
          <cell r="D2763">
            <v>54.11</v>
          </cell>
        </row>
        <row r="2764">
          <cell r="A2764">
            <v>93668</v>
          </cell>
          <cell r="B2764" t="str">
            <v>DISJUNTOR TRIPOLAR TIPO DIN, CORRENTE NOMINAL DE 16A - FORNECIMENTO E INSTALAÇÃO. AF_04/2016</v>
          </cell>
          <cell r="C2764" t="str">
            <v>UN</v>
          </cell>
          <cell r="D2764">
            <v>55.53</v>
          </cell>
        </row>
        <row r="2765">
          <cell r="A2765">
            <v>93669</v>
          </cell>
          <cell r="B2765" t="str">
            <v>DISJUNTOR TRIPOLAR TIPO DIN, CORRENTE NOMINAL DE 20A - FORNECIMENTO E INSTALAÇÃO. AF_04/2016</v>
          </cell>
          <cell r="C2765" t="str">
            <v>UN</v>
          </cell>
          <cell r="D2765">
            <v>58.19</v>
          </cell>
        </row>
        <row r="2766">
          <cell r="A2766">
            <v>93670</v>
          </cell>
          <cell r="B2766" t="str">
            <v>DISJUNTOR TRIPOLAR TIPO DIN, CORRENTE NOMINAL DE 25A - FORNECIMENTO E INSTALAÇÃO. AF_04/2016</v>
          </cell>
          <cell r="C2766" t="str">
            <v>UN</v>
          </cell>
          <cell r="D2766">
            <v>58.19</v>
          </cell>
        </row>
        <row r="2767">
          <cell r="A2767">
            <v>93671</v>
          </cell>
          <cell r="B2767" t="str">
            <v>DISJUNTOR TRIPOLAR TIPO DIN, CORRENTE NOMINAL DE 32A - FORNECIMENTO E INSTALAÇÃO. AF_04/2016</v>
          </cell>
          <cell r="C2767" t="str">
            <v>UN</v>
          </cell>
          <cell r="D2767">
            <v>61.45</v>
          </cell>
        </row>
        <row r="2768">
          <cell r="A2768">
            <v>93672</v>
          </cell>
          <cell r="B2768" t="str">
            <v>DISJUNTOR TRIPOLAR TIPO DIN, CORRENTE NOMINAL DE 40A - FORNECIMENTO E INSTALAÇÃO. AF_04/2016</v>
          </cell>
          <cell r="C2768" t="str">
            <v>UN</v>
          </cell>
          <cell r="D2768">
            <v>66.66</v>
          </cell>
        </row>
        <row r="2769">
          <cell r="A2769">
            <v>93673</v>
          </cell>
          <cell r="B2769" t="str">
            <v>DISJUNTOR TRIPOLAR TIPO DIN, CORRENTE NOMINAL DE 50A - FORNECIMENTO E INSTALAÇÃO. AF_04/2016</v>
          </cell>
          <cell r="C2769" t="str">
            <v>UN</v>
          </cell>
          <cell r="D2769">
            <v>73.290000000000006</v>
          </cell>
        </row>
        <row r="2770">
          <cell r="A2770">
            <v>72339</v>
          </cell>
          <cell r="B2770" t="str">
            <v>TOMADA 3P+T 30A/440V SEM PLACA - FORNECIMENTO E INSTALACAO</v>
          </cell>
          <cell r="C2770" t="str">
            <v>UN</v>
          </cell>
          <cell r="D2770">
            <v>49.19</v>
          </cell>
        </row>
        <row r="2771">
          <cell r="A2771">
            <v>83403</v>
          </cell>
          <cell r="B2771" t="str">
            <v>INTERRUPTOR PULSADOR DE CAMPAINHA OU MINUTERIA 2A/250V C/ CAIXA - FORNECIMENTO E INSTALACAO</v>
          </cell>
          <cell r="C2771" t="str">
            <v>UN</v>
          </cell>
          <cell r="D2771">
            <v>16.28</v>
          </cell>
        </row>
        <row r="2772">
          <cell r="A2772">
            <v>83465</v>
          </cell>
          <cell r="B2772" t="str">
            <v>INTERRUPTOR INTERMEDIARIO (FOUR-WAY) - FORNECIMENTO E INSTALACAO</v>
          </cell>
          <cell r="C2772" t="str">
            <v>UN</v>
          </cell>
          <cell r="D2772">
            <v>41.22</v>
          </cell>
        </row>
        <row r="2773">
          <cell r="A2773">
            <v>91945</v>
          </cell>
          <cell r="B2773" t="str">
            <v>SUPORTE PARAFUSADO COM PLACA DE ENCAIXE 4" X 2" ALTO (2,00 M DO PISO) PARA PONTO ELÉTRICO - FORNECIMENTO E INSTALAÇÃO. AF_12/2015</v>
          </cell>
          <cell r="C2773" t="str">
            <v>UN</v>
          </cell>
          <cell r="D2773">
            <v>7.18</v>
          </cell>
        </row>
        <row r="2774">
          <cell r="A2774">
            <v>91946</v>
          </cell>
          <cell r="B2774" t="str">
            <v>SUPORTE PARAFUSADO COM PLACA DE ENCAIXE 4" X 2" MÉDIO (1,30 M DO PISO) PARA PONTO ELÉTRICO - FORNECIMENTO E INSTALAÇÃO. AF_12/2015</v>
          </cell>
          <cell r="C2774" t="str">
            <v>UN</v>
          </cell>
          <cell r="D2774">
            <v>5.96</v>
          </cell>
        </row>
        <row r="2775">
          <cell r="A2775">
            <v>91947</v>
          </cell>
          <cell r="B2775" t="str">
            <v>SUPORTE PARAFUSADO COM PLACA DE ENCAIXE 4" X 2" BAIXO (0,30 M DO PISO) PARA PONTO ELÉTRICO - FORNECIMENTO E INSTALAÇÃO. AF_12/2015</v>
          </cell>
          <cell r="C2775" t="str">
            <v>UN</v>
          </cell>
          <cell r="D2775">
            <v>5.2</v>
          </cell>
        </row>
        <row r="2776">
          <cell r="A2776">
            <v>91949</v>
          </cell>
          <cell r="B2776" t="str">
            <v>SUPORTE PARAFUSADO COM PLACA DE ENCAIXE 4" X 4" ALTO (2,00 M DO PISO) PARA PONTO ELÉTRICO - FORNECIMENTO E INSTALAÇÃO. AF_12/2015</v>
          </cell>
          <cell r="C2776" t="str">
            <v>UN</v>
          </cell>
          <cell r="D2776">
            <v>10.91</v>
          </cell>
        </row>
        <row r="2777">
          <cell r="A2777">
            <v>91950</v>
          </cell>
          <cell r="B2777" t="str">
            <v>SUPORTE PARAFUSADO COM PLACA DE ENCAIXE 4" X 4" MÉDIO (1,30 M DO PISO) PARA PONTO ELÉTRICO - FORNECIMENTO E INSTALAÇÃO. AF_12/2015</v>
          </cell>
          <cell r="C2777" t="str">
            <v>UN</v>
          </cell>
          <cell r="D2777">
            <v>9.44</v>
          </cell>
        </row>
        <row r="2778">
          <cell r="A2778">
            <v>91951</v>
          </cell>
          <cell r="B2778" t="str">
            <v>SUPORTE PARAFUSADO COM PLACA DE ENCAIXE 4" X 4" BAIXO (0,30 M DO PISO) PARA PONTO ELÉTRICO - FORNECIMENTO E INSTALAÇÃO. AF_12/2015</v>
          </cell>
          <cell r="C2778" t="str">
            <v>UN</v>
          </cell>
          <cell r="D2778">
            <v>8.56</v>
          </cell>
        </row>
        <row r="2779">
          <cell r="A2779">
            <v>91952</v>
          </cell>
          <cell r="B2779" t="str">
            <v>INTERRUPTOR SIMPLES (1 MÓDULO), 10A/250V, SEM SUPORTE E SEM PLACA - FORNECIMENTO E INSTALAÇÃO. AF_12/2015</v>
          </cell>
          <cell r="C2779" t="str">
            <v>UN</v>
          </cell>
          <cell r="D2779">
            <v>13.59</v>
          </cell>
        </row>
        <row r="2780">
          <cell r="A2780">
            <v>91953</v>
          </cell>
          <cell r="B2780" t="str">
            <v>INTERRUPTOR SIMPLES (1 MÓDULO), 10A/250V, INCLUINDO SUPORTE E PLACA - FORNECIMENTO E INSTALAÇÃO. AF_12/2015</v>
          </cell>
          <cell r="C2780" t="str">
            <v>UN</v>
          </cell>
          <cell r="D2780">
            <v>19.55</v>
          </cell>
        </row>
        <row r="2781">
          <cell r="A2781">
            <v>91954</v>
          </cell>
          <cell r="B2781" t="str">
            <v>INTERRUPTOR PARALELO (1 MÓDULO), 10A/250V, SEM SUPORTE E SEM PLACA - FORNECIMENTO E INSTALAÇÃO. AF_12/2015</v>
          </cell>
          <cell r="C2781" t="str">
            <v>UN</v>
          </cell>
          <cell r="D2781">
            <v>18.28</v>
          </cell>
        </row>
        <row r="2782">
          <cell r="A2782">
            <v>91955</v>
          </cell>
          <cell r="B2782" t="str">
            <v>INTERRUPTOR PARALELO (1 MÓDULO), 10A/250V, INCLUINDO SUPORTE E PLACA - FORNECIMENTO E INSTALAÇÃO. AF_12/2015</v>
          </cell>
          <cell r="C2782" t="str">
            <v>UN</v>
          </cell>
          <cell r="D2782">
            <v>24.24</v>
          </cell>
        </row>
        <row r="2783">
          <cell r="A2783">
            <v>91956</v>
          </cell>
          <cell r="B2783" t="str">
            <v>INTERRUPTOR SIMPLES (1 MÓDULO) COM INTERRUPTOR PARALELO (1 MÓDULO), 10A/250V, SEM SUPORTE E SEM PLACA - FORNECIMENTO E INSTALAÇÃO. AF_12/2015</v>
          </cell>
          <cell r="C2783" t="str">
            <v>UN</v>
          </cell>
          <cell r="D2783">
            <v>29.61</v>
          </cell>
        </row>
        <row r="2784">
          <cell r="A2784">
            <v>91957</v>
          </cell>
          <cell r="B2784" t="str">
            <v>INTERRUPTOR SIMPLES (1 MÓDULO) COM INTERRUPTOR PARALELO (1 MÓDULO), 10A/250V, INCLUINDO SUPORTE E PLACA - FORNECIMENTO E INSTALAÇÃO. AF_12/2015</v>
          </cell>
          <cell r="C2784" t="str">
            <v>UN</v>
          </cell>
          <cell r="D2784">
            <v>35.57</v>
          </cell>
        </row>
        <row r="2785">
          <cell r="A2785">
            <v>91958</v>
          </cell>
          <cell r="B2785" t="str">
            <v>INTERRUPTOR SIMPLES (2 MÓDULOS), 10A/250V, SEM SUPORTE E SEM PLACA - FORNECIMENTO E INSTALAÇÃO. AF_12/2015</v>
          </cell>
          <cell r="C2785" t="str">
            <v>UN</v>
          </cell>
          <cell r="D2785">
            <v>24.97</v>
          </cell>
        </row>
        <row r="2786">
          <cell r="A2786">
            <v>91959</v>
          </cell>
          <cell r="B2786" t="str">
            <v>INTERRUPTOR SIMPLES (2 MÓDULOS), 10A/250V, INCLUINDO SUPORTE E PLACA - FORNECIMENTO E INSTALAÇÃO. AF_12/2015</v>
          </cell>
          <cell r="C2786" t="str">
            <v>UN</v>
          </cell>
          <cell r="D2786">
            <v>30.93</v>
          </cell>
        </row>
        <row r="2787">
          <cell r="A2787">
            <v>91960</v>
          </cell>
          <cell r="B2787" t="str">
            <v>INTERRUPTOR PARALELO (2 MÓDULOS), 10A/250V, SEM SUPORTE E SEM PLACA - FORNECIMENTO E INSTALAÇÃO. AF_12/2015</v>
          </cell>
          <cell r="C2787" t="str">
            <v>UN</v>
          </cell>
          <cell r="D2787">
            <v>34.299999999999997</v>
          </cell>
        </row>
        <row r="2788">
          <cell r="A2788">
            <v>91961</v>
          </cell>
          <cell r="B2788" t="str">
            <v>INTERRUPTOR PARALELO (2 MÓDULOS), 10A/250V, INCLUINDO SUPORTE E PLACA - FORNECIMENTO E INSTALAÇÃO. AF_12/2015</v>
          </cell>
          <cell r="C2788" t="str">
            <v>UN</v>
          </cell>
          <cell r="D2788">
            <v>40.26</v>
          </cell>
        </row>
        <row r="2789">
          <cell r="A2789">
            <v>91962</v>
          </cell>
          <cell r="B2789" t="str">
            <v>INTERRUPTOR SIMPLES (1 MÓDULO) COM INTERRUPTOR PARALELO (2 MÓDULOS), 10A/250V, SEM SUPORTE E SEM PLACA - FORNECIMENTO E INSTALAÇÃO. AF_12/2015</v>
          </cell>
          <cell r="C2789" t="str">
            <v>UN</v>
          </cell>
          <cell r="D2789">
            <v>45.66</v>
          </cell>
        </row>
        <row r="2790">
          <cell r="A2790">
            <v>91963</v>
          </cell>
          <cell r="B2790" t="str">
            <v>INTERRUPTOR SIMPLES (1 MÓDULO) COM INTERRUPTOR PARALELO (2 MÓDULOS), 10A/250V, INCLUINDO SUPORTE E PLACA - FORNECIMENTO E INSTALAÇÃO. AF_12/2015</v>
          </cell>
          <cell r="C2790" t="str">
            <v>UN</v>
          </cell>
          <cell r="D2790">
            <v>51.62</v>
          </cell>
        </row>
        <row r="2791">
          <cell r="A2791">
            <v>91964</v>
          </cell>
          <cell r="B2791" t="str">
            <v>INTERRUPTOR SIMPLES (2 MÓDULOS) COM INTERRUPTOR PARALELO (1 MÓDULO), 10A/250V, SEM SUPORTE E SEM PLACA - FORNECIMENTO E INSTALAÇÃO. AF_12/2015</v>
          </cell>
          <cell r="C2791" t="str">
            <v>UN</v>
          </cell>
          <cell r="D2791">
            <v>40.98</v>
          </cell>
        </row>
        <row r="2792">
          <cell r="A2792">
            <v>91965</v>
          </cell>
          <cell r="B2792" t="str">
            <v>INTERRUPTOR SIMPLES (2 MÓDULOS) COM INTERRUPTOR PARALELO (1 MÓDULO), 10A/250V, INCLUINDO SUPORTE E PLACA - FORNECIMENTO E INSTALAÇÃO. AF_12/2015</v>
          </cell>
          <cell r="C2792" t="str">
            <v>UN</v>
          </cell>
          <cell r="D2792">
            <v>46.94</v>
          </cell>
        </row>
        <row r="2793">
          <cell r="A2793">
            <v>91966</v>
          </cell>
          <cell r="B2793" t="str">
            <v>INTERRUPTOR SIMPLES (3 MÓDULOS), 10A/250V, SEM SUPORTE E SEM PLACA - FORNECIMENTO E INSTALAÇÃO. AF_12/2015</v>
          </cell>
          <cell r="C2793" t="str">
            <v>UN</v>
          </cell>
          <cell r="D2793">
            <v>36.340000000000003</v>
          </cell>
        </row>
        <row r="2794">
          <cell r="A2794">
            <v>91967</v>
          </cell>
          <cell r="B2794" t="str">
            <v>INTERRUPTOR SIMPLES (3 MÓDULOS), 10A/250V, INCLUINDO SUPORTE E PLACA - FORNECIMENTO E INSTALAÇÃO. AF_12/2015</v>
          </cell>
          <cell r="C2794" t="str">
            <v>UN</v>
          </cell>
          <cell r="D2794">
            <v>42.3</v>
          </cell>
        </row>
        <row r="2795">
          <cell r="A2795">
            <v>91968</v>
          </cell>
          <cell r="B2795" t="str">
            <v>INTERRUPTOR PARALELO (3 MÓDULOS), 10A/250V, SEM SUPORTE E SEM PLACA - FORNECIMENTO E INSTALAÇÃO. AF_12/2015</v>
          </cell>
          <cell r="C2795" t="str">
            <v>UN</v>
          </cell>
          <cell r="D2795">
            <v>50.32</v>
          </cell>
        </row>
        <row r="2796">
          <cell r="A2796">
            <v>91969</v>
          </cell>
          <cell r="B2796" t="str">
            <v>INTERRUPTOR PARALELO (3 MÓDULOS), 10A/250V, INCLUINDO SUPORTE E PLACA - FORNECIMENTO E INSTALAÇÃO. AF_12/2015</v>
          </cell>
          <cell r="C2796" t="str">
            <v>UN</v>
          </cell>
          <cell r="D2796">
            <v>56.28</v>
          </cell>
        </row>
        <row r="2797">
          <cell r="A2797">
            <v>91970</v>
          </cell>
          <cell r="B2797" t="str">
            <v>INTERRUPTOR SIMPLES (3 MÓDULOS) COM INTERRUPTOR PARALELO (1 MÓDULO), 10A/250V, SEM SUPORTE E SEM PLACA - FORNECIMENTO E INSTALAÇÃO. AF_12/2015</v>
          </cell>
          <cell r="C2797" t="str">
            <v>UN</v>
          </cell>
          <cell r="D2797">
            <v>52.61</v>
          </cell>
        </row>
        <row r="2798">
          <cell r="A2798">
            <v>91971</v>
          </cell>
          <cell r="B2798" t="str">
            <v>INTERRUPTOR SIMPLES (3 MÓDULOS) COM INTERRUPTOR PARALELO (1 MÓDULO), 10A/250V, INCLUINDO SUPORTE E PLACA - FORNECIMENTO E INSTALAÇÃO. AF_12/2015</v>
          </cell>
          <cell r="C2798" t="str">
            <v>UN</v>
          </cell>
          <cell r="D2798">
            <v>62.05</v>
          </cell>
        </row>
        <row r="2799">
          <cell r="A2799">
            <v>91972</v>
          </cell>
          <cell r="B2799" t="str">
            <v>INTERRUPTOR SIMPLES (2 MÓDULOS) COM INTERRUPTOR PARALELO (2 MÓDULOS), 10A/250V, SEM SUPORTE E SEM PLACA - FORNECIMENTO E INSTALAÇÃO. AF_12/2015</v>
          </cell>
          <cell r="C2799" t="str">
            <v>UN</v>
          </cell>
          <cell r="D2799">
            <v>57.3</v>
          </cell>
        </row>
        <row r="2800">
          <cell r="A2800">
            <v>91973</v>
          </cell>
          <cell r="B2800" t="str">
            <v>INTERRUPTOR SIMPLES (2 MÓDULOS) COM INTERRUPTOR PARALELO (2 MÓDULOS), 10A/250V, INCLUINDO SUPORTE E PLACA - FORNECIMENTO E INSTALAÇÃO. AF_12/2015</v>
          </cell>
          <cell r="C2800" t="str">
            <v>UN</v>
          </cell>
          <cell r="D2800">
            <v>66.739999999999995</v>
          </cell>
        </row>
        <row r="2801">
          <cell r="A2801">
            <v>91974</v>
          </cell>
          <cell r="B2801" t="str">
            <v>INTERRUPTOR SIMPLES (4 MÓDULOS), 10A/250V, SEM SUPORTE E SEM PLACA - FORNECIMENTO E INSTALAÇÃO. AF_12/2015</v>
          </cell>
          <cell r="C2801" t="str">
            <v>UN</v>
          </cell>
          <cell r="D2801">
            <v>47.93</v>
          </cell>
        </row>
        <row r="2802">
          <cell r="A2802">
            <v>91975</v>
          </cell>
          <cell r="B2802" t="str">
            <v>INTERRUPTOR SIMPLES (4 MÓDULOS), 10A/250V, INCLUINDO SUPORTE E PLACA - FORNECIMENTO E INSTALAÇÃO. AF_12/2015</v>
          </cell>
          <cell r="C2802" t="str">
            <v>UN</v>
          </cell>
          <cell r="D2802">
            <v>57.37</v>
          </cell>
        </row>
        <row r="2803">
          <cell r="A2803">
            <v>91976</v>
          </cell>
          <cell r="B2803" t="str">
            <v>INTERRUPTOR SIMPLES (6 MÓDULOS), 10A/250V, SEM SUPORTE E SEM PLACA - FORNECIMENTO E INSTALAÇÃO. AF_12/2015</v>
          </cell>
          <cell r="C2803" t="str">
            <v>UN</v>
          </cell>
          <cell r="D2803">
            <v>70.739999999999995</v>
          </cell>
        </row>
        <row r="2804">
          <cell r="A2804">
            <v>91977</v>
          </cell>
          <cell r="B2804" t="str">
            <v>INTERRUPTOR SIMPLES (6 MÓDULOS), 10A/250V, INCLUINDO SUPORTE E PLACA - FORNECIMENTO E INSTALAÇÃO. AF_12/2015</v>
          </cell>
          <cell r="C2804" t="str">
            <v>UN</v>
          </cell>
          <cell r="D2804">
            <v>80.180000000000007</v>
          </cell>
        </row>
        <row r="2805">
          <cell r="A2805">
            <v>91978</v>
          </cell>
          <cell r="B2805" t="str">
            <v>INTERRUPTOR INTERMEDIÁRIO (1 MÓDULO), 10A/250V, SEM SUPORTE E SEM PLACA - FORNECIMENTO E INSTALAÇÃO. AF_09/2017</v>
          </cell>
          <cell r="C2805" t="str">
            <v>UN</v>
          </cell>
          <cell r="D2805">
            <v>28.99</v>
          </cell>
        </row>
        <row r="2806">
          <cell r="A2806">
            <v>91979</v>
          </cell>
          <cell r="B2806" t="str">
            <v>INTERRUPTOR INTERMEDIÁRIO (1 MÓDULO), 10A/250V, INCLUINDO SUPORTE E PLACA - FORNECIMENTO E INSTALAÇÃO. AF_09/2017</v>
          </cell>
          <cell r="C2806" t="str">
            <v>UN</v>
          </cell>
          <cell r="D2806">
            <v>34.950000000000003</v>
          </cell>
        </row>
        <row r="2807">
          <cell r="A2807">
            <v>91980</v>
          </cell>
          <cell r="B2807" t="str">
            <v>INTERRUPTOR BIPOLAR (1 MÓDULO), 10A/250V, SEM SUPORTE E SEM PLACA - FORNECIMENTO E INSTALAÇÃO. AF_09/2017</v>
          </cell>
          <cell r="C2807" t="str">
            <v>UN</v>
          </cell>
          <cell r="D2807">
            <v>28.07</v>
          </cell>
        </row>
        <row r="2808">
          <cell r="A2808">
            <v>91981</v>
          </cell>
          <cell r="B2808" t="str">
            <v>INTERRUPTOR BIPOLAR (1 MÓDULO), 10A/250V, INCLUINDO SUPORTE E PLACA - FORNECIMENTO E INSTALAÇÃO. AF_09/2017</v>
          </cell>
          <cell r="C2808" t="str">
            <v>UN</v>
          </cell>
          <cell r="D2808">
            <v>34.03</v>
          </cell>
        </row>
        <row r="2809">
          <cell r="A2809">
            <v>91982</v>
          </cell>
          <cell r="B2809" t="str">
            <v>DIMMER ROTATIVO (1 MÓDULO), 220V/600W, SEM SUPORTE E SEM PLACA - FORNECIMENTO E INSTALAÇÃO. AF_09/2017</v>
          </cell>
          <cell r="C2809" t="str">
            <v>UN</v>
          </cell>
          <cell r="D2809">
            <v>66.55</v>
          </cell>
        </row>
        <row r="2810">
          <cell r="A2810">
            <v>91983</v>
          </cell>
          <cell r="B2810" t="str">
            <v>DIMMER ROTATIVO (1 MÓDULO), 220V/600W, INCLUINDO SUPORTE E PLACA - FORNECIMENTO E INSTALAÇÃO. AF_09/2017</v>
          </cell>
          <cell r="C2810" t="str">
            <v>UN</v>
          </cell>
          <cell r="D2810">
            <v>72.510000000000005</v>
          </cell>
        </row>
        <row r="2811">
          <cell r="A2811">
            <v>91984</v>
          </cell>
          <cell r="B2811" t="str">
            <v>INTERRUPTOR PULSADOR CAMPAINHA (1 MÓDULO), 10A/250V, SEM SUPORTE E SEM PLACA - FORNECIMENTO E INSTALAÇÃO. AF_09/2017</v>
          </cell>
          <cell r="C2811" t="str">
            <v>UN</v>
          </cell>
          <cell r="D2811">
            <v>12.75</v>
          </cell>
        </row>
        <row r="2812">
          <cell r="A2812">
            <v>91985</v>
          </cell>
          <cell r="B2812" t="str">
            <v>INTERRUPTOR PULSADOR CAMPAINHA (1 MÓDULO), 10A/250V, INCLUINDO SUPORTE E PLACA - FORNECIMENTO E INSTALAÇÃO. AF_09/2017</v>
          </cell>
          <cell r="C2812" t="str">
            <v>UN</v>
          </cell>
          <cell r="D2812">
            <v>18.71</v>
          </cell>
        </row>
        <row r="2813">
          <cell r="A2813">
            <v>91986</v>
          </cell>
          <cell r="B2813" t="str">
            <v>CAMPAINHA CIGARRA (1 MÓDULO), 10A/250V, SEM SUPORTE E SEM PLACA - FORNECIMENTO E INSTALAÇÃO. AF_09/2017</v>
          </cell>
          <cell r="C2813" t="str">
            <v>UN</v>
          </cell>
          <cell r="D2813">
            <v>27.07</v>
          </cell>
        </row>
        <row r="2814">
          <cell r="A2814">
            <v>91987</v>
          </cell>
          <cell r="B2814" t="str">
            <v>CAMPAINHA CIGARRA (1 MÓDULO), 10A/250V, INCLUINDO SUPORTE E PLACA - FORNECIMENTO E INSTALAÇÃO. AF_09/2017</v>
          </cell>
          <cell r="C2814" t="str">
            <v>UN</v>
          </cell>
          <cell r="D2814">
            <v>33.03</v>
          </cell>
        </row>
        <row r="2815">
          <cell r="A2815">
            <v>91988</v>
          </cell>
          <cell r="B2815" t="str">
            <v>INTERRUPTOR PULSADOR MINUTERIA (1 MÓDULO), 10A/250V, SEM SUPORTE E SEM PLACA - FORNECIMENTO E INSTALAÇÃO. AF_09/2017</v>
          </cell>
          <cell r="C2815" t="str">
            <v>UN</v>
          </cell>
          <cell r="D2815">
            <v>15.82</v>
          </cell>
        </row>
        <row r="2816">
          <cell r="A2816">
            <v>91989</v>
          </cell>
          <cell r="B2816" t="str">
            <v>INTERRUPTOR PULSADOR MINUTERIA (1 MÓDULO), 10A/250V, INCLUINDO SUPORTE E PLACA - FORNECIMENTO E INSTALAÇÃO. AF_09/2017</v>
          </cell>
          <cell r="C2816" t="str">
            <v>UN</v>
          </cell>
          <cell r="D2816">
            <v>21.78</v>
          </cell>
        </row>
        <row r="2817">
          <cell r="A2817">
            <v>91990</v>
          </cell>
          <cell r="B2817" t="str">
            <v>TOMADA ALTA DE EMBUTIR (1 MÓDULO), 2P+T 10 A, SEM SUPORTE E SEM PLACA - FORNECIMENTO E INSTALAÇÃO. AF_12/2015</v>
          </cell>
          <cell r="C2817" t="str">
            <v>UN</v>
          </cell>
          <cell r="D2817">
            <v>24.43</v>
          </cell>
        </row>
        <row r="2818">
          <cell r="A2818">
            <v>91991</v>
          </cell>
          <cell r="B2818" t="str">
            <v>TOMADA ALTA DE EMBUTIR (1 MÓDULO), 2P+T 20 A, SEM SUPORTE E SEM PLACA - FORNECIMENTO E INSTALAÇÃO. AF_12/2015</v>
          </cell>
          <cell r="C2818" t="str">
            <v>UN</v>
          </cell>
          <cell r="D2818">
            <v>26.09</v>
          </cell>
        </row>
        <row r="2819">
          <cell r="A2819">
            <v>91992</v>
          </cell>
          <cell r="B2819" t="str">
            <v>TOMADA ALTA DE EMBUTIR (1 MÓDULO), 2P+T 10 A, INCLUINDO SUPORTE E PLACA - FORNECIMENTO E INSTALAÇÃO. AF_12/2015</v>
          </cell>
          <cell r="C2819" t="str">
            <v>UN</v>
          </cell>
          <cell r="D2819">
            <v>30.39</v>
          </cell>
        </row>
        <row r="2820">
          <cell r="A2820">
            <v>91993</v>
          </cell>
          <cell r="B2820" t="str">
            <v>TOMADA ALTA DE EMBUTIR (1 MÓDULO), 2P+T 20 A, INCLUINDO SUPORTE E PLACA - FORNECIMENTO E INSTALAÇÃO. AF_12/2015</v>
          </cell>
          <cell r="C2820" t="str">
            <v>UN</v>
          </cell>
          <cell r="D2820">
            <v>32.049999999999997</v>
          </cell>
        </row>
        <row r="2821">
          <cell r="A2821">
            <v>91994</v>
          </cell>
          <cell r="B2821" t="str">
            <v>TOMADA MÉDIA DE EMBUTIR (1 MÓDULO), 2P+T 10 A, SEM SUPORTE E SEM PLACA - FORNECIMENTO E INSTALAÇÃO. AF_12/2015</v>
          </cell>
          <cell r="C2821" t="str">
            <v>UN</v>
          </cell>
          <cell r="D2821">
            <v>17.420000000000002</v>
          </cell>
        </row>
        <row r="2822">
          <cell r="A2822">
            <v>91995</v>
          </cell>
          <cell r="B2822" t="str">
            <v>TOMADA MÉDIA DE EMBUTIR (1 MÓDULO), 2P+T 20 A, SEM SUPORTE E SEM PLACA - FORNECIMENTO E INSTALAÇÃO. AF_12/2015</v>
          </cell>
          <cell r="C2822" t="str">
            <v>UN</v>
          </cell>
          <cell r="D2822">
            <v>19.079999999999998</v>
          </cell>
        </row>
        <row r="2823">
          <cell r="A2823">
            <v>91996</v>
          </cell>
          <cell r="B2823" t="str">
            <v>TOMADA MÉDIA DE EMBUTIR (1 MÓDULO), 2P+T 10 A, INCLUINDO SUPORTE E PLACA - FORNECIMENTO E INSTALAÇÃO. AF_12/2015</v>
          </cell>
          <cell r="C2823" t="str">
            <v>UN</v>
          </cell>
          <cell r="D2823">
            <v>23.38</v>
          </cell>
        </row>
        <row r="2824">
          <cell r="A2824">
            <v>91997</v>
          </cell>
          <cell r="B2824" t="str">
            <v>TOMADA MÉDIA DE EMBUTIR (1 MÓDULO), 2P+T 20 A, INCLUINDO SUPORTE E PLACA - FORNECIMENTO E INSTALAÇÃO. AF_12/2015</v>
          </cell>
          <cell r="C2824" t="str">
            <v>UN</v>
          </cell>
          <cell r="D2824">
            <v>25.04</v>
          </cell>
        </row>
        <row r="2825">
          <cell r="A2825">
            <v>91998</v>
          </cell>
          <cell r="B2825" t="str">
            <v>TOMADA BAIXA DE EMBUTIR (1 MÓDULO), 2P+T 10 A, SEM SUPORTE E SEM PLACA - FORNECIMENTO E INSTALAÇÃO. AF_12/2015</v>
          </cell>
          <cell r="C2825" t="str">
            <v>UN</v>
          </cell>
          <cell r="D2825">
            <v>14.7</v>
          </cell>
        </row>
        <row r="2826">
          <cell r="A2826">
            <v>91999</v>
          </cell>
          <cell r="B2826" t="str">
            <v>TOMADA BAIXA DE EMBUTIR (1 MÓDULO), 2P+T 20 A, SEM SUPORTE E SEM PLACA - FORNECIMENTO E INSTALAÇÃO. AF_12/2015</v>
          </cell>
          <cell r="C2826" t="str">
            <v>UN</v>
          </cell>
          <cell r="D2826">
            <v>16.36</v>
          </cell>
        </row>
        <row r="2827">
          <cell r="A2827">
            <v>92000</v>
          </cell>
          <cell r="B2827" t="str">
            <v>TOMADA BAIXA DE EMBUTIR (1 MÓDULO), 2P+T 10 A, INCLUINDO SUPORTE E PLACA - FORNECIMENTO E INSTALAÇÃO. AF_12/2015</v>
          </cell>
          <cell r="C2827" t="str">
            <v>UN</v>
          </cell>
          <cell r="D2827">
            <v>20.66</v>
          </cell>
        </row>
        <row r="2828">
          <cell r="A2828">
            <v>92001</v>
          </cell>
          <cell r="B2828" t="str">
            <v>TOMADA BAIXA DE EMBUTIR (1 MÓDULO), 2P+T 20 A, INCLUINDO SUPORTE E PLACA - FORNECIMENTO E INSTALAÇÃO. AF_12/2015</v>
          </cell>
          <cell r="C2828" t="str">
            <v>UN</v>
          </cell>
          <cell r="D2828">
            <v>22.32</v>
          </cell>
        </row>
        <row r="2829">
          <cell r="A2829">
            <v>92002</v>
          </cell>
          <cell r="B2829" t="str">
            <v>TOMADA MÉDIA DE EMBUTIR (2 MÓDULOS), 2P+T 10 A, SEM SUPORTE E SEM PLACA - FORNECIMENTO E INSTALAÇÃO. AF_12/2015</v>
          </cell>
          <cell r="C2829" t="str">
            <v>UN</v>
          </cell>
          <cell r="D2829">
            <v>32.58</v>
          </cell>
        </row>
        <row r="2830">
          <cell r="A2830">
            <v>92003</v>
          </cell>
          <cell r="B2830" t="str">
            <v>TOMADA MÉDIA DE EMBUTIR (2 MÓDULOS), 2P+T 20 A, SEM SUPORTE E SEM PLACA - FORNECIMENTO E INSTALAÇÃO. AF_12/2015</v>
          </cell>
          <cell r="C2830" t="str">
            <v>UN</v>
          </cell>
          <cell r="D2830">
            <v>35.9</v>
          </cell>
        </row>
        <row r="2831">
          <cell r="A2831">
            <v>92004</v>
          </cell>
          <cell r="B2831" t="str">
            <v>TOMADA MÉDIA DE EMBUTIR (2 MÓDULOS), 2P+T 10 A, INCLUINDO SUPORTE E PLACA - FORNECIMENTO E INSTALAÇÃO. AF_12/2015</v>
          </cell>
          <cell r="C2831" t="str">
            <v>UN</v>
          </cell>
          <cell r="D2831">
            <v>38.54</v>
          </cell>
        </row>
        <row r="2832">
          <cell r="A2832">
            <v>92005</v>
          </cell>
          <cell r="B2832" t="str">
            <v>TOMADA MÉDIA DE EMBUTIR (2 MÓDULOS), 2P+T 20 A, INCLUINDO SUPORTE E PLACA - FORNECIMENTO E INSTALAÇÃO. AF_12/2015</v>
          </cell>
          <cell r="C2832" t="str">
            <v>UN</v>
          </cell>
          <cell r="D2832">
            <v>41.86</v>
          </cell>
        </row>
        <row r="2833">
          <cell r="A2833">
            <v>92006</v>
          </cell>
          <cell r="B2833" t="str">
            <v>TOMADA BAIXA DE EMBUTIR (2 MÓDULOS), 2P+T 10 A, SEM SUPORTE E SEM PLACA - FORNECIMENTO E INSTALAÇÃO. AF_12/2015</v>
          </cell>
          <cell r="C2833" t="str">
            <v>UN</v>
          </cell>
          <cell r="D2833">
            <v>27.14</v>
          </cell>
        </row>
        <row r="2834">
          <cell r="A2834">
            <v>92007</v>
          </cell>
          <cell r="B2834" t="str">
            <v>TOMADA BAIXA DE EMBUTIR (2 MÓDULOS), 2P+T 20 A, SEM SUPORTE E SEM PLACA - FORNECIMENTO E INSTALAÇÃO. AF_12/2015</v>
          </cell>
          <cell r="C2834" t="str">
            <v>UN</v>
          </cell>
          <cell r="D2834">
            <v>30.46</v>
          </cell>
        </row>
        <row r="2835">
          <cell r="A2835">
            <v>92008</v>
          </cell>
          <cell r="B2835" t="str">
            <v>TOMADA BAIXA DE EMBUTIR (2 MÓDULOS), 2P+T 10 A, INCLUINDO SUPORTE E PLACA - FORNECIMENTO E INSTALAÇÃO. AF_12/2015</v>
          </cell>
          <cell r="C2835" t="str">
            <v>UN</v>
          </cell>
          <cell r="D2835">
            <v>33.1</v>
          </cell>
        </row>
        <row r="2836">
          <cell r="A2836">
            <v>92009</v>
          </cell>
          <cell r="B2836" t="str">
            <v>TOMADA BAIXA DE EMBUTIR (2 MÓDULOS), 2P+T 20 A, INCLUINDO SUPORTE E PLACA - FORNECIMENTO E INSTALAÇÃO. AF_12/2015</v>
          </cell>
          <cell r="C2836" t="str">
            <v>UN</v>
          </cell>
          <cell r="D2836">
            <v>36.42</v>
          </cell>
        </row>
        <row r="2837">
          <cell r="A2837">
            <v>92010</v>
          </cell>
          <cell r="B2837" t="str">
            <v>TOMADA MÉDIA DE EMBUTIR (3 MÓDULOS), 2P+T 10 A, SEM SUPORTE E SEM PLACA - FORNECIMENTO E INSTALAÇÃO. AF_12/2015</v>
          </cell>
          <cell r="C2837" t="str">
            <v>UN</v>
          </cell>
          <cell r="D2837">
            <v>47.74</v>
          </cell>
        </row>
        <row r="2838">
          <cell r="A2838">
            <v>92011</v>
          </cell>
          <cell r="B2838" t="str">
            <v>TOMADA MÉDIA DE EMBUTIR (3 MÓDULOS), 2P+T 20 A, SEM SUPORTE E SEM PLACA - FORNECIMENTO E INSTALAÇÃO. AF_12/2015</v>
          </cell>
          <cell r="C2838" t="str">
            <v>UN</v>
          </cell>
          <cell r="D2838">
            <v>52.72</v>
          </cell>
        </row>
        <row r="2839">
          <cell r="A2839">
            <v>92012</v>
          </cell>
          <cell r="B2839" t="str">
            <v>TOMADA MÉDIA DE EMBUTIR (3 MÓDULOS), 2P+T 10 A, INCLUINDO SUPORTE E PLACA - FORNECIMENTO E INSTALAÇÃO. AF_12/2015</v>
          </cell>
          <cell r="C2839" t="str">
            <v>UN</v>
          </cell>
          <cell r="D2839">
            <v>53.7</v>
          </cell>
        </row>
        <row r="2840">
          <cell r="A2840">
            <v>92013</v>
          </cell>
          <cell r="B2840" t="str">
            <v>TOMADA MÉDIA DE EMBUTIR (3 MÓDULOS), 2P+T 20 A, INCLUINDO SUPORTE E PLACA - FORNECIMENTO E INSTALAÇÃO. AF_12/2015</v>
          </cell>
          <cell r="C2840" t="str">
            <v>UN</v>
          </cell>
          <cell r="D2840">
            <v>58.68</v>
          </cell>
        </row>
        <row r="2841">
          <cell r="A2841">
            <v>92014</v>
          </cell>
          <cell r="B2841" t="str">
            <v>TOMADA BAIXA DE EMBUTIR (3 MÓDULOS), 2P+T 10 A, SEM SUPORTE E SEM PLACA - FORNECIMENTO E INSTALAÇÃO. AF_12/2015</v>
          </cell>
          <cell r="C2841" t="str">
            <v>UN</v>
          </cell>
          <cell r="D2841">
            <v>39.56</v>
          </cell>
        </row>
        <row r="2842">
          <cell r="A2842">
            <v>92015</v>
          </cell>
          <cell r="B2842" t="str">
            <v>TOMADA BAIXA DE EMBUTIR (3 MÓDULOS), 2P+T 20 A, SEM SUPORTE E SEM PLACA - FORNECIMENTO E INSTALAÇÃO. AF_12/2015</v>
          </cell>
          <cell r="C2842" t="str">
            <v>UN</v>
          </cell>
          <cell r="D2842">
            <v>44.54</v>
          </cell>
        </row>
        <row r="2843">
          <cell r="A2843">
            <v>92016</v>
          </cell>
          <cell r="B2843" t="str">
            <v>TOMADA BAIXA DE EMBUTIR (3 MÓDULOS), 2P+T 10 A, INCLUINDO SUPORTE E PLACA - FORNECIMENTO E INSTALAÇÃO. AF_12/2015</v>
          </cell>
          <cell r="C2843" t="str">
            <v>UN</v>
          </cell>
          <cell r="D2843">
            <v>45.52</v>
          </cell>
        </row>
        <row r="2844">
          <cell r="A2844">
            <v>92017</v>
          </cell>
          <cell r="B2844" t="str">
            <v>TOMADA BAIXA DE EMBUTIR (3 MÓDULOS), 2P+T 20 A, INCLUINDO SUPORTE E PLACA - FORNECIMENTO E INSTALAÇÃO. AF_12/2015</v>
          </cell>
          <cell r="C2844" t="str">
            <v>UN</v>
          </cell>
          <cell r="D2844">
            <v>50.5</v>
          </cell>
        </row>
        <row r="2845">
          <cell r="A2845">
            <v>92018</v>
          </cell>
          <cell r="B2845" t="str">
            <v>TOMADA BAIXA DE EMBUTIR (4 MÓDULOS), 2P+T 10 A, SEM SUPORTE E SEM PLACA - FORNECIMENTO E INSTALAÇÃO. AF_12/2015</v>
          </cell>
          <cell r="C2845" t="str">
            <v>UN</v>
          </cell>
          <cell r="D2845">
            <v>52.38</v>
          </cell>
        </row>
        <row r="2846">
          <cell r="A2846">
            <v>92019</v>
          </cell>
          <cell r="B2846" t="str">
            <v>TOMADA BAIXA DE EMBUTIR (4 MÓDULOS), 2P+T 10 A, INCLUINDO SUPORTE E PLACA - FORNECIMENTO E INSTALAÇÃO. AF_12/2015</v>
          </cell>
          <cell r="C2846" t="str">
            <v>UN</v>
          </cell>
          <cell r="D2846">
            <v>61.82</v>
          </cell>
        </row>
        <row r="2847">
          <cell r="A2847">
            <v>92020</v>
          </cell>
          <cell r="B2847" t="str">
            <v>TOMADA BAIXA DE EMBUTIR (6 MÓDULOS), 2P+T 10 A, SEM SUPORTE E SEM PLACA - FORNECIMENTO E INSTALAÇÃO. AF_12/2015</v>
          </cell>
          <cell r="C2847" t="str">
            <v>UN</v>
          </cell>
          <cell r="D2847">
            <v>77.44</v>
          </cell>
        </row>
        <row r="2848">
          <cell r="A2848">
            <v>92021</v>
          </cell>
          <cell r="B2848" t="str">
            <v>TOMADA BAIXA DE EMBUTIR (6 MÓDULOS), 2P+T 10 A, INCLUINDO SUPORTE E PLACA - FORNECIMENTO E INSTALAÇÃO. AF_12/2015</v>
          </cell>
          <cell r="C2848" t="str">
            <v>UN</v>
          </cell>
          <cell r="D2848">
            <v>86.88</v>
          </cell>
        </row>
        <row r="2849">
          <cell r="A2849">
            <v>92022</v>
          </cell>
          <cell r="B2849" t="str">
            <v>INTERRUPTOR SIMPLES (1 MÓDULO) COM 1 TOMADA DE EMBUTIR 2P+T 10 A,  SEM SUPORTE E SEM PLACA - FORNECIMENTO E INSTALAÇÃO. AF_12/2015</v>
          </cell>
          <cell r="C2849" t="str">
            <v>UN</v>
          </cell>
          <cell r="D2849">
            <v>28.75</v>
          </cell>
        </row>
        <row r="2850">
          <cell r="A2850">
            <v>92023</v>
          </cell>
          <cell r="B2850" t="str">
            <v>INTERRUPTOR SIMPLES (1 MÓDULO) COM 1 TOMADA DE EMBUTIR 2P+T 10 A,  INCLUINDO SUPORTE E PLACA - FORNECIMENTO E INSTALAÇÃO. AF_12/2015</v>
          </cell>
          <cell r="C2850" t="str">
            <v>UN</v>
          </cell>
          <cell r="D2850">
            <v>34.71</v>
          </cell>
        </row>
        <row r="2851">
          <cell r="A2851">
            <v>92024</v>
          </cell>
          <cell r="B2851" t="str">
            <v>INTERRUPTOR SIMPLES (1 MÓDULO) COM 2 TOMADAS DE EMBUTIR 2P+T 10 A,  SEM SUPORTE E SEM PLACA - FORNECIMENTO E INSTALAÇÃO. AF_12/2015</v>
          </cell>
          <cell r="C2851" t="str">
            <v>UN</v>
          </cell>
          <cell r="D2851">
            <v>43.94</v>
          </cell>
        </row>
        <row r="2852">
          <cell r="A2852">
            <v>92025</v>
          </cell>
          <cell r="B2852" t="str">
            <v>INTERRUPTOR SIMPLES (1 MÓDULO) COM 2 TOMADAS DE EMBUTIR 2P+T 10 A,  INCLUINDO SUPORTE E PLACA - FORNECIMENTO E INSTALAÇÃO. AF_12/2015</v>
          </cell>
          <cell r="C2852" t="str">
            <v>UN</v>
          </cell>
          <cell r="D2852">
            <v>49.9</v>
          </cell>
        </row>
        <row r="2853">
          <cell r="A2853">
            <v>92026</v>
          </cell>
          <cell r="B2853" t="str">
            <v>INTERRUPTOR SIMPLES (2 MÓDULOS) COM 1 TOMADA DE EMBUTIR 2P+T 10 A,  SEM SUPORTE E SEM PLACA - FORNECIMENTO E INSTALAÇÃO. AF_12/2015</v>
          </cell>
          <cell r="C2853" t="str">
            <v>UN</v>
          </cell>
          <cell r="D2853">
            <v>40.119999999999997</v>
          </cell>
        </row>
        <row r="2854">
          <cell r="A2854">
            <v>92027</v>
          </cell>
          <cell r="B2854" t="str">
            <v>INTERRUPTOR SIMPLES (2 MÓDULOS) COM 1 TOMADA DE EMBUTIR 2P+T 10 A,  INCLUINDO SUPORTE E PLACA - FORNECIMENTO E INSTALAÇÃO. AF_12/2015</v>
          </cell>
          <cell r="C2854" t="str">
            <v>UN</v>
          </cell>
          <cell r="D2854">
            <v>46.08</v>
          </cell>
        </row>
        <row r="2855">
          <cell r="A2855">
            <v>92028</v>
          </cell>
          <cell r="B2855" t="str">
            <v>INTERRUPTOR PARALELO (1 MÓDULO) COM 1 TOMADA DE EMBUTIR 2P+T 10 A,  SEM SUPORTE E SEM PLACA - FORNECIMENTO E INSTALAÇÃO. AF_12/2015</v>
          </cell>
          <cell r="C2855" t="str">
            <v>UN</v>
          </cell>
          <cell r="D2855">
            <v>33.44</v>
          </cell>
        </row>
        <row r="2856">
          <cell r="A2856">
            <v>92029</v>
          </cell>
          <cell r="B2856" t="str">
            <v>INTERRUPTOR PARALELO (1 MÓDULO) COM 1 TOMADA DE EMBUTIR 2P+T 10 A,  INCLUINDO SUPORTE E PLACA - FORNECIMENTO E INSTALAÇÃO. AF_12/2015</v>
          </cell>
          <cell r="C2856" t="str">
            <v>UN</v>
          </cell>
          <cell r="D2856">
            <v>39.4</v>
          </cell>
        </row>
        <row r="2857">
          <cell r="A2857">
            <v>92030</v>
          </cell>
          <cell r="B2857" t="str">
            <v>INTERRUPTOR PARALELO (1 MÓDULO) COM 2 TOMADAS DE EMBUTIR 2P+T 10 A,  SEM SUPORTE E SEM PLACA - FORNECIMENTO E INSTALAÇÃO. AF_12/2015</v>
          </cell>
          <cell r="C2857" t="str">
            <v>UN</v>
          </cell>
          <cell r="D2857">
            <v>48.6</v>
          </cell>
        </row>
        <row r="2858">
          <cell r="A2858">
            <v>92031</v>
          </cell>
          <cell r="B2858" t="str">
            <v>INTERRUPTOR PARALELO (1 MÓDULO) COM 2 TOMADAS DE EMBUTIR 2P+T 10 A,  INCLUINDO SUPORTE E PLACA - FORNECIMENTO E INSTALAÇÃO. AF_12/2015</v>
          </cell>
          <cell r="C2858" t="str">
            <v>UN</v>
          </cell>
          <cell r="D2858">
            <v>54.56</v>
          </cell>
        </row>
        <row r="2859">
          <cell r="A2859">
            <v>92032</v>
          </cell>
          <cell r="B2859" t="str">
            <v>INTERRUPTOR PARALELO (2 MÓDULOS) COM 1 TOMADA DE EMBUTIR 2P+T 10 A,  SEM SUPORTE E SEM PLACA - FORNECIMENTO E INSTALAÇÃO. AF_12/2015</v>
          </cell>
          <cell r="C2859" t="str">
            <v>UN</v>
          </cell>
          <cell r="D2859">
            <v>49.46</v>
          </cell>
        </row>
        <row r="2860">
          <cell r="A2860">
            <v>92033</v>
          </cell>
          <cell r="B2860" t="str">
            <v>INTERRUPTOR PARALELO (2 MÓDULOS) COM 1 TOMADA DE EMBUTIR 2P+T 10 A,  INCLUINDO SUPORTE E PLACA - FORNECIMENTO E INSTALAÇÃO. AF_12/2015</v>
          </cell>
          <cell r="C2860" t="str">
            <v>UN</v>
          </cell>
          <cell r="D2860">
            <v>55.42</v>
          </cell>
        </row>
        <row r="2861">
          <cell r="A2861">
            <v>92034</v>
          </cell>
          <cell r="B2861" t="str">
            <v>INTERRUPTOR SIMPLES (1 MÓDULO), INTERRUPTOR PARALELO (1 MÓDULO) E 1 TOMADA DE EMBUTIR 2P+T 10 A,  SEM SUPORTE E SEM PLACA - FORNECIMENTO E INSTALAÇÃO. AF_12/2015</v>
          </cell>
          <cell r="C2861" t="str">
            <v>UN</v>
          </cell>
          <cell r="D2861">
            <v>44.8</v>
          </cell>
        </row>
        <row r="2862">
          <cell r="A2862">
            <v>92035</v>
          </cell>
          <cell r="B2862" t="str">
            <v>INTERRUPTOR SIMPLES (1 MÓDULO), INTERRUPTOR PARALELO (1 MÓDULO) E 1 TOMADA DE EMBUTIR 2P+T 10 A,  INCLUINDO SUPORTE E PLACA - FORNECIMENTO E INSTALAÇÃO. AF_12/2015</v>
          </cell>
          <cell r="C2862" t="str">
            <v>UN</v>
          </cell>
          <cell r="D2862">
            <v>50.76</v>
          </cell>
        </row>
        <row r="2863">
          <cell r="A2863">
            <v>72278</v>
          </cell>
          <cell r="B2863" t="str">
            <v>LAMPADA VAPOR METALICO 400W - FORNECIMENTO E INSTALACAO</v>
          </cell>
          <cell r="C2863" t="str">
            <v>UN</v>
          </cell>
          <cell r="D2863">
            <v>61.87</v>
          </cell>
        </row>
        <row r="2864">
          <cell r="A2864">
            <v>72280</v>
          </cell>
          <cell r="B2864" t="str">
            <v>IGNITOR PARA PARTIDA LÂMPADA VAPOR SÓDIO ALTA PRESSÃO ATÉ 400W</v>
          </cell>
          <cell r="C2864" t="str">
            <v>UN</v>
          </cell>
          <cell r="D2864">
            <v>41.91</v>
          </cell>
        </row>
        <row r="2865">
          <cell r="A2865" t="str">
            <v>73953/4</v>
          </cell>
          <cell r="B2865" t="str">
            <v>LUMINÁRIAS TIPO CALHA, DE SOBREPOR, COM REATORES DE PARTIDA RÁPIDA E LÂMPADAS FLUORESCENTES 2X2X18W, COMPLETAS, FORNECIMENTO E INSTALAÇÃO</v>
          </cell>
          <cell r="C2865" t="str">
            <v>UN</v>
          </cell>
          <cell r="D2865">
            <v>138.78</v>
          </cell>
        </row>
        <row r="2866">
          <cell r="A2866" t="str">
            <v>73953/8</v>
          </cell>
          <cell r="B2866" t="str">
            <v>LUMINÁRIAS TIPO CALHA, DE SOBREPOR, COM REATORES DE PARTIDA RÁPIDA E LÂMPADAS FLUORESCENTES 2X2X36W, COMPLETAS, FORNECIMENTO E INSTALAÇÃO</v>
          </cell>
          <cell r="C2866" t="str">
            <v>UN</v>
          </cell>
          <cell r="D2866">
            <v>183.33</v>
          </cell>
        </row>
        <row r="2867">
          <cell r="A2867" t="str">
            <v>73953/9</v>
          </cell>
          <cell r="B2867" t="str">
            <v>LUMINARIA SOBREPOR TP CALHA C/REATOR PART CONVENC LAMP 1X20W E STARTERFIX EM LAJE OU FORRO - FORNECIMENTO E COLOCACAO</v>
          </cell>
          <cell r="C2867" t="str">
            <v>UN</v>
          </cell>
          <cell r="D2867">
            <v>52.56</v>
          </cell>
        </row>
        <row r="2868">
          <cell r="A2868">
            <v>83391</v>
          </cell>
          <cell r="B2868" t="str">
            <v>REATOR PARA LAMPADA FLUORESCENTE 2X40W PARTIDA RAPIDA FORNECIMENTO E INSTALACAO</v>
          </cell>
          <cell r="C2868" t="str">
            <v>UN</v>
          </cell>
          <cell r="D2868">
            <v>28.39</v>
          </cell>
        </row>
        <row r="2869">
          <cell r="A2869">
            <v>83392</v>
          </cell>
          <cell r="B2869" t="str">
            <v>REATOR PARA LAMPADA FLUORESCENTE 1X20W PARTIDA RAPIDA FORNECIMENTO E INSTALACAO</v>
          </cell>
          <cell r="C2869" t="str">
            <v>UN</v>
          </cell>
          <cell r="D2869">
            <v>20.89</v>
          </cell>
        </row>
        <row r="2870">
          <cell r="A2870">
            <v>83393</v>
          </cell>
          <cell r="B2870" t="str">
            <v>REATOR PARA LAMPADA FLUORESCENTE 1X40W PARTIDA RAPIDA FORNECIMENTO E INSTALACAO</v>
          </cell>
          <cell r="C2870" t="str">
            <v>UN</v>
          </cell>
          <cell r="D2870">
            <v>26.89</v>
          </cell>
        </row>
        <row r="2871">
          <cell r="A2871">
            <v>83470</v>
          </cell>
          <cell r="B2871" t="str">
            <v>LAMPADA FLUORESCENTE TP HO 85W - FORNECIMENTO E INSTALACAO</v>
          </cell>
          <cell r="C2871" t="str">
            <v>UN</v>
          </cell>
          <cell r="D2871">
            <v>56.82</v>
          </cell>
        </row>
        <row r="2872">
          <cell r="A2872">
            <v>93040</v>
          </cell>
          <cell r="B2872" t="str">
            <v>LÂMPADA FLUORESCENTE COMPACTA 15 W 2U, BASE E27 - FORNECIMENTO E INSTALAÇÃO</v>
          </cell>
          <cell r="C2872" t="str">
            <v>UN</v>
          </cell>
          <cell r="D2872">
            <v>9.4700000000000006</v>
          </cell>
        </row>
        <row r="2873">
          <cell r="A2873">
            <v>93041</v>
          </cell>
          <cell r="B2873" t="str">
            <v>LÂMPADA FLUORESCENTE ESPIRAL BRANCA 65 W, BASE E27 - FORNECIMENTO E INSTALAÇÃO</v>
          </cell>
          <cell r="C2873" t="str">
            <v>UN</v>
          </cell>
          <cell r="D2873">
            <v>56.34</v>
          </cell>
        </row>
        <row r="2874">
          <cell r="A2874">
            <v>93042</v>
          </cell>
          <cell r="B2874" t="str">
            <v>LÂMPADA LED 6 W BIVOLT BRANCA, FORMATO TRADICIONAL (BASE E27) - FORNECIMENTO E INSTALAÇÃO</v>
          </cell>
          <cell r="C2874" t="str">
            <v>UN</v>
          </cell>
          <cell r="D2874">
            <v>18.62</v>
          </cell>
        </row>
        <row r="2875">
          <cell r="A2875">
            <v>93043</v>
          </cell>
          <cell r="B2875" t="str">
            <v>LÂMPADA LED 10 W BIVOLT BRANCA, FORMATO TRADICIONAL (BASE E27) - FORNECIMENTO E INSTALAÇÃO</v>
          </cell>
          <cell r="C2875" t="str">
            <v>UN</v>
          </cell>
          <cell r="D2875">
            <v>24.61</v>
          </cell>
        </row>
        <row r="2876">
          <cell r="A2876">
            <v>93044</v>
          </cell>
          <cell r="B2876" t="str">
            <v>LÂMPADA FLUORESCENTE COMPACTA 3U BRANCA 20 W, BASE E27 - FORNECIMENTO E INSTALAÇÃO</v>
          </cell>
          <cell r="C2876" t="str">
            <v>UN</v>
          </cell>
          <cell r="D2876">
            <v>10.58</v>
          </cell>
        </row>
        <row r="2877">
          <cell r="A2877">
            <v>93045</v>
          </cell>
          <cell r="B2877" t="str">
            <v>LÂMPADA FLUORESCENTE ESPIRAL BRANCA 45 W, BASE E27 - FORNECIMENTO E INSTALAÇÃO</v>
          </cell>
          <cell r="C2877" t="str">
            <v>UN</v>
          </cell>
          <cell r="D2877">
            <v>31.86</v>
          </cell>
        </row>
        <row r="2878">
          <cell r="A2878">
            <v>97583</v>
          </cell>
          <cell r="B2878" t="str">
            <v>LUMINÁRIA TIPO CALHA, DE SOBREPOR, COM 1 LÂMPADA TUBULAR DE 18 W - FORNECIMENTO E INSTALAÇÃO. AF_11/2017</v>
          </cell>
          <cell r="C2878" t="str">
            <v>UN</v>
          </cell>
          <cell r="D2878">
            <v>44.04</v>
          </cell>
        </row>
        <row r="2879">
          <cell r="A2879">
            <v>97584</v>
          </cell>
          <cell r="B2879" t="str">
            <v>LUMINÁRIA TIPO CALHA, DE SOBREPOR, COM 1 LÂMPADA TUBULAR DE 36 W - FORNECIMENTO E INSTALAÇÃO. AF_11/2017</v>
          </cell>
          <cell r="C2879" t="str">
            <v>UN</v>
          </cell>
          <cell r="D2879">
            <v>60.18</v>
          </cell>
        </row>
        <row r="2880">
          <cell r="A2880">
            <v>97585</v>
          </cell>
          <cell r="B2880" t="str">
            <v>LUMINÁRIA TIPO CALHA, DE SOBREPOR, COM 2 LÂMPADAS TUBULARES DE 18 W - FORNECIMENTO E INSTALAÇÃO. AF_11/2017</v>
          </cell>
          <cell r="C2880" t="str">
            <v>UN</v>
          </cell>
          <cell r="D2880">
            <v>60.11</v>
          </cell>
        </row>
        <row r="2881">
          <cell r="A2881">
            <v>97586</v>
          </cell>
          <cell r="B2881" t="str">
            <v>LUMINÁRIA TIPO CALHA, DE SOBREPOR, COM 2 LÂMPADAS TUBULARES DE 36 W - FORNECIMENTO E INSTALAÇÃO. AF_11/2017</v>
          </cell>
          <cell r="C2881" t="str">
            <v>UN</v>
          </cell>
          <cell r="D2881">
            <v>79.59</v>
          </cell>
        </row>
        <row r="2882">
          <cell r="A2882">
            <v>97587</v>
          </cell>
          <cell r="B2882" t="str">
            <v>LUMINÁRIA TIPO CALHA, DE EMBUTIR, COM 2 LÂMPADAS DE 14 W COM REFLETOR - FORNECIMENTO E INSTALAÇÃO. AF_11/2017</v>
          </cell>
          <cell r="C2882" t="str">
            <v>UN</v>
          </cell>
          <cell r="D2882">
            <v>137.12</v>
          </cell>
        </row>
        <row r="2883">
          <cell r="A2883">
            <v>97589</v>
          </cell>
          <cell r="B2883" t="str">
            <v>LUMINÁRIA TIPO PLAFON EM PLÁSTICO, DE SOBREPOR, COM 1 LÂMPADA DE 15 W, - FORNECIMENTO E INSTALAÇÃO. AF_11/2017</v>
          </cell>
          <cell r="C2883" t="str">
            <v>UN</v>
          </cell>
          <cell r="D2883">
            <v>25.91</v>
          </cell>
        </row>
        <row r="2884">
          <cell r="A2884">
            <v>97590</v>
          </cell>
          <cell r="B2884" t="str">
            <v>LUMINÁRIA TIPO PLAFON REDONDO COM VIDRO FOSCO, DE SOBREPOR, COM 1 LÂMPADA DE 15 W - FORNECIMENTO E INSTALAÇÃO. AF_11/2017</v>
          </cell>
          <cell r="C2884" t="str">
            <v>UN</v>
          </cell>
          <cell r="D2884">
            <v>52.83</v>
          </cell>
        </row>
        <row r="2885">
          <cell r="A2885">
            <v>97591</v>
          </cell>
          <cell r="B2885" t="str">
            <v>LUMINÁRIA TIPO PLAFON REDONDO COM VIDRO FOSCO, DE SOBREPOR, COM 2 LÂMPADAS DE 15 W - FORNECIMENTO E INSTALAÇÃO. AF_11/2017</v>
          </cell>
          <cell r="C2885" t="str">
            <v>UN</v>
          </cell>
          <cell r="D2885">
            <v>69.78</v>
          </cell>
        </row>
        <row r="2886">
          <cell r="A2886">
            <v>97592</v>
          </cell>
          <cell r="B2886" t="str">
            <v>LUMINÁRIA TIPO PLAFON, DE SOBREPOR, COM 1 LÂMPADA LED - FORNECIMENTO E INSTALAÇÃO. AF_11/2017</v>
          </cell>
          <cell r="C2886" t="str">
            <v>UN</v>
          </cell>
          <cell r="D2886">
            <v>97.77</v>
          </cell>
        </row>
        <row r="2887">
          <cell r="A2887">
            <v>97593</v>
          </cell>
          <cell r="B2887" t="str">
            <v>LUMINÁRIA TIPO SPOT, DE SOBREPOR, COM 1 LÂMPADA DE 15 W - FORNECIMENTO E INSTALAÇÃO. AF_11/2017</v>
          </cell>
          <cell r="C2887" t="str">
            <v>UN</v>
          </cell>
          <cell r="D2887">
            <v>72.62</v>
          </cell>
        </row>
        <row r="2888">
          <cell r="A2888">
            <v>97594</v>
          </cell>
          <cell r="B2888" t="str">
            <v>LUMINÁRIA TIPO SPOT, DE SOBREPOR, COM 2 LÂMPADAS DE 15 W - FORNECIMENTO E INSTALAÇÃO. AF_11/2017</v>
          </cell>
          <cell r="C2888" t="str">
            <v>UN</v>
          </cell>
          <cell r="D2888">
            <v>68.989999999999995</v>
          </cell>
        </row>
        <row r="2889">
          <cell r="A2889">
            <v>97595</v>
          </cell>
          <cell r="B2889" t="str">
            <v>SENSOR DE PRESENÇA COM FOTOCÉLULA, FIXAÇÃO EM PAREDE - FORNECIMENTO E INSTALAÇÃO. AF_11/2017</v>
          </cell>
          <cell r="C2889" t="str">
            <v>UN</v>
          </cell>
          <cell r="D2889">
            <v>48.54</v>
          </cell>
        </row>
        <row r="2890">
          <cell r="A2890">
            <v>97596</v>
          </cell>
          <cell r="B2890" t="str">
            <v>SENSOR DE PRESENÇA SEM FOTOCÉLULA, FIXAÇÃO EM PAREDE - FORNECIMENTO E INSTALAÇÃO. AF_11/2017</v>
          </cell>
          <cell r="C2890" t="str">
            <v>UN</v>
          </cell>
          <cell r="D2890">
            <v>34</v>
          </cell>
        </row>
        <row r="2891">
          <cell r="A2891">
            <v>97597</v>
          </cell>
          <cell r="B2891" t="str">
            <v>SENSOR DE PRESENÇA COM FOTOCÉLULA, FIXAÇÃO EM TETO - FORNECIMENTO E INSTALAÇÃO. AF_11/2017</v>
          </cell>
          <cell r="C2891" t="str">
            <v>UN</v>
          </cell>
          <cell r="D2891">
            <v>42.2</v>
          </cell>
        </row>
        <row r="2892">
          <cell r="A2892">
            <v>97598</v>
          </cell>
          <cell r="B2892" t="str">
            <v>SENSOR DE PRESENÇA SEM FOTOCÉLULA, FIXAÇÃO EM TETO - FORNECIMENTO E INSTALAÇÃO. AF_11/2017</v>
          </cell>
          <cell r="C2892" t="str">
            <v>UN</v>
          </cell>
          <cell r="D2892">
            <v>40.340000000000003</v>
          </cell>
        </row>
        <row r="2893">
          <cell r="A2893">
            <v>97599</v>
          </cell>
          <cell r="B2893" t="str">
            <v>LUMINÁRIA DE EMERGÊNCIA - FORNECIMENTO E INSTALAÇÃO. AF_11/2017</v>
          </cell>
          <cell r="C2893" t="str">
            <v>UN</v>
          </cell>
          <cell r="D2893">
            <v>37.17</v>
          </cell>
        </row>
        <row r="2894">
          <cell r="A2894">
            <v>97609</v>
          </cell>
          <cell r="B2894" t="str">
            <v>LÂMPADA COMPACTA DE LED 6 W, BASE E27 - FORNECIMENTO E INSTALAÇÃO. AF_11/2017</v>
          </cell>
          <cell r="C2894" t="str">
            <v>UN</v>
          </cell>
          <cell r="D2894">
            <v>24.31</v>
          </cell>
        </row>
        <row r="2895">
          <cell r="A2895">
            <v>97610</v>
          </cell>
          <cell r="B2895" t="str">
            <v>LÂMPADA COMPACTA DE LED 10 W, BASE E27 - FORNECIMENTO E INSTALAÇÃO. AF_11/2017</v>
          </cell>
          <cell r="C2895" t="str">
            <v>UN</v>
          </cell>
          <cell r="D2895">
            <v>30.3</v>
          </cell>
        </row>
        <row r="2896">
          <cell r="A2896">
            <v>97611</v>
          </cell>
          <cell r="B2896" t="str">
            <v>LÂMPADA COMPACTA FLUORESCENTE DE 15 W, BASE E27 - FORNECIMENTO E INSTALAÇÃO. AF_11/2017</v>
          </cell>
          <cell r="C2896" t="str">
            <v>UN</v>
          </cell>
          <cell r="D2896">
            <v>15.16</v>
          </cell>
        </row>
        <row r="2897">
          <cell r="A2897">
            <v>97612</v>
          </cell>
          <cell r="B2897" t="str">
            <v>LÂMPADA COMPACTA FLUORESCENTE DE 20 W, BASE E27 - FORNECIMENTO E INSTALAÇÃO. AF_11/2017</v>
          </cell>
          <cell r="C2897" t="str">
            <v>UN</v>
          </cell>
          <cell r="D2897">
            <v>16.27</v>
          </cell>
        </row>
        <row r="2898">
          <cell r="A2898">
            <v>97613</v>
          </cell>
          <cell r="B2898" t="str">
            <v>LÂMPADA COMPACTA DE VAPOR MERCURIO 125 W, BASE E27 - FORNECIMENTO E INSTALAÇÃO. AF_11/2017</v>
          </cell>
          <cell r="C2898" t="str">
            <v>UN</v>
          </cell>
          <cell r="D2898">
            <v>19.940000000000001</v>
          </cell>
        </row>
        <row r="2899">
          <cell r="A2899">
            <v>97614</v>
          </cell>
          <cell r="B2899" t="str">
            <v>LÂMPADA COMPACTA DE VAPOR METÁLICO OVOIDE 150 W, BASE E27 - FORNECIMENTO E INSTALAÇÃO. AF_11/2017</v>
          </cell>
          <cell r="C2899" t="str">
            <v>UN</v>
          </cell>
          <cell r="D2899">
            <v>33.22</v>
          </cell>
        </row>
        <row r="2900">
          <cell r="A2900">
            <v>97615</v>
          </cell>
          <cell r="B2900" t="str">
            <v>LÂMPADA TUBULAR FLUORESCENTE T8 DE 16/18 W, BASE G13 - FORNECIMENTO E INSTALAÇÃO. AF_11/2017_P</v>
          </cell>
          <cell r="C2900" t="str">
            <v>UN</v>
          </cell>
          <cell r="D2900">
            <v>30.95</v>
          </cell>
        </row>
        <row r="2901">
          <cell r="A2901">
            <v>97616</v>
          </cell>
          <cell r="B2901" t="str">
            <v>LÂMPADA TUBULAR FLUORESCENTE T8 DE 32/36 W, BASE G13 - FORNECIMENTO E INSTALAÇÃO. AF_11/2017_P</v>
          </cell>
          <cell r="C2901" t="str">
            <v>UN</v>
          </cell>
          <cell r="D2901">
            <v>34.71</v>
          </cell>
        </row>
        <row r="2902">
          <cell r="A2902">
            <v>97617</v>
          </cell>
          <cell r="B2902" t="str">
            <v>LÂMPADA TUBULAR FLUORESCENTE T10 DE 20/40 W, BASE G13 - FORNECIMENTO E INSTALAÇÃO. AF_11/2017_P</v>
          </cell>
          <cell r="C2902" t="str">
            <v>UN</v>
          </cell>
          <cell r="D2902">
            <v>34.54</v>
          </cell>
        </row>
        <row r="2903">
          <cell r="A2903">
            <v>97618</v>
          </cell>
          <cell r="B2903" t="str">
            <v>LÂMPADA TUBULAR FLUORESCENTE T5 DE 14 W, BASE G13 - FORNECIMENTO E INSTALAÇÃO. AF_11/2017_P</v>
          </cell>
          <cell r="C2903" t="str">
            <v>UN</v>
          </cell>
          <cell r="D2903">
            <v>32.5</v>
          </cell>
        </row>
        <row r="2904">
          <cell r="A2904">
            <v>41598</v>
          </cell>
          <cell r="B2904" t="str">
            <v>ENTRADA PROVISORIA DE ENERGIA ELETRICA AEREA TRIFASICA 40A EM POSTE MADEIRA</v>
          </cell>
          <cell r="C2904" t="str">
            <v>UN</v>
          </cell>
          <cell r="D2904">
            <v>1405.4</v>
          </cell>
        </row>
        <row r="2905">
          <cell r="A2905">
            <v>72941</v>
          </cell>
          <cell r="B2905" t="str">
            <v>APARELHO SINALIZADOR DE SAIDA DE GARAGEM, COM CELULA FOTOELETRICA - FORNECIMENTO E INSTALACAO</v>
          </cell>
          <cell r="C2905" t="str">
            <v>UN</v>
          </cell>
          <cell r="D2905">
            <v>177.72</v>
          </cell>
        </row>
        <row r="2906">
          <cell r="A2906">
            <v>73624</v>
          </cell>
          <cell r="B2906" t="str">
            <v>SUPORTE PARA TRANSFORMADOR EM POSTE DE CONCRETO CIRCULAR</v>
          </cell>
          <cell r="C2906" t="str">
            <v>UN</v>
          </cell>
          <cell r="D2906">
            <v>79.45</v>
          </cell>
        </row>
        <row r="2907">
          <cell r="A2907" t="str">
            <v>73767/1</v>
          </cell>
          <cell r="B2907" t="str">
            <v>GRAMPO PARALELO EM ALUMINIO FUNDIDO OU ESTRUDADO DE 2 PARAFUSOS, PARA CABO DE 6 A 50 MM2, PASTA ANTIOXIDANTE. FORNEC E INSTALAÇÃO.</v>
          </cell>
          <cell r="C2907" t="str">
            <v>UN</v>
          </cell>
          <cell r="D2907">
            <v>9.25</v>
          </cell>
        </row>
        <row r="2908">
          <cell r="A2908" t="str">
            <v>73767/2</v>
          </cell>
          <cell r="B2908" t="str">
            <v>ALCA PRE-FORMADA DISTRIBUIÇÃO EM  ACO RECOBERTO COM ALUMINIO PARA CABO 25MM2, ENCAPADO. FORNECIMENTO E INSTALAÇÃO.</v>
          </cell>
          <cell r="C2908" t="str">
            <v>UN</v>
          </cell>
          <cell r="D2908">
            <v>9.9</v>
          </cell>
        </row>
        <row r="2909">
          <cell r="A2909" t="str">
            <v>73767/3</v>
          </cell>
          <cell r="B2909" t="str">
            <v>LACO DE ROLDANA PRE-FORMADO ACO RECOBERTO DE ALUMINIO PARA CABO DE ALUMINIO NU BITOLA 25MM2 - FORNECIMENTO E COLOCACAO</v>
          </cell>
          <cell r="C2909" t="str">
            <v>UN</v>
          </cell>
          <cell r="D2909">
            <v>7.14</v>
          </cell>
        </row>
        <row r="2910">
          <cell r="A2910" t="str">
            <v>73767/4</v>
          </cell>
          <cell r="B2910" t="str">
            <v>ALCA PRE-FORMADA DISTRIBUICAO EM ACO RECOBERTO COM ALUMINIO NU PARA CABO 25MM2, ENCAPADO. FORNECIMENTO E INSTALACAO.</v>
          </cell>
          <cell r="C2910" t="str">
            <v>UN</v>
          </cell>
          <cell r="D2910">
            <v>4.62</v>
          </cell>
        </row>
        <row r="2911">
          <cell r="A2911" t="str">
            <v>73767/5</v>
          </cell>
          <cell r="B2911" t="str">
            <v>ALCA PRE-FORMADA SERV DE ACO RECOB C/ALUM NU ENCAPADO 25MM2 (BITOLA)  CONF PROJ A4-148-CP RIOLUZ FORNECIMENTO E COLOCACAO</v>
          </cell>
          <cell r="C2911" t="str">
            <v>UN</v>
          </cell>
          <cell r="D2911">
            <v>4.22</v>
          </cell>
        </row>
        <row r="2912">
          <cell r="A2912" t="str">
            <v>73781/1</v>
          </cell>
          <cell r="B2912" t="str">
            <v>MUFLA TERMINAL PRIMARIA UNIPOLAR USO INTERNO PARA CABO 35/120MM2, ISOLACAO 15/25KV EM EPR - BORRACHA DE SILICONE. FORNECIMENTO E INSTALACAO.</v>
          </cell>
          <cell r="C2912" t="str">
            <v>UN</v>
          </cell>
          <cell r="D2912">
            <v>346.56</v>
          </cell>
        </row>
        <row r="2913">
          <cell r="A2913" t="str">
            <v>73781/2</v>
          </cell>
          <cell r="B2913" t="str">
            <v>ISOLADOR DE PINO TP HI-POT CILINDRICO CLASSE 15KV. FORNECIMENTO E INSTALACAO.</v>
          </cell>
          <cell r="C2913" t="str">
            <v>UN</v>
          </cell>
          <cell r="D2913">
            <v>26.81</v>
          </cell>
        </row>
        <row r="2914">
          <cell r="A2914" t="str">
            <v>73781/3</v>
          </cell>
          <cell r="B2914" t="str">
            <v>ISOLADOR DE SUSPENSAO (DISCO) TP CAVILHA CLASSE 15KV - 6''. FORNECIMENTO E INSTALACAO.</v>
          </cell>
          <cell r="C2914" t="str">
            <v>UN</v>
          </cell>
          <cell r="D2914">
            <v>81.88</v>
          </cell>
        </row>
        <row r="2915">
          <cell r="A2915">
            <v>88543</v>
          </cell>
          <cell r="B2915" t="str">
            <v>ARMACAO SECUNDARIA OU REX COMPLETA PARA TRESLINHAS-FORNECIMENTO E INSTALACAO.</v>
          </cell>
          <cell r="C2915" t="str">
            <v>UN</v>
          </cell>
          <cell r="D2915">
            <v>147.08000000000001</v>
          </cell>
        </row>
        <row r="2916">
          <cell r="A2916">
            <v>88544</v>
          </cell>
          <cell r="B2916" t="str">
            <v>ARMACAO SECUNDARIA OU REX COMPLETA PARA DUAS LINHAS-FORNECIMENTO E INSTALACAO.</v>
          </cell>
          <cell r="C2916" t="str">
            <v>UN</v>
          </cell>
          <cell r="D2916">
            <v>92.25</v>
          </cell>
        </row>
        <row r="2917">
          <cell r="A2917">
            <v>88545</v>
          </cell>
          <cell r="B2917" t="str">
            <v>ARMACAO SECUNDARIA OU REX COMPLETA PARA QUATRO LINHAS-FORNECIMENTO E INSTALACAO.</v>
          </cell>
          <cell r="C2917" t="str">
            <v>UN</v>
          </cell>
          <cell r="D2917">
            <v>169.24</v>
          </cell>
        </row>
        <row r="2918">
          <cell r="A2918">
            <v>83397</v>
          </cell>
          <cell r="B2918" t="str">
            <v>POSTE DE CONCRETO DUPLO T H=9M CARGA NOMINAL 500KG INCLUSIVE ESCAVACAO, EXCLUSIVE TRANSPORTE - FORNECIMENTO E INSTALACAO</v>
          </cell>
          <cell r="C2918" t="str">
            <v>UN</v>
          </cell>
          <cell r="D2918">
            <v>1131.53</v>
          </cell>
        </row>
        <row r="2919">
          <cell r="A2919" t="str">
            <v>73769/1</v>
          </cell>
          <cell r="B2919" t="str">
            <v>POSTE ACO CONICO CONTINUO CURVO SIMPLES SEM BASE C/JANELA 9M (INSPECAO) - FORNECIMENTO E INSTALACAO</v>
          </cell>
          <cell r="C2919" t="str">
            <v>UN</v>
          </cell>
          <cell r="D2919">
            <v>1152.24</v>
          </cell>
        </row>
        <row r="2920">
          <cell r="A2920" t="str">
            <v>73769/2</v>
          </cell>
          <cell r="B2920" t="str">
            <v>POSTE DE AÇO CONICO CONTÍNUO CURVO SIMPLES, FLANGEADO, COM JANELA DE INSPEÇÃO H=9M - FORNECIMENTO E INSTALACAO</v>
          </cell>
          <cell r="C2920" t="str">
            <v>UN</v>
          </cell>
          <cell r="D2920">
            <v>1153.7</v>
          </cell>
        </row>
        <row r="2921">
          <cell r="A2921" t="str">
            <v>73769/3</v>
          </cell>
          <cell r="B2921" t="str">
            <v>POSTE DE ACO CONICO CONTINUO CURVO DUPLO, FLANGEADO, COM JANELA DE INSPECAO H=9M - FORNECIMENTO E INSTALACAO</v>
          </cell>
          <cell r="C2921" t="str">
            <v>UN</v>
          </cell>
          <cell r="D2921">
            <v>1188.45</v>
          </cell>
        </row>
        <row r="2922">
          <cell r="A2922" t="str">
            <v>73769/4</v>
          </cell>
          <cell r="B2922" t="str">
            <v>POSTE DE ACO CONICO CONTINUO RETO, ENGASTADO, H=9M - FORNECIMENTO E INSTALACAO</v>
          </cell>
          <cell r="C2922" t="str">
            <v>UN</v>
          </cell>
          <cell r="D2922">
            <v>1199.28</v>
          </cell>
        </row>
        <row r="2923">
          <cell r="A2923" t="str">
            <v>73855/1</v>
          </cell>
          <cell r="B2923" t="str">
            <v>CHUMBADOR DE AÇO PARA FIXAÇÃO DE POSTE DE ACO RETO OU CURVO 7 A 9M COM FLANGE - FORNECIMENTO E INSTALACAO</v>
          </cell>
          <cell r="C2923" t="str">
            <v>UN</v>
          </cell>
          <cell r="D2923">
            <v>989.84</v>
          </cell>
        </row>
        <row r="2924">
          <cell r="A2924">
            <v>72281</v>
          </cell>
          <cell r="B2924" t="str">
            <v>REATOR PARA LAMPADA VAPOR DE MERCURIO USO EXTERNO 220V/400W</v>
          </cell>
          <cell r="C2924" t="str">
            <v>UN</v>
          </cell>
          <cell r="D2924">
            <v>104.8</v>
          </cell>
        </row>
        <row r="2925">
          <cell r="A2925">
            <v>72282</v>
          </cell>
          <cell r="B2925" t="str">
            <v>REATOR PARA LAMPADA VAPOR DE SODIO ALTA PRESSAO - 220V/250W - USO EXTERNO</v>
          </cell>
          <cell r="C2925" t="str">
            <v>UN</v>
          </cell>
          <cell r="D2925">
            <v>141.46</v>
          </cell>
        </row>
        <row r="2926">
          <cell r="A2926" t="str">
            <v>73831/2</v>
          </cell>
          <cell r="B2926" t="str">
            <v>LAMPADA DE VAPOR DE MERCURIO DE 250W - FORNECIMENTO E INSTALACAO</v>
          </cell>
          <cell r="C2926" t="str">
            <v>UN</v>
          </cell>
          <cell r="D2926">
            <v>26.72</v>
          </cell>
        </row>
        <row r="2927">
          <cell r="A2927" t="str">
            <v>73831/3</v>
          </cell>
          <cell r="B2927" t="str">
            <v>LAMPADA DE VAPOR DE MERCURIO DE 400W/250V - FORNECIMENTO E INSTALACAO</v>
          </cell>
          <cell r="C2927" t="str">
            <v>UN</v>
          </cell>
          <cell r="D2927">
            <v>34.93</v>
          </cell>
        </row>
        <row r="2928">
          <cell r="A2928" t="str">
            <v>73831/4</v>
          </cell>
          <cell r="B2928" t="str">
            <v>LAMPADA MISTA DE 160W - FORNECIMENTO E INSTALACAO</v>
          </cell>
          <cell r="C2928" t="str">
            <v>UN</v>
          </cell>
          <cell r="D2928">
            <v>17.309999999999999</v>
          </cell>
        </row>
        <row r="2929">
          <cell r="A2929" t="str">
            <v>73831/5</v>
          </cell>
          <cell r="B2929" t="str">
            <v>LAMPADA MISTA DE 250W - FORNECIMENTO E INSTALACAO</v>
          </cell>
          <cell r="C2929" t="str">
            <v>UN</v>
          </cell>
          <cell r="D2929">
            <v>22.2</v>
          </cell>
        </row>
        <row r="2930">
          <cell r="A2930" t="str">
            <v>73831/6</v>
          </cell>
          <cell r="B2930" t="str">
            <v>LAMPADA MISTA DE 500W - FORNECIMENTO E INSTALACAO</v>
          </cell>
          <cell r="C2930" t="str">
            <v>UN</v>
          </cell>
          <cell r="D2930">
            <v>38.74</v>
          </cell>
        </row>
        <row r="2931">
          <cell r="A2931" t="str">
            <v>73831/7</v>
          </cell>
          <cell r="B2931" t="str">
            <v>LAMPADA DE VAPOR DE SODIO DE 150WX220V - FORNECIMENTO E INSTALACAO</v>
          </cell>
          <cell r="C2931" t="str">
            <v>UN</v>
          </cell>
          <cell r="D2931">
            <v>31.57</v>
          </cell>
        </row>
        <row r="2932">
          <cell r="A2932" t="str">
            <v>73831/8</v>
          </cell>
          <cell r="B2932" t="str">
            <v>LAMPADA DE VAPOR DE SODIO DE 250WX220V - FORNECIMENTO E INSTALACAO</v>
          </cell>
          <cell r="C2932" t="str">
            <v>UN</v>
          </cell>
          <cell r="D2932">
            <v>35.840000000000003</v>
          </cell>
        </row>
        <row r="2933">
          <cell r="A2933" t="str">
            <v>73831/9</v>
          </cell>
          <cell r="B2933" t="str">
            <v>LAMPADA DE VAPOR DE SODIO DE 400WX220V - FORNECIMENTO E INSTALACAO</v>
          </cell>
          <cell r="C2933" t="str">
            <v>UN</v>
          </cell>
          <cell r="D2933">
            <v>41.1</v>
          </cell>
        </row>
        <row r="2934">
          <cell r="A2934" t="str">
            <v>74231/1</v>
          </cell>
          <cell r="B2934" t="str">
            <v>LUMINARIA ABERTA PARA ILUMINACAO PUBLICA, PARA LAMPADA A VAPOR DE MERCURIO ATE 400W E MISTA ATE 500W, COM BRACO EM TUBO DE ACO GALV D=50MM PROJ HOR=2.500MM E PROJ VERT= 2.200MM, FORNECIMENTO E INSTALACAO</v>
          </cell>
          <cell r="C2934" t="str">
            <v>UN</v>
          </cell>
          <cell r="D2934">
            <v>134.16999999999999</v>
          </cell>
        </row>
        <row r="2935">
          <cell r="A2935" t="str">
            <v>74246/1</v>
          </cell>
          <cell r="B2935" t="str">
            <v>REFLETOR RETANGULAR FECHADO COM LAMPADA VAPOR METALICO 400 W</v>
          </cell>
          <cell r="C2935" t="str">
            <v>UN</v>
          </cell>
          <cell r="D2935">
            <v>252.79</v>
          </cell>
        </row>
        <row r="2936">
          <cell r="A2936">
            <v>83399</v>
          </cell>
          <cell r="B2936" t="str">
            <v>RELE FOTOELETRICO P/ COMANDO DE ILUMINACAO EXTERNA 220V/1000W - FORNECIMENTO E INSTALACAO</v>
          </cell>
          <cell r="C2936" t="str">
            <v>UN</v>
          </cell>
          <cell r="D2936">
            <v>30.29</v>
          </cell>
        </row>
        <row r="2937">
          <cell r="A2937">
            <v>83400</v>
          </cell>
          <cell r="B2937" t="str">
            <v>BRACO P/ ILUMINACAO DE RUAS EM TUBO ACO GALV 1" COMP = 1,20M E INCLINACAO 25GRAUS EM RELACAO AO PLANO VERTICAL P/ FIXACAO EM POSTE OU PAREDE - FORNECIMENTO E INSTALACAO</v>
          </cell>
          <cell r="C2937" t="str">
            <v>UN</v>
          </cell>
          <cell r="D2937">
            <v>96.39</v>
          </cell>
        </row>
        <row r="2938">
          <cell r="A2938">
            <v>83401</v>
          </cell>
          <cell r="B2938" t="str">
            <v>BRACO P/ LUMINARIA PUBLICA 1 X 1,50 M, EM TUBO ACO GALV 3/4, P/ FIXACAO EM POSTE OU PAREDE - FORNECIMENTO E INSTALACAO</v>
          </cell>
          <cell r="C2938" t="str">
            <v>UN</v>
          </cell>
          <cell r="D2938">
            <v>96.39</v>
          </cell>
        </row>
        <row r="2939">
          <cell r="A2939">
            <v>83402</v>
          </cell>
          <cell r="B2939" t="str">
            <v>ABRACADEIRA DE FIXACAO DE BRACOS DE LUMINARIAS DE 4" - FORNECIMENTO E INSTALACAO</v>
          </cell>
          <cell r="C2939" t="str">
            <v>UN</v>
          </cell>
          <cell r="D2939">
            <v>54.21</v>
          </cell>
        </row>
        <row r="2940">
          <cell r="A2940">
            <v>83475</v>
          </cell>
          <cell r="B2940" t="str">
            <v>LUMINARIA FECHADA PARA ILUMINACAO PUBLICA COM REATOR DE PARTIDA RAPIDA COM LAMPADA A VAPOR DE MERCURIO 250W - FORNECIMENTO E INSTALACAO</v>
          </cell>
          <cell r="C2940" t="str">
            <v>UN</v>
          </cell>
          <cell r="D2940">
            <v>364.15</v>
          </cell>
        </row>
        <row r="2941">
          <cell r="A2941">
            <v>83478</v>
          </cell>
          <cell r="B2941" t="str">
            <v>LUMINARIA FECHADA PARA ILUMINACAO PUBLICA - LAMPADAS DE 250/500W - FORNECIMENTO E INSTALACAO (EXCLUINDO LAMPADAS)</v>
          </cell>
          <cell r="C2941" t="str">
            <v>UN</v>
          </cell>
          <cell r="D2941">
            <v>267.70999999999998</v>
          </cell>
        </row>
        <row r="2942">
          <cell r="A2942">
            <v>83479</v>
          </cell>
          <cell r="B2942" t="str">
            <v>LUMINARIA ESTANQUE - PROTECAO CONTRA AGUA, POEIRA OU IMPACTOS - TIPO AQUATIC PIAL OU EQUIVALENTE</v>
          </cell>
          <cell r="C2942" t="str">
            <v>UN</v>
          </cell>
          <cell r="D2942">
            <v>107.05</v>
          </cell>
        </row>
        <row r="2943">
          <cell r="A2943">
            <v>83480</v>
          </cell>
          <cell r="B2943" t="str">
            <v>REATOR PARA LAMPADA VAPOR DE MERCURIO 125W  USO EXTERNO</v>
          </cell>
          <cell r="C2943" t="str">
            <v>UN</v>
          </cell>
          <cell r="D2943">
            <v>84.39</v>
          </cell>
        </row>
        <row r="2944">
          <cell r="A2944">
            <v>83481</v>
          </cell>
          <cell r="B2944" t="str">
            <v>REATOR PARA LAMPADA VAPOR DE MERCURIO 250W USO EXTERNO</v>
          </cell>
          <cell r="C2944" t="str">
            <v>UN</v>
          </cell>
          <cell r="D2944">
            <v>94.9</v>
          </cell>
        </row>
        <row r="2945">
          <cell r="A2945">
            <v>97600</v>
          </cell>
          <cell r="B2945" t="str">
            <v>REFLETOR EM ALUMÍNIO COM SUPORTE E ALÇA, LÂMPADA 125 W - FORNECIMENTO E INSTALAÇÃO. AF_11/2017</v>
          </cell>
          <cell r="C2945" t="str">
            <v>UN</v>
          </cell>
          <cell r="D2945">
            <v>189.76</v>
          </cell>
        </row>
        <row r="2946">
          <cell r="A2946">
            <v>97601</v>
          </cell>
          <cell r="B2946" t="str">
            <v>REFLETOR EM ALUMÍNIO COM SUPORTE E ALÇA, LÂMPADA 250 W - FORNECIMENTO E INSTALAÇÃO. AF_11/2017</v>
          </cell>
          <cell r="C2946" t="str">
            <v>UN</v>
          </cell>
          <cell r="D2946">
            <v>199.65</v>
          </cell>
        </row>
        <row r="2947">
          <cell r="A2947">
            <v>97605</v>
          </cell>
          <cell r="B2947" t="str">
            <v>LUMINÁRIA ARANDELA TIPO MEIA-LUA, PARA 1 LÂMPADA LED - FORNECIMENTO E INSTALAÇÃO. AF_11/2017</v>
          </cell>
          <cell r="C2947" t="str">
            <v>UN</v>
          </cell>
          <cell r="D2947">
            <v>61.89</v>
          </cell>
        </row>
        <row r="2948">
          <cell r="A2948">
            <v>97606</v>
          </cell>
          <cell r="B2948" t="str">
            <v>LUMINÁRIA ARANDELA TIPO MEIA-LUA, PARA 1 LÂMPADA DE 15 W - FORNECIMENTO E INSTALAÇÃO. AF_11/2017</v>
          </cell>
          <cell r="C2948" t="str">
            <v>UN</v>
          </cell>
          <cell r="D2948">
            <v>52.74</v>
          </cell>
        </row>
        <row r="2949">
          <cell r="A2949">
            <v>97607</v>
          </cell>
          <cell r="B2949" t="str">
            <v>LUMINÁRIA ARANDELA TIPO TARTARUGA PARA 1 LÂMPADA LED - FORNECIMENTO E INSTALAÇÃO. AF_11/2017</v>
          </cell>
          <cell r="C2949" t="str">
            <v>UN</v>
          </cell>
          <cell r="D2949">
            <v>71.63</v>
          </cell>
        </row>
        <row r="2950">
          <cell r="A2950">
            <v>97608</v>
          </cell>
          <cell r="B2950" t="str">
            <v>LUMINÁRIA ARANDELA TIPO TARTARUGA, COM GRADE, PARA 1 LÂMPADA DE 15 W - FORNECIMENTO E INSTALAÇÃO. AF_11/2017</v>
          </cell>
          <cell r="C2950" t="str">
            <v>UN</v>
          </cell>
          <cell r="D2950">
            <v>62.48</v>
          </cell>
        </row>
        <row r="2951">
          <cell r="A2951" t="str">
            <v>73857/1</v>
          </cell>
          <cell r="B2951" t="str">
            <v>TRANSFORMADOR DISTRIBUICAO  75KVA TRIFASICO 60HZ CLASSE 15KV IMERSO EM ÓLEO MINERAL FORNECIMENTO E INSTALACAO</v>
          </cell>
          <cell r="C2951" t="str">
            <v>UN</v>
          </cell>
          <cell r="D2951">
            <v>6580.54</v>
          </cell>
        </row>
        <row r="2952">
          <cell r="A2952" t="str">
            <v>73857/2</v>
          </cell>
          <cell r="B2952" t="str">
            <v>TRANSFORMADOR DISTRIBUICAO  112,5KVA TRIFASICO 60HZ CLASSE 15KV IMERSO EM ÓLEO MINERAL FORNECIMENTO E INSTALACAO</v>
          </cell>
          <cell r="C2952" t="str">
            <v>UN</v>
          </cell>
          <cell r="D2952">
            <v>8132.16</v>
          </cell>
        </row>
        <row r="2953">
          <cell r="A2953" t="str">
            <v>73857/3</v>
          </cell>
          <cell r="B2953" t="str">
            <v>TRANSFORMADOR DISTRIBUICAO  150KVA TRIFASICO 60HZ CLASSE 15KV IMERSO EM ÓLEO MINERAL FORNECIMENTO E INSTALACAO</v>
          </cell>
          <cell r="C2953" t="str">
            <v>UN</v>
          </cell>
          <cell r="D2953">
            <v>10250.89</v>
          </cell>
        </row>
        <row r="2954">
          <cell r="A2954" t="str">
            <v>73857/4</v>
          </cell>
          <cell r="B2954" t="str">
            <v>TRANSFORMADOR DISTRIBUICAO  225KVA TRIFASICO 60HZ CLASSE 15KV IMERSO EM ÓLEO MINERAL FORNECIMENTO E INSTALACAO</v>
          </cell>
          <cell r="C2954" t="str">
            <v>UN</v>
          </cell>
          <cell r="D2954">
            <v>14354.08</v>
          </cell>
        </row>
        <row r="2955">
          <cell r="A2955" t="str">
            <v>73857/5</v>
          </cell>
          <cell r="B2955" t="str">
            <v>TRANSFORMADOR DISTRIBUICAO  300KVA TRIFASICO 60HZ CLASSE 15KV IMERSO EM ÓLEO MINERAL FORNECIMENTO E INSTALACAO</v>
          </cell>
          <cell r="C2955" t="str">
            <v>UN</v>
          </cell>
          <cell r="D2955">
            <v>16743.330000000002</v>
          </cell>
        </row>
        <row r="2956">
          <cell r="A2956" t="str">
            <v>73857/6</v>
          </cell>
          <cell r="B2956" t="str">
            <v>TRANSFORMADOR DISTRIBUICAO  500KVA TRIFASICO 60HZ CLASSE 15KV IMERSO EM ÓLEO MINERAL FORNECIMENTO E INSTALACAO</v>
          </cell>
          <cell r="C2956" t="str">
            <v>UN</v>
          </cell>
          <cell r="D2956">
            <v>27246.89</v>
          </cell>
        </row>
        <row r="2957">
          <cell r="A2957" t="str">
            <v>73857/7</v>
          </cell>
          <cell r="B2957" t="str">
            <v>TRANSFORMADOR DISTRIBUICAO  30KVA TRIFASICO 60HZ CLASSE 15KV IMERSO EM ÓLEO MINERAL FORNECIMENTO E INSTALACAO</v>
          </cell>
          <cell r="C2957" t="str">
            <v>UN</v>
          </cell>
          <cell r="D2957">
            <v>4541.42</v>
          </cell>
        </row>
        <row r="2958">
          <cell r="A2958" t="str">
            <v>73857/8</v>
          </cell>
          <cell r="B2958" t="str">
            <v>TRANSFORMADOR DISTRIBUICAO  45KVA TRIFASICO 60HZ CLASSE 15KV IMERSO EM ÓLEO MINERAL FORNECIMENTO E INSTALACAO</v>
          </cell>
          <cell r="C2958" t="str">
            <v>UN</v>
          </cell>
          <cell r="D2958">
            <v>5086.8500000000004</v>
          </cell>
        </row>
        <row r="2959">
          <cell r="A2959" t="str">
            <v>73857/9</v>
          </cell>
          <cell r="B2959" t="str">
            <v>TRANSFORMADOR DISTRIBUICAO  750KVA TRIFASICO 60HZ CLASSE 15KV IMERSO EM ÓLEO MINERAL FORNECIMENTO E INSTALACAO</v>
          </cell>
          <cell r="C2959" t="str">
            <v>UN</v>
          </cell>
          <cell r="D2959">
            <v>37330.07</v>
          </cell>
        </row>
        <row r="2960">
          <cell r="A2960" t="str">
            <v>73857/10</v>
          </cell>
          <cell r="B2960" t="str">
            <v>TRANSFORMADOR DISTRIBUICAO  1000KVA TRIFASICO 60HZ CLASSE 15KV IMERSO EM ÓLEO MINERAL FORNECIMENTO E INSTALACAO</v>
          </cell>
          <cell r="C2960" t="str">
            <v>UN</v>
          </cell>
          <cell r="D2960">
            <v>52210.83</v>
          </cell>
        </row>
        <row r="2961">
          <cell r="A2961">
            <v>93128</v>
          </cell>
          <cell r="B2961" t="str">
            <v>PONTO DE ILUMINAÇÃO RESIDENCIAL INCLUINDO INTERRUPTOR SIMPLES, CAIXA ELÉTRICA, ELETRODUTO, CABO, RASGO, QUEBRA E CHUMBAMENTO (EXCLUINDO LUMINÁRIA E LÂMPADA). AF_01/2016</v>
          </cell>
          <cell r="C2961" t="str">
            <v>UN</v>
          </cell>
          <cell r="D2961">
            <v>107.54</v>
          </cell>
        </row>
        <row r="2962">
          <cell r="A2962">
            <v>93137</v>
          </cell>
          <cell r="B2962" t="str">
            <v>PONTO DE ILUMINAÇÃO RESIDENCIAL INCLUINDO INTERRUPTOR SIMPLES (2 MÓDULOS), CAIXA ELÉTRICA, ELETRODUTO, CABO, RASGO, QUEBRA E CHUMBAMENTO (EXCLUINDO LUMINÁRIA E LÂMPADA). AF_01/2016</v>
          </cell>
          <cell r="C2962" t="str">
            <v>UN</v>
          </cell>
          <cell r="D2962">
            <v>126.73</v>
          </cell>
        </row>
        <row r="2963">
          <cell r="A2963">
            <v>93138</v>
          </cell>
          <cell r="B2963" t="str">
            <v>PONTO DE ILUMINAÇÃO RESIDENCIAL INCLUINDO INTERRUPTOR PARALELO, CAIXA ELÉTRICA, ELETRODUTO, CABO, RASGO, QUEBRA E CHUMBAMENTO (EXCLUINDO LUMINÁRIA E LÂMPADA). AF_01/2016</v>
          </cell>
          <cell r="C2963" t="str">
            <v>UN</v>
          </cell>
          <cell r="D2963">
            <v>120.04</v>
          </cell>
        </row>
        <row r="2964">
          <cell r="A2964">
            <v>93139</v>
          </cell>
          <cell r="B2964" t="str">
            <v>PONTO DE ILUMINAÇÃO RESIDENCIAL INCLUINDO INTERRUPTOR PARALELO (2 MÓDULOS), CAIXA ELÉTRICA, ELETRODUTO, CABO, RASGO, QUEBRA E CHUMBAMENTO (EXCLUINDO LUMINÁRIA E LÂMPADA). AF_01/2016</v>
          </cell>
          <cell r="C2964" t="str">
            <v>UN</v>
          </cell>
          <cell r="D2964">
            <v>151.69</v>
          </cell>
        </row>
        <row r="2965">
          <cell r="A2965">
            <v>93140</v>
          </cell>
          <cell r="B2965" t="str">
            <v>PONTO DE ILUMINAÇÃO RESIDENCIAL INCLUINDO INTERRUPTOR SIMPLES CONJUGADO COM PARALELO, CAIXA ELÉTRICA, ELETRODUTO, CABO, RASGO, QUEBRA E CHUMBAMENTO (EXCLUINDO LUMINÁRIA E LÂMPADA). AF_01/2016</v>
          </cell>
          <cell r="C2965" t="str">
            <v>UN</v>
          </cell>
          <cell r="D2965">
            <v>143.09</v>
          </cell>
        </row>
        <row r="2966">
          <cell r="A2966">
            <v>93141</v>
          </cell>
          <cell r="B2966" t="str">
            <v>PONTO DE TOMADA RESIDENCIAL INCLUINDO TOMADA 10A/250V, CAIXA ELÉTRICA, ELETRODUTO, CABO, RASGO, QUEBRA E CHUMBAMENTO. AF_01/2016</v>
          </cell>
          <cell r="C2966" t="str">
            <v>UN</v>
          </cell>
          <cell r="D2966">
            <v>128.76</v>
          </cell>
        </row>
        <row r="2967">
          <cell r="A2967">
            <v>93142</v>
          </cell>
          <cell r="B2967" t="str">
            <v>PONTO DE TOMADA RESIDENCIAL INCLUINDO TOMADA (2 MÓDULOS) 10A/250V, CAIXA ELÉTRICA, ELETRODUTO, CABO, RASGO, QUEBRA E CHUMBAMENTO. AF_01/2016</v>
          </cell>
          <cell r="C2967" t="str">
            <v>UN</v>
          </cell>
          <cell r="D2967">
            <v>143.91999999999999</v>
          </cell>
        </row>
        <row r="2968">
          <cell r="A2968">
            <v>93143</v>
          </cell>
          <cell r="B2968" t="str">
            <v>PONTO DE TOMADA RESIDENCIAL INCLUINDO TOMADA 20A/250V, CAIXA ELÉTRICA, ELETRODUTO, CABO, RASGO, QUEBRA E CHUMBAMENTO. AF_01/2016</v>
          </cell>
          <cell r="C2968" t="str">
            <v>UN</v>
          </cell>
          <cell r="D2968">
            <v>130.41999999999999</v>
          </cell>
        </row>
        <row r="2969">
          <cell r="A2969">
            <v>93144</v>
          </cell>
          <cell r="B2969" t="str">
            <v>PONTO DE UTILIZAÇÃO DE EQUIPAMENTOS ELÉTRICOS, RESIDENCIAL, INCLUINDO SUPORTE E PLACA, CAIXA ELÉTRICA, ELETRODUTO, CABO, RASGO, QUEBRA E CHUMBAMENTO. AF_01/2016</v>
          </cell>
          <cell r="C2969" t="str">
            <v>UN</v>
          </cell>
          <cell r="D2969">
            <v>162.83000000000001</v>
          </cell>
        </row>
        <row r="2970">
          <cell r="A2970">
            <v>93145</v>
          </cell>
          <cell r="B2970" t="str">
            <v>PONTO DE ILUMINAÇÃO E TOMADA, RESIDENCIAL, INCLUINDO INTERRUPTOR SIMPLES E TOMADA 10A/250V, CAIXA ELÉTRICA, ELETRODUTO, CABO, RASGO, QUEBRA E CHUMBAMENTO (EXCLUINDO LUMINÁRIA E LÂMPADA). AF_01/2016</v>
          </cell>
          <cell r="C2970" t="str">
            <v>UN</v>
          </cell>
          <cell r="D2970">
            <v>155.71</v>
          </cell>
        </row>
        <row r="2971">
          <cell r="A2971">
            <v>93146</v>
          </cell>
          <cell r="B2971" t="str">
            <v>PONTO DE ILUMINAÇÃO E TOMADA, RESIDENCIAL, INCLUINDO INTERRUPTOR PARALELO E TOMADA 10A/250V, CAIXA ELÉTRICA, ELETRODUTO, CABO, RASGO, QUEBRA E CHUMBAMENTO (EXCLUINDO LUMINÁRIA E LÂMPADA). AF_01/2016</v>
          </cell>
          <cell r="C2971" t="str">
            <v>UN</v>
          </cell>
          <cell r="D2971">
            <v>168.21</v>
          </cell>
        </row>
        <row r="2972">
          <cell r="A2972">
            <v>93147</v>
          </cell>
          <cell r="B2972" t="str">
            <v>PONTO DE ILUMINAÇÃO E TOMADA, RESIDENCIAL, INCLUINDO INTERRUPTOR SIMPLES, INTERRUPTOR PARALELO E TOMADA 10A/250V, CAIXA ELÉTRICA, ELETRODUTO, CABO, RASGO, QUEBRA E CHUMBAMENTO (EXCLUINDO LUMINÁRIA E LÂMPADA). AF_01/2016</v>
          </cell>
          <cell r="C2972" t="str">
            <v>UN</v>
          </cell>
          <cell r="D2972">
            <v>191.29</v>
          </cell>
        </row>
        <row r="2973">
          <cell r="A2973">
            <v>8260</v>
          </cell>
          <cell r="B2973" t="str">
            <v>INSTALACAO PARA-RAIOS P/RESERVATORIO</v>
          </cell>
          <cell r="C2973" t="str">
            <v>UN</v>
          </cell>
          <cell r="D2973">
            <v>3034.25</v>
          </cell>
        </row>
        <row r="2974">
          <cell r="A2974">
            <v>72315</v>
          </cell>
          <cell r="B2974" t="str">
            <v>TERMINAL AEREO EM ACO GALVANIZADO COM BASE DE FIXACAO H = 30CM</v>
          </cell>
          <cell r="C2974" t="str">
            <v>UN</v>
          </cell>
          <cell r="D2974">
            <v>29.09</v>
          </cell>
        </row>
        <row r="2975">
          <cell r="A2975">
            <v>96971</v>
          </cell>
          <cell r="B2975" t="str">
            <v>CORDOALHA DE COBRE NU 16 MM², NÃO ENTERRADA, COM ISOLADOR - FORNECIMENTO E INSTALAÇÃO. AF_12/2017</v>
          </cell>
          <cell r="C2975" t="str">
            <v>M</v>
          </cell>
          <cell r="D2975">
            <v>22.76</v>
          </cell>
        </row>
        <row r="2976">
          <cell r="A2976">
            <v>96972</v>
          </cell>
          <cell r="B2976" t="str">
            <v>CORDOALHA DE COBRE NU 25 MM², NÃO ENTERRADA, COM ISOLADOR - FORNECIMENTO E INSTALAÇÃO. AF_12/2017</v>
          </cell>
          <cell r="C2976" t="str">
            <v>M</v>
          </cell>
          <cell r="D2976">
            <v>30.89</v>
          </cell>
        </row>
        <row r="2977">
          <cell r="A2977">
            <v>96973</v>
          </cell>
          <cell r="B2977" t="str">
            <v>CORDOALHA DE COBRE NU 35 MM², NÃO ENTERRADA, COM ISOLADOR - FORNECIMENTO E INSTALAÇÃO. AF_12/2017</v>
          </cell>
          <cell r="C2977" t="str">
            <v>M</v>
          </cell>
          <cell r="D2977">
            <v>38.630000000000003</v>
          </cell>
        </row>
        <row r="2978">
          <cell r="A2978">
            <v>96974</v>
          </cell>
          <cell r="B2978" t="str">
            <v>CORDOALHA DE COBRE NU 50 MM², NÃO ENTERRADA, COM ISOLADOR - FORNECIMENTO E INSTALAÇÃO. AF_12/2017</v>
          </cell>
          <cell r="C2978" t="str">
            <v>M</v>
          </cell>
          <cell r="D2978">
            <v>48.71</v>
          </cell>
        </row>
        <row r="2979">
          <cell r="A2979">
            <v>96975</v>
          </cell>
          <cell r="B2979" t="str">
            <v>CORDOALHA DE COBRE NU 70 MM², NÃO ENTERRADA, COM ISOLADOR - FORNECIMENTO E INSTALAÇÃO. AF_12/2017</v>
          </cell>
          <cell r="C2979" t="str">
            <v>M</v>
          </cell>
          <cell r="D2979">
            <v>61.97</v>
          </cell>
        </row>
        <row r="2980">
          <cell r="A2980">
            <v>96976</v>
          </cell>
          <cell r="B2980" t="str">
            <v>CORDOALHA DE COBRE NU 95 MM², NÃO ENTERRADA, COM ISOLADOR - FORNECIMENTO E INSTALAÇÃO. AF_12/2017</v>
          </cell>
          <cell r="C2980" t="str">
            <v>M</v>
          </cell>
          <cell r="D2980">
            <v>79.349999999999994</v>
          </cell>
        </row>
        <row r="2981">
          <cell r="A2981">
            <v>96977</v>
          </cell>
          <cell r="B2981" t="str">
            <v>CORDOALHA DE COBRE NU 50 MM², ENTERRADA, SEM ISOLADOR - FORNECIMENTO E INSTALAÇÃO. AF_12/2017</v>
          </cell>
          <cell r="C2981" t="str">
            <v>M</v>
          </cell>
          <cell r="D2981">
            <v>28.72</v>
          </cell>
        </row>
        <row r="2982">
          <cell r="A2982">
            <v>96978</v>
          </cell>
          <cell r="B2982" t="str">
            <v>CORDOALHA DE COBRE NU 70 MM², ENTERRADA, SEM ISOLADOR - FORNECIMENTO E INSTALAÇÃO. AF_12/2017</v>
          </cell>
          <cell r="C2982" t="str">
            <v>M</v>
          </cell>
          <cell r="D2982">
            <v>40.24</v>
          </cell>
        </row>
        <row r="2983">
          <cell r="A2983">
            <v>96979</v>
          </cell>
          <cell r="B2983" t="str">
            <v>CORDOALHA DE COBRE NU 95 MM², ENTERRADA, SEM ISOLADOR - FORNECIMENTO E INSTALAÇÃO. AF_12/2017</v>
          </cell>
          <cell r="C2983" t="str">
            <v>M</v>
          </cell>
          <cell r="D2983">
            <v>56.28</v>
          </cell>
        </row>
        <row r="2984">
          <cell r="A2984">
            <v>96984</v>
          </cell>
          <cell r="B2984" t="str">
            <v>ELETRODUTO PVC 40MM (1 ¼ ) PARA SPDA - FORNECIMENTO E INSTALAÇÃO. AF_12/2017</v>
          </cell>
          <cell r="C2984" t="str">
            <v>UN</v>
          </cell>
          <cell r="D2984">
            <v>41.39</v>
          </cell>
        </row>
        <row r="2985">
          <cell r="A2985">
            <v>96985</v>
          </cell>
          <cell r="B2985" t="str">
            <v>HASTE DE ATERRAMENTO 5/8  PARA SPDA - FORNECIMENTO E INSTALAÇÃO. AF_12/2017</v>
          </cell>
          <cell r="C2985" t="str">
            <v>UN</v>
          </cell>
          <cell r="D2985">
            <v>41.87</v>
          </cell>
        </row>
        <row r="2986">
          <cell r="A2986">
            <v>96986</v>
          </cell>
          <cell r="B2986" t="str">
            <v>HASTE DE ATERRAMENTO 3/4  PARA SPDA - FORNECIMENTO E INSTALAÇÃO. AF_12/2017</v>
          </cell>
          <cell r="C2986" t="str">
            <v>UN</v>
          </cell>
          <cell r="D2986">
            <v>62.74</v>
          </cell>
        </row>
        <row r="2987">
          <cell r="A2987">
            <v>96987</v>
          </cell>
          <cell r="B2987" t="str">
            <v>BASE METÁLICA PARA MASTRO 1 ½  PARA SPDA - FORNECIMENTO E INSTALAÇÃO. AF_12/2017</v>
          </cell>
          <cell r="C2987" t="str">
            <v>UN</v>
          </cell>
          <cell r="D2987">
            <v>108.56</v>
          </cell>
        </row>
        <row r="2988">
          <cell r="A2988">
            <v>96988</v>
          </cell>
          <cell r="B2988" t="str">
            <v>MASTRO 1 ½  PARA SPDA - FORNECIMENTO E INSTALAÇÃO. AF_12/2017</v>
          </cell>
          <cell r="C2988" t="str">
            <v>UN</v>
          </cell>
          <cell r="D2988">
            <v>157.94999999999999</v>
          </cell>
        </row>
        <row r="2989">
          <cell r="A2989">
            <v>96989</v>
          </cell>
          <cell r="B2989" t="str">
            <v>CAPTOR TIPO FRANKLIN PARA SPDA - FORNECIMENTO E INSTALAÇÃO. AF_12/2017</v>
          </cell>
          <cell r="C2989" t="str">
            <v>UN</v>
          </cell>
          <cell r="D2989">
            <v>103.96</v>
          </cell>
        </row>
        <row r="2990">
          <cell r="A2990">
            <v>98463</v>
          </cell>
          <cell r="B2990" t="str">
            <v>SUPORTE ISOLADOR PARA CORDOALHA DE COBRE - FORNECIMENTO E INSTALAÇÃO. AF_12/2017</v>
          </cell>
          <cell r="C2990" t="str">
            <v>UN</v>
          </cell>
          <cell r="D2990">
            <v>20.75</v>
          </cell>
        </row>
        <row r="2991">
          <cell r="A2991">
            <v>9535</v>
          </cell>
          <cell r="B2991" t="str">
            <v>CHUVEIRO ELETRICO COMUM CORPO PLASTICO TIPO DUCHA, FORNECIMENTO E INSTALACAO</v>
          </cell>
          <cell r="C2991" t="str">
            <v>UN</v>
          </cell>
          <cell r="D2991">
            <v>74.09</v>
          </cell>
        </row>
        <row r="2992">
          <cell r="A2992">
            <v>72327</v>
          </cell>
          <cell r="B2992" t="str">
            <v>FUSÍVEL TIPO "DIAZED", TIPO RÁPIDO OU RETARDADO - 2/25A - FORNECIMENTO E INSTALACAO</v>
          </cell>
          <cell r="C2992" t="str">
            <v>UN</v>
          </cell>
          <cell r="D2992">
            <v>5.85</v>
          </cell>
        </row>
        <row r="2993">
          <cell r="A2993">
            <v>72328</v>
          </cell>
          <cell r="B2993" t="str">
            <v>FUSÍVEL TIPO "DIAZED", TIPO RÁPIDO OU RETARDADO - 35/63A - FORNECIMENTO E INSTALACAO</v>
          </cell>
          <cell r="C2993" t="str">
            <v>UN</v>
          </cell>
          <cell r="D2993">
            <v>6.76</v>
          </cell>
        </row>
        <row r="2994">
          <cell r="A2994">
            <v>72330</v>
          </cell>
          <cell r="B2994" t="str">
            <v>FUSÍVEL TIPO NH 200A - TAMANHO 01 - FORNECIMENTO E INSTALACAO</v>
          </cell>
          <cell r="C2994" t="str">
            <v>UN</v>
          </cell>
          <cell r="D2994">
            <v>26.51</v>
          </cell>
        </row>
        <row r="2995">
          <cell r="A2995" t="str">
            <v>73780/2</v>
          </cell>
          <cell r="B2995" t="str">
            <v>CHAVE BLINDADA TRIPOLAR 250V, 30A - FORNECIMENTO E INSTALACAO</v>
          </cell>
          <cell r="C2995" t="str">
            <v>UN</v>
          </cell>
          <cell r="D2995">
            <v>229.92</v>
          </cell>
        </row>
        <row r="2996">
          <cell r="A2996" t="str">
            <v>73780/3</v>
          </cell>
          <cell r="B2996" t="str">
            <v>CHAVE BLINDADA TRIPOLAR 250V, 60A - FORNECIMENTO E INSTALACAO</v>
          </cell>
          <cell r="C2996" t="str">
            <v>UN</v>
          </cell>
          <cell r="D2996">
            <v>352.83</v>
          </cell>
        </row>
        <row r="2997">
          <cell r="A2997" t="str">
            <v>73780/4</v>
          </cell>
          <cell r="B2997" t="str">
            <v>CHAVE BLINDADA TRIPOLAR 250V, 100A - FORNECIMENTO E INSTALACAO</v>
          </cell>
          <cell r="C2997" t="str">
            <v>UN</v>
          </cell>
          <cell r="D2997">
            <v>650.73</v>
          </cell>
        </row>
        <row r="2998">
          <cell r="A2998">
            <v>83482</v>
          </cell>
          <cell r="B2998" t="str">
            <v>FUSIVEL TIPO NH 250 A, TAMANHO 1 - FORNECIMENTO E INSTALACAO</v>
          </cell>
          <cell r="C2998" t="str">
            <v>UN</v>
          </cell>
          <cell r="D2998">
            <v>26.51</v>
          </cell>
        </row>
        <row r="2999">
          <cell r="A2999">
            <v>83487</v>
          </cell>
          <cell r="B2999" t="str">
            <v>BASE PARA FUSIVEL (PORTA-FUSIVEL) NH 01 250A</v>
          </cell>
          <cell r="C2999" t="str">
            <v>UN</v>
          </cell>
          <cell r="D2999">
            <v>108.59</v>
          </cell>
        </row>
        <row r="3000">
          <cell r="A3000">
            <v>83490</v>
          </cell>
          <cell r="B3000" t="str">
            <v>CHAVE FACA TRIPOLAR BLINDADA 250V/30A - FORNECIMENTO E INSTALACAO</v>
          </cell>
          <cell r="C3000" t="str">
            <v>UN</v>
          </cell>
          <cell r="D3000">
            <v>226.19</v>
          </cell>
        </row>
        <row r="3001">
          <cell r="A3001">
            <v>83491</v>
          </cell>
          <cell r="B3001" t="str">
            <v>CHAVE GUARDA MOTOR TRIFASICO 5CV/220V C/ CHAVE MAGNETICA - FORNECIMENTO E INSTALACAO</v>
          </cell>
          <cell r="C3001" t="str">
            <v>UN</v>
          </cell>
          <cell r="D3001">
            <v>319.05</v>
          </cell>
        </row>
        <row r="3002">
          <cell r="A3002">
            <v>83492</v>
          </cell>
          <cell r="B3002" t="str">
            <v>CHAVE GUARDA MOTOR TRIFISICA 10CV/220V C/ CHAVE MAGNETICA - FORNECIMENTO E INSTALACAO</v>
          </cell>
          <cell r="C3002" t="str">
            <v>UN</v>
          </cell>
          <cell r="D3002">
            <v>481.78</v>
          </cell>
        </row>
        <row r="3003">
          <cell r="A3003">
            <v>83493</v>
          </cell>
          <cell r="B3003" t="str">
            <v>FUSIVEL TIPO NH 250A - TAMANHO 01 - FORNECIMENTO E INSTALACAO</v>
          </cell>
          <cell r="C3003" t="str">
            <v>UN</v>
          </cell>
          <cell r="D3003">
            <v>26.51</v>
          </cell>
        </row>
        <row r="3004">
          <cell r="A3004">
            <v>85195</v>
          </cell>
          <cell r="B3004" t="str">
            <v>CHAVE DE BOIA AUTOMÁTICA</v>
          </cell>
          <cell r="C3004" t="str">
            <v>UN</v>
          </cell>
          <cell r="D3004">
            <v>60.9</v>
          </cell>
        </row>
        <row r="3005">
          <cell r="A3005">
            <v>88547</v>
          </cell>
          <cell r="B3005" t="str">
            <v>CHAVE DE BOIA AUTOMÁTICA SUPERIOR 10A/250V - FORNECIMENTO E INSTALACAO</v>
          </cell>
          <cell r="C3005" t="str">
            <v>UN</v>
          </cell>
          <cell r="D3005">
            <v>67.75</v>
          </cell>
        </row>
        <row r="3006">
          <cell r="A3006">
            <v>72283</v>
          </cell>
          <cell r="B3006" t="str">
            <v>ABRIGO PARA HIDRANTE, 75X45X17CM, COM REGISTRO GLOBO ANGULAR 45º 2.1/2", ADAPTADOR STORZ 2.1/2", MANGUEIRA DE INCÊNDIO 15M, REDUÇÃO 2.1/2X1.1/2" E ESGUICHO EM LATÃO 1.1/2" - FORNECIMENTO E INSTALAÇÃO</v>
          </cell>
          <cell r="C3006" t="str">
            <v>UN</v>
          </cell>
          <cell r="D3006">
            <v>818.71</v>
          </cell>
        </row>
        <row r="3007">
          <cell r="A3007">
            <v>72287</v>
          </cell>
          <cell r="B3007" t="str">
            <v>CAIXA DE INCÊNDIO 45X75X17CM - FORNECIMENTO E INSTALAÇÃO</v>
          </cell>
          <cell r="C3007" t="str">
            <v>UN</v>
          </cell>
          <cell r="D3007">
            <v>210.89</v>
          </cell>
        </row>
        <row r="3008">
          <cell r="A3008">
            <v>72288</v>
          </cell>
          <cell r="B3008" t="str">
            <v>CAIXA DE INCÊNDIO 60X75X17CM - FORNECIMENTO E INSTALAÇÃO</v>
          </cell>
          <cell r="C3008" t="str">
            <v>UN</v>
          </cell>
          <cell r="D3008">
            <v>261.8</v>
          </cell>
        </row>
        <row r="3009">
          <cell r="A3009">
            <v>72553</v>
          </cell>
          <cell r="B3009" t="str">
            <v>EXTINTOR DE PQS 4KG - FORNECIMENTO E INSTALACAO</v>
          </cell>
          <cell r="C3009" t="str">
            <v>UN</v>
          </cell>
          <cell r="D3009">
            <v>130.41999999999999</v>
          </cell>
        </row>
        <row r="3010">
          <cell r="A3010">
            <v>72554</v>
          </cell>
          <cell r="B3010" t="str">
            <v>EXTINTOR DE CO2 6KG - FORNECIMENTO E INSTALACAO</v>
          </cell>
          <cell r="C3010" t="str">
            <v>UN</v>
          </cell>
          <cell r="D3010">
            <v>433.21</v>
          </cell>
        </row>
        <row r="3011">
          <cell r="A3011" t="str">
            <v>73775/1</v>
          </cell>
          <cell r="B3011" t="str">
            <v>EXTINTOR INCENDIO TP PO QUIMICO 4KG FORNECIMENTO E COLOCACAO</v>
          </cell>
          <cell r="C3011" t="str">
            <v>UN</v>
          </cell>
          <cell r="D3011">
            <v>137.19999999999999</v>
          </cell>
        </row>
        <row r="3012">
          <cell r="A3012" t="str">
            <v>73775/2</v>
          </cell>
          <cell r="B3012" t="str">
            <v>EXTINTOR INCENDIO AGUA-PRESSURIZADA 10L INCL SUPORTE PAREDE CARGA     COMPLETA FORNECIMENTO E COLOCACAO</v>
          </cell>
          <cell r="C3012" t="str">
            <v>UN</v>
          </cell>
          <cell r="D3012">
            <v>141.25</v>
          </cell>
        </row>
        <row r="3013">
          <cell r="A3013">
            <v>83633</v>
          </cell>
          <cell r="B3013" t="str">
            <v>HIDRANTE SUBTERRANEO FERRO FUNDIDO C/ CURVA LONGA E CAIXA DN=75MM</v>
          </cell>
          <cell r="C3013" t="str">
            <v>UN</v>
          </cell>
          <cell r="D3013">
            <v>1915.61</v>
          </cell>
        </row>
        <row r="3014">
          <cell r="A3014">
            <v>83634</v>
          </cell>
          <cell r="B3014" t="str">
            <v>EXTINTOR INCENDIO TP GAS CARBONICO 4KG COMPLETO - FORNECIMENTO E INSTALACAO</v>
          </cell>
          <cell r="C3014" t="str">
            <v>UN</v>
          </cell>
          <cell r="D3014">
            <v>407.54</v>
          </cell>
        </row>
        <row r="3015">
          <cell r="A3015">
            <v>83635</v>
          </cell>
          <cell r="B3015" t="str">
            <v>EXTINTOR INCENDIO TP PO QUIMICO 6KG - FORNECIMENTO E INSTALACAO</v>
          </cell>
          <cell r="C3015" t="str">
            <v>UN</v>
          </cell>
          <cell r="D3015">
            <v>158.83000000000001</v>
          </cell>
        </row>
        <row r="3016">
          <cell r="A3016">
            <v>96765</v>
          </cell>
          <cell r="B3016" t="str">
            <v>ABRIGO PARA HIDRANTE, 90X60X17CM, COM REGISTRO GLOBO ANGULAR 45 GRAUS 2 1/2", ADAPTADOR STORZ 2 1/2", MANGUEIRA DE INCÊNDIO 20M, REDUÇÃO 2 1/2 X 1 1/2" E ESGUICHO EM LATÃO 1 1/2" - FORNECIMENTO E INSTALAÇÃO. AF_08/2017</v>
          </cell>
          <cell r="C3016" t="str">
            <v>UN</v>
          </cell>
          <cell r="D3016">
            <v>958.01</v>
          </cell>
        </row>
        <row r="3017">
          <cell r="A3017">
            <v>72337</v>
          </cell>
          <cell r="B3017" t="str">
            <v>TOMADA PARA TELEFONE DE 4 POLOS PADRAO TELEBRAS - FORNECIMENTO E INSTALACAO</v>
          </cell>
          <cell r="C3017" t="str">
            <v>UN</v>
          </cell>
          <cell r="D3017">
            <v>21.82</v>
          </cell>
        </row>
        <row r="3018">
          <cell r="A3018" t="str">
            <v>73749/1</v>
          </cell>
          <cell r="B3018" t="str">
            <v>CAIXA ENTERRADA PARA INSTALACOES TELEFONICAS TIPO R1 0,60X0,35X0,50M EM BLOCOS DE CONCRETO ESTRUTURAL</v>
          </cell>
          <cell r="C3018" t="str">
            <v>UN</v>
          </cell>
          <cell r="D3018">
            <v>180.76</v>
          </cell>
        </row>
        <row r="3019">
          <cell r="A3019" t="str">
            <v>73749/2</v>
          </cell>
          <cell r="B3019" t="str">
            <v>CAIXA ENTERRADA PARA INSTALACOES TELEFONICAS TIPO R2 1,07X0,52X0,50M EM BLOCOS DE CONCRETO ESTRUTURAL</v>
          </cell>
          <cell r="C3019" t="str">
            <v>UN</v>
          </cell>
          <cell r="D3019">
            <v>328.34</v>
          </cell>
        </row>
        <row r="3020">
          <cell r="A3020" t="str">
            <v>73749/3</v>
          </cell>
          <cell r="B3020" t="str">
            <v>CAIXA ENTERRADA PARA INSTALACOES TELEFONICAS TIPO R3 1,30X1,20X1,20M EM BLOCOS DE CONCRETO ESTRUTURAL</v>
          </cell>
          <cell r="C3020" t="str">
            <v>UN</v>
          </cell>
          <cell r="D3020">
            <v>1072.8499999999999</v>
          </cell>
        </row>
        <row r="3021">
          <cell r="A3021">
            <v>83366</v>
          </cell>
          <cell r="B3021" t="str">
            <v>CAIXA DE PASSAGEM PARA TELEFONE 15X15X10CM (SOBREPOR), FORNECIMENTO E INSTALACAO.</v>
          </cell>
          <cell r="C3021" t="str">
            <v>UN</v>
          </cell>
          <cell r="D3021">
            <v>60.92</v>
          </cell>
        </row>
        <row r="3022">
          <cell r="A3022">
            <v>83367</v>
          </cell>
          <cell r="B3022" t="str">
            <v>CAIXA DE PASSAGEM PARA TELEFONE 80X80X15CM (SOBREPOR) FORNECIMENTO E INSTALACAO</v>
          </cell>
          <cell r="C3022" t="str">
            <v>UN</v>
          </cell>
          <cell r="D3022">
            <v>411.46</v>
          </cell>
        </row>
        <row r="3023">
          <cell r="A3023">
            <v>83368</v>
          </cell>
          <cell r="B3023" t="str">
            <v>CAIXA DE PASSAGEM PARA TELEFONE 150X150X15CM (SOBREPOR) FORNECIMENTO E INSTALACAO</v>
          </cell>
          <cell r="C3023" t="str">
            <v>UN</v>
          </cell>
          <cell r="D3023">
            <v>1130.75</v>
          </cell>
        </row>
        <row r="3024">
          <cell r="A3024">
            <v>83369</v>
          </cell>
          <cell r="B3024" t="str">
            <v>QUADRO DE DISTRIBUICAO PARA TELEFONE N.4, 60X60X12CM EM CHAPA METALICA, DE EMBUTIR, SEM ACESSORIOS, PADRAO TELEBRAS, FORNECIMENTO E INSTALACAO</v>
          </cell>
          <cell r="C3024" t="str">
            <v>UN</v>
          </cell>
          <cell r="D3024">
            <v>270.5</v>
          </cell>
        </row>
        <row r="3025">
          <cell r="A3025">
            <v>83370</v>
          </cell>
          <cell r="B3025" t="str">
            <v>QUADRO DE DISTRIBUICAO PARA TELEFONE N.3, 40X40X12CM EM CHAPA METALICA, DE EMBUTIR, SEM ACESSORIOS, PADRAO TELEBRAS, FORNECIMENTO E INSTALACAO</v>
          </cell>
          <cell r="C3025" t="str">
            <v>UN</v>
          </cell>
          <cell r="D3025">
            <v>170.81</v>
          </cell>
        </row>
        <row r="3026">
          <cell r="A3026">
            <v>83371</v>
          </cell>
          <cell r="B3026" t="str">
            <v>QUADRO DE DISTRIBUICAO PARA TELEFONE N.2, 20X20X12CM EM CHAPA METALICA, DE EMBUTIR, SEM ACESSORIOS, PADRAO TELEBRAS, FORNECIMENTO E INSTALACAO</v>
          </cell>
          <cell r="C3026" t="str">
            <v>UN</v>
          </cell>
          <cell r="D3026">
            <v>104.09</v>
          </cell>
        </row>
        <row r="3027">
          <cell r="A3027">
            <v>84676</v>
          </cell>
          <cell r="B3027" t="str">
            <v>QUADRO DE DISTRIBUICAO PARA TELEFONE N.5, 80X80X12CM EM CHAPA METALICA, SEM ACESSORIOS, PADRAO TELEBRAS, FORNECIMENTO E INSTALACAO</v>
          </cell>
          <cell r="C3027" t="str">
            <v>UN</v>
          </cell>
          <cell r="D3027">
            <v>380.84</v>
          </cell>
        </row>
        <row r="3028">
          <cell r="A3028">
            <v>84796</v>
          </cell>
          <cell r="B3028" t="str">
            <v>TAMPAO FOFO P/ CAIXA R2 PADRAO TELEBRAS COMPLETO - FORNECIMENTO E INSTALACAO</v>
          </cell>
          <cell r="C3028" t="str">
            <v>UN</v>
          </cell>
          <cell r="D3028">
            <v>478.17</v>
          </cell>
        </row>
        <row r="3029">
          <cell r="A3029">
            <v>84798</v>
          </cell>
          <cell r="B3029" t="str">
            <v>TAMPAO FOFO P/ CAIXA R1 PADRAO TELEBRAS COMPLETO - FORNECIMENTO E INSTALACAO</v>
          </cell>
          <cell r="C3029" t="str">
            <v>UN</v>
          </cell>
          <cell r="D3029">
            <v>219.26</v>
          </cell>
        </row>
        <row r="3030">
          <cell r="A3030">
            <v>98261</v>
          </cell>
          <cell r="B3030" t="str">
            <v>CABO TELEFÔNICO CCI-50 1 PAR, INSTALADO EM ENTRADA DE EDIFICAÇÃO - FORNECIMENTO E INSTALAÇÃO. AF_03/2018</v>
          </cell>
          <cell r="C3030" t="str">
            <v>M</v>
          </cell>
          <cell r="D3030">
            <v>2.91</v>
          </cell>
        </row>
        <row r="3031">
          <cell r="A3031">
            <v>98262</v>
          </cell>
          <cell r="B3031" t="str">
            <v>CABO TELEFÔNICO CCI-50 2 PARES, SEM BLINDAGEM, INSTALADO EM ENTRADA DE EDIFICAÇÃO - FORNECIMENTO E INSTALAÇÃO. AF_03/2018</v>
          </cell>
          <cell r="C3031" t="str">
            <v>M</v>
          </cell>
          <cell r="D3031">
            <v>3.49</v>
          </cell>
        </row>
        <row r="3032">
          <cell r="A3032">
            <v>98263</v>
          </cell>
          <cell r="B3032" t="str">
            <v>CABO TELEFÔNICO CCI-50 3 PARES, SEM BLINDAGEM, INSTALADO EM ENTRADA DE EDIFICAÇÃO - FORNECIMENTO E INSTALAÇÃO. AF_03/2018</v>
          </cell>
          <cell r="C3032" t="str">
            <v>M</v>
          </cell>
          <cell r="D3032">
            <v>4.1900000000000004</v>
          </cell>
        </row>
        <row r="3033">
          <cell r="A3033">
            <v>98264</v>
          </cell>
          <cell r="B3033" t="str">
            <v>CABO TELEFÔNICO CCI-50 4 PARES, SEM BLINDAGEM, INSTALADO EM ENTRADA DE EDIFICAÇÃO - FORNECIMENTO E INSTALAÇÃO. AF_03/2018</v>
          </cell>
          <cell r="C3033" t="str">
            <v>M</v>
          </cell>
          <cell r="D3033">
            <v>4.74</v>
          </cell>
        </row>
        <row r="3034">
          <cell r="A3034">
            <v>98265</v>
          </cell>
          <cell r="B3034" t="str">
            <v>CABO TELEFÔNICO CCI-50 5 PARES, SEM BLINDAGEM, INSTALADO EM ENTRADA DE EDIFICAÇÃO - FORNECIMENTO E INSTALAÇÃO. AF_03/2018</v>
          </cell>
          <cell r="C3034" t="str">
            <v>M</v>
          </cell>
          <cell r="D3034">
            <v>5.56</v>
          </cell>
        </row>
        <row r="3035">
          <cell r="A3035">
            <v>98266</v>
          </cell>
          <cell r="B3035" t="str">
            <v>CABO TELEFÔNICO CCI-50 6 PARES, SEM BLINDAGEM, INSTALADO EM ENTRADA DE EDIFICAÇÃO - FORNECIMENTO E INSTALAÇÃO. AF_03/2018</v>
          </cell>
          <cell r="C3035" t="str">
            <v>M</v>
          </cell>
          <cell r="D3035">
            <v>6.04</v>
          </cell>
        </row>
        <row r="3036">
          <cell r="A3036">
            <v>98267</v>
          </cell>
          <cell r="B3036" t="str">
            <v>CABO TELEFÔNICO CI-50 10 PARES INSTALADO EM ENTRADA DE EDIFICAÇÃO - FORNECIMENTO E INSTALAÇÃO. AF_03/2018</v>
          </cell>
          <cell r="C3036" t="str">
            <v>M</v>
          </cell>
          <cell r="D3036">
            <v>10.08</v>
          </cell>
        </row>
        <row r="3037">
          <cell r="A3037">
            <v>98268</v>
          </cell>
          <cell r="B3037" t="str">
            <v>CABO TELEFÔNICO CI-50 20 PARES INSTALADO EM ENTRADA DE EDIFICAÇÃO - FORNECIMENTO E INSTALAÇÃO. AF_03/2018</v>
          </cell>
          <cell r="C3037" t="str">
            <v>M</v>
          </cell>
          <cell r="D3037">
            <v>16.79</v>
          </cell>
        </row>
        <row r="3038">
          <cell r="A3038">
            <v>98269</v>
          </cell>
          <cell r="B3038" t="str">
            <v>CABO TELEFÔNICO CI-50 30 PARES INSTALADO EM ENTRADA DE EDIFICAÇÃO - FORNECIMENTO E INSTALAÇÃO. AF_03/2018</v>
          </cell>
          <cell r="C3038" t="str">
            <v>M</v>
          </cell>
          <cell r="D3038">
            <v>21.84</v>
          </cell>
        </row>
        <row r="3039">
          <cell r="A3039">
            <v>98270</v>
          </cell>
          <cell r="B3039" t="str">
            <v>CABO TELEFÔNICO CI-50 50 PARES INSTALADO EM ENTRADA DE EDIFICAÇÃO - FORNECIMENTO E INSTALAÇÃO. AF_03/2018</v>
          </cell>
          <cell r="C3039" t="str">
            <v>M</v>
          </cell>
          <cell r="D3039">
            <v>35.93</v>
          </cell>
        </row>
        <row r="3040">
          <cell r="A3040">
            <v>98271</v>
          </cell>
          <cell r="B3040" t="str">
            <v>CABO TELEFÔNICO CI-50 75 PARES INSTALADO EM ENTRADA DE EDIFICAÇÃO - FORNECIMENTO E INSTALAÇÃO. AF_03/2018</v>
          </cell>
          <cell r="C3040" t="str">
            <v>M</v>
          </cell>
          <cell r="D3040">
            <v>56.17</v>
          </cell>
        </row>
        <row r="3041">
          <cell r="A3041">
            <v>98272</v>
          </cell>
          <cell r="B3041" t="str">
            <v>CABO TELEFÔNICO CI-50 200 PARES INSTALADO EM ENTRADA DE EDIFICAÇÃO - FORNECIMENTO E INSTALAÇÃO. AF_03/2018</v>
          </cell>
          <cell r="C3041" t="str">
            <v>M</v>
          </cell>
          <cell r="D3041">
            <v>132.75</v>
          </cell>
        </row>
        <row r="3042">
          <cell r="A3042">
            <v>98273</v>
          </cell>
          <cell r="B3042" t="str">
            <v>CABO TELEFÔNICO CCI-50 4 PARES, SEM BLINDAGEM, INSTALADO EM PRUMADA - FORNECIMENTO E INSTALAÇÃO. AF_03/2018</v>
          </cell>
          <cell r="C3042" t="str">
            <v>M</v>
          </cell>
          <cell r="D3042">
            <v>2.4900000000000002</v>
          </cell>
        </row>
        <row r="3043">
          <cell r="A3043">
            <v>98274</v>
          </cell>
          <cell r="B3043" t="str">
            <v>CABO TELEFÔNICO CCI-50 5 PARES, SEM BLINDAGEM, INSTALADO EM PRUMADA - FORNECIMENTO E INSTALAÇÃO. AF_03/2018</v>
          </cell>
          <cell r="C3043" t="str">
            <v>M</v>
          </cell>
          <cell r="D3043">
            <v>3.32</v>
          </cell>
        </row>
        <row r="3044">
          <cell r="A3044">
            <v>98275</v>
          </cell>
          <cell r="B3044" t="str">
            <v>CABO TELEFÔNICO CCI-50 6 PARES, SEM BLINDAGEM, INSTALADO EM PRUMADA - FORNECIMENTO E INSTALAÇÃO. AF_03/2018</v>
          </cell>
          <cell r="C3044" t="str">
            <v>M</v>
          </cell>
          <cell r="D3044">
            <v>3.79</v>
          </cell>
        </row>
        <row r="3045">
          <cell r="A3045">
            <v>98276</v>
          </cell>
          <cell r="B3045" t="str">
            <v>CABO TELEFÔNICO CI-50 10 PARES INSTALADO EM PRUMADA - FORNECIMENTO E INSTALAÇÃO. AF_03/2018</v>
          </cell>
          <cell r="C3045" t="str">
            <v>M</v>
          </cell>
          <cell r="D3045">
            <v>7.83</v>
          </cell>
        </row>
        <row r="3046">
          <cell r="A3046">
            <v>98277</v>
          </cell>
          <cell r="B3046" t="str">
            <v>CABO TELEFÔNICO CI-50 20 PARES INSTALADO EM PRUMADA - FORNECIMENTO E INSTALAÇÃO. AF_03/2018</v>
          </cell>
          <cell r="C3046" t="str">
            <v>M</v>
          </cell>
          <cell r="D3046">
            <v>14.55</v>
          </cell>
        </row>
        <row r="3047">
          <cell r="A3047">
            <v>98278</v>
          </cell>
          <cell r="B3047" t="str">
            <v>CABO TELEFÔNICO CI-50 30 PARES INSTALADO EM PRUMADA - FORNECIMENTO E INSTALAÇÃO. AF_03/2018</v>
          </cell>
          <cell r="C3047" t="str">
            <v>M</v>
          </cell>
          <cell r="D3047">
            <v>19.59</v>
          </cell>
        </row>
        <row r="3048">
          <cell r="A3048">
            <v>98279</v>
          </cell>
          <cell r="B3048" t="str">
            <v>CABO TELEFÔNICO CI-50 50 PARES INSTALADO EM PRUMADA - FORNECIMENTO E INSTALAÇÃO. AF_03/2018</v>
          </cell>
          <cell r="C3048" t="str">
            <v>M</v>
          </cell>
          <cell r="D3048">
            <v>33.69</v>
          </cell>
        </row>
        <row r="3049">
          <cell r="A3049">
            <v>98280</v>
          </cell>
          <cell r="B3049" t="str">
            <v>CABO TELEFÔNICO CCI-50 1 PAR, SEM BLINDAGEM, INSTALADO EM DISTRIBUIÇÃO DE EDIFICAÇÃO RESIDENCIAL - FORNECIMENTO E INSTALAÇÃO. AF_03/2018</v>
          </cell>
          <cell r="C3049" t="str">
            <v>M</v>
          </cell>
          <cell r="D3049">
            <v>5.8</v>
          </cell>
        </row>
        <row r="3050">
          <cell r="A3050">
            <v>98281</v>
          </cell>
          <cell r="B3050" t="str">
            <v>CABO TELEFÔNICO CCI-50 2 PARES, SEM BLINDAGEM, INSTALADO EM DISTRIBUIÇÃO DE EDIFICAÇÃO RESIDENCIAL - FORNECIMENTO E INSTALAÇÃO. AF_03/2018</v>
          </cell>
          <cell r="C3050" t="str">
            <v>M</v>
          </cell>
          <cell r="D3050">
            <v>6.38</v>
          </cell>
        </row>
        <row r="3051">
          <cell r="A3051">
            <v>98282</v>
          </cell>
          <cell r="B3051" t="str">
            <v>CABO TELEFÔNICO CCI-50 3 PARES, SEM BLINDAGEM, INSTALADO EM DISTRIBUIÇÃO DE EDIFICAÇÃO RESIDENCIAL - FORNECIMENTO E INSTALAÇÃO. AF_03/2018</v>
          </cell>
          <cell r="C3051" t="str">
            <v>M</v>
          </cell>
          <cell r="D3051">
            <v>7.08</v>
          </cell>
        </row>
        <row r="3052">
          <cell r="A3052">
            <v>98283</v>
          </cell>
          <cell r="B3052" t="str">
            <v>CABO TELEFÔNICO CCI-50 4 PARES, SEM BLINDAGEM, INSTALADO EM DISTRIBUIÇÃO DE EDIFICAÇÃO RESIDENCIAL - FORNECIMENTO E INSTALAÇÃO. AF_03/2018</v>
          </cell>
          <cell r="C3052" t="str">
            <v>M</v>
          </cell>
          <cell r="D3052">
            <v>7.62</v>
          </cell>
        </row>
        <row r="3053">
          <cell r="A3053">
            <v>98284</v>
          </cell>
          <cell r="B3053" t="str">
            <v>CABO TELEFÔNICO CCI-50 5 PARES, SEM BLINDAGEM, INSTALADO EM DISTRIBUIÇÃO DE EDIFICAÇÃO RESIDENCIAL - FORNECIMENTO E INSTALAÇÃO. AF_03/2018</v>
          </cell>
          <cell r="C3053" t="str">
            <v>M</v>
          </cell>
          <cell r="D3053">
            <v>8.4499999999999993</v>
          </cell>
        </row>
        <row r="3054">
          <cell r="A3054">
            <v>98285</v>
          </cell>
          <cell r="B3054" t="str">
            <v>CABO TELEFÔNICO CCI-50 6 PARES, SEM BLINDAGEM, INSTALADO EM DISTRIBUIÇÃO DE EDIFICAÇÃO RESIDENCIAL - FORNECIMENTO E INSTALAÇÃO. AF_03/2018</v>
          </cell>
          <cell r="C3054" t="str">
            <v>M</v>
          </cell>
          <cell r="D3054">
            <v>8.93</v>
          </cell>
        </row>
        <row r="3055">
          <cell r="A3055">
            <v>98286</v>
          </cell>
          <cell r="B3055" t="str">
            <v>CABO TELEFÔNICO CI-50 10 PARES INSTALADO EM DISTRIBUIÇÃO DE EDIFICAÇÃO RESIDENCIAL - FORNECIMENTO E INSTALAÇÃO. AF_03/2018</v>
          </cell>
          <cell r="C3055" t="str">
            <v>M</v>
          </cell>
          <cell r="D3055">
            <v>12.96</v>
          </cell>
        </row>
        <row r="3056">
          <cell r="A3056">
            <v>98287</v>
          </cell>
          <cell r="B3056" t="str">
            <v>CABO TELEFÔNICO CCI-50 1 PAR, SEM BLINDAGEM, INSTALADO EM DISTRIBUIÇÃO DE EDIFICAÇÃO INSTITUCIONAL - FORNECIMENTO E INSTALAÇÃO. AF_03/2018</v>
          </cell>
          <cell r="C3056" t="str">
            <v>M</v>
          </cell>
          <cell r="D3056">
            <v>1.19</v>
          </cell>
        </row>
        <row r="3057">
          <cell r="A3057">
            <v>98288</v>
          </cell>
          <cell r="B3057" t="str">
            <v>CABO TELEFÔNICO CCI-50 2 PARES, SEM BLINDAGEM, INSTALADO EM DISTRIBUIÇÃO DE EDIFICAÇÃO INSTITUCIONAL - FORNECIMENTO E INSTALAÇÃO. AF_03/2018</v>
          </cell>
          <cell r="C3057" t="str">
            <v>M</v>
          </cell>
          <cell r="D3057">
            <v>1.75</v>
          </cell>
        </row>
        <row r="3058">
          <cell r="A3058">
            <v>98289</v>
          </cell>
          <cell r="B3058" t="str">
            <v>CABO TELEFÔNICO CCI-50 3 PARES, SEM BLINDAGEM, INSTALADO EM DISTRIBUIÇÃO DE EDIFICAÇÃO INSTITUCIONAL - FORNECIMENTO E INSTALAÇÃO. AF_03/2018</v>
          </cell>
          <cell r="C3058" t="str">
            <v>M</v>
          </cell>
          <cell r="D3058">
            <v>2.46</v>
          </cell>
        </row>
        <row r="3059">
          <cell r="A3059">
            <v>98290</v>
          </cell>
          <cell r="B3059" t="str">
            <v>CABO TELEFÔNICO CCI-50 4 PARES, SEM BLINDAGEM, INSTALADO EM DISTRIBUIÇÃO DE EDIFICAÇÃO INSTITUCIONAL - FORNECIMENTO E INSTALAÇÃO. AF_03/2018</v>
          </cell>
          <cell r="C3059" t="str">
            <v>M</v>
          </cell>
          <cell r="D3059">
            <v>3</v>
          </cell>
        </row>
        <row r="3060">
          <cell r="A3060">
            <v>98291</v>
          </cell>
          <cell r="B3060" t="str">
            <v>CABO TELEFÔNICO CCI-50 5 PARES, SEM BLINDAGEM, INSTALADO EM DISTRIBUIÇÃO DE EDIFICAÇÃO INSTITUCIONAL - FORNECIMENTO E INSTALAÇÃO. AF_03/2018</v>
          </cell>
          <cell r="C3060" t="str">
            <v>M</v>
          </cell>
          <cell r="D3060">
            <v>3.83</v>
          </cell>
        </row>
        <row r="3061">
          <cell r="A3061">
            <v>98292</v>
          </cell>
          <cell r="B3061" t="str">
            <v>CABO TELEFÔNICO CCI-50 6 PARES, SEM BLINDAGEM, INSTALADO EM DISTRIBUIÇÃO DE EDIFICAÇÃO INSTITUCIONAL - FORNECIMENTO E INSTALAÇÃO. AF_03/2018</v>
          </cell>
          <cell r="C3061" t="str">
            <v>M</v>
          </cell>
          <cell r="D3061">
            <v>4.3</v>
          </cell>
        </row>
        <row r="3062">
          <cell r="A3062">
            <v>98293</v>
          </cell>
          <cell r="B3062" t="str">
            <v>CABO TELEFÔNICO CI-50 10 PARES INSTALADO EM DISTRIBUIÇÃO DE EDIFICAÇÃO INSTITUCIONAL - FORNECIMENTO E INSTALAÇÃO. AF_03/2018</v>
          </cell>
          <cell r="C3062" t="str">
            <v>M</v>
          </cell>
          <cell r="D3062">
            <v>8.34</v>
          </cell>
        </row>
        <row r="3063">
          <cell r="A3063">
            <v>98400</v>
          </cell>
          <cell r="B3063" t="str">
            <v>CABO TELEFÔNICO CTP-APL-50 10 PARES INSTALADO EM ENTRADA DE EDIFICAÇÃO - FORNECIMENTO E INSTALAÇÃO. AF_04/2018</v>
          </cell>
          <cell r="C3063" t="str">
            <v>M</v>
          </cell>
          <cell r="D3063">
            <v>12.07</v>
          </cell>
        </row>
        <row r="3064">
          <cell r="A3064">
            <v>98401</v>
          </cell>
          <cell r="B3064" t="str">
            <v>CABO TELEFÔNICO CTP-APL-50 20 PARES INSTALADO EM ENTRADA DE EDIFICAÇÃO - FORNECIMENTO E INSTALAÇÃO. AF_04/2018</v>
          </cell>
          <cell r="C3064" t="str">
            <v>M</v>
          </cell>
          <cell r="D3064">
            <v>18.93</v>
          </cell>
        </row>
        <row r="3065">
          <cell r="A3065">
            <v>98402</v>
          </cell>
          <cell r="B3065" t="str">
            <v>CABO TELEFÔNICO CTP-APL-50 30 PARES INSTALADO EM ENTRADA DE EDIFICAÇÃO - FORNECIMENTO E INSTALAÇÃO. AF_04/2018</v>
          </cell>
          <cell r="C3065" t="str">
            <v>M</v>
          </cell>
          <cell r="D3065">
            <v>24.69</v>
          </cell>
        </row>
        <row r="3066">
          <cell r="A3066">
            <v>98397</v>
          </cell>
          <cell r="B3066" t="str">
            <v>PINTURA ANTICORROSIVA DE DUTO METÁLICO. AF_04/2018</v>
          </cell>
          <cell r="C3066" t="str">
            <v>M2</v>
          </cell>
          <cell r="D3066">
            <v>8.19</v>
          </cell>
        </row>
        <row r="3067">
          <cell r="A3067" t="str">
            <v>74003/1</v>
          </cell>
          <cell r="B3067" t="str">
            <v>INSTALACOES GAS CENTRAL P/ EDIFICIO RESIDENCIAL C/ 4 PAVTOS 16 UNID.  UMA CENTRAL POR BLOCO COM 16 PONTOS</v>
          </cell>
          <cell r="C3067" t="str">
            <v>UN</v>
          </cell>
          <cell r="D3067">
            <v>5231.7700000000004</v>
          </cell>
        </row>
        <row r="3068">
          <cell r="A3068">
            <v>85120</v>
          </cell>
          <cell r="B3068" t="str">
            <v>MANOMETRO 0 A 200 PSI (0 A 14 KGF/CM2), D = 50MM - FORNECIMENTO E COLOCACAO</v>
          </cell>
          <cell r="C3068" t="str">
            <v>UN</v>
          </cell>
          <cell r="D3068">
            <v>123.9</v>
          </cell>
        </row>
        <row r="3069">
          <cell r="A3069">
            <v>83486</v>
          </cell>
          <cell r="B3069" t="str">
            <v>BOMBA CENTRIFUGA C/ MOTOR ELETRICO TRIFASICO 1CV</v>
          </cell>
          <cell r="C3069" t="str">
            <v>UN</v>
          </cell>
          <cell r="D3069">
            <v>1203.48</v>
          </cell>
        </row>
        <row r="3070">
          <cell r="A3070">
            <v>83643</v>
          </cell>
          <cell r="B3070" t="str">
            <v>BOMBA SUBMERSIVEL ELETRICA, TRIFASICA, POTÊNCIA 3,75 HP, DIAMETRO DO ROTOR 90 MM SEMIABERTO, BOCAL DE SAIDA DIAMETRO DE 2 POLEGADAS, HM/Q = 5 M / 61,2 M3/H A 25,5 M / 3,6 M3/H</v>
          </cell>
          <cell r="C3070" t="str">
            <v>UN</v>
          </cell>
          <cell r="D3070">
            <v>3761.14</v>
          </cell>
        </row>
        <row r="3071">
          <cell r="A3071">
            <v>83644</v>
          </cell>
          <cell r="B3071" t="str">
            <v>BOMBA RECALQUE D'AGUA TRIFASICA 10,0 HP</v>
          </cell>
          <cell r="C3071" t="str">
            <v>UN</v>
          </cell>
          <cell r="D3071">
            <v>5079.53</v>
          </cell>
        </row>
        <row r="3072">
          <cell r="A3072">
            <v>83645</v>
          </cell>
          <cell r="B3072" t="str">
            <v>BOMBA RECALQUE D'AGUA TRIFASICA 3,0 HP</v>
          </cell>
          <cell r="C3072" t="str">
            <v>UN</v>
          </cell>
          <cell r="D3072">
            <v>1623.01</v>
          </cell>
        </row>
        <row r="3073">
          <cell r="A3073">
            <v>83646</v>
          </cell>
          <cell r="B3073" t="str">
            <v>BOMBA RECALQUE D'AGUA DE ESTAGIOS TRIFASICA 2,0 HP</v>
          </cell>
          <cell r="C3073" t="str">
            <v>UN</v>
          </cell>
          <cell r="D3073">
            <v>1881.98</v>
          </cell>
        </row>
        <row r="3074">
          <cell r="A3074">
            <v>83647</v>
          </cell>
          <cell r="B3074" t="str">
            <v>BOMBA RECALQUE D'AGUA TRIFASICA 1,5HP</v>
          </cell>
          <cell r="C3074" t="str">
            <v>UN</v>
          </cell>
          <cell r="D3074">
            <v>1235.46</v>
          </cell>
        </row>
        <row r="3075">
          <cell r="A3075">
            <v>83648</v>
          </cell>
          <cell r="B3075" t="str">
            <v>BOMBA RECALQUE D'AGUA TRIFASICA 0,5 HP</v>
          </cell>
          <cell r="C3075" t="str">
            <v>UN</v>
          </cell>
          <cell r="D3075">
            <v>797.62</v>
          </cell>
        </row>
        <row r="3076">
          <cell r="A3076">
            <v>83649</v>
          </cell>
          <cell r="B3076" t="str">
            <v>BOMBA RECALQUE D'AGUA PREDIO 6 A 10 PAVTOS - 2UD</v>
          </cell>
          <cell r="C3076" t="str">
            <v>UN</v>
          </cell>
          <cell r="D3076">
            <v>4788.83</v>
          </cell>
        </row>
        <row r="3077">
          <cell r="A3077">
            <v>83650</v>
          </cell>
          <cell r="B3077" t="str">
            <v>BOMBA RECALQUE D'AGUA PREDIO 3 A 5 PAVTOS - 2UD</v>
          </cell>
          <cell r="C3077" t="str">
            <v>UN</v>
          </cell>
          <cell r="D3077">
            <v>4013.73</v>
          </cell>
        </row>
        <row r="3078">
          <cell r="A3078">
            <v>98294</v>
          </cell>
          <cell r="B3078" t="str">
            <v>CABO ELETRÔNICO CATEGORIA 5E, INSTALADO EM EDIFICAÇÃO RESIDENCIAL - FORNECIMENTO E INSTALAÇÃO. AF_03/2018</v>
          </cell>
          <cell r="C3078" t="str">
            <v>M</v>
          </cell>
          <cell r="D3078">
            <v>1.71</v>
          </cell>
        </row>
        <row r="3079">
          <cell r="A3079">
            <v>98295</v>
          </cell>
          <cell r="B3079" t="str">
            <v>CABO ELETRÔNICO CATEGORIA 5E, INSTALADO EM EDIFICAÇÃO INSTITUCIONAL - FORNECIMENTO E INSTALAÇÃO. AF_03/2018</v>
          </cell>
          <cell r="C3079" t="str">
            <v>M</v>
          </cell>
          <cell r="D3079">
            <v>1.18</v>
          </cell>
        </row>
        <row r="3080">
          <cell r="A3080">
            <v>98296</v>
          </cell>
          <cell r="B3080" t="str">
            <v>CABO ELETRÔNICO CATEGORIA 6, INSTALADO EM EDIFICAÇÃO RESIDENCIAL - FORNECIMENTO E INSTALAÇÃO. AF_03/2018</v>
          </cell>
          <cell r="C3080" t="str">
            <v>M</v>
          </cell>
          <cell r="D3080">
            <v>2.64</v>
          </cell>
        </row>
        <row r="3081">
          <cell r="A3081">
            <v>98297</v>
          </cell>
          <cell r="B3081" t="str">
            <v>CABO ELETRÔNICO CATEGORIA 6, INSTALADO EM EDIFICAÇÃO INSTITUCIONAL - FORNECIMENTO E INSTALAÇÃO. AF_03/2018</v>
          </cell>
          <cell r="C3081" t="str">
            <v>M</v>
          </cell>
          <cell r="D3081">
            <v>1.81</v>
          </cell>
        </row>
        <row r="3082">
          <cell r="A3082">
            <v>98301</v>
          </cell>
          <cell r="B3082" t="str">
            <v>PATCH PANEL 24 PORTAS, CATEGORIA 5E - FORNECIMENTO E INSTALAÇÃO. AF_03/2018</v>
          </cell>
          <cell r="C3082" t="str">
            <v>UN</v>
          </cell>
          <cell r="D3082">
            <v>400.09</v>
          </cell>
        </row>
        <row r="3083">
          <cell r="A3083">
            <v>98302</v>
          </cell>
          <cell r="B3083" t="str">
            <v>PATCH PANEL 24 PORTAS, CATEGORIA 6 - FORNECIMENTO E INSTALAÇÃO. AF_03/2018</v>
          </cell>
          <cell r="C3083" t="str">
            <v>UN</v>
          </cell>
          <cell r="D3083">
            <v>525.65</v>
          </cell>
        </row>
        <row r="3084">
          <cell r="A3084">
            <v>98304</v>
          </cell>
          <cell r="B3084" t="str">
            <v>PATCH PANEL 48 PORTAS, CATEGORIA 6 - FORNECIMENTO E INSTALAÇÃO. AF_03/2018</v>
          </cell>
          <cell r="C3084" t="str">
            <v>UN</v>
          </cell>
          <cell r="D3084">
            <v>856.51</v>
          </cell>
        </row>
        <row r="3085">
          <cell r="A3085">
            <v>98307</v>
          </cell>
          <cell r="B3085" t="str">
            <v>TOMADA DE REDE RJ45 - FORNECIMENTO E INSTALAÇÃO. AF_03/2018</v>
          </cell>
          <cell r="C3085" t="str">
            <v>UN</v>
          </cell>
          <cell r="D3085">
            <v>34.869999999999997</v>
          </cell>
        </row>
        <row r="3086">
          <cell r="A3086">
            <v>98308</v>
          </cell>
          <cell r="B3086" t="str">
            <v>TOMADA PARA TELEFONE RJ11 - FORNECIMENTO E INSTALAÇÃO. AF_03/2018</v>
          </cell>
          <cell r="C3086" t="str">
            <v>UN</v>
          </cell>
          <cell r="D3086">
            <v>23.08</v>
          </cell>
        </row>
        <row r="3087">
          <cell r="A3087">
            <v>98593</v>
          </cell>
          <cell r="B3087" t="str">
            <v>PATCH PANEL 48 PORTAS, CATEGORIA 5E - FORNECIMENTO E INSTALAÇÃO. AF_04/2018</v>
          </cell>
          <cell r="C3087" t="str">
            <v>UN</v>
          </cell>
          <cell r="D3087">
            <v>706.55</v>
          </cell>
        </row>
        <row r="3088">
          <cell r="A3088">
            <v>89355</v>
          </cell>
          <cell r="B3088" t="str">
            <v>TUBO, PVC, SOLDÁVEL, DN 20MM, INSTALADO EM RAMAL OU SUB-RAMAL DE ÁGUA - FORNECIMENTO E INSTALAÇÃO. AF_12/2014</v>
          </cell>
          <cell r="C3088" t="str">
            <v>M</v>
          </cell>
          <cell r="D3088">
            <v>13.74</v>
          </cell>
        </row>
        <row r="3089">
          <cell r="A3089">
            <v>89356</v>
          </cell>
          <cell r="B3089" t="str">
            <v>TUBO, PVC, SOLDÁVEL, DN 25MM, INSTALADO EM RAMAL OU SUB-RAMAL DE ÁGUA - FORNECIMENTO E INSTALAÇÃO. AF_12/2014</v>
          </cell>
          <cell r="C3089" t="str">
            <v>M</v>
          </cell>
          <cell r="D3089">
            <v>16.170000000000002</v>
          </cell>
        </row>
        <row r="3090">
          <cell r="A3090">
            <v>89357</v>
          </cell>
          <cell r="B3090" t="str">
            <v>TUBO, PVC, SOLDÁVEL, DN 32MM, INSTALADO EM RAMAL OU SUB-RAMAL DE ÁGUA - FORNECIMENTO E INSTALAÇÃO. AF_12/2014</v>
          </cell>
          <cell r="C3090" t="str">
            <v>M</v>
          </cell>
          <cell r="D3090">
            <v>22.06</v>
          </cell>
        </row>
        <row r="3091">
          <cell r="A3091">
            <v>89401</v>
          </cell>
          <cell r="B3091" t="str">
            <v>TUBO, PVC, SOLDÁVEL, DN 20MM, INSTALADO EM RAMAL DE DISTRIBUIÇÃO DE ÁGUA - FORNECIMENTO E INSTALAÇÃO. AF_12/2014</v>
          </cell>
          <cell r="C3091" t="str">
            <v>M</v>
          </cell>
          <cell r="D3091">
            <v>5.59</v>
          </cell>
        </row>
        <row r="3092">
          <cell r="A3092">
            <v>89402</v>
          </cell>
          <cell r="B3092" t="str">
            <v>TUBO, PVC, SOLDÁVEL, DN 25MM, INSTALADO EM RAMAL DE DISTRIBUIÇÃO DE ÁGUA - FORNECIMENTO E INSTALAÇÃO. AF_12/2014</v>
          </cell>
          <cell r="C3092" t="str">
            <v>M</v>
          </cell>
          <cell r="D3092">
            <v>6.78</v>
          </cell>
        </row>
        <row r="3093">
          <cell r="A3093">
            <v>89403</v>
          </cell>
          <cell r="B3093" t="str">
            <v>TUBO, PVC, SOLDÁVEL, DN 32MM, INSTALADO EM RAMAL DE DISTRIBUIÇÃO DE ÁGUA - FORNECIMENTO E INSTALAÇÃO. AF_12/2014</v>
          </cell>
          <cell r="C3093" t="str">
            <v>M</v>
          </cell>
          <cell r="D3093">
            <v>10.83</v>
          </cell>
        </row>
        <row r="3094">
          <cell r="A3094">
            <v>89446</v>
          </cell>
          <cell r="B3094" t="str">
            <v>TUBO, PVC, SOLDÁVEL, DN 25MM, INSTALADO EM PRUMADA DE ÁGUA - FORNECIMENTO E INSTALAÇÃO. AF_12/2014</v>
          </cell>
          <cell r="C3094" t="str">
            <v>M</v>
          </cell>
          <cell r="D3094">
            <v>3.21</v>
          </cell>
        </row>
        <row r="3095">
          <cell r="A3095">
            <v>89447</v>
          </cell>
          <cell r="B3095" t="str">
            <v>TUBO, PVC, SOLDÁVEL, DN 32MM, INSTALADO EM PRUMADA DE ÁGUA - FORNECIMENTO E INSTALAÇÃO. AF_12/2014</v>
          </cell>
          <cell r="C3095" t="str">
            <v>M</v>
          </cell>
          <cell r="D3095">
            <v>6.64</v>
          </cell>
        </row>
        <row r="3096">
          <cell r="A3096">
            <v>89448</v>
          </cell>
          <cell r="B3096" t="str">
            <v>TUBO, PVC, SOLDÁVEL, DN 40MM, INSTALADO EM PRUMADA DE ÁGUA - FORNECIMENTO E INSTALAÇÃO. AF_12/2014</v>
          </cell>
          <cell r="C3096" t="str">
            <v>M</v>
          </cell>
          <cell r="D3096">
            <v>9.49</v>
          </cell>
        </row>
        <row r="3097">
          <cell r="A3097">
            <v>89449</v>
          </cell>
          <cell r="B3097" t="str">
            <v>TUBO, PVC, SOLDÁVEL, DN 50MM, INSTALADO EM PRUMADA DE ÁGUA - FORNECIMENTO E INSTALAÇÃO. AF_12/2014</v>
          </cell>
          <cell r="C3097" t="str">
            <v>M</v>
          </cell>
          <cell r="D3097">
            <v>10.93</v>
          </cell>
        </row>
        <row r="3098">
          <cell r="A3098">
            <v>89450</v>
          </cell>
          <cell r="B3098" t="str">
            <v>TUBO, PVC, SOLDÁVEL, DN 60MM, INSTALADO EM PRUMADA DE ÁGUA - FORNECIMENTO E INSTALAÇÃO. AF_12/2014</v>
          </cell>
          <cell r="C3098" t="str">
            <v>M</v>
          </cell>
          <cell r="D3098">
            <v>17.91</v>
          </cell>
        </row>
        <row r="3099">
          <cell r="A3099">
            <v>89451</v>
          </cell>
          <cell r="B3099" t="str">
            <v>TUBO, PVC, SOLDÁVEL, DN 75MM, INSTALADO EM PRUMADA DE ÁGUA - FORNECIMENTO E INSTALAÇÃO. AF_12/2014</v>
          </cell>
          <cell r="C3099" t="str">
            <v>M</v>
          </cell>
          <cell r="D3099">
            <v>29.48</v>
          </cell>
        </row>
        <row r="3100">
          <cell r="A3100">
            <v>89452</v>
          </cell>
          <cell r="B3100" t="str">
            <v>TUBO, PVC, SOLDÁVEL, DN 85MM, INSTALADO EM PRUMADA DE ÁGUA - FORNECIMENTO E INSTALAÇÃO. AF_12/2014</v>
          </cell>
          <cell r="C3100" t="str">
            <v>M</v>
          </cell>
          <cell r="D3100">
            <v>36.630000000000003</v>
          </cell>
        </row>
        <row r="3101">
          <cell r="A3101">
            <v>89508</v>
          </cell>
          <cell r="B3101" t="str">
            <v>TUBO PVC, SÉRIE R, ÁGUA PLUVIAL, DN 40 MM, FORNECIDO E INSTALADO EM RAMAL DE ENCAMINHAMENTO. AF_12/2014</v>
          </cell>
          <cell r="C3101" t="str">
            <v>M</v>
          </cell>
          <cell r="D3101">
            <v>13.46</v>
          </cell>
        </row>
        <row r="3102">
          <cell r="A3102">
            <v>89509</v>
          </cell>
          <cell r="B3102" t="str">
            <v>TUBO PVC, SÉRIE R, ÁGUA PLUVIAL, DN 50 MM, FORNECIDO E INSTALADO EM RAMAL DE ENCAMINHAMENTO. AF_12/2014</v>
          </cell>
          <cell r="C3102" t="str">
            <v>M</v>
          </cell>
          <cell r="D3102">
            <v>18.84</v>
          </cell>
        </row>
        <row r="3103">
          <cell r="A3103">
            <v>89511</v>
          </cell>
          <cell r="B3103" t="str">
            <v>TUBO PVC, SÉRIE R, ÁGUA PLUVIAL, DN 75 MM, FORNECIDO E INSTALADO EM RAMAL DE ENCAMINHAMENTO. AF_12/2014</v>
          </cell>
          <cell r="C3103" t="str">
            <v>M</v>
          </cell>
          <cell r="D3103">
            <v>28.55</v>
          </cell>
        </row>
        <row r="3104">
          <cell r="A3104">
            <v>89512</v>
          </cell>
          <cell r="B3104" t="str">
            <v>TUBO PVC, SÉRIE R, ÁGUA PLUVIAL, DN 100 MM, FORNECIDO E INSTALADO EM RAMAL DE ENCAMINHAMENTO. AF_12/2014</v>
          </cell>
          <cell r="C3104" t="str">
            <v>M</v>
          </cell>
          <cell r="D3104">
            <v>44.41</v>
          </cell>
        </row>
        <row r="3105">
          <cell r="A3105">
            <v>89576</v>
          </cell>
          <cell r="B3105" t="str">
            <v>TUBO PVC, SÉRIE R, ÁGUA PLUVIAL, DN 75 MM, FORNECIDO E INSTALADO EM CONDUTORES VERTICAIS DE ÁGUAS PLUVIAIS. AF_12/2014</v>
          </cell>
          <cell r="C3105" t="str">
            <v>M</v>
          </cell>
          <cell r="D3105">
            <v>15.23</v>
          </cell>
        </row>
        <row r="3106">
          <cell r="A3106">
            <v>89578</v>
          </cell>
          <cell r="B3106" t="str">
            <v>TUBO PVC, SÉRIE R, ÁGUA PLUVIAL, DN 100 MM, FORNECIDO E INSTALADO EM CONDUTORES VERTICAIS DE ÁGUAS PLUVIAIS. AF_12/2014</v>
          </cell>
          <cell r="C3106" t="str">
            <v>M</v>
          </cell>
          <cell r="D3106">
            <v>26.13</v>
          </cell>
        </row>
        <row r="3107">
          <cell r="A3107">
            <v>89580</v>
          </cell>
          <cell r="B3107" t="str">
            <v>TUBO PVC, SÉRIE R, ÁGUA PLUVIAL, DN 150 MM, FORNECIDO E INSTALADO EM CONDUTORES VERTICAIS DE ÁGUAS PLUVIAIS. AF_12/2014</v>
          </cell>
          <cell r="C3107" t="str">
            <v>M</v>
          </cell>
          <cell r="D3107">
            <v>50.91</v>
          </cell>
        </row>
        <row r="3108">
          <cell r="A3108">
            <v>89633</v>
          </cell>
          <cell r="B3108" t="str">
            <v>TUBO, CPVC, SOLDÁVEL, DN 15MM, INSTALADO EM RAMAL OU SUB-RAMAL DE ÁGUA - FORNECIMENTO E INSTALAÇÃO. AF_12/2014</v>
          </cell>
          <cell r="C3108" t="str">
            <v>M</v>
          </cell>
          <cell r="D3108">
            <v>17.46</v>
          </cell>
        </row>
        <row r="3109">
          <cell r="A3109">
            <v>89634</v>
          </cell>
          <cell r="B3109" t="str">
            <v>TUBO, CPVC, SOLDÁVEL, DN 22MM, INSTALADO EM RAMAL OU SUB-RAMAL DE ÁGUA - FORNECIMENTO E INSTALAÇÃO. AF_12/2014</v>
          </cell>
          <cell r="C3109" t="str">
            <v>M</v>
          </cell>
          <cell r="D3109">
            <v>26.06</v>
          </cell>
        </row>
        <row r="3110">
          <cell r="A3110">
            <v>89635</v>
          </cell>
          <cell r="B3110" t="str">
            <v>TUBO, CPVC, SOLDÁVEL, DN 28MM, INSTALADO EM RAMAL OU SUB-RAMAL DE ÁGUA - FORNECIMENTO E INSTALAÇÃO. AF_12/2014</v>
          </cell>
          <cell r="C3110" t="str">
            <v>M</v>
          </cell>
          <cell r="D3110">
            <v>36.619999999999997</v>
          </cell>
        </row>
        <row r="3111">
          <cell r="A3111">
            <v>89636</v>
          </cell>
          <cell r="B3111" t="str">
            <v>TUBO, CPVC, SOLDÁVEL, DN 35MM, INSTALADO EM RAMAL OU SUB-RAMAL DE ÁGUA  FORNECIMENTO E INSTALAÇÃO. AF_12/2014</v>
          </cell>
          <cell r="C3111" t="str">
            <v>M</v>
          </cell>
          <cell r="D3111">
            <v>44.47</v>
          </cell>
        </row>
        <row r="3112">
          <cell r="A3112">
            <v>89711</v>
          </cell>
          <cell r="B3112" t="str">
            <v>TUBO PVC, SERIE NORMAL, ESGOTO PREDIAL, DN 40 MM, FORNECIDO E INSTALADO EM RAMAL DE DESCARGA OU RAMAL DE ESGOTO SANITÁRIO. AF_12/2014</v>
          </cell>
          <cell r="C3112" t="str">
            <v>M</v>
          </cell>
          <cell r="D3112">
            <v>14.14</v>
          </cell>
        </row>
        <row r="3113">
          <cell r="A3113">
            <v>89712</v>
          </cell>
          <cell r="B3113" t="str">
            <v>TUBO PVC, SERIE NORMAL, ESGOTO PREDIAL, DN 50 MM, FORNECIDO E INSTALADO EM RAMAL DE DESCARGA OU RAMAL DE ESGOTO SANITÁRIO. AF_12/2014</v>
          </cell>
          <cell r="C3113" t="str">
            <v>M</v>
          </cell>
          <cell r="D3113">
            <v>20.9</v>
          </cell>
        </row>
        <row r="3114">
          <cell r="A3114">
            <v>89713</v>
          </cell>
          <cell r="B3114" t="str">
            <v>TUBO PVC, SERIE NORMAL, ESGOTO PREDIAL, DN 75 MM, FORNECIDO E INSTALADO EM RAMAL DE DESCARGA OU RAMAL DE ESGOTO SANITÁRIO. AF_12/2014</v>
          </cell>
          <cell r="C3114" t="str">
            <v>M</v>
          </cell>
          <cell r="D3114">
            <v>32.04</v>
          </cell>
        </row>
        <row r="3115">
          <cell r="A3115">
            <v>89714</v>
          </cell>
          <cell r="B3115" t="str">
            <v>TUBO PVC, SERIE NORMAL, ESGOTO PREDIAL, DN 100 MM, FORNECIDO E INSTALADO EM RAMAL DE DESCARGA OU RAMAL DE ESGOTO SANITÁRIO. AF_12/2014</v>
          </cell>
          <cell r="C3115" t="str">
            <v>M</v>
          </cell>
          <cell r="D3115">
            <v>41.58</v>
          </cell>
        </row>
        <row r="3116">
          <cell r="A3116">
            <v>89716</v>
          </cell>
          <cell r="B3116" t="str">
            <v>TUBO, CPVC, SOLDÁVEL, DN 22MM, INSTALADO EM RAMAL DE DISTRIBUIÇÃO DE ÁGUA - FORNECIMENTO E INSTALAÇÃO. AF_12/2014</v>
          </cell>
          <cell r="C3116" t="str">
            <v>M</v>
          </cell>
          <cell r="D3116">
            <v>17.53</v>
          </cell>
        </row>
        <row r="3117">
          <cell r="A3117">
            <v>89717</v>
          </cell>
          <cell r="B3117" t="str">
            <v>TUBO, CPVC, SOLDÁVEL, DN 28MM, INSTALADO EM RAMAL DE DISTRIBUIÇÃO DE ÁGUA - FORNECIMENTO E INSTALAÇÃO. AF_12/2014</v>
          </cell>
          <cell r="C3117" t="str">
            <v>M</v>
          </cell>
          <cell r="D3117">
            <v>26.58</v>
          </cell>
        </row>
        <row r="3118">
          <cell r="A3118">
            <v>89770</v>
          </cell>
          <cell r="B3118" t="str">
            <v>TUBO, CPVC, SOLDÁVEL, DN 35MM, INSTALADO EM PRUMADA DE ÁGUA  FORNECIMENTO E INSTALAÇÃO. AF_12/2014</v>
          </cell>
          <cell r="C3118" t="str">
            <v>M</v>
          </cell>
          <cell r="D3118">
            <v>28.22</v>
          </cell>
        </row>
        <row r="3119">
          <cell r="A3119">
            <v>89771</v>
          </cell>
          <cell r="B3119" t="str">
            <v>TUBO, CPVC, SOLDÁVEL, DN 42MM, INSTALADO EM PRUMADA DE ÁGUA  FORNECIMENTO E INSTALAÇÃO. AF_12/2014</v>
          </cell>
          <cell r="C3119" t="str">
            <v>M</v>
          </cell>
          <cell r="D3119">
            <v>38.54</v>
          </cell>
        </row>
        <row r="3120">
          <cell r="A3120">
            <v>89773</v>
          </cell>
          <cell r="B3120" t="str">
            <v>TUBO, CPVC, SOLDÁVEL, DN 73MM, INSTALADO EM PRUMADA DE ÁGUA  FORNECIMENTO E INSTALAÇÃO. AF_12/2014</v>
          </cell>
          <cell r="C3120" t="str">
            <v>M</v>
          </cell>
          <cell r="D3120">
            <v>89.64</v>
          </cell>
        </row>
        <row r="3121">
          <cell r="A3121">
            <v>89775</v>
          </cell>
          <cell r="B3121" t="str">
            <v>TUBO, CPVC, SOLDÁVEL, DN 89MM, INSTALADO EM PRUMADA DE ÁGUA  FORNECIMENTO E INSTALAÇÃO. AF_12/2014</v>
          </cell>
          <cell r="C3121" t="str">
            <v>M</v>
          </cell>
          <cell r="D3121">
            <v>141.47999999999999</v>
          </cell>
        </row>
        <row r="3122">
          <cell r="A3122">
            <v>89798</v>
          </cell>
          <cell r="B3122" t="str">
            <v>TUBO PVC, SERIE NORMAL, ESGOTO PREDIAL, DN 50 MM, FORNECIDO E INSTALADO EM PRUMADA DE ESGOTO SANITÁRIO OU VENTILAÇÃO. AF_12/2014</v>
          </cell>
          <cell r="C3122" t="str">
            <v>M</v>
          </cell>
          <cell r="D3122">
            <v>7.65</v>
          </cell>
        </row>
        <row r="3123">
          <cell r="A3123">
            <v>89799</v>
          </cell>
          <cell r="B3123" t="str">
            <v>TUBO PVC, SERIE NORMAL, ESGOTO PREDIAL, DN 75 MM, FORNECIDO E INSTALADO EM PRUMADA DE ESGOTO SANITÁRIO OU VENTILAÇÃO. AF_12/2014</v>
          </cell>
          <cell r="C3123" t="str">
            <v>M</v>
          </cell>
          <cell r="D3123">
            <v>12.97</v>
          </cell>
        </row>
        <row r="3124">
          <cell r="A3124">
            <v>89800</v>
          </cell>
          <cell r="B3124" t="str">
            <v>TUBO PVC, SERIE NORMAL, ESGOTO PREDIAL, DN 100 MM, FORNECIDO E INSTALADO EM PRUMADA DE ESGOTO SANITÁRIO OU VENTILAÇÃO. AF_12/2014</v>
          </cell>
          <cell r="C3124" t="str">
            <v>M</v>
          </cell>
          <cell r="D3124">
            <v>16.420000000000002</v>
          </cell>
        </row>
        <row r="3125">
          <cell r="A3125">
            <v>89848</v>
          </cell>
          <cell r="B3125" t="str">
            <v>TUBO PVC, SERIE NORMAL, ESGOTO PREDIAL, DN 100 MM, FORNECIDO E INSTALADO EM SUBCOLETOR AÉREO DE ESGOTO SANITÁRIO. AF_12/2014</v>
          </cell>
          <cell r="C3125" t="str">
            <v>M</v>
          </cell>
          <cell r="D3125">
            <v>20.78</v>
          </cell>
        </row>
        <row r="3126">
          <cell r="A3126">
            <v>89849</v>
          </cell>
          <cell r="B3126" t="str">
            <v>TUBO PVC, SERIE NORMAL, ESGOTO PREDIAL, DN 150 MM, FORNECIDO E INSTALADO EM SUBCOLETOR AÉREO DE ESGOTO SANITÁRIO. AF_12/2014</v>
          </cell>
          <cell r="C3126" t="str">
            <v>M</v>
          </cell>
          <cell r="D3126">
            <v>38.61</v>
          </cell>
        </row>
        <row r="3127">
          <cell r="A3127">
            <v>89865</v>
          </cell>
          <cell r="B3127" t="str">
            <v>TUBO, PVC, SOLDÁVEL, DN 25MM, INSTALADO EM DRENO DE AR-CONDICIONADO - FORNECIMENTO E INSTALAÇÃO. AF_12/2014</v>
          </cell>
          <cell r="C3127" t="str">
            <v>M</v>
          </cell>
          <cell r="D3127">
            <v>9.57</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32.9</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32.46</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20.57</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21.43</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27.91</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28.77</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44.2</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54.54</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43.01</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63.94</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27.83</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47.93</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49.11</v>
          </cell>
        </row>
        <row r="3141">
          <cell r="A3141">
            <v>92275</v>
          </cell>
          <cell r="B3141" t="str">
            <v>TUBO EM COBRE RÍGIDO, DN 22 MM, CLASSE E, SEM ISOLAMENTO, INSTALADO EM PRUMADA  FORNECIMENTO E INSTALAÇÃO. AF_12/2015</v>
          </cell>
          <cell r="C3141" t="str">
            <v>M</v>
          </cell>
          <cell r="D3141">
            <v>32.42</v>
          </cell>
        </row>
        <row r="3142">
          <cell r="A3142">
            <v>92276</v>
          </cell>
          <cell r="B3142" t="str">
            <v>TUBO EM COBRE RÍGIDO, DN 28 MM, CLASSE E, SEM ISOLAMENTO, INSTALADO EM PRUMADA  FORNECIMENTO E INSTALAÇÃO. AF_12/2015</v>
          </cell>
          <cell r="C3142" t="str">
            <v>M</v>
          </cell>
          <cell r="D3142">
            <v>41.02</v>
          </cell>
        </row>
        <row r="3143">
          <cell r="A3143">
            <v>92277</v>
          </cell>
          <cell r="B3143" t="str">
            <v>TUBO EM COBRE RÍGIDO, DN 35 MM, CLASSE E, SEM ISOLAMENTO, INSTALADO EM PRUMADA  FORNECIMENTO E INSTALAÇÃO. AF_12/2015</v>
          </cell>
          <cell r="C3143" t="str">
            <v>M</v>
          </cell>
          <cell r="D3143">
            <v>59.03</v>
          </cell>
        </row>
        <row r="3144">
          <cell r="A3144">
            <v>92278</v>
          </cell>
          <cell r="B3144" t="str">
            <v>TUBO EM COBRE RÍGIDO, DN 42 MM, CLASSE E, SEM ISOLAMENTO, INSTALADO EM PRUMADA  FORNECIMENTO E INSTALAÇÃO. AF_12/2015</v>
          </cell>
          <cell r="C3144" t="str">
            <v>M</v>
          </cell>
          <cell r="D3144">
            <v>79.23</v>
          </cell>
        </row>
        <row r="3145">
          <cell r="A3145">
            <v>92279</v>
          </cell>
          <cell r="B3145" t="str">
            <v>TUBO EM COBRE RÍGIDO, DN 54 MM, CLASSE E, SEM ISOLAMENTO, INSTALADO EM PRUMADA  FORNECIMENTO E INSTALAÇÃO. AF_12/2015</v>
          </cell>
          <cell r="C3145" t="str">
            <v>M</v>
          </cell>
          <cell r="D3145">
            <v>114.33</v>
          </cell>
        </row>
        <row r="3146">
          <cell r="A3146">
            <v>92280</v>
          </cell>
          <cell r="B3146" t="str">
            <v>TUBO EM COBRE RÍGIDO, DN 66 MM, CLASSE E, SEM ISOLAMENTO, INSTALADO EM PRUMADA  FORNECIMENTO E INSTALAÇÃO. AF_12/2015</v>
          </cell>
          <cell r="C3146" t="str">
            <v>M</v>
          </cell>
          <cell r="D3146">
            <v>160.28</v>
          </cell>
        </row>
        <row r="3147">
          <cell r="A3147">
            <v>92281</v>
          </cell>
          <cell r="B3147" t="str">
            <v>TUBO EM COBRE RÍGIDO, DN 22 MM, CLASSE E, COM ISOLAMENTO, INSTALADO EM PRUMADA  FORNECIMENTO E INSTALAÇÃO. AF_12/2015</v>
          </cell>
          <cell r="C3147" t="str">
            <v>M</v>
          </cell>
          <cell r="D3147">
            <v>101.06</v>
          </cell>
        </row>
        <row r="3148">
          <cell r="A3148">
            <v>92282</v>
          </cell>
          <cell r="B3148" t="str">
            <v>TUBO EM COBRE RÍGIDO, DN 28 MM, CLASSE E, COM ISOLAMENTO, INSTALADO EM PRUMADA  FORNECIMENTO E INSTALAÇÃO. AF_12/2015</v>
          </cell>
          <cell r="C3148" t="str">
            <v>M</v>
          </cell>
          <cell r="D3148">
            <v>112.43</v>
          </cell>
        </row>
        <row r="3149">
          <cell r="A3149">
            <v>92283</v>
          </cell>
          <cell r="B3149" t="str">
            <v>TUBO EM COBRE RÍGIDO, DN 35 MM, CLASSE E, COM ISOLAMENTO, INSTALADO EM PRUMADA  FORNECIMENTO E INSTALAÇÃO. AF_12/2015</v>
          </cell>
          <cell r="C3149" t="str">
            <v>M</v>
          </cell>
          <cell r="D3149">
            <v>149.33000000000001</v>
          </cell>
        </row>
        <row r="3150">
          <cell r="A3150">
            <v>92284</v>
          </cell>
          <cell r="B3150" t="str">
            <v>TUBO EM COBRE RÍGIDO, DN 42 MM, CLASSE E, COM ISOLAMENTO, INSTALADO EM PRUMADA  FORNECIMENTO E INSTALAÇÃO. AF_12/2015</v>
          </cell>
          <cell r="C3150" t="str">
            <v>M</v>
          </cell>
          <cell r="D3150">
            <v>182.21</v>
          </cell>
        </row>
        <row r="3151">
          <cell r="A3151">
            <v>92285</v>
          </cell>
          <cell r="B3151" t="str">
            <v>TUBO EM COBRE RÍGIDO, DN 54 MM, CLASSE E, COM ISOLAMENTO, INSTALADO EM PRUMADA  FORNECIMENTO E INSTALAÇÃO. AF_12/2015</v>
          </cell>
          <cell r="C3151" t="str">
            <v>M</v>
          </cell>
          <cell r="D3151">
            <v>237.37</v>
          </cell>
        </row>
        <row r="3152">
          <cell r="A3152">
            <v>92286</v>
          </cell>
          <cell r="B3152" t="str">
            <v>TUBO EM COBRE RÍGIDO, DN 66 MM, CLASSE E, COM ISOLAMENTO, INSTALADO EM PRUMADA  FORNECIMENTO E INSTALAÇÃO. AF_12/2015</v>
          </cell>
          <cell r="C3152" t="str">
            <v>M</v>
          </cell>
          <cell r="D3152">
            <v>285.06</v>
          </cell>
        </row>
        <row r="3153">
          <cell r="A3153">
            <v>92305</v>
          </cell>
          <cell r="B3153" t="str">
            <v>TUBO EM COBRE RÍGIDO, DN 15 MM, CLASSE E, SEM ISOLAMENTO, INSTALADO EM RAMAL DE DISTRIBUIÇÃO  FORNECIMENTO E INSTALAÇÃO. AF_12/2015</v>
          </cell>
          <cell r="C3153" t="str">
            <v>M</v>
          </cell>
          <cell r="D3153">
            <v>22.37</v>
          </cell>
        </row>
        <row r="3154">
          <cell r="A3154">
            <v>92306</v>
          </cell>
          <cell r="B3154" t="str">
            <v>TUBO EM COBRE RÍGIDO, DN 22 MM, CLASSE E, SEM ISOLAMENTO, INSTALADO EM RAMAL DE DISTRIBUIÇÃO  FORNECIMENTO E INSTALAÇÃO. AF_12/2015</v>
          </cell>
          <cell r="C3154" t="str">
            <v>M</v>
          </cell>
          <cell r="D3154">
            <v>35.92</v>
          </cell>
        </row>
        <row r="3155">
          <cell r="A3155">
            <v>92307</v>
          </cell>
          <cell r="B3155" t="str">
            <v>TUBO EM COBRE RÍGIDO, DN 28 MM, CLASSE E, SEM ISOLAMENTO, INSTALADO EM RAMAL DE DISTRIBUIÇÃO  FORNECIMENTO E INSTALAÇÃO. AF_12/2015</v>
          </cell>
          <cell r="C3155" t="str">
            <v>M</v>
          </cell>
          <cell r="D3155">
            <v>44.77</v>
          </cell>
        </row>
        <row r="3156">
          <cell r="A3156">
            <v>92308</v>
          </cell>
          <cell r="B3156" t="str">
            <v>TUBO EM COBRE RÍGIDO, DN 15 MM, CLASSE E, COM ISOLAMENTO, INSTALADO EM RAMAL DE DISTRIBUIÇÃO  FORNECIMENTO E INSTALAÇÃO. AF_12/2015</v>
          </cell>
          <cell r="C3156" t="str">
            <v>M</v>
          </cell>
          <cell r="D3156">
            <v>38.64</v>
          </cell>
        </row>
        <row r="3157">
          <cell r="A3157">
            <v>92309</v>
          </cell>
          <cell r="B3157" t="str">
            <v>TUBO EM COBRE RÍGIDO, DN 22 MM, CLASSE E, COM ISOLAMENTO, INSTALADO EM RAMAL DE DISTRIBUIÇÃO  FORNECIMENTO E INSTALAÇÃO. AF_12/2015</v>
          </cell>
          <cell r="C3157" t="str">
            <v>M</v>
          </cell>
          <cell r="D3157">
            <v>106.33</v>
          </cell>
        </row>
        <row r="3158">
          <cell r="A3158">
            <v>92310</v>
          </cell>
          <cell r="B3158" t="str">
            <v>TUBO EM COBRE RÍGIDO, DN 28 MM, CLASSE E, COM ISOLAMENTO, INSTALADO EM RAMAL DE DISTRIBUIÇÃO  FORNECIMENTO E INSTALAÇÃO. AF_12/2015</v>
          </cell>
          <cell r="C3158" t="str">
            <v>M</v>
          </cell>
          <cell r="D3158">
            <v>118</v>
          </cell>
        </row>
        <row r="3159">
          <cell r="A3159">
            <v>92320</v>
          </cell>
          <cell r="B3159" t="str">
            <v>TUBO EM COBRE RÍGIDO, DN 15 MM, CLASSE E, SEM ISOLAMENTO, INSTALADO EM RAMAL E SUB-RAMAL  FORNECIMENTO E INSTALAÇÃO. AF_12/2015</v>
          </cell>
          <cell r="C3159" t="str">
            <v>M</v>
          </cell>
          <cell r="D3159">
            <v>30.06</v>
          </cell>
        </row>
        <row r="3160">
          <cell r="A3160">
            <v>92321</v>
          </cell>
          <cell r="B3160" t="str">
            <v>TUBO EM COBRE RÍGIDO, DN 22 MM, CLASSE E, SEM ISOLAMENTO, INSTALADO EM RAMAL E SUB-RAMAL  FORNECIMENTO E INSTALAÇÃO. AF_12/2015</v>
          </cell>
          <cell r="C3160" t="str">
            <v>M</v>
          </cell>
          <cell r="D3160">
            <v>49.14</v>
          </cell>
        </row>
        <row r="3161">
          <cell r="A3161">
            <v>92322</v>
          </cell>
          <cell r="B3161" t="str">
            <v>TUBO EM COBRE RÍGIDO, DN 28 MM, CLASSE E, SEM ISOLAMENTO, INSTALADO EM RAMAL E SUB-RAMAL  FORNECIMENTO E INSTALAÇÃO. AF_12/2015</v>
          </cell>
          <cell r="C3161" t="str">
            <v>M</v>
          </cell>
          <cell r="D3161">
            <v>62.79</v>
          </cell>
        </row>
        <row r="3162">
          <cell r="A3162">
            <v>92323</v>
          </cell>
          <cell r="B3162" t="str">
            <v>TUBO EM COBRE RÍGIDO, DN 15 MM, CLASSE E, COM ISOLAMENTO, INSTALADO EM RAMAL E SUB-RAMAL  FORNECIMENTO E INSTALAÇÃO. AF_12/2015</v>
          </cell>
          <cell r="C3162" t="str">
            <v>M</v>
          </cell>
          <cell r="D3162">
            <v>44.48</v>
          </cell>
        </row>
        <row r="3163">
          <cell r="A3163">
            <v>92324</v>
          </cell>
          <cell r="B3163" t="str">
            <v>TUBO EM COBRE RÍGIDO, DN 22 MM, CLASSE E, COM ISOLAMENTO, INSTALADO EM RAMAL E SUB-RAMAL  FORNECIMENTO E INSTALAÇÃO. AF_12/2015</v>
          </cell>
          <cell r="C3163" t="str">
            <v>M</v>
          </cell>
          <cell r="D3163">
            <v>117.72</v>
          </cell>
        </row>
        <row r="3164">
          <cell r="A3164">
            <v>92325</v>
          </cell>
          <cell r="B3164" t="str">
            <v>TUBO EM COBRE RÍGIDO, DN 28 MM, CLASSE E, COM ISOLAMENTO, INSTALADO EM RAMAL E SUB-RAMAL  FORNECIMENTO E INSTALAÇÃO. AF_12/2015</v>
          </cell>
          <cell r="C3164" t="str">
            <v>M</v>
          </cell>
          <cell r="D3164">
            <v>134.13999999999999</v>
          </cell>
        </row>
        <row r="3165">
          <cell r="A3165">
            <v>92335</v>
          </cell>
          <cell r="B3165" t="str">
            <v>TUBO DE AÇO GALVANIZADO COM COSTURA, CLASSE MÉDIA, CONEXÃO RANHURADA, DN 50 (2"), INSTALADO EM PRUMADAS - FORNECIMENTO E INSTALAÇÃO. AF_12/2015</v>
          </cell>
          <cell r="C3165" t="str">
            <v>M</v>
          </cell>
          <cell r="D3165">
            <v>53.24</v>
          </cell>
        </row>
        <row r="3166">
          <cell r="A3166">
            <v>92336</v>
          </cell>
          <cell r="B3166" t="str">
            <v>TUBO DE AÇO GALVANIZADO COM COSTURA, CLASSE MÉDIA, CONEXÃO RANHURADA, DN 65 (2 1/2"), INSTALADO EM PRUMADAS - FORNECIMENTO E INSTALAÇÃO. AF_12/2015</v>
          </cell>
          <cell r="C3166" t="str">
            <v>M</v>
          </cell>
          <cell r="D3166">
            <v>65.27</v>
          </cell>
        </row>
        <row r="3167">
          <cell r="A3167">
            <v>92337</v>
          </cell>
          <cell r="B3167" t="str">
            <v>TUBO DE AÇO GALVANIZADO COM COSTURA, CLASSE MÉDIA, CONEXÃO RANHURADA, DN 80 (3"), INSTALADO EM PRUMADAS - FORNECIMENTO E INSTALAÇÃO. AF_12/2015</v>
          </cell>
          <cell r="C3167" t="str">
            <v>M</v>
          </cell>
          <cell r="D3167">
            <v>85.45</v>
          </cell>
        </row>
        <row r="3168">
          <cell r="A3168">
            <v>92338</v>
          </cell>
          <cell r="B3168" t="str">
            <v>TUBO DE AÇO PRETO SEM COSTURA, CONEXÃO SOLDADA, DN 50 (2"), INSTALADO EM PRUMADAS - FORNECIMENTO E INSTALAÇÃO. AF_12/2015</v>
          </cell>
          <cell r="C3168" t="str">
            <v>M</v>
          </cell>
          <cell r="D3168">
            <v>75.84</v>
          </cell>
        </row>
        <row r="3169">
          <cell r="A3169">
            <v>92339</v>
          </cell>
          <cell r="B3169" t="str">
            <v>TUBO DE AÇO PRETO SEM COSTURA, CONEXÃO SOLDADA, DN 65 (2 1/2"), INSTALADO EM PRUMADAS - FORNECIMENTO E INSTALAÇÃO. AF_12/2015</v>
          </cell>
          <cell r="C3169" t="str">
            <v>M</v>
          </cell>
          <cell r="D3169">
            <v>111.96</v>
          </cell>
        </row>
        <row r="3170">
          <cell r="A3170">
            <v>92341</v>
          </cell>
          <cell r="B3170" t="str">
            <v>TUBO DE AÇO GALVANIZADO COM COSTURA, CLASSE MÉDIA, DN 50 (2"), CONEXÃO ROSQUEADA, INSTALADO EM PRUMADAS - FORNECIMENTO E INSTALAÇÃO. AF_12/2015</v>
          </cell>
          <cell r="C3170" t="str">
            <v>M</v>
          </cell>
          <cell r="D3170">
            <v>60.94</v>
          </cell>
        </row>
        <row r="3171">
          <cell r="A3171">
            <v>92342</v>
          </cell>
          <cell r="B3171" t="str">
            <v>TUBO DE AÇO GALVANIZADO COM COSTURA, CLASSE MÉDIA, DN 65 (2 1/2"), CONEXÃO ROSQUEADA, INSTALADO EM PRUMADAS - FORNECIMENTO E INSTALAÇÃO. AF_12/2015</v>
          </cell>
          <cell r="C3171" t="str">
            <v>M</v>
          </cell>
          <cell r="D3171">
            <v>72.989999999999995</v>
          </cell>
        </row>
        <row r="3172">
          <cell r="A3172">
            <v>92343</v>
          </cell>
          <cell r="B3172" t="str">
            <v>TUBO DE AÇO GALVANIZADO COM COSTURA, CLASSE MÉDIA, DN 80 (3"), CONEXÃO ROSQUEADA, INSTALADO EM PRUMADAS - FORNECIMENTO E INSTALAÇÃO. AF_12/2015</v>
          </cell>
          <cell r="C3172" t="str">
            <v>M</v>
          </cell>
          <cell r="D3172">
            <v>93.25</v>
          </cell>
        </row>
        <row r="3173">
          <cell r="A3173">
            <v>92361</v>
          </cell>
          <cell r="B3173" t="str">
            <v>TUBO DE AÇO PRETO SEM COSTURA, CONEXÃO SOLDADA, DN 50 (2"), INSTALADO EM REDE DE ALIMENTAÇÃO PARA HIDRANTE - FORNECIMENTO E INSTALAÇÃO. AF_12/2015</v>
          </cell>
          <cell r="C3173" t="str">
            <v>M</v>
          </cell>
          <cell r="D3173">
            <v>60.13</v>
          </cell>
        </row>
        <row r="3174">
          <cell r="A3174">
            <v>92362</v>
          </cell>
          <cell r="B3174" t="str">
            <v>TUBO DE AÇO PRETO SEM COSTURA, CONEXÃO SOLDADA, DN 65 (2 1/2"), INSTALADO EM REDE DE ALIMENTAÇÃO PARA HIDRANTE - FORNECIMENTO E INSTALAÇÃO. AF_12/2015</v>
          </cell>
          <cell r="C3174" t="str">
            <v>M</v>
          </cell>
          <cell r="D3174">
            <v>95.62</v>
          </cell>
        </row>
        <row r="3175">
          <cell r="A3175">
            <v>92364</v>
          </cell>
          <cell r="B3175" t="str">
            <v>TUBO DE AÇO GALVANIZADO COM COSTURA, CLASSE MÉDIA, DN 32 (1 1/4"), CONEXÃO ROSQUEADA, INSTALADO EM REDE DE ALIMENTAÇÃO PARA HIDRANTE - FORNECIMENTO E INSTALAÇÃO. AF_12/2015</v>
          </cell>
          <cell r="C3175" t="str">
            <v>M</v>
          </cell>
          <cell r="D3175">
            <v>32.49</v>
          </cell>
        </row>
        <row r="3176">
          <cell r="A3176">
            <v>92365</v>
          </cell>
          <cell r="B3176" t="str">
            <v>TUBO DE AÇO GALVANIZADO COM COSTURA, CLASSE MÉDIA, DN 40 (1 1/2"), CONEXÃO ROSQUEADA, INSTALADO EM REDE DE ALIMENTAÇÃO PARA HIDRANTE - FORNECIMENTO E INSTALAÇÃO. AF_12/2015</v>
          </cell>
          <cell r="C3176" t="str">
            <v>M</v>
          </cell>
          <cell r="D3176">
            <v>37.28</v>
          </cell>
        </row>
        <row r="3177">
          <cell r="A3177">
            <v>92366</v>
          </cell>
          <cell r="B3177" t="str">
            <v>TUBO DE AÇO GALVANIZADO COM COSTURA, CLASSE MÉDIA, DN 50 (2"), CONEXÃO ROSQUEADA, INSTALADO EM REDE DE ALIMENTAÇÃO PARA HIDRANTE - FORNECIMENTO E INSTALAÇÃO. AF_12/2015</v>
          </cell>
          <cell r="C3177" t="str">
            <v>M</v>
          </cell>
          <cell r="D3177">
            <v>51.43</v>
          </cell>
        </row>
        <row r="3178">
          <cell r="A3178">
            <v>92367</v>
          </cell>
          <cell r="B3178" t="str">
            <v>TUBO DE AÇO GALVANIZADO COM COSTURA, CLASSE MÉDIA, DN 65 (2 1/2"), CONEXÃO ROSQUEADA, INSTALADO EM REDE DE ALIMENTAÇÃO PARA HIDRANTE - FORNECIMENTO E INSTALAÇÃO. AF_12/2015</v>
          </cell>
          <cell r="C3178" t="str">
            <v>M</v>
          </cell>
          <cell r="D3178">
            <v>63.06</v>
          </cell>
        </row>
        <row r="3179">
          <cell r="A3179">
            <v>92368</v>
          </cell>
          <cell r="B3179" t="str">
            <v>TUBO DE AÇO GALVANIZADO COM COSTURA, CLASSE MÉDIA, DN 80 (3"), CONEXÃO ROSQUEADA, INSTALADO EM REDE DE ALIMENTAÇÃO PARA HIDRANTE - FORNECIMENTO E INSTALAÇÃO. AF_12/2015</v>
          </cell>
          <cell r="C3179" t="str">
            <v>M</v>
          </cell>
          <cell r="D3179">
            <v>82.91</v>
          </cell>
        </row>
        <row r="3180">
          <cell r="A3180">
            <v>92648</v>
          </cell>
          <cell r="B3180" t="str">
            <v>TUBO DE AÇO PRETO SEM COSTURA, CONEXÃO SOLDADA, DN 40 (1 1/2"), INSTALADO EM REDE DE ALIMENTAÇÃO PARA SPRINKLER - FORNECIMENTO E INSTALAÇÃO. AF_12/2015</v>
          </cell>
          <cell r="C3180" t="str">
            <v>M</v>
          </cell>
          <cell r="D3180">
            <v>51.73</v>
          </cell>
        </row>
        <row r="3181">
          <cell r="A3181">
            <v>92649</v>
          </cell>
          <cell r="B3181" t="str">
            <v>TUBO DE AÇO PRETO SEM COSTURA, CONEXÃO SOLDADA, DN 50 (2"), INSTALADO EM REDE DE ALIMENTAÇÃO PARA SPRINKLER - FORNECIMENTO E INSTALAÇÃO. AF_12/2015</v>
          </cell>
          <cell r="C3181" t="str">
            <v>M</v>
          </cell>
          <cell r="D3181">
            <v>62.96</v>
          </cell>
        </row>
        <row r="3182">
          <cell r="A3182">
            <v>92650</v>
          </cell>
          <cell r="B3182" t="str">
            <v>TUBO DE AÇO PRETO SEM COSTURA, CONEXÃO SOLDADA, DN 65 (2 1/2"), INSTALADO EM REDE DE ALIMENTAÇÃO PARA SPRINKLER - FORNECIMENTO E INSTALAÇÃO. AF_12/2015</v>
          </cell>
          <cell r="C3182" t="str">
            <v>M</v>
          </cell>
          <cell r="D3182">
            <v>98.45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35.99</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40.83</v>
          </cell>
        </row>
        <row r="3185">
          <cell r="A3185">
            <v>92654</v>
          </cell>
          <cell r="B3185" t="str">
            <v>TUBO DE AÇO GALVANIZADO COM COSTURA, CLASSE MÉDIA, CONEXÃO ROSQUEADA, DN 50 (2"), INSTALADO EM REDE DE ALIMENTAÇÃO PARA SPRINKLER - FORNECIMENTO E INSTALAÇÃO. AF_12/2015</v>
          </cell>
          <cell r="C3185" t="str">
            <v>M</v>
          </cell>
          <cell r="D3185">
            <v>54.98</v>
          </cell>
        </row>
        <row r="3186">
          <cell r="A3186">
            <v>92655</v>
          </cell>
          <cell r="B3186" t="str">
            <v>TUBO DE AÇO GALVANIZADO COM COSTURA, CLASSE MÉDIA, CONEXÃO ROSQUEADA, DN 65 (2 1/2"), INSTALADO EM REDE DE ALIMENTAÇÃO PARA SPRINKLER - FORNECIMENTO E INSTALAÇÃO. AF_12/2015</v>
          </cell>
          <cell r="C3186" t="str">
            <v>M</v>
          </cell>
          <cell r="D3186">
            <v>66.67</v>
          </cell>
        </row>
        <row r="3187">
          <cell r="A3187">
            <v>92656</v>
          </cell>
          <cell r="B3187" t="str">
            <v>TUBO DE AÇO GALVANIZADO COM COSTURA, CLASSE MÉDIA, CONEXÃO ROSQUEADA, DN 80 (3"), INSTALADO EM REDE DE ALIMENTAÇÃO PARA SPRINKLER - FORNECIMENTO E INSTALAÇÃO. AF_12/2015</v>
          </cell>
          <cell r="C3187" t="str">
            <v>M</v>
          </cell>
          <cell r="D3187">
            <v>86.53</v>
          </cell>
        </row>
        <row r="3188">
          <cell r="A3188">
            <v>92687</v>
          </cell>
          <cell r="B3188" t="str">
            <v>TUBO DE AÇO GALVANIZADO COM COSTURA, CLASSE MÉDIA, CONEXÃO ROSQUEADA, DN 15 (1/2"), INSTALADO EM RAMAIS E SUB-RAMAIS DE GÁS - FORNECIMENTO E INSTALAÇÃO. AF_12/2015</v>
          </cell>
          <cell r="C3188" t="str">
            <v>M</v>
          </cell>
          <cell r="D3188">
            <v>17.25</v>
          </cell>
        </row>
        <row r="3189">
          <cell r="A3189">
            <v>92688</v>
          </cell>
          <cell r="B3189" t="str">
            <v>TUBO DE AÇO GALVANIZADO COM COSTURA, CLASSE MÉDIA, CONEXÃO ROSQUEADA, DN 20 (3/4"), INSTALADO EM RAMAIS E SUB-RAMAIS DE GÁS - FORNECIMENTO E INSTALAÇÃO. AF_12/2015</v>
          </cell>
          <cell r="C3189" t="str">
            <v>M</v>
          </cell>
          <cell r="D3189">
            <v>24.65</v>
          </cell>
        </row>
        <row r="3190">
          <cell r="A3190">
            <v>92689</v>
          </cell>
          <cell r="B3190" t="str">
            <v>TUBO DE AÇO PRETO SEM COSTURA, CLASSE MÉDIA, CONEXÃO SOLDADA, DN 15 (1/2"), INSTALADO EM RAMAIS E SUB-RAMAIS DE GÁS - FORNECIMENTO E INSTALAÇÃO. AF_12/2015</v>
          </cell>
          <cell r="C3190" t="str">
            <v>M</v>
          </cell>
          <cell r="D3190">
            <v>26.23</v>
          </cell>
        </row>
        <row r="3191">
          <cell r="A3191">
            <v>92690</v>
          </cell>
          <cell r="B3191" t="str">
            <v>TUBO DE AÇO PRETO SEM COSTURA, CLASSE MÉDIA, CONEXÃO SOLDADA, DN 20 (3/4"), INSTALADO EM RAMAIS E SUB-RAMAIS DE GÁS - FORNECIMENTO E INSTALAÇÃO. AF_12/2015</v>
          </cell>
          <cell r="C3191" t="str">
            <v>M</v>
          </cell>
          <cell r="D3191">
            <v>38.07</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61.22</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70.930000000000007</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99.14</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128.05000000000001</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170.34</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231.34</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328.4</v>
          </cell>
        </row>
        <row r="3199">
          <cell r="A3199">
            <v>94648</v>
          </cell>
          <cell r="B3199" t="str">
            <v>TUBO, PVC, SOLDÁVEL, DN  25 MM, INSTALADO EM RESERVAÇÃO DE ÁGUA DE EDIFICAÇÃO QUE POSSUA RESERVATÓRIO DE FIBRA/FIBROCIMENTO   FORNECIMENTO E INSTALAÇÃO. AF_06/2016</v>
          </cell>
          <cell r="C3199" t="str">
            <v>M</v>
          </cell>
          <cell r="D3199">
            <v>7.38</v>
          </cell>
        </row>
        <row r="3200">
          <cell r="A3200">
            <v>94649</v>
          </cell>
          <cell r="B3200" t="str">
            <v>TUBO, PVC, SOLDÁVEL, DN 32 MM, INSTALADO EM RESERVAÇÃO DE ÁGUA DE EDIFICAÇÃO QUE POSSUA RESERVATÓRIO DE FIBRA/FIBROCIMENTO   FORNECIMENTO E INSTALAÇÃO. AF_06/2016</v>
          </cell>
          <cell r="C3200" t="str">
            <v>M</v>
          </cell>
          <cell r="D3200">
            <v>10.62</v>
          </cell>
        </row>
        <row r="3201">
          <cell r="A3201">
            <v>94650</v>
          </cell>
          <cell r="B3201" t="str">
            <v>TUBO, PVC, SOLDÁVEL, DN 40 MM, INSTALADO EM RESERVAÇÃO DE ÁGUA DE EDIFICAÇÃO QUE POSSUA RESERVATÓRIO DE FIBRA/FIBROCIMENTO   FORNECIMENTO E INSTALAÇÃO. AF_06/2016</v>
          </cell>
          <cell r="C3201" t="str">
            <v>M</v>
          </cell>
          <cell r="D3201">
            <v>15.17</v>
          </cell>
        </row>
        <row r="3202">
          <cell r="A3202">
            <v>94651</v>
          </cell>
          <cell r="B3202" t="str">
            <v>TUBO, PVC, SOLDÁVEL, DN 50 MM, INSTALADO EM RESERVAÇÃO DE ÁGUA DE EDIFICAÇÃO QUE POSSUA RESERVATÓRIO DE FIBRA/FIBROCIMENTO   FORNECIMENTO E INSTALAÇÃO. AF_06/2016</v>
          </cell>
          <cell r="C3202" t="str">
            <v>M</v>
          </cell>
          <cell r="D3202">
            <v>16.39</v>
          </cell>
        </row>
        <row r="3203">
          <cell r="A3203">
            <v>94652</v>
          </cell>
          <cell r="B3203" t="str">
            <v>TUBO, PVC, SOLDÁVEL, DN 60 MM, INSTALADO EM RESERVAÇÃO DE ÁGUA DE EDIFICAÇÃO QUE POSSUA RESERVATÓRIO DE FIBRA/FIBROCIMENTO   FORNECIMENTO E INSTALAÇÃO. AF_06/2016</v>
          </cell>
          <cell r="C3203" t="str">
            <v>M</v>
          </cell>
          <cell r="D3203">
            <v>26.68</v>
          </cell>
        </row>
        <row r="3204">
          <cell r="A3204">
            <v>94653</v>
          </cell>
          <cell r="B3204" t="str">
            <v>TUBO, PVC, SOLDÁVEL, DN 75 MM, INSTALADO EM RESERVAÇÃO DE ÁGUA DE EDIFICAÇÃO QUE POSSUA RESERVATÓRIO DE FIBRA/FIBROCIMENTO   FORNECIMENTO E INSTALAÇÃO. AF_06/2016</v>
          </cell>
          <cell r="C3204" t="str">
            <v>M</v>
          </cell>
          <cell r="D3204">
            <v>37.21</v>
          </cell>
        </row>
        <row r="3205">
          <cell r="A3205">
            <v>94654</v>
          </cell>
          <cell r="B3205" t="str">
            <v>TUBO, PVC, SOLDÁVEL, DN 85 MM, INSTALADO EM RESERVAÇÃO DE ÁGUA DE EDIFICAÇÃO QUE POSSUA RESERVATÓRIO DE FIBRA/FIBROCIMENTO   FORNECIMENTO E INSTALAÇÃO. AF_06/2016</v>
          </cell>
          <cell r="C3205" t="str">
            <v>M</v>
          </cell>
          <cell r="D3205">
            <v>50.48</v>
          </cell>
        </row>
        <row r="3206">
          <cell r="A3206">
            <v>94655</v>
          </cell>
          <cell r="B3206" t="str">
            <v>TUBO, PVC, SOLDÁVEL, DN 110 MM, INSTALADO EM RESERVAÇÃO DE ÁGUA DE EDIFICAÇÃO QUE POSSUA RESERVATÓRIO DE FIBRA/FIBROCIMENTO   FORNECIMENTO E INSTALAÇÃO. AF_06/2016</v>
          </cell>
          <cell r="C3206" t="str">
            <v>M</v>
          </cell>
          <cell r="D3206">
            <v>69.22</v>
          </cell>
        </row>
        <row r="3207">
          <cell r="A3207">
            <v>94716</v>
          </cell>
          <cell r="B3207" t="str">
            <v>TUBO, CPVC, SOLDÁVEL, DN 22 MM, INSTALADO EM RESERVAÇÃO DE ÁGUA DE EDIFICAÇÃO QUE POSSUA RESERVATÓRIO DE FIBRA/FIBROCIMENTO  FORNECIMENTO E INSTALAÇÃO. AF_06/2016</v>
          </cell>
          <cell r="C3207" t="str">
            <v>M</v>
          </cell>
          <cell r="D3207">
            <v>17.850000000000001</v>
          </cell>
        </row>
        <row r="3208">
          <cell r="A3208">
            <v>94717</v>
          </cell>
          <cell r="B3208" t="str">
            <v>TUBO, CPVC, SOLDÁVEL, DN 28 MM, INSTALADO EM RESERVAÇÃO DE ÁGUA DE EDIFICAÇÃO QUE POSSUA RESERVATÓRIO DE FIBRA/FIBROCIMENTO  FORNECIMENTO E INSTALAÇÃO. AF_06/2016</v>
          </cell>
          <cell r="C3208" t="str">
            <v>M</v>
          </cell>
          <cell r="D3208">
            <v>25.94</v>
          </cell>
        </row>
        <row r="3209">
          <cell r="A3209">
            <v>94718</v>
          </cell>
          <cell r="B3209" t="str">
            <v>TUBO, CPVC, SOLDÁVEL, DN 35 MM, INSTALADO EM RESERVAÇÃO DE ÁGUA DE EDIFICAÇÃO QUE POSSUA RESERVATÓRIO DE FIBRA/FIBROCIMENTO  FORNECIMENTO E INSTALAÇÃO. AF_06/2016</v>
          </cell>
          <cell r="C3209" t="str">
            <v>M</v>
          </cell>
          <cell r="D3209">
            <v>32.14</v>
          </cell>
        </row>
        <row r="3210">
          <cell r="A3210">
            <v>94719</v>
          </cell>
          <cell r="B3210" t="str">
            <v>TUBO, CPVC, SOLDÁVEL, DN 42 MM, INSTALADO EM RESERVAÇÃO DE ÁGUA DE EDIFICAÇÃO QUE POSSUA RESERVATÓRIO DE FIBRA/FIBROCIMENTO  FORNECIMENTO E INSTALAÇÃO. AF_06/2016</v>
          </cell>
          <cell r="C3210" t="str">
            <v>M</v>
          </cell>
          <cell r="D3210">
            <v>41.86</v>
          </cell>
        </row>
        <row r="3211">
          <cell r="A3211">
            <v>94720</v>
          </cell>
          <cell r="B3211" t="str">
            <v>TUBO, CPVC, SOLDÁVEL, DN 54 MM, INSTALADO EM RESERVAÇÃO DE ÁGUA DE EDIFICAÇÃO QUE POSSUA RESERVATÓRIO DE FIBRA/FIBROCIMENTO  FORNECIMENTO E INSTALAÇÃO. AF_06/2016</v>
          </cell>
          <cell r="C3211" t="str">
            <v>M</v>
          </cell>
          <cell r="D3211">
            <v>63.37</v>
          </cell>
        </row>
        <row r="3212">
          <cell r="A3212">
            <v>94721</v>
          </cell>
          <cell r="B3212" t="str">
            <v>TUBO, CPVC, SOLDÁVEL, DN 73 MM, INSTALADO EM RESERVAÇÃO DE ÁGUA DE EDIFICAÇÃO QUE POSSUA RESERVATÓRIO DE FIBRA/FIBROCIMENTO  FORNECIMENTO E INSTALAÇÃO. AF_06/2016</v>
          </cell>
          <cell r="C3212" t="str">
            <v>M</v>
          </cell>
          <cell r="D3212">
            <v>91.86</v>
          </cell>
        </row>
        <row r="3213">
          <cell r="A3213">
            <v>94722</v>
          </cell>
          <cell r="B3213" t="str">
            <v>TUBO, CPVC, SOLDÁVEL, DN 89 MM, INSTALADO EM RESERVAÇÃO DE ÁGUA DE EDIFICAÇÃO QUE POSSUA RESERVATÓRIO DE FIBRA/FIBROCIMENTO  FORNECIMENTO E INSTALAÇÃO. AF_06/2016</v>
          </cell>
          <cell r="C3213" t="str">
            <v>M</v>
          </cell>
          <cell r="D3213">
            <v>160.47999999999999</v>
          </cell>
        </row>
        <row r="3214">
          <cell r="A3214">
            <v>95697</v>
          </cell>
          <cell r="B3214" t="str">
            <v>TUBO DE AÇO PRETO SEM COSTURA, CONEXÃO SOLDADA, DN 40 (1 1/2"), INSTALADO EM REDE DE ALIMENTAÇÃO PARA HIDRANTE - FORNECIMENTO E INSTALAÇÃO. AF_12/2015</v>
          </cell>
          <cell r="C3214" t="str">
            <v>M</v>
          </cell>
          <cell r="D3214">
            <v>48.91</v>
          </cell>
        </row>
        <row r="3215">
          <cell r="A3215">
            <v>96635</v>
          </cell>
          <cell r="B3215" t="str">
            <v>TUBO, PPR, DN 25, CLASSE PN 20,  INSTALADO EM RAMAL OU SUB-RAMAL DE ÁGUA  FORNECIMENTO E INSTALAÇÃO. AF_06/2015</v>
          </cell>
          <cell r="C3215" t="str">
            <v>M</v>
          </cell>
          <cell r="D3215">
            <v>22.01</v>
          </cell>
        </row>
        <row r="3216">
          <cell r="A3216">
            <v>96636</v>
          </cell>
          <cell r="B3216" t="str">
            <v>TUBO, PPR, DN 25, CLASSE PN 25 INSTALADO EM RAMAL OU SUB-RAMAL DE ÁGUA  FORNECIMENTO E INSTALAÇÃO. AF_06/2015</v>
          </cell>
          <cell r="C3216" t="str">
            <v>M</v>
          </cell>
          <cell r="D3216">
            <v>23.31</v>
          </cell>
        </row>
        <row r="3217">
          <cell r="A3217">
            <v>96644</v>
          </cell>
          <cell r="B3217" t="str">
            <v>TUBO, PPR, DN 25, CLASSE PN 20,  INSTALADO EM RAMAL DE DISTRIBUIÇÃO DE ÁGUA  FORNECIMENTO E INSTALAÇÃO. AF_06/2015</v>
          </cell>
          <cell r="C3217" t="str">
            <v>M</v>
          </cell>
          <cell r="D3217">
            <v>14.03</v>
          </cell>
        </row>
        <row r="3218">
          <cell r="A3218">
            <v>96645</v>
          </cell>
          <cell r="B3218" t="str">
            <v>TUBO, PPR, DN 32, CLASSE PN 12,  INSTALADO EM RAMAL DE DISTRIBUIÇÃO DE ÁGUA  FORNECIMENTO E INSTALAÇÃO. AF_06/2015</v>
          </cell>
          <cell r="C3218" t="str">
            <v>M</v>
          </cell>
          <cell r="D3218">
            <v>18.21</v>
          </cell>
        </row>
        <row r="3219">
          <cell r="A3219">
            <v>96646</v>
          </cell>
          <cell r="B3219" t="str">
            <v>TUBO, PPR, DN 40, CLASSE PN 12,  INSTALADO EM RAMAL DE DISTRIBUIÇÃO DE ÁGUA  FORNECIMENTO E INSTALAÇÃO. AF_06/2015</v>
          </cell>
          <cell r="C3219" t="str">
            <v>M</v>
          </cell>
          <cell r="D3219">
            <v>28.28</v>
          </cell>
        </row>
        <row r="3220">
          <cell r="A3220">
            <v>96647</v>
          </cell>
          <cell r="B3220" t="str">
            <v>TUBO, PPR, DN 25, CLASSE PN 25,  INSTALADO EM RAMAL DE DISTRIBUIÇÃO DE ÁGUA  FORNECIMENTO E INSTALAÇÃO. AF_06/2015</v>
          </cell>
          <cell r="C3220" t="str">
            <v>M</v>
          </cell>
          <cell r="D3220">
            <v>12.59</v>
          </cell>
        </row>
        <row r="3221">
          <cell r="A3221">
            <v>96648</v>
          </cell>
          <cell r="B3221" t="str">
            <v>TUBO, PPR, DN 32, CLASSE PN 25,  INSTALADO EM RAMAL DE DISTRIBUIÇÃO DE ÁGUA  FORNECIMENTO E INSTALAÇÃO. AF_06/2015</v>
          </cell>
          <cell r="C3221" t="str">
            <v>M</v>
          </cell>
          <cell r="D3221">
            <v>23.06</v>
          </cell>
        </row>
        <row r="3222">
          <cell r="A3222">
            <v>96649</v>
          </cell>
          <cell r="B3222" t="str">
            <v>TUBO, PPR, DN 40, CLASSE PN 25,  INSTALADO EM RAMAL DE DISTRIBUIÇÃO DE ÁGUA  FORNECIMENTO E INSTALAÇÃO. AF_06/2015</v>
          </cell>
          <cell r="C3222" t="str">
            <v>M</v>
          </cell>
          <cell r="D3222">
            <v>34.130000000000003</v>
          </cell>
        </row>
        <row r="3223">
          <cell r="A3223">
            <v>96668</v>
          </cell>
          <cell r="B3223" t="str">
            <v>TUBO, PPR, DN 25, CLASSE PN 20,  INSTALADO EM PRUMADA DE ÁGUA  FORNECIMENTO E INSTALAÇÃO. AF_06/2015</v>
          </cell>
          <cell r="C3223" t="str">
            <v>M</v>
          </cell>
          <cell r="D3223">
            <v>8.4700000000000006</v>
          </cell>
        </row>
        <row r="3224">
          <cell r="A3224">
            <v>96669</v>
          </cell>
          <cell r="B3224" t="str">
            <v>TUBO, PPR, DN 32, CLASSE PN 12,  INSTALADO EM PRUMADA DE ÁGUA  FORNECIMENTO E INSTALAÇÃO. AF_06/2015</v>
          </cell>
          <cell r="C3224" t="str">
            <v>M</v>
          </cell>
          <cell r="D3224">
            <v>10.52</v>
          </cell>
        </row>
        <row r="3225">
          <cell r="A3225">
            <v>96670</v>
          </cell>
          <cell r="B3225" t="str">
            <v>TUBO, PPR, DN 40, CLASSE PN 12,  INSTALADO EM PRUMADA DE ÁGUA  FORNECIMENTO E INSTALAÇÃO. AF_06/2015</v>
          </cell>
          <cell r="C3225" t="str">
            <v>M</v>
          </cell>
          <cell r="D3225">
            <v>15.96</v>
          </cell>
        </row>
        <row r="3226">
          <cell r="A3226">
            <v>96671</v>
          </cell>
          <cell r="B3226" t="str">
            <v>TUBO, PPR, DN 50, CLASSE PN 12,  INSTALADO EM PRUMADA DE ÁGUA  FORNECIMENTO E INSTALAÇÃO. AF_06/2015</v>
          </cell>
          <cell r="C3226" t="str">
            <v>M</v>
          </cell>
          <cell r="D3226">
            <v>21.4</v>
          </cell>
        </row>
        <row r="3227">
          <cell r="A3227">
            <v>96672</v>
          </cell>
          <cell r="B3227" t="str">
            <v>TUBO, PPR, DN 63, CLASSE PN 12,  INSTALADO EM PRUMADA DE ÁGUA  FORNECIMENTO E INSTALAÇÃO. AF_06/2015</v>
          </cell>
          <cell r="C3227" t="str">
            <v>M</v>
          </cell>
          <cell r="D3227">
            <v>31.46</v>
          </cell>
        </row>
        <row r="3228">
          <cell r="A3228">
            <v>96673</v>
          </cell>
          <cell r="B3228" t="str">
            <v>TUBO, PPR, DN 75, CLASSE PN 12,  INSTALADO EM PRUMADA DE ÁGUA  FORNECIMENTO E INSTALAÇÃO. AF_06/2015</v>
          </cell>
          <cell r="C3228" t="str">
            <v>M</v>
          </cell>
          <cell r="D3228">
            <v>51.24</v>
          </cell>
        </row>
        <row r="3229">
          <cell r="A3229">
            <v>96674</v>
          </cell>
          <cell r="B3229" t="str">
            <v>TUBO, PPR, DN 90, CLASSE PN 12,  INSTALADO EM PRUMADA DE ÁGUA  FORNECIMENTO E INSTALAÇÃO. AF_06/2015</v>
          </cell>
          <cell r="C3229" t="str">
            <v>M</v>
          </cell>
          <cell r="D3229">
            <v>72.02</v>
          </cell>
        </row>
        <row r="3230">
          <cell r="A3230">
            <v>96675</v>
          </cell>
          <cell r="B3230" t="str">
            <v>TUBO, PPR, DN 110, CLASSE PN 12,  INSTALADO EM PRUMADA DE ÁGUA  FORNECIMENTO E INSTALAÇÃO. AF_06/2015</v>
          </cell>
          <cell r="C3230" t="str">
            <v>M</v>
          </cell>
          <cell r="D3230">
            <v>124.82</v>
          </cell>
        </row>
        <row r="3231">
          <cell r="A3231">
            <v>96676</v>
          </cell>
          <cell r="B3231" t="str">
            <v>TUBO, PPR, DN 25, CLASSE PN 25,  INSTALADO EM PRUMADA DE ÁGUA  FORNECIMENTO E INSTALAÇÃO. AF_06/2015</v>
          </cell>
          <cell r="C3231" t="str">
            <v>M</v>
          </cell>
          <cell r="D3231">
            <v>8.44</v>
          </cell>
        </row>
        <row r="3232">
          <cell r="A3232">
            <v>96677</v>
          </cell>
          <cell r="B3232" t="str">
            <v>TUBO, PPR, DN 32, CLASSE PN 25,  INSTALADO EM PRUMADA DE ÁGUA  FORNECIMENTO E INSTALAÇÃO. AF_06/2015</v>
          </cell>
          <cell r="C3232" t="str">
            <v>M</v>
          </cell>
          <cell r="D3232">
            <v>13.89</v>
          </cell>
        </row>
        <row r="3233">
          <cell r="A3233">
            <v>96678</v>
          </cell>
          <cell r="B3233" t="str">
            <v>TUBO, PPR, DN 40, CLASSE PN 25,  INSTALADO EM PRUMADA DE ÁGUA  FORNECIMENTO E INSTALAÇÃO. AF_06/2015</v>
          </cell>
          <cell r="C3233" t="str">
            <v>M</v>
          </cell>
          <cell r="D3233">
            <v>19.32</v>
          </cell>
        </row>
        <row r="3234">
          <cell r="A3234">
            <v>96679</v>
          </cell>
          <cell r="B3234" t="str">
            <v>TUBO, PPR, DN 50, CLASSE PN 25,  INSTALADO EM PRUMADA DE ÁGUA  FORNECIMENTO E INSTALAÇÃO. AF_06/2015</v>
          </cell>
          <cell r="C3234" t="str">
            <v>M</v>
          </cell>
          <cell r="D3234">
            <v>28.2</v>
          </cell>
        </row>
        <row r="3235">
          <cell r="A3235">
            <v>96680</v>
          </cell>
          <cell r="B3235" t="str">
            <v>TUBO, PPR, DN 63, CLASSE PN 25,  INSTALADO EM PRUMADA DE ÁGUA  FORNECIMENTO E INSTALAÇÃO. AF_06/2015</v>
          </cell>
          <cell r="C3235" t="str">
            <v>M</v>
          </cell>
          <cell r="D3235">
            <v>38.090000000000003</v>
          </cell>
        </row>
        <row r="3236">
          <cell r="A3236">
            <v>96681</v>
          </cell>
          <cell r="B3236" t="str">
            <v>TUBO, PPR, DN 75, CLASSE PN 25,  INSTALADO EM PRUMADA DE ÁGUA  FORNECIMENTO E INSTALAÇÃO. AF_06/2015</v>
          </cell>
          <cell r="C3236" t="str">
            <v>M</v>
          </cell>
          <cell r="D3236">
            <v>70.709999999999994</v>
          </cell>
        </row>
        <row r="3237">
          <cell r="A3237">
            <v>96682</v>
          </cell>
          <cell r="B3237" t="str">
            <v>TUBO, PPR, DN 90, CLASSE PN 25,  INSTALADO EM PRUMADA DE ÁGUA  FORNECIMENTO E INSTALAÇÃO. AF_06/2015</v>
          </cell>
          <cell r="C3237" t="str">
            <v>M</v>
          </cell>
          <cell r="D3237">
            <v>104.24</v>
          </cell>
        </row>
        <row r="3238">
          <cell r="A3238">
            <v>96683</v>
          </cell>
          <cell r="B3238" t="str">
            <v>TUBO, PPR, DN 110, CLASSE PN 25,  INSTALADO EM PRUMADA DE ÁGUA  FORNECIMENTO E INSTALAÇÃO. AF_06/2015</v>
          </cell>
          <cell r="C3238" t="str">
            <v>M</v>
          </cell>
          <cell r="D3238">
            <v>142.88</v>
          </cell>
        </row>
        <row r="3239">
          <cell r="A3239">
            <v>96718</v>
          </cell>
          <cell r="B3239" t="str">
            <v>TUBO, PPR, DN 20, CLASSE PN 20,  INSTALADO EM RESERVAÇÃO DE ÁGUA DE EDIFICAÇÃO QUE POSSUA RESERVATÓRIO DE FIBRA/FIBROCIMENTO  FORNECIMENTO E INSTALAÇÃO. AF_06/2016</v>
          </cell>
          <cell r="C3239" t="str">
            <v>M</v>
          </cell>
          <cell r="D3239">
            <v>5.49</v>
          </cell>
        </row>
        <row r="3240">
          <cell r="A3240">
            <v>96719</v>
          </cell>
          <cell r="B3240" t="str">
            <v>TUBO, PPR, DN 25, CLASSE PN 20,  INSTALADO EM RESERVAÇÃO DE ÁGUA DE EDIFICAÇÃO QUE POSSUA RESERVATÓRIO DE FIBRA/FIBROCIMENTO  FORNECIMENTO E INSTALAÇÃO. AF_06/2016</v>
          </cell>
          <cell r="C3240" t="str">
            <v>M</v>
          </cell>
          <cell r="D3240">
            <v>11.83</v>
          </cell>
        </row>
        <row r="3241">
          <cell r="A3241">
            <v>96720</v>
          </cell>
          <cell r="B3241" t="str">
            <v>TUBO, PPR, DN 32, CLASSE PN 12,  INSTALADO EM RESERVAÇÃO DE ÁGUA DE EDIFICAÇÃO QUE POSSUA RESERVATÓRIO DE FIBRA/FIBROCIMENTO  FORNECIMENTO E INSTALAÇÃO. AF_06/2016</v>
          </cell>
          <cell r="C3241" t="str">
            <v>M</v>
          </cell>
          <cell r="D3241">
            <v>14.34</v>
          </cell>
        </row>
        <row r="3242">
          <cell r="A3242">
            <v>96721</v>
          </cell>
          <cell r="B3242" t="str">
            <v>TUBO, PPR, DN 40, CLASSE PN 12,  INSTALADO EM RESERVAÇÃO DE ÁGUA DE EDIFICAÇÃO QUE POSSUA RESERVATÓRIO DE FIBRA/FIBROCIMENTO  FORNECIMENTO E INSTALAÇÃO. AF_06/2016</v>
          </cell>
          <cell r="C3242" t="str">
            <v>M</v>
          </cell>
          <cell r="D3242">
            <v>18.96</v>
          </cell>
        </row>
        <row r="3243">
          <cell r="A3243">
            <v>96722</v>
          </cell>
          <cell r="B3243" t="str">
            <v>TUBO, PPR, DN 50, CLASSE PN 12,  INSTALADO EM RESERVAÇÃO DE ÁGUA DE EDIFICAÇÃO QUE POSSUA RESERVATÓRIO DE FIBRA/FIBROCIMENTO  FORNECIMENTO E INSTALAÇÃO. AF_06/2016</v>
          </cell>
          <cell r="C3243" t="str">
            <v>M</v>
          </cell>
          <cell r="D3243">
            <v>26.03</v>
          </cell>
        </row>
        <row r="3244">
          <cell r="A3244">
            <v>96723</v>
          </cell>
          <cell r="B3244" t="str">
            <v>TUBO, PPR, DN 63, CLASSE PN 12,  INSTALADO EM RESERVAÇÃO DE ÁGUA DE EDIFICAÇÃO QUE POSSUA RESERVATÓRIO DE FIBRA/FIBROCIMENTO  FORNECIMENTO E INSTALAÇÃO. AF_06/2016</v>
          </cell>
          <cell r="C3244" t="str">
            <v>M</v>
          </cell>
          <cell r="D3244">
            <v>34.11</v>
          </cell>
        </row>
        <row r="3245">
          <cell r="A3245">
            <v>96724</v>
          </cell>
          <cell r="B3245" t="str">
            <v>TUBO, PPR, DN 75, CLASSE PN 12,  INSTALADO EM RESERVAÇÃO DE ÁGUA DE EDIFICAÇÃO QUE POSSUA RESERVATÓRIO DE FIBRA/FIBROCIMENTO  FORNECIMENTO E INSTALAÇÃO. AF_06/2016</v>
          </cell>
          <cell r="C3245" t="str">
            <v>M</v>
          </cell>
          <cell r="D3245">
            <v>55.72</v>
          </cell>
        </row>
        <row r="3246">
          <cell r="A3246">
            <v>96725</v>
          </cell>
          <cell r="B3246" t="str">
            <v>TUBO, PPR, DN 90, CLASSE PN 12,  INSTALADO EM RESERVAÇÃO DE ÁGUA DE EDIFICAÇÃO QUE POSSUA RESERVATÓRIO DE FIBRA/FIBROCIMENTO  FORNECIMENTO E INSTALAÇÃO. AF_06/2016</v>
          </cell>
          <cell r="C3246" t="str">
            <v>M</v>
          </cell>
          <cell r="D3246">
            <v>72.58</v>
          </cell>
        </row>
        <row r="3247">
          <cell r="A3247">
            <v>96726</v>
          </cell>
          <cell r="B3247" t="str">
            <v>TUBO, PPR, DN 110, CLASSE PN 12,  INSTALADO EM RESERVAÇÃO DE ÁGUA DE EDIFICAÇÃO QUE POSSUA RESERVATÓRIO DE FIBRA/FIBROCIMENTO  FORNECIMENTO E INSTALAÇÃO. AF_06/2016</v>
          </cell>
          <cell r="C3247" t="str">
            <v>M</v>
          </cell>
          <cell r="D3247">
            <v>118.2</v>
          </cell>
        </row>
        <row r="3248">
          <cell r="A3248">
            <v>96727</v>
          </cell>
          <cell r="B3248" t="str">
            <v>TUBO, PPR, DN 20, CLASSE PN 25,  INSTALADO EM RESERVAÇÃO DE ÁGUA DE EDIFICAÇÃO QUE POSSUA RESERVATÓRIO DE FIBRA/FIBROCIMENTO  FORNECIMENTO E INSTALAÇÃO. AF_06/2016</v>
          </cell>
          <cell r="C3248" t="str">
            <v>M</v>
          </cell>
          <cell r="D3248">
            <v>10.4</v>
          </cell>
        </row>
        <row r="3249">
          <cell r="A3249">
            <v>96728</v>
          </cell>
          <cell r="B3249" t="str">
            <v>TUBO, PPR, DN 25, CLASSE PN 25,  INSTALADO EM RESERVAÇÃO DE ÁGUA DE EDIFICAÇÃO QUE POSSUA RESERVATÓRIO DE FIBRA/FIBROCIMENTO  FORNECIMENTO E INSTALAÇÃO. AF_06/2016</v>
          </cell>
          <cell r="C3249" t="str">
            <v>M</v>
          </cell>
          <cell r="D3249">
            <v>12.27</v>
          </cell>
        </row>
        <row r="3250">
          <cell r="A3250">
            <v>96729</v>
          </cell>
          <cell r="B3250" t="str">
            <v>TUBO, PPR, DN 32, CLASSE PN 25,  INSTALADO EM RESERVAÇÃO DE ÁGUA DE EDIFICAÇÃO QUE POSSUA RESERVATÓRIO DE FIBRA/FIBROCIMENTO  FORNECIMENTO E INSTALAÇÃO. AF_06/2016</v>
          </cell>
          <cell r="C3250" t="str">
            <v>M</v>
          </cell>
          <cell r="D3250">
            <v>18.36</v>
          </cell>
        </row>
        <row r="3251">
          <cell r="A3251">
            <v>96730</v>
          </cell>
          <cell r="B3251" t="str">
            <v>TUBO, PPR, DN 40, CLASSE PN 25,  INSTALADO EM RESERVAÇÃO DE ÁGUA DE EDIFICAÇÃO QUE POSSUA RESERVATÓRIO DE FIBRA/FIBROCIMENTO  FORNECIMENTO E INSTALAÇÃO. AF_06/2016</v>
          </cell>
          <cell r="C3251" t="str">
            <v>M</v>
          </cell>
          <cell r="D3251">
            <v>22.89</v>
          </cell>
        </row>
        <row r="3252">
          <cell r="A3252">
            <v>96731</v>
          </cell>
          <cell r="B3252" t="str">
            <v>TUBO, PPR, DN 50, CLASSE PN 25,  INSTALADO EM RESERVAÇÃO DE ÁGUA DE EDIFICAÇÃO QUE POSSUA RESERVATÓRIO DE FIBRA/FIBROCIMENTO  FORNECIMENTO E INSTALAÇÃO. AF_06/2016</v>
          </cell>
          <cell r="C3252" t="str">
            <v>M</v>
          </cell>
          <cell r="D3252">
            <v>33.57</v>
          </cell>
        </row>
        <row r="3253">
          <cell r="A3253">
            <v>96732</v>
          </cell>
          <cell r="B3253" t="str">
            <v>TUBO, PPR, DN 63, CLASSE PN 25,  INSTALADO EM RESERVAÇÃO DE ÁGUA DE EDIFICAÇÃO QUE POSSUA RESERVATÓRIO DE FIBRA/FIBROCIMENTO  FORNECIMENTO E INSTALAÇÃO. AF_06/2016</v>
          </cell>
          <cell r="C3253" t="str">
            <v>M</v>
          </cell>
          <cell r="D3253">
            <v>41.24</v>
          </cell>
        </row>
        <row r="3254">
          <cell r="A3254">
            <v>96733</v>
          </cell>
          <cell r="B3254" t="str">
            <v>TUBO, PPR, DN 75, CLASSE PN 25,  INSTALADO EM RESERVAÇÃO DE ÁGUA DE EDIFICAÇÃO QUE POSSUA RESERVATÓRIO DE FIBRA/FIBROCIMENTO  FORNECIMENTO E INSTALAÇÃO. AF_06/2016</v>
          </cell>
          <cell r="C3254" t="str">
            <v>M</v>
          </cell>
          <cell r="D3254">
            <v>75.39</v>
          </cell>
        </row>
        <row r="3255">
          <cell r="A3255">
            <v>96734</v>
          </cell>
          <cell r="B3255" t="str">
            <v>TUBO, PPR, DN 90, CLASSE PN 25,  INSTALADO EM RESERVAÇÃO DE ÁGUA DE EDIFICAÇÃO QUE POSSUA RESERVATÓRIO DE FIBRA/FIBROCIMENTO  FORNECIMENTO E INSTALAÇÃO. AF_06/2016</v>
          </cell>
          <cell r="C3255" t="str">
            <v>M</v>
          </cell>
          <cell r="D3255">
            <v>103.62</v>
          </cell>
        </row>
        <row r="3256">
          <cell r="A3256">
            <v>96735</v>
          </cell>
          <cell r="B3256" t="str">
            <v>TUBO, PPR, DN 110, CLASSE PN 25,  INSTALADO EM RESERVAÇÃO DE ÁGUA DE EDIFICAÇÃO QUE POSSUA RESERVATÓRIO DE FIBRA/FIBROCIMENTO  FORNECIMENTO E INSTALAÇÃO. AF_06/2016</v>
          </cell>
          <cell r="C3256" t="str">
            <v>M</v>
          </cell>
          <cell r="D3256">
            <v>135.88999999999999</v>
          </cell>
        </row>
        <row r="3257">
          <cell r="A3257">
            <v>96794</v>
          </cell>
          <cell r="B3257" t="str">
            <v>TUBO, PEX, MONOCAMADA, DN 16, INSTALADO EM RAMAL OU SUB-RAMAL DE ÁGUA  FORNECIMENTO E INSTALAÇÃO. AF_06/2015</v>
          </cell>
          <cell r="C3257" t="str">
            <v>M</v>
          </cell>
          <cell r="D3257">
            <v>6.96</v>
          </cell>
        </row>
        <row r="3258">
          <cell r="A3258">
            <v>96795</v>
          </cell>
          <cell r="B3258" t="str">
            <v>TUBO, PEX, MONOCAMADA, DN 20, INSTALADO EM RAMAL OU SUB-RAMAL DE ÁGUA  FORNECIMENTO E INSTALAÇÃO. AF_06/2015</v>
          </cell>
          <cell r="C3258" t="str">
            <v>M</v>
          </cell>
          <cell r="D3258">
            <v>8.84</v>
          </cell>
        </row>
        <row r="3259">
          <cell r="A3259">
            <v>96796</v>
          </cell>
          <cell r="B3259" t="str">
            <v>TUBO, PEX, MONOCAMADA, DN 25, INSTALADO EM RAMAL OU SUB-RAMAL DE ÁGUA  FORNECIMENTO E INSTALAÇÃO. AF_06/2015</v>
          </cell>
          <cell r="C3259" t="str">
            <v>M</v>
          </cell>
          <cell r="D3259">
            <v>12.36</v>
          </cell>
        </row>
        <row r="3260">
          <cell r="A3260">
            <v>96797</v>
          </cell>
          <cell r="B3260" t="str">
            <v>TUBO, PEX, MONOCAMADA, DN 32, INSTALADO EM RAMAL OU SUB-RAMAL DE ÁGUA  FORNECIMENTO E INSTALAÇÃO. AF_06/2015</v>
          </cell>
          <cell r="C3260" t="str">
            <v>M</v>
          </cell>
          <cell r="D3260">
            <v>18.64</v>
          </cell>
        </row>
        <row r="3261">
          <cell r="A3261">
            <v>96798</v>
          </cell>
          <cell r="B3261" t="str">
            <v>TUBO, PEX, MONOCAMADA, DN 16, INSTALADO EM RAMAL DE DISTRIBUIÇÃO DE ÁGUA  FORNECIMENTO E INSTALAÇÃO. AF_06/2015</v>
          </cell>
          <cell r="C3261" t="str">
            <v>M</v>
          </cell>
          <cell r="D3261">
            <v>7.07</v>
          </cell>
        </row>
        <row r="3262">
          <cell r="A3262">
            <v>96799</v>
          </cell>
          <cell r="B3262" t="str">
            <v>TUBO, PEX, MONOCAMADA, DN 20, INSTALADO EM RAMAL DE DISTRIBUIÇÃO DE ÁGUA  FORNECIMENTO E INSTALAÇÃO. AF_06/2015</v>
          </cell>
          <cell r="C3262" t="str">
            <v>M</v>
          </cell>
          <cell r="D3262">
            <v>9.4700000000000006</v>
          </cell>
        </row>
        <row r="3263">
          <cell r="A3263">
            <v>96800</v>
          </cell>
          <cell r="B3263" t="str">
            <v>TUBO, PEX, MONOCAMADA, DN 25, INSTALADO EM RAMAL DE DISTRIBUIÇÃO DE ÁGUA  FORNECIMENTO E INSTALAÇÃO. AF_06/2015</v>
          </cell>
          <cell r="C3263" t="str">
            <v>M</v>
          </cell>
          <cell r="D3263">
            <v>13.66</v>
          </cell>
        </row>
        <row r="3264">
          <cell r="A3264">
            <v>96801</v>
          </cell>
          <cell r="B3264" t="str">
            <v>TUBO, PEX, MONOCAMADA, DN 32, INSTALADO EM RAMAL DE DISTRIBUIÇÃO DE ÁGUA  FORNECIMENTO E INSTALAÇÃO. AF_06/2015</v>
          </cell>
          <cell r="C3264" t="str">
            <v>M</v>
          </cell>
          <cell r="D3264">
            <v>20.89</v>
          </cell>
        </row>
        <row r="3265">
          <cell r="A3265">
            <v>97327</v>
          </cell>
          <cell r="B3265" t="str">
            <v>TUBO EM COBRE FLEXÍVEL, DN 1/4, COM ISOLAMENTO, INSTALADO EM RAMAL DE ALIMENTAÇÃO DE AR CONDICIONADO COM CONDENSADORA INDIVIDUAL   FORNECIMENTO E INSTALAÇÃO. AF_12/2015</v>
          </cell>
          <cell r="C3265" t="str">
            <v>M</v>
          </cell>
          <cell r="D3265">
            <v>18.100000000000001</v>
          </cell>
        </row>
        <row r="3266">
          <cell r="A3266">
            <v>97328</v>
          </cell>
          <cell r="B3266" t="str">
            <v>TUBO EM COBRE FLEXÍVEL, DN 3/8", COM ISOLAMENTO, INSTALADO EM RAMAL DE ALIMENTAÇÃO DE AR CONDICIONADO COM CONDENSADORA INDIVIDUAL  FORNECIMENTO E INSTALAÇÃO. AF_12/2015</v>
          </cell>
          <cell r="C3266" t="str">
            <v>M</v>
          </cell>
          <cell r="D3266">
            <v>31.89</v>
          </cell>
        </row>
        <row r="3267">
          <cell r="A3267">
            <v>97329</v>
          </cell>
          <cell r="B3267" t="str">
            <v>TUBO EM COBRE FLEXÍVEL, DN 1/2", COM ISOLAMENTO, INSTALADO EM RAMAL DE ALIMENTAÇÃO DE AR CONDICIONADO COM CONDENSADORA INDIVIDUAL  FORNECIMENTO E INSTALAÇÃO. AF_12/2015</v>
          </cell>
          <cell r="C3267" t="str">
            <v>M</v>
          </cell>
          <cell r="D3267">
            <v>39.47</v>
          </cell>
        </row>
        <row r="3268">
          <cell r="A3268">
            <v>97330</v>
          </cell>
          <cell r="B3268" t="str">
            <v>TUBO EM COBRE FLEXÍVEL, DN 5/8", COM ISOLAMENTO, INSTALADO EM RAMAL DE ALIMENTAÇÃO DE AR CONDICIONADO COM CONDENSADORA INDIVIDUAL  FORNECIMENTO E INSTALAÇÃO. AF_12/2015</v>
          </cell>
          <cell r="C3268" t="str">
            <v>M</v>
          </cell>
          <cell r="D3268">
            <v>47.99</v>
          </cell>
        </row>
        <row r="3269">
          <cell r="A3269">
            <v>97331</v>
          </cell>
          <cell r="B3269" t="str">
            <v>TUBO EM COBRE FLEXÍVEL, DN 1/4", COM ISOLAMENTO, INSTALADO EM RAMAL DE ALIMENTAÇÃO DE AR CONDICIONADO COM CONDENSADORA CENTRAL  FORNECIMENTO E INSTALAÇÃO. AF_12/2015</v>
          </cell>
          <cell r="C3269" t="str">
            <v>M</v>
          </cell>
          <cell r="D3269">
            <v>18.36</v>
          </cell>
        </row>
        <row r="3270">
          <cell r="A3270">
            <v>97332</v>
          </cell>
          <cell r="B3270" t="str">
            <v>TUBO EM COBRE FLEXÍVEL, DN 3/8", COM ISOLAMENTO, INSTALADO EM RAMAL DE ALIMENTAÇÃO DE AR CONDICIONADO COM CONDENSADORA CENTRAL  FORNECIMENTO E INSTALAÇÃO. AF_12/2015</v>
          </cell>
          <cell r="C3270" t="str">
            <v>M</v>
          </cell>
          <cell r="D3270">
            <v>32.18</v>
          </cell>
        </row>
        <row r="3271">
          <cell r="A3271">
            <v>97333</v>
          </cell>
          <cell r="B3271" t="str">
            <v>TUBO EM COBRE FLEXÍVEL, DN 1/2", COM ISOLAMENTO, INSTALADO EM RAMAL DE ALIMENTAÇÃO DE AR CONDICIONADO COM CONDENSADORA CENTRAL  FORNECIMENTO E INSTALAÇÃO. AF_12/2015</v>
          </cell>
          <cell r="C3271" t="str">
            <v>M</v>
          </cell>
          <cell r="D3271">
            <v>39.82</v>
          </cell>
        </row>
        <row r="3272">
          <cell r="A3272">
            <v>97334</v>
          </cell>
          <cell r="B3272" t="str">
            <v>TUBO EM COBRE FLEXÍVEL, DN 5/8, COM ISOLAMENTO, INSTALADO EM RAMAL DE ALIMENTAÇÃO DE AR CONDICIONADO COM CONDENSADORA CENTRAL   FORNECIMENTO E INSTALAÇÃO. AF_12/2015</v>
          </cell>
          <cell r="C3272" t="str">
            <v>M</v>
          </cell>
          <cell r="D3272">
            <v>48.39</v>
          </cell>
        </row>
        <row r="3273">
          <cell r="A3273">
            <v>97335</v>
          </cell>
          <cell r="B3273" t="str">
            <v>TUBO EM COBRE RÍGIDO, DN 22 MM, CLASSE A, SEM ISOLAMENTO, INSTALADO EM PRUMADA  FORNECIMENTO E INSTALAÇÃO. AF_12/2015</v>
          </cell>
          <cell r="C3273" t="str">
            <v>M</v>
          </cell>
          <cell r="D3273">
            <v>46.45</v>
          </cell>
        </row>
        <row r="3274">
          <cell r="A3274">
            <v>97336</v>
          </cell>
          <cell r="B3274" t="str">
            <v>TUBO EM COBRE RÍGIDO, DN 28 MM, CLASSE A, SEM ISOLAMENTO, INSTALADO EM PRUMADA  FORNECIMENTO E INSTALAÇÃO. AF_12/2015</v>
          </cell>
          <cell r="C3274" t="str">
            <v>M</v>
          </cell>
          <cell r="D3274">
            <v>58.96</v>
          </cell>
        </row>
        <row r="3275">
          <cell r="A3275">
            <v>97337</v>
          </cell>
          <cell r="B3275" t="str">
            <v>TUBO EM COBRE RÍGIDO, DN 35 MM, CLASSE A, SEM ISOLAMENTO, INSTALADO EM PRUMADA  FORNECIMENTO E INSTALAÇÃO. AF_12/2015</v>
          </cell>
          <cell r="C3275" t="str">
            <v>M</v>
          </cell>
          <cell r="D3275">
            <v>88.38</v>
          </cell>
        </row>
        <row r="3276">
          <cell r="A3276">
            <v>97338</v>
          </cell>
          <cell r="B3276" t="str">
            <v>TUBO EM COBRE RÍGIDO, DN 42 MM, CLASSE A, SEM ISOLAMENTO, INSTALADO EM PRUMADA  FORNECIMENTO E INSTALAÇÃO. AF_12/2015</v>
          </cell>
          <cell r="C3276" t="str">
            <v>M</v>
          </cell>
          <cell r="D3276">
            <v>106.2</v>
          </cell>
        </row>
        <row r="3277">
          <cell r="A3277">
            <v>97339</v>
          </cell>
          <cell r="B3277" t="str">
            <v>TUBO EM COBRE RÍGIDO, DN 54 MM, CLASSE A, SEM ISOLAMENTO, INSTALADO EM PRUMADA  FORNECIMENTO E INSTALAÇÃO. AF_12/2015</v>
          </cell>
          <cell r="C3277" t="str">
            <v>M</v>
          </cell>
          <cell r="D3277">
            <v>114.33</v>
          </cell>
        </row>
        <row r="3278">
          <cell r="A3278">
            <v>97340</v>
          </cell>
          <cell r="B3278" t="str">
            <v>TUBO EM COBRE RÍGIDO, DN 66 MM, CLASSE A, SEM ISOLAMENTO, INSTALADO EM PRUMADA  FORNECIMENTO E INSTALAÇÃO. AF_12/2015</v>
          </cell>
          <cell r="C3278" t="str">
            <v>M</v>
          </cell>
          <cell r="D3278">
            <v>114.93</v>
          </cell>
        </row>
        <row r="3279">
          <cell r="A3279">
            <v>97341</v>
          </cell>
          <cell r="B3279" t="str">
            <v>TUBO EM COBRE RÍGIDO, DN 15 MM, CLASSE A, SEM ISOLAMENTO, INSTALADO EM RAMAL DE DISTRIBUIÇÃO  FORNECIMENTO E INSTALAÇÃO. AF_12/2015</v>
          </cell>
          <cell r="C3279" t="str">
            <v>M</v>
          </cell>
          <cell r="D3279">
            <v>32.17</v>
          </cell>
        </row>
        <row r="3280">
          <cell r="A3280">
            <v>97342</v>
          </cell>
          <cell r="B3280" t="str">
            <v>TUBO EM COBRE RÍGIDO, DN 22 MM, CLASSE A, SEM ISOLAMENTO, INSTALADO EM RAMAL DE DISTRIBUIÇÃO FORNECIMENTO E INSTALAÇÃO. AF_12/2015</v>
          </cell>
          <cell r="C3280" t="str">
            <v>M</v>
          </cell>
          <cell r="D3280">
            <v>49.95</v>
          </cell>
        </row>
        <row r="3281">
          <cell r="A3281">
            <v>97343</v>
          </cell>
          <cell r="B3281" t="str">
            <v>TUBO EM COBRE RÍGIDO, DN 28 MM, CLASSE A, SEM ISOLAMENTO, INSTALADO EM RAMAL DE DISTRIBUIÇÃO FORNECIMENTO E INSTALAÇÃO. AF_12/2015</v>
          </cell>
          <cell r="C3281" t="str">
            <v>M</v>
          </cell>
          <cell r="D3281">
            <v>62.71</v>
          </cell>
        </row>
        <row r="3282">
          <cell r="A3282">
            <v>97344</v>
          </cell>
          <cell r="B3282" t="str">
            <v>TUBO EM COBRE RÍGIDO, DN 15 MM, CLASSE A, SEM ISOLAMENTO, INSTALADO EM RAMAL E SUB-RAMAL  FORNECIMENTO E INSTALAÇÃO. AF_12/2015</v>
          </cell>
          <cell r="C3282" t="str">
            <v>M</v>
          </cell>
          <cell r="D3282">
            <v>39.86</v>
          </cell>
        </row>
        <row r="3283">
          <cell r="A3283">
            <v>97345</v>
          </cell>
          <cell r="B3283" t="str">
            <v>TUBO EM COBRE RÍGIDO, DN 22 MM, CLASSE A, SEM ISOLAMENTO, INSTALADO EM RAMAL E SUB-RAMAL  FORNECIMENTO E INSTALAÇÃO. AF_12/2015</v>
          </cell>
          <cell r="C3283" t="str">
            <v>M</v>
          </cell>
          <cell r="D3283">
            <v>63.17</v>
          </cell>
        </row>
        <row r="3284">
          <cell r="A3284">
            <v>97346</v>
          </cell>
          <cell r="B3284" t="str">
            <v>TUBO EM COBRE RÍGIDO, DN 28 MM, CLASSE A, SEM ISOLAMENTO, INSTALADO EM RAMAL E SUB-RAMAL  FORNECIMENTO E INSTALAÇÃO. AF_12/2015</v>
          </cell>
          <cell r="C3284" t="str">
            <v>M</v>
          </cell>
          <cell r="D3284">
            <v>80.73</v>
          </cell>
        </row>
        <row r="3285">
          <cell r="A3285">
            <v>97347</v>
          </cell>
          <cell r="B3285" t="str">
            <v>TUBO EM COBRE RÍGIDO, DN 22 MM, CLASSE I, SEM ISOLAMENTO, INSTALADO EM PRUMADA  FORNECIMENTO E INSTALAÇÃO. AF_12/2015</v>
          </cell>
          <cell r="C3285" t="str">
            <v>M</v>
          </cell>
          <cell r="D3285">
            <v>55.85</v>
          </cell>
        </row>
        <row r="3286">
          <cell r="A3286">
            <v>97348</v>
          </cell>
          <cell r="B3286" t="str">
            <v>TUBO EM COBRE RÍGIDO, DN 28 MM, CLASSE I, SEM ISOLAMENTO, INSTALADO EM PRUMADA  FORNECIMENTO E INSTALAÇÃO. AF_12/2015</v>
          </cell>
          <cell r="C3286" t="str">
            <v>M</v>
          </cell>
          <cell r="D3286">
            <v>77.069999999999993</v>
          </cell>
        </row>
        <row r="3287">
          <cell r="A3287">
            <v>97349</v>
          </cell>
          <cell r="B3287" t="str">
            <v>TUBO EM COBRE RÍGIDO, DN 35 MM, CLASSE I, SEM ISOLAMENTO, INSTALADO EM PRUMADA  FORNECIMENTO E INSTALAÇÃO. AF_12/2015</v>
          </cell>
          <cell r="C3287" t="str">
            <v>M</v>
          </cell>
          <cell r="D3287">
            <v>110.92</v>
          </cell>
        </row>
        <row r="3288">
          <cell r="A3288">
            <v>97350</v>
          </cell>
          <cell r="B3288" t="str">
            <v>TUBO EM COBRE RÍGIDO, DN 42 MM, CLASSE I, SEM ISOLAMENTO, INSTALADO EM PRUMADA  FORNECIMENTO E INSTALAÇÃO. AF_12/2015</v>
          </cell>
          <cell r="C3288" t="str">
            <v>M</v>
          </cell>
          <cell r="D3288">
            <v>134.62</v>
          </cell>
        </row>
        <row r="3289">
          <cell r="A3289">
            <v>97351</v>
          </cell>
          <cell r="B3289" t="str">
            <v>TUBO EM COBRE RÍGIDO, DN 54 MM, CLASSE I, SEM ISOLAMENTO, INSTALADO EM PRUMADA  FORNECIMENTO E INSTALAÇÃO. AF_12/2015</v>
          </cell>
          <cell r="C3289" t="str">
            <v>M</v>
          </cell>
          <cell r="D3289">
            <v>186.04</v>
          </cell>
        </row>
        <row r="3290">
          <cell r="A3290">
            <v>97352</v>
          </cell>
          <cell r="B3290" t="str">
            <v>TUBO EM COBRE RÍGIDO, DN 66 MM, CLASSE I, SEM ISOLAMENTO, INSTALADO EM PRUMADA  FORNECIMENTO E INSTALAÇÃO. AF_12/2015</v>
          </cell>
          <cell r="C3290" t="str">
            <v>M</v>
          </cell>
          <cell r="D3290">
            <v>240.97</v>
          </cell>
        </row>
        <row r="3291">
          <cell r="A3291">
            <v>97353</v>
          </cell>
          <cell r="B3291" t="str">
            <v>TUBO EM COBRE RÍGIDO, DN 15 MM, CLASSE I, SEM ISOLAMENTO, INSTALADO EM RAMAL DE DISTRIBUIÇÃO  FORNECIMENTO E INSTALAÇÃO. AF_12/2015</v>
          </cell>
          <cell r="C3291" t="str">
            <v>M</v>
          </cell>
          <cell r="D3291">
            <v>37.729999999999997</v>
          </cell>
        </row>
        <row r="3292">
          <cell r="A3292">
            <v>97354</v>
          </cell>
          <cell r="B3292" t="str">
            <v>TUBO EM COBRE RÍGIDO, DN 22 MM, CLASSE I, SEM ISOLAMENTO, INSTALADO EM RAMAL DE DISTRIBUIÇÃO FORNECIMENTO E INSTALAÇÃO. AF_12/2015</v>
          </cell>
          <cell r="C3292" t="str">
            <v>M</v>
          </cell>
          <cell r="D3292">
            <v>59.35</v>
          </cell>
        </row>
        <row r="3293">
          <cell r="A3293">
            <v>97355</v>
          </cell>
          <cell r="B3293" t="str">
            <v>TUBO EM COBRE RÍGIDO, DN 28 MM, CLASSE I, SEM ISOLAMENTO, INSTALADO EM RAMAL DE DISTRIBUIÇÃO FORNECIMENTO E INSTALAÇÃO. AF_12/2015</v>
          </cell>
          <cell r="C3293" t="str">
            <v>M</v>
          </cell>
          <cell r="D3293">
            <v>80.819999999999993</v>
          </cell>
        </row>
        <row r="3294">
          <cell r="A3294">
            <v>97356</v>
          </cell>
          <cell r="B3294" t="str">
            <v>TUBO EM COBRE RÍGIDO, DN 15 MM, CLASSE I, SEM ISOLAMENTO, INSTALADO EM RAMAL E SUB-RAMAL  FORNECIMENTO E INSTALAÇÃO. AF_12/2015</v>
          </cell>
          <cell r="C3294" t="str">
            <v>M</v>
          </cell>
          <cell r="D3294">
            <v>45.42</v>
          </cell>
        </row>
        <row r="3295">
          <cell r="A3295">
            <v>97357</v>
          </cell>
          <cell r="B3295" t="str">
            <v>TUBO EM COBRE RÍGIDO, DN 22 MM, CLASSE I, SEM ISOLAMENTO, INSTALADO EM RAMAL E SUB-RAMAL  FORNECIMENTO E INSTALAÇÃO. AF_12/2015</v>
          </cell>
          <cell r="C3295" t="str">
            <v>M</v>
          </cell>
          <cell r="D3295">
            <v>72.569999999999993</v>
          </cell>
        </row>
        <row r="3296">
          <cell r="A3296">
            <v>97358</v>
          </cell>
          <cell r="B3296" t="str">
            <v>TUBO EM COBRE RÍGIDO, DN 28 MM, CLASSE I, SEM ISOLAMENTO, INSTALADO EM RAMAL E SUB-RAMAL  FORNECIMENTO E INSTALAÇÃO. AF_12/2015</v>
          </cell>
          <cell r="C3296" t="str">
            <v>M</v>
          </cell>
          <cell r="D3296">
            <v>98.84</v>
          </cell>
        </row>
        <row r="3297">
          <cell r="A3297">
            <v>97498</v>
          </cell>
          <cell r="B3297" t="str">
            <v>TUBO DE AÇO GALVANIZADO COM COSTURA, CLASSE MÉDIA, DN 25 (1"), CONEXÃO ROSQUEADA, INSTALADO EM REDE DE ALIMENTAÇÃO PARA HIDRANTE - FORNECIMENTO E INSTALAÇÃO. AF_12/2015</v>
          </cell>
          <cell r="C3297" t="str">
            <v>M</v>
          </cell>
          <cell r="D3297">
            <v>26.55</v>
          </cell>
        </row>
        <row r="3298">
          <cell r="A3298">
            <v>97535</v>
          </cell>
          <cell r="B3298" t="str">
            <v>TUBO DE AÇO GALVANIZADO COM COSTURA, CLASSE MÉDIA, CONEXÃO ROSQUEADA, DN 25 (1"), INSTALADO EM REDE DE ALIMENTAÇÃO PARA SPRINKLER - FORNECIMENTO E INSTALAÇÃO. AF_12/2015</v>
          </cell>
          <cell r="C3298" t="str">
            <v>M</v>
          </cell>
          <cell r="D3298">
            <v>30.06</v>
          </cell>
        </row>
        <row r="3299">
          <cell r="A3299">
            <v>97536</v>
          </cell>
          <cell r="B3299" t="str">
            <v>TUBO DE AÇO GALVANIZADO COM COSTURA, CLASSE MÉDIA, CONEXÃO ROSQUEADA, DN 25 (1"), INSTALADO EM RAMAIS  E SUB-RAMAIS DE GÁS - FORNECIMENTO E INSTALAÇÃO. AF_12/2015</v>
          </cell>
          <cell r="C3299" t="str">
            <v>M</v>
          </cell>
          <cell r="D3299">
            <v>38.119999999999997</v>
          </cell>
        </row>
        <row r="3300">
          <cell r="A3300">
            <v>72293</v>
          </cell>
          <cell r="B3300" t="str">
            <v>CAP PVC ESGOTO 50MM (TAMPÃO) - FORNECIMENTO E INSTALAÇÃO</v>
          </cell>
          <cell r="C3300" t="str">
            <v>UN</v>
          </cell>
          <cell r="D3300">
            <v>5.43</v>
          </cell>
        </row>
        <row r="3301">
          <cell r="A3301">
            <v>72294</v>
          </cell>
          <cell r="B3301" t="str">
            <v>CAP PVC ESGOTO 75MM (TAMPÃO) - FORNECIMENTO E INSTALAÇÃO</v>
          </cell>
          <cell r="C3301" t="str">
            <v>UN</v>
          </cell>
          <cell r="D3301">
            <v>8.15</v>
          </cell>
        </row>
        <row r="3302">
          <cell r="A3302">
            <v>72295</v>
          </cell>
          <cell r="B3302" t="str">
            <v>CAP PVC ESGOTO 100MM (TAMPÃO) - FORNECIMENTO E INSTALAÇÃO</v>
          </cell>
          <cell r="C3302" t="str">
            <v>UN</v>
          </cell>
          <cell r="D3302">
            <v>11.29</v>
          </cell>
        </row>
        <row r="3303">
          <cell r="A3303">
            <v>72306</v>
          </cell>
          <cell r="B3303" t="str">
            <v>COTOVELO DE AÇO GALVANIZADO 4" - FORNECIMENTO E INSTALAÇÃO</v>
          </cell>
          <cell r="C3303" t="str">
            <v>UN</v>
          </cell>
          <cell r="D3303">
            <v>146.76</v>
          </cell>
        </row>
        <row r="3304">
          <cell r="A3304">
            <v>72307</v>
          </cell>
          <cell r="B3304" t="str">
            <v>COTOVELO DE AÇO GALVANIZADO 5" - FORNECIMENTO E INSTALAÇÃO</v>
          </cell>
          <cell r="C3304" t="str">
            <v>UN</v>
          </cell>
          <cell r="D3304">
            <v>203.66</v>
          </cell>
        </row>
        <row r="3305">
          <cell r="A3305">
            <v>72313</v>
          </cell>
          <cell r="B3305" t="str">
            <v>COTOVELO DE AÇO GALVANIZADO 6" - FORNECIMENTO E INSTALAÇÃO</v>
          </cell>
          <cell r="C3305" t="str">
            <v>UN</v>
          </cell>
          <cell r="D3305">
            <v>463.4</v>
          </cell>
        </row>
        <row r="3306">
          <cell r="A3306">
            <v>72482</v>
          </cell>
          <cell r="B3306" t="str">
            <v>UNIAO DE ACO GALVANIZADO 4" - FORNECIMENTO E INSTALACAO</v>
          </cell>
          <cell r="C3306" t="str">
            <v>UN</v>
          </cell>
          <cell r="D3306">
            <v>202.53</v>
          </cell>
        </row>
        <row r="3307">
          <cell r="A3307">
            <v>72619</v>
          </cell>
          <cell r="B3307" t="str">
            <v>LUVA DE ACO GALVANIZADO 4" - FORNECIMENTO E INSTALACAO</v>
          </cell>
          <cell r="C3307" t="str">
            <v>UN</v>
          </cell>
          <cell r="D3307">
            <v>84.72</v>
          </cell>
        </row>
        <row r="3308">
          <cell r="A3308">
            <v>72620</v>
          </cell>
          <cell r="B3308" t="str">
            <v>LUVA DE ACO GALVANIZADO 5" - FORNECIMENTO E INSTALACAO</v>
          </cell>
          <cell r="C3308" t="str">
            <v>UN</v>
          </cell>
          <cell r="D3308">
            <v>145.97999999999999</v>
          </cell>
        </row>
        <row r="3309">
          <cell r="A3309">
            <v>72621</v>
          </cell>
          <cell r="B3309" t="str">
            <v>LUVA DE ACO GALVANIZADO 6" - FORNECIMENTO E INSTALACAO</v>
          </cell>
          <cell r="C3309" t="str">
            <v>UN</v>
          </cell>
          <cell r="D3309">
            <v>232.53</v>
          </cell>
        </row>
        <row r="3310">
          <cell r="A3310">
            <v>72667</v>
          </cell>
          <cell r="B3310" t="str">
            <v>LUVA REDUCAO ACO GALVANIZADO 4X2.1/2" - FORNECIMENTO E INSTALACAO</v>
          </cell>
          <cell r="C3310" t="str">
            <v>UN</v>
          </cell>
          <cell r="D3310">
            <v>120.88</v>
          </cell>
        </row>
        <row r="3311">
          <cell r="A3311">
            <v>72668</v>
          </cell>
          <cell r="B3311" t="str">
            <v>LUVA REDUCAO ACO GALVANIZADO 4X2" - FORNECIMENTO E INSTALACAO</v>
          </cell>
          <cell r="C3311" t="str">
            <v>UN</v>
          </cell>
          <cell r="D3311">
            <v>120.1</v>
          </cell>
        </row>
        <row r="3312">
          <cell r="A3312">
            <v>72669</v>
          </cell>
          <cell r="B3312" t="str">
            <v>LUVA REDUCAO ACO GALVANIZADO 4X3" - FORNECIMENTO E INSTALACAO</v>
          </cell>
          <cell r="C3312" t="str">
            <v>UN</v>
          </cell>
          <cell r="D3312">
            <v>124.6</v>
          </cell>
        </row>
        <row r="3313">
          <cell r="A3313">
            <v>72681</v>
          </cell>
          <cell r="B3313" t="str">
            <v>NIPLE DE ACO GALVANIZADO 4" - FORNECIMENTO E INSTALACAO</v>
          </cell>
          <cell r="C3313" t="str">
            <v>UN</v>
          </cell>
          <cell r="D3313">
            <v>83.08</v>
          </cell>
        </row>
        <row r="3314">
          <cell r="A3314">
            <v>72682</v>
          </cell>
          <cell r="B3314" t="str">
            <v>NIPLE DE ACO GALVANIZADO 5" - FORNECIMENTO E INSTALACAO</v>
          </cell>
          <cell r="C3314" t="str">
            <v>UN</v>
          </cell>
          <cell r="D3314">
            <v>163.11000000000001</v>
          </cell>
        </row>
        <row r="3315">
          <cell r="A3315">
            <v>72683</v>
          </cell>
          <cell r="B3315" t="str">
            <v>NIPLE DE ACO GALVANIZADO 6" - FORNECIMENTO E INSTALACAO</v>
          </cell>
          <cell r="C3315" t="str">
            <v>UN</v>
          </cell>
          <cell r="D3315">
            <v>259.54000000000002</v>
          </cell>
        </row>
        <row r="3316">
          <cell r="A3316">
            <v>72719</v>
          </cell>
          <cell r="B3316" t="str">
            <v>TE DE ACO GALVANIZADO 4" - FORNECIMENTO E INSTALACAO</v>
          </cell>
          <cell r="C3316" t="str">
            <v>UN</v>
          </cell>
          <cell r="D3316">
            <v>183.26</v>
          </cell>
        </row>
        <row r="3317">
          <cell r="A3317">
            <v>72720</v>
          </cell>
          <cell r="B3317" t="str">
            <v>TE DE ACO GALVANIZADO 5" - FORNECIMENTO E INSTALACAO</v>
          </cell>
          <cell r="C3317" t="str">
            <v>UN</v>
          </cell>
          <cell r="D3317">
            <v>250.03</v>
          </cell>
        </row>
        <row r="3318">
          <cell r="A3318">
            <v>72721</v>
          </cell>
          <cell r="B3318" t="str">
            <v>TE DE ACO GALVANIZADO 6" - FORNECIMENTO E INSTALACAO</v>
          </cell>
          <cell r="C3318" t="str">
            <v>UN</v>
          </cell>
          <cell r="D3318">
            <v>530.02</v>
          </cell>
        </row>
        <row r="3319">
          <cell r="A3319">
            <v>89358</v>
          </cell>
          <cell r="B3319" t="str">
            <v>JOELHO 90 GRAUS, PVC, SOLDÁVEL, DN 20MM, INSTALADO EM RAMAL OU SUB-RAMAL DE ÁGUA - FORNECIMENTO E INSTALAÇÃO. AF_12/2014</v>
          </cell>
          <cell r="C3319" t="str">
            <v>UN</v>
          </cell>
          <cell r="D3319">
            <v>5.79</v>
          </cell>
        </row>
        <row r="3320">
          <cell r="A3320">
            <v>89359</v>
          </cell>
          <cell r="B3320" t="str">
            <v>JOELHO 45 GRAUS, PVC, SOLDÁVEL, DN 20MM, INSTALADO EM RAMAL OU SUB-RAMAL DE ÁGUA - FORNECIMENTO E INSTALAÇÃO. AF_12/2014</v>
          </cell>
          <cell r="C3320" t="str">
            <v>UN</v>
          </cell>
          <cell r="D3320">
            <v>6.03</v>
          </cell>
        </row>
        <row r="3321">
          <cell r="A3321">
            <v>89360</v>
          </cell>
          <cell r="B3321" t="str">
            <v>CURVA 90 GRAUS, PVC, SOLDÁVEL, DN 20MM, INSTALADO EM RAMAL OU SUB-RAMAL DE ÁGUA - FORNECIMENTO E INSTALAÇÃO. AF_12/2014</v>
          </cell>
          <cell r="C3321" t="str">
            <v>UN</v>
          </cell>
          <cell r="D3321">
            <v>7.03</v>
          </cell>
        </row>
        <row r="3322">
          <cell r="A3322">
            <v>89361</v>
          </cell>
          <cell r="B3322" t="str">
            <v>CURVA 45 GRAUS, PVC, SOLDÁVEL, DN 20MM, INSTALADO EM RAMAL OU SUB-RAMAL DE ÁGUA - FORNECIMENTO E INSTALAÇÃO. AF_12/2014</v>
          </cell>
          <cell r="C3322" t="str">
            <v>UN</v>
          </cell>
          <cell r="D3322">
            <v>6.64</v>
          </cell>
        </row>
        <row r="3323">
          <cell r="A3323">
            <v>89362</v>
          </cell>
          <cell r="B3323" t="str">
            <v>JOELHO 90 GRAUS, PVC, SOLDÁVEL, DN 25MM, INSTALADO EM RAMAL OU SUB-RAMAL DE ÁGUA - FORNECIMENTO E INSTALAÇÃO. AF_12/2014</v>
          </cell>
          <cell r="C3323" t="str">
            <v>UN</v>
          </cell>
          <cell r="D3323">
            <v>6.88</v>
          </cell>
        </row>
        <row r="3324">
          <cell r="A3324">
            <v>89363</v>
          </cell>
          <cell r="B3324" t="str">
            <v>JOELHO 45 GRAUS, PVC, SOLDÁVEL, DN 25MM, INSTALADO EM RAMAL OU SUB-RAMAL DE ÁGUA - FORNECIMENTO E INSTALAÇÃO. AF_12/2014</v>
          </cell>
          <cell r="C3324" t="str">
            <v>UN</v>
          </cell>
          <cell r="D3324">
            <v>7.39</v>
          </cell>
        </row>
        <row r="3325">
          <cell r="A3325">
            <v>89364</v>
          </cell>
          <cell r="B3325" t="str">
            <v>CURVA 90 GRAUS, PVC, SOLDÁVEL, DN 25MM, INSTALADO EM RAMAL OU SUB-RAMAL DE ÁGUA - FORNECIMENTO E INSTALAÇÃO. AF_12/2014</v>
          </cell>
          <cell r="C3325" t="str">
            <v>UN</v>
          </cell>
          <cell r="D3325">
            <v>8.4499999999999993</v>
          </cell>
        </row>
        <row r="3326">
          <cell r="A3326">
            <v>89365</v>
          </cell>
          <cell r="B3326" t="str">
            <v>CURVA 45 GRAUS, PVC, SOLDÁVEL, DN 25MM, INSTALADO EM RAMAL OU SUB-RAMAL DE ÁGUA - FORNECIMENTO E INSTALAÇÃO. AF_12/2014</v>
          </cell>
          <cell r="C3326" t="str">
            <v>UN</v>
          </cell>
          <cell r="D3326">
            <v>7.98</v>
          </cell>
        </row>
        <row r="3327">
          <cell r="A3327">
            <v>89366</v>
          </cell>
          <cell r="B3327" t="str">
            <v>JOELHO 90 GRAUS COM BUCHA DE LATÃO, PVC, SOLDÁVEL, DN 25MM, X 3/4 INSTALADO EM RAMAL OU SUB-RAMAL DE ÁGUA - FORNECIMENTO E INSTALAÇÃO. AF_12/2014</v>
          </cell>
          <cell r="C3327" t="str">
            <v>UN</v>
          </cell>
          <cell r="D3327">
            <v>11.25</v>
          </cell>
        </row>
        <row r="3328">
          <cell r="A3328">
            <v>89367</v>
          </cell>
          <cell r="B3328" t="str">
            <v>JOELHO 90 GRAUS, PVC, SOLDÁVEL, DN 32MM, INSTALADO EM RAMAL OU SUB-RAMAL DE ÁGUA - FORNECIMENTO E INSTALAÇÃO. AF_12/2014</v>
          </cell>
          <cell r="C3328" t="str">
            <v>UN</v>
          </cell>
          <cell r="D3328">
            <v>9.2200000000000006</v>
          </cell>
        </row>
        <row r="3329">
          <cell r="A3329">
            <v>89368</v>
          </cell>
          <cell r="B3329" t="str">
            <v>JOELHO 45 GRAUS, PVC, SOLDÁVEL, DN 32MM, INSTALADO EM RAMAL OU SUB-RAMAL DE ÁGUA - FORNECIMENTO E INSTALAÇÃO. AF_12/2014</v>
          </cell>
          <cell r="C3329" t="str">
            <v>UN</v>
          </cell>
          <cell r="D3329">
            <v>10.66</v>
          </cell>
        </row>
        <row r="3330">
          <cell r="A3330">
            <v>89369</v>
          </cell>
          <cell r="B3330" t="str">
            <v>CURVA 90 GRAUS, PVC, SOLDÁVEL, DN 32MM, INSTALADO EM RAMAL OU SUB-RAMAL DE ÁGUA - FORNECIMENTO E INSTALAÇÃO. AF_12/2014</v>
          </cell>
          <cell r="C3330" t="str">
            <v>UN</v>
          </cell>
          <cell r="D3330">
            <v>12.44</v>
          </cell>
        </row>
        <row r="3331">
          <cell r="A3331">
            <v>89370</v>
          </cell>
          <cell r="B3331" t="str">
            <v>CURVA 45 GRAUS, PVC, SOLDÁVEL, DN 32MM, INSTALADO EM RAMAL OU SUB-RAMAL DE ÁGUA - FORNECIMENTO E INSTALAÇÃO. AF_12/2014</v>
          </cell>
          <cell r="C3331" t="str">
            <v>UN</v>
          </cell>
          <cell r="D3331">
            <v>10.36</v>
          </cell>
        </row>
        <row r="3332">
          <cell r="A3332">
            <v>89371</v>
          </cell>
          <cell r="B3332" t="str">
            <v>LUVA, PVC, SOLDÁVEL, DN 20MM, INSTALADO EM RAMAL OU SUB-RAMAL DE ÁGUA - FORNECIMENTO E INSTALAÇÃO. AF_12/2014</v>
          </cell>
          <cell r="C3332" t="str">
            <v>UN</v>
          </cell>
          <cell r="D3332">
            <v>4.32</v>
          </cell>
        </row>
        <row r="3333">
          <cell r="A3333">
            <v>89372</v>
          </cell>
          <cell r="B3333" t="str">
            <v>LUVA DE CORRER, PVC, SOLDÁVEL, DN 20MM, INSTALADO EM RAMAL OU SUB-RAMAL DE ÁGUA - FORNECIMENTO E INSTALAÇÃO. AF_12/2014</v>
          </cell>
          <cell r="C3333" t="str">
            <v>UN</v>
          </cell>
          <cell r="D3333">
            <v>9.06</v>
          </cell>
        </row>
        <row r="3334">
          <cell r="A3334">
            <v>89373</v>
          </cell>
          <cell r="B3334" t="str">
            <v>LUVA DE REDUÇÃO, PVC, SOLDÁVEL, DN 25MM X 20MM, INSTALADO EM RAMAL OU SUB-RAMAL DE ÁGUA - FORNECIMENTO E INSTALAÇÃO. AF_12/2014</v>
          </cell>
          <cell r="C3334" t="str">
            <v>UN</v>
          </cell>
          <cell r="D3334">
            <v>4.75</v>
          </cell>
        </row>
        <row r="3335">
          <cell r="A3335">
            <v>89374</v>
          </cell>
          <cell r="B3335" t="str">
            <v>LUVA COM BUCHA DE LATÃO, PVC, SOLDÁVEL, DN 20MM X 1/2, INSTALADO EM RAMAL OU SUB-RAMAL DE ÁGUA - FORNECIMENTO E INSTALAÇÃO. AF_12/2014</v>
          </cell>
          <cell r="C3335" t="str">
            <v>UN</v>
          </cell>
          <cell r="D3335">
            <v>7.32</v>
          </cell>
        </row>
        <row r="3336">
          <cell r="A3336">
            <v>89375</v>
          </cell>
          <cell r="B3336" t="str">
            <v>UNIÃO, PVC, SOLDÁVEL, DN 20MM, INSTALADO EM RAMAL OU SUB-RAMAL DE ÁGUA - FORNECIMENTO E INSTALAÇÃO. AF_12/2014</v>
          </cell>
          <cell r="C3336" t="str">
            <v>UN</v>
          </cell>
          <cell r="D3336">
            <v>8.8699999999999992</v>
          </cell>
        </row>
        <row r="3337">
          <cell r="A3337">
            <v>89376</v>
          </cell>
          <cell r="B3337" t="str">
            <v>ADAPTADOR CURTO COM BOLSA E ROSCA PARA REGISTRO, PVC, SOLDÁVEL, DN 20MM X 1/2, INSTALADO EM RAMAL OU SUB-RAMAL DE ÁGUA - FORNECIMENTO E INSTALAÇÃO. AF_12/2014</v>
          </cell>
          <cell r="C3337" t="str">
            <v>UN</v>
          </cell>
          <cell r="D3337">
            <v>4.37</v>
          </cell>
        </row>
        <row r="3338">
          <cell r="A3338">
            <v>89377</v>
          </cell>
          <cell r="B3338" t="str">
            <v>CURVA DE TRANSPOSIÇÃO, PVC, SOLDÁVEL, DN 20MM, INSTALADO EM RAMAL OU SUB-RAMAL DE ÁGUA - FORNECIMENTO E INSTALAÇÃO. AF_12/2014</v>
          </cell>
          <cell r="C3338" t="str">
            <v>UN</v>
          </cell>
          <cell r="D3338">
            <v>6.66</v>
          </cell>
        </row>
        <row r="3339">
          <cell r="A3339">
            <v>89378</v>
          </cell>
          <cell r="B3339" t="str">
            <v>LUVA, PVC, SOLDÁVEL, DN 25MM, INSTALADO EM RAMAL OU SUB-RAMAL DE ÁGUA - FORNECIMENTO E INSTALAÇÃO. AF_12/2014</v>
          </cell>
          <cell r="C3339" t="str">
            <v>UN</v>
          </cell>
          <cell r="D3339">
            <v>5.0999999999999996</v>
          </cell>
        </row>
        <row r="3340">
          <cell r="A3340">
            <v>89379</v>
          </cell>
          <cell r="B3340" t="str">
            <v>LUVA DE CORRER, PVC, SOLDÁVEL, DN 25MM, INSTALADO EM RAMAL OU SUB-RAMAL DE ÁGUA - FORNECIMENTO E INSTALAÇÃO. AF_12/2014</v>
          </cell>
          <cell r="C3340" t="str">
            <v>UN</v>
          </cell>
          <cell r="D3340">
            <v>11.43</v>
          </cell>
        </row>
        <row r="3341">
          <cell r="A3341">
            <v>89380</v>
          </cell>
          <cell r="B3341" t="str">
            <v>LUVA DE REDUÇÃO, PVC, SOLDÁVEL, DN 32MM X 25MM, INSTALADO EM RAMAL OU SUB-RAMAL DE ÁGUA - FORNECIMENTO E INSTALAÇÃO. AF_12/2014</v>
          </cell>
          <cell r="C3341" t="str">
            <v>UN</v>
          </cell>
          <cell r="D3341">
            <v>7.04</v>
          </cell>
        </row>
        <row r="3342">
          <cell r="A3342">
            <v>89381</v>
          </cell>
          <cell r="B3342" t="str">
            <v>LUVA COM BUCHA DE LATÃO, PVC, SOLDÁVEL, DN 25MM X 3/4, INSTALADO EM RAMAL OU SUB-RAMAL DE ÁGUA - FORNECIMENTO E INSTALAÇÃO. AF_12/2014</v>
          </cell>
          <cell r="C3342" t="str">
            <v>UN</v>
          </cell>
          <cell r="D3342">
            <v>9.1</v>
          </cell>
        </row>
        <row r="3343">
          <cell r="A3343">
            <v>89382</v>
          </cell>
          <cell r="B3343" t="str">
            <v>UNIÃO, PVC, SOLDÁVEL, DN 25MM, INSTALADO EM RAMAL OU SUB-RAMAL DE ÁGUA - FORNECIMENTO E INSTALAÇÃO. AF_12/2014</v>
          </cell>
          <cell r="C3343" t="str">
            <v>UN</v>
          </cell>
          <cell r="D3343">
            <v>10.55</v>
          </cell>
        </row>
        <row r="3344">
          <cell r="A3344">
            <v>89383</v>
          </cell>
          <cell r="B3344" t="str">
            <v>ADAPTADOR CURTO COM BOLSA E ROSCA PARA REGISTRO, PVC, SOLDÁVEL, DN 25MM X 3/4, INSTALADO EM RAMAL OU SUB-RAMAL DE ÁGUA - FORNECIMENTO E INSTALAÇÃO. AF_12/2014</v>
          </cell>
          <cell r="C3344" t="str">
            <v>UN</v>
          </cell>
          <cell r="D3344">
            <v>5.17</v>
          </cell>
        </row>
        <row r="3345">
          <cell r="A3345">
            <v>89384</v>
          </cell>
          <cell r="B3345" t="str">
            <v>CURVA DE TRANSPOSIÇÃO, PVC, SOLDÁVEL, DN 25MM, INSTALADO EM RAMAL OU SUB-RAMAL DE ÁGUA   FORNECIMENTO E INSTALAÇÃO. AF_12/2014</v>
          </cell>
          <cell r="C3345" t="str">
            <v>UN</v>
          </cell>
          <cell r="D3345">
            <v>9.2100000000000009</v>
          </cell>
        </row>
        <row r="3346">
          <cell r="A3346">
            <v>89385</v>
          </cell>
          <cell r="B3346" t="str">
            <v>LUVA SOLDÁVEL E COM ROSCA, PVC, SOLDÁVEL, DN 25MM X 3/4, INSTALADO EM RAMAL OU SUB-RAMAL DE ÁGUA - FORNECIMENTO E INSTALAÇÃO. AF_12/2014</v>
          </cell>
          <cell r="C3346" t="str">
            <v>UN</v>
          </cell>
          <cell r="D3346">
            <v>5.67</v>
          </cell>
        </row>
        <row r="3347">
          <cell r="A3347">
            <v>89386</v>
          </cell>
          <cell r="B3347" t="str">
            <v>LUVA, PVC, SOLDÁVEL, DN 32MM, INSTALADO EM RAMAL OU SUB-RAMAL DE ÁGUA - FORNECIMENTO E INSTALAÇÃO. AF_12/2014</v>
          </cell>
          <cell r="C3347" t="str">
            <v>UN</v>
          </cell>
          <cell r="D3347">
            <v>6.88</v>
          </cell>
        </row>
        <row r="3348">
          <cell r="A3348">
            <v>89387</v>
          </cell>
          <cell r="B3348" t="str">
            <v>LUVA DE CORRER, PVC, SOLDÁVEL, DN 32MM, INSTALADO EM RAMAL OU SUB-RAMAL DE ÁGUA   FORNECIMENTO E INSTALAÇÃO. AF_12/2014</v>
          </cell>
          <cell r="C3348" t="str">
            <v>UN</v>
          </cell>
          <cell r="D3348">
            <v>21.96</v>
          </cell>
        </row>
        <row r="3349">
          <cell r="A3349">
            <v>89388</v>
          </cell>
          <cell r="B3349" t="str">
            <v>LUVA DE REDUÇÃO, PVC, SOLDÁVEL, DN 40MM X 32MM, INSTALADO EM RAMAL OU SUB-RAMAL DE ÁGUA - FORNECIMENTO E INSTALAÇÃO. AF_12/2014</v>
          </cell>
          <cell r="C3349" t="str">
            <v>UN</v>
          </cell>
          <cell r="D3349">
            <v>8.58</v>
          </cell>
        </row>
        <row r="3350">
          <cell r="A3350">
            <v>89389</v>
          </cell>
          <cell r="B3350" t="str">
            <v>LUVA SOLDÁVEL E COM ROSCA, PVC, SOLDÁVEL, DN 32MM X 1, INSTALADO EM RAMAL OU SUB-RAMAL DE ÁGUA - FORNECIMENTO E INSTALAÇÃO. AF_12/2014</v>
          </cell>
          <cell r="C3350" t="str">
            <v>UN</v>
          </cell>
          <cell r="D3350">
            <v>9.17</v>
          </cell>
        </row>
        <row r="3351">
          <cell r="A3351">
            <v>89390</v>
          </cell>
          <cell r="B3351" t="str">
            <v>UNIÃO, PVC, SOLDÁVEL, DN 32MM, INSTALADO EM RAMAL OU SUB-RAMAL DE ÁGUA - FORNECIMENTO E INSTALAÇÃO. AF_12/2014</v>
          </cell>
          <cell r="C3351" t="str">
            <v>UN</v>
          </cell>
          <cell r="D3351">
            <v>15.39</v>
          </cell>
        </row>
        <row r="3352">
          <cell r="A3352">
            <v>89391</v>
          </cell>
          <cell r="B3352" t="str">
            <v>ADAPTADOR CURTO COM BOLSA E ROSCA PARA REGISTRO, PVC, SOLDÁVEL, DN 32MM X 1, INSTALADO EM RAMAL OU SUB-RAMAL DE ÁGUA - FORNECIMENTO E INSTALAÇÃO. AF_12/2014</v>
          </cell>
          <cell r="C3352" t="str">
            <v>UN</v>
          </cell>
          <cell r="D3352">
            <v>6.81</v>
          </cell>
        </row>
        <row r="3353">
          <cell r="A3353">
            <v>89392</v>
          </cell>
          <cell r="B3353" t="str">
            <v>CURVA DE TRANSPOSIÇÃO, PVC, SOLDÁVEL, DN 32MM, INSTALADO EM RAMAL OU SUB-RAMAL DE ÁGUA   FORNECIMENTO E INSTALAÇÃO. AF_12/2014</v>
          </cell>
          <cell r="C3353" t="str">
            <v>UN</v>
          </cell>
          <cell r="D3353">
            <v>17.98</v>
          </cell>
        </row>
        <row r="3354">
          <cell r="A3354">
            <v>89393</v>
          </cell>
          <cell r="B3354" t="str">
            <v>TE, PVC, SOLDÁVEL, DN 20MM, INSTALADO EM RAMAL OU SUB-RAMAL DE ÁGUA - FORNECIMENTO E INSTALAÇÃO. AF_12/2014</v>
          </cell>
          <cell r="C3354" t="str">
            <v>UN</v>
          </cell>
          <cell r="D3354">
            <v>8.0299999999999994</v>
          </cell>
        </row>
        <row r="3355">
          <cell r="A3355">
            <v>89394</v>
          </cell>
          <cell r="B3355" t="str">
            <v>TÊ COM BUCHA DE LATÃO NA BOLSA CENTRAL, PVC, SOLDÁVEL, DN 20MM X 1/2, INSTALADO EM RAMAL OU SUB-RAMAL DE ÁGUA - FORNECIMENTO E INSTALAÇÃO. AF_12/2014</v>
          </cell>
          <cell r="C3355" t="str">
            <v>UN</v>
          </cell>
          <cell r="D3355">
            <v>13.95</v>
          </cell>
        </row>
        <row r="3356">
          <cell r="A3356">
            <v>89395</v>
          </cell>
          <cell r="B3356" t="str">
            <v>TE, PVC, SOLDÁVEL, DN 25MM, INSTALADO EM RAMAL OU SUB-RAMAL DE ÁGUA - FORNECIMENTO E INSTALAÇÃO. AF_12/2014</v>
          </cell>
          <cell r="C3356" t="str">
            <v>UN</v>
          </cell>
          <cell r="D3356">
            <v>9.56</v>
          </cell>
        </row>
        <row r="3357">
          <cell r="A3357">
            <v>89396</v>
          </cell>
          <cell r="B3357" t="str">
            <v>TÊ COM BUCHA DE LATÃO NA BOLSA CENTRAL, PVC, SOLDÁVEL, DN 25MM X 1/2, INSTALADO EM RAMAL OU SUB-RAMAL DE ÁGUA - FORNECIMENTO E INSTALAÇÃO. AF_12/2014</v>
          </cell>
          <cell r="C3357" t="str">
            <v>UN</v>
          </cell>
          <cell r="D3357">
            <v>14.63</v>
          </cell>
        </row>
        <row r="3358">
          <cell r="A3358">
            <v>89397</v>
          </cell>
          <cell r="B3358" t="str">
            <v>TÊ DE REDUÇÃO, PVC, SOLDÁVEL, DN 25MM X 20MM, INSTALADO EM RAMAL OU SUB-RAMAL DE ÁGUA - FORNECIMENTO E INSTALAÇÃO. AF_12/2014</v>
          </cell>
          <cell r="C3358" t="str">
            <v>UN</v>
          </cell>
          <cell r="D3358">
            <v>10.91</v>
          </cell>
        </row>
        <row r="3359">
          <cell r="A3359">
            <v>89398</v>
          </cell>
          <cell r="B3359" t="str">
            <v>TE, PVC, SOLDÁVEL, DN 32MM, INSTALADO EM RAMAL OU SUB-RAMAL DE ÁGUA - FORNECIMENTO E INSTALAÇÃO. AF_12/2014</v>
          </cell>
          <cell r="C3359" t="str">
            <v>UN</v>
          </cell>
          <cell r="D3359">
            <v>13.38</v>
          </cell>
        </row>
        <row r="3360">
          <cell r="A3360">
            <v>89399</v>
          </cell>
          <cell r="B3360" t="str">
            <v>TÊ COM BUCHA DE LATÃO NA BOLSA CENTRAL, PVC, SOLDÁVEL, DN 32MM X 3/4, INSTALADO EM RAMAL OU SUB-RAMAL DE ÁGUA - FORNECIMENTO E INSTALAÇÃO. AF_12/2014</v>
          </cell>
          <cell r="C3360" t="str">
            <v>UN</v>
          </cell>
          <cell r="D3360">
            <v>21.97</v>
          </cell>
        </row>
        <row r="3361">
          <cell r="A3361">
            <v>89400</v>
          </cell>
          <cell r="B3361" t="str">
            <v>TÊ DE REDUÇÃO, PVC, SOLDÁVEL, DN 32MM X 25MM, INSTALADO EM RAMAL OU SUB-RAMAL DE ÁGUA - FORNECIMENTO E INSTALAÇÃO. AF_12/2014</v>
          </cell>
          <cell r="C3361" t="str">
            <v>UN</v>
          </cell>
          <cell r="D3361">
            <v>14.72</v>
          </cell>
        </row>
        <row r="3362">
          <cell r="A3362">
            <v>89404</v>
          </cell>
          <cell r="B3362" t="str">
            <v>JOELHO 90 GRAUS, PVC, SOLDÁVEL, DN 20MM, INSTALADO EM RAMAL DE DISTRIBUIÇÃO DE ÁGUA - FORNECIMENTO E INSTALAÇÃO. AF_12/2014</v>
          </cell>
          <cell r="C3362" t="str">
            <v>UN</v>
          </cell>
          <cell r="D3362">
            <v>3.88</v>
          </cell>
        </row>
        <row r="3363">
          <cell r="A3363">
            <v>89405</v>
          </cell>
          <cell r="B3363" t="str">
            <v>JOELHO 45 GRAUS, PVC, SOLDÁVEL, DN 20MM, INSTALADO EM RAMAL DE DISTRIBUIÇÃO DE ÁGUA - FORNECIMENTO E INSTALAÇÃO. AF_12/2014</v>
          </cell>
          <cell r="C3363" t="str">
            <v>UN</v>
          </cell>
          <cell r="D3363">
            <v>4.12</v>
          </cell>
        </row>
        <row r="3364">
          <cell r="A3364">
            <v>89406</v>
          </cell>
          <cell r="B3364" t="str">
            <v>CURVA 90 GRAUS, PVC, SOLDÁVEL, DN 20MM, INSTALADO EM RAMAL DE DISTRIBUIÇÃO DE ÁGUA - FORNECIMENTO E INSTALAÇÃO. AF_12/2014</v>
          </cell>
          <cell r="C3364" t="str">
            <v>UN</v>
          </cell>
          <cell r="D3364">
            <v>5.12</v>
          </cell>
        </row>
        <row r="3365">
          <cell r="A3365">
            <v>89407</v>
          </cell>
          <cell r="B3365" t="str">
            <v>CURVA 45 GRAUS, PVC, SOLDÁVEL, DN 20MM, INSTALADO EM RAMAL DE DISTRIBUIÇÃO DE ÁGUA - FORNECIMENTO E INSTALAÇÃO. AF_12/2014</v>
          </cell>
          <cell r="C3365" t="str">
            <v>UN</v>
          </cell>
          <cell r="D3365">
            <v>4.7300000000000004</v>
          </cell>
        </row>
        <row r="3366">
          <cell r="A3366">
            <v>89408</v>
          </cell>
          <cell r="B3366" t="str">
            <v>JOELHO 90 GRAUS, PVC, SOLDÁVEL, DN 25MM, INSTALADO EM RAMAL DE DISTRIBUIÇÃO DE ÁGUA - FORNECIMENTO E INSTALAÇÃO. AF_12/2014</v>
          </cell>
          <cell r="C3366" t="str">
            <v>UN</v>
          </cell>
          <cell r="D3366">
            <v>4.68</v>
          </cell>
        </row>
        <row r="3367">
          <cell r="A3367">
            <v>89409</v>
          </cell>
          <cell r="B3367" t="str">
            <v>JOELHO 45 GRAUS, PVC, SOLDÁVEL, DN 25MM, INSTALADO EM RAMAL DE DISTRIBUIÇÃO DE ÁGUA - FORNECIMENTO E INSTALAÇÃO. AF_12/2014</v>
          </cell>
          <cell r="C3367" t="str">
            <v>UN</v>
          </cell>
          <cell r="D3367">
            <v>5.19</v>
          </cell>
        </row>
        <row r="3368">
          <cell r="A3368">
            <v>89410</v>
          </cell>
          <cell r="B3368" t="str">
            <v>CURVA 90 GRAUS, PVC, SOLDÁVEL, DN 25MM, INSTALADO EM RAMAL DE DISTRIBUIÇÃO DE ÁGUA - FORNECIMENTO E INSTALAÇÃO. AF_12/2014</v>
          </cell>
          <cell r="C3368" t="str">
            <v>UN</v>
          </cell>
          <cell r="D3368">
            <v>6.25</v>
          </cell>
        </row>
        <row r="3369">
          <cell r="A3369">
            <v>89411</v>
          </cell>
          <cell r="B3369" t="str">
            <v>CURVA 45 GRAUS, PVC, SOLDÁVEL, DN 25MM, INSTALADO EM RAMAL DE DISTRIBUIÇÃO DE ÁGUA - FORNECIMENTO E INSTALAÇÃO. AF_12/2014</v>
          </cell>
          <cell r="C3369" t="str">
            <v>UN</v>
          </cell>
          <cell r="D3369">
            <v>5.78</v>
          </cell>
        </row>
        <row r="3370">
          <cell r="A3370">
            <v>89412</v>
          </cell>
          <cell r="B3370" t="str">
            <v>JOELHO 90 GRAUS, PVC, SOLDÁVEL, DN 25MM, X 3/4 INSTALADO EM RAMAL DE DISTRIBUIÇÃO DE ÁGUA - FORNECIMENTO E INSTALAÇÃO. AF_12/2014</v>
          </cell>
          <cell r="C3370" t="str">
            <v>UN</v>
          </cell>
          <cell r="D3370">
            <v>6.42</v>
          </cell>
        </row>
        <row r="3371">
          <cell r="A3371">
            <v>89413</v>
          </cell>
          <cell r="B3371" t="str">
            <v>JOELHO 90 GRAUS, PVC, SOLDÁVEL, DN 32MM, INSTALADO EM RAMAL DE DISTRIBUIÇÃO DE ÁGUA - FORNECIMENTO E INSTALAÇÃO. AF_12/2014</v>
          </cell>
          <cell r="C3371" t="str">
            <v>UN</v>
          </cell>
          <cell r="D3371">
            <v>6.57</v>
          </cell>
        </row>
        <row r="3372">
          <cell r="A3372">
            <v>89414</v>
          </cell>
          <cell r="B3372" t="str">
            <v>JOELHO 45 GRAUS, PVC, SOLDÁVEL, DN 32MM, INSTALADO EM RAMAL DE DISTRIBUIÇÃO DE ÁGUA - FORNECIMENTO E INSTALAÇÃO. AF_12/2014</v>
          </cell>
          <cell r="C3372" t="str">
            <v>UN</v>
          </cell>
          <cell r="D3372">
            <v>8.01</v>
          </cell>
        </row>
        <row r="3373">
          <cell r="A3373">
            <v>89415</v>
          </cell>
          <cell r="B3373" t="str">
            <v>CURVA 90 GRAUS, PVC, SOLDÁVEL, DN 32MM, INSTALADO EM RAMAL DE DISTRIBUIÇÃO DE ÁGUA - FORNECIMENTO E INSTALAÇÃO. AF_12/2014</v>
          </cell>
          <cell r="C3373" t="str">
            <v>UN</v>
          </cell>
          <cell r="D3373">
            <v>9.7899999999999991</v>
          </cell>
        </row>
        <row r="3374">
          <cell r="A3374">
            <v>89416</v>
          </cell>
          <cell r="B3374" t="str">
            <v>CURVA 45 GRAUS, PVC, SOLDÁVEL, DN 32MM, INSTALADO EM RAMAL DE DISTRIBUIÇÃO DE ÁGUA - FORNECIMENTO E INSTALAÇÃO. AF_12/2014</v>
          </cell>
          <cell r="C3374" t="str">
            <v>UN</v>
          </cell>
          <cell r="D3374">
            <v>7.71</v>
          </cell>
        </row>
        <row r="3375">
          <cell r="A3375">
            <v>89417</v>
          </cell>
          <cell r="B3375" t="str">
            <v>LUVA, PVC, SOLDÁVEL, DN 20MM, INSTALADO EM RAMAL DE DISTRIBUIÇÃO DE ÁGUA - FORNECIMENTO E INSTALAÇÃO. AF_12/2014</v>
          </cell>
          <cell r="C3375" t="str">
            <v>UN</v>
          </cell>
          <cell r="D3375">
            <v>3.05</v>
          </cell>
        </row>
        <row r="3376">
          <cell r="A3376">
            <v>89418</v>
          </cell>
          <cell r="B3376" t="str">
            <v>LUVA DE CORRER, PVC, SOLDÁVEL, DN 20MM, INSTALADO EM RAMAL DE DISTRIBUIÇÃO DE ÁGUA - FORNECIMENTO E INSTALAÇÃO. AF_12/2014</v>
          </cell>
          <cell r="C3376" t="str">
            <v>UN</v>
          </cell>
          <cell r="D3376">
            <v>7.79</v>
          </cell>
        </row>
        <row r="3377">
          <cell r="A3377">
            <v>89419</v>
          </cell>
          <cell r="B3377" t="str">
            <v>LUVA DE REDUÇÃO, PVC, SOLDÁVEL, DN 25MM X 20MM, INSTALADO EM RAMAL DE DISTRIBUIÇÃO DE ÁGUA - FORNECIMENTO E INSTALAÇÃO. AF_12/2014</v>
          </cell>
          <cell r="C3377" t="str">
            <v>UN</v>
          </cell>
          <cell r="D3377">
            <v>3.48</v>
          </cell>
        </row>
        <row r="3378">
          <cell r="A3378">
            <v>89420</v>
          </cell>
          <cell r="B3378" t="str">
            <v>LUVA COM BUCHA DE LATÃO, PVC, SOLDÁVEL, DN 20MM X 1/2, INSTALADO EM RAMAL DE DISTRIBUIÇÃO DE ÁGUA - FORNECIMENTO E INSTALAÇÃO. AF_12/2014</v>
          </cell>
          <cell r="C3378" t="str">
            <v>UN</v>
          </cell>
          <cell r="D3378">
            <v>6.05</v>
          </cell>
        </row>
        <row r="3379">
          <cell r="A3379">
            <v>89421</v>
          </cell>
          <cell r="B3379" t="str">
            <v>UNIÃO, PVC, SOLDÁVEL, DN 20MM, INSTALADO EM RAMAL DE DISTRIBUIÇÃO DE ÁGUA - FORNECIMENTO E INSTALAÇÃO. AF_12/2014</v>
          </cell>
          <cell r="C3379" t="str">
            <v>UN</v>
          </cell>
          <cell r="D3379">
            <v>7.6</v>
          </cell>
        </row>
        <row r="3380">
          <cell r="A3380">
            <v>89422</v>
          </cell>
          <cell r="B3380" t="str">
            <v>ADAPTADOR CURTO COM BOLSA E ROSCA PARA REGISTRO, PVC, SOLDÁVEL, DN 20MM X 1/2, INSTALADO EM RAMAL DE DISTRIBUIÇÃO DE ÁGUA - FORNECIMENTO E INSTALAÇÃO. AF_12/2014</v>
          </cell>
          <cell r="C3380" t="str">
            <v>UN</v>
          </cell>
          <cell r="D3380">
            <v>3.1</v>
          </cell>
        </row>
        <row r="3381">
          <cell r="A3381">
            <v>89423</v>
          </cell>
          <cell r="B3381" t="str">
            <v>CURVA DE TRANSPOSIÇÃO, PVC, SOLDÁVEL, DN 20MM, INSTALADO EM RAMAL DE DISTRIBUIÇÃO DE ÁGUA   FORNECIMENTO E INSTALAÇÃO. AF_12/2014</v>
          </cell>
          <cell r="C3381" t="str">
            <v>UN</v>
          </cell>
          <cell r="D3381">
            <v>5.8</v>
          </cell>
        </row>
        <row r="3382">
          <cell r="A3382">
            <v>89424</v>
          </cell>
          <cell r="B3382" t="str">
            <v>LUVA, PVC, SOLDÁVEL, DN 25MM, INSTALADO EM RAMAL DE DISTRIBUIÇÃO DE ÁGUA - FORNECIMENTO E INSTALAÇÃO. AF_12/2014</v>
          </cell>
          <cell r="C3382" t="str">
            <v>UN</v>
          </cell>
          <cell r="D3382">
            <v>3.63</v>
          </cell>
        </row>
        <row r="3383">
          <cell r="A3383">
            <v>89425</v>
          </cell>
          <cell r="B3383" t="str">
            <v>LUVA DE CORRER, PVC, SOLDÁVEL, DN 25MM, INSTALADO EM RAMAL DE DISTRIBUIÇÃO DE ÁGUA - FORNECIMENTO E INSTALAÇÃO. AF_12/2014</v>
          </cell>
          <cell r="C3383" t="str">
            <v>UN</v>
          </cell>
          <cell r="D3383">
            <v>9.9600000000000009</v>
          </cell>
        </row>
        <row r="3384">
          <cell r="A3384">
            <v>89426</v>
          </cell>
          <cell r="B3384" t="str">
            <v>LUVA DE REDUÇÃO, PVC, SOLDÁVEL, DN 32MM X 25MM, INSTALADO EM RAMAL DE DISTRIBUIÇÃO DE ÁGUA - FORNECIMENTO E INSTALAÇÃO. AF_12/2014</v>
          </cell>
          <cell r="C3384" t="str">
            <v>UN</v>
          </cell>
          <cell r="D3384">
            <v>5.57</v>
          </cell>
        </row>
        <row r="3385">
          <cell r="A3385">
            <v>89427</v>
          </cell>
          <cell r="B3385" t="str">
            <v>LUVA COM BUCHA DE LATÃO, PVC, SOLDÁVEL, DN 25MM X 3/4, INSTALADO EM RAMAL DE DISTRIBUIÇÃO DE ÁGUA - FORNECIMENTO E INSTALAÇÃO. AF_12/2014</v>
          </cell>
          <cell r="C3385" t="str">
            <v>UN</v>
          </cell>
          <cell r="D3385">
            <v>7.63</v>
          </cell>
        </row>
        <row r="3386">
          <cell r="A3386">
            <v>89428</v>
          </cell>
          <cell r="B3386" t="str">
            <v>UNIÃO, PVC, SOLDÁVEL, DN 25MM, INSTALADO EM RAMAL DE DISTRIBUIÇÃO DE ÁGUA - FORNECIMENTO E INSTALAÇÃO. AF_12/2014</v>
          </cell>
          <cell r="C3386" t="str">
            <v>UN</v>
          </cell>
          <cell r="D3386">
            <v>9.08</v>
          </cell>
        </row>
        <row r="3387">
          <cell r="A3387">
            <v>89429</v>
          </cell>
          <cell r="B3387" t="str">
            <v>ADAPTADOR CURTO COM BOLSA E ROSCA PARA REGISTRO, PVC, SOLDÁVEL, DN 25MM X 3/4, INSTALADO EM RAMAL DE DISTRIBUIÇÃO DE ÁGUA - FORNECIMENTO E INSTALAÇÃO. AF_12/2014</v>
          </cell>
          <cell r="C3387" t="str">
            <v>UN</v>
          </cell>
          <cell r="D3387">
            <v>3.7</v>
          </cell>
        </row>
        <row r="3388">
          <cell r="A3388">
            <v>89430</v>
          </cell>
          <cell r="B3388" t="str">
            <v>CURVA DE TRANSPOSIÇÃO, PVC, SOLDÁVEL, DN 25MM, INSTALADO EM RAMAL DE DISTRIBUIÇÃO DE ÁGUA   FORNECIMENTO E INSTALAÇÃO. AF_12/2014</v>
          </cell>
          <cell r="C3388" t="str">
            <v>UN</v>
          </cell>
          <cell r="D3388">
            <v>7.74</v>
          </cell>
        </row>
        <row r="3389">
          <cell r="A3389">
            <v>89431</v>
          </cell>
          <cell r="B3389" t="str">
            <v>LUVA, PVC, SOLDÁVEL, DN 32MM, INSTALADO EM RAMAL DE DISTRIBUIÇÃO DE ÁGUA - FORNECIMENTO E INSTALAÇÃO. AF_12/2014</v>
          </cell>
          <cell r="C3389" t="str">
            <v>UN</v>
          </cell>
          <cell r="D3389">
            <v>5.0999999999999996</v>
          </cell>
        </row>
        <row r="3390">
          <cell r="A3390">
            <v>89432</v>
          </cell>
          <cell r="B3390" t="str">
            <v>LUVA DE CORRER, PVC, SOLDÁVEL, DN 32MM, INSTALADO EM RAMAL DE DISTRIBUIÇÃO DE ÁGUA   FORNECIMENTO E INSTALAÇÃO. AF_12/2014</v>
          </cell>
          <cell r="C3390" t="str">
            <v>UN</v>
          </cell>
          <cell r="D3390">
            <v>20.18</v>
          </cell>
        </row>
        <row r="3391">
          <cell r="A3391">
            <v>89433</v>
          </cell>
          <cell r="B3391" t="str">
            <v>LUVA DE REDUÇÃO, PVC, SOLDÁVEL, DN 40MM X 32MM, INSTALADO EM RAMAL DE DISTRIBUIÇÃO DE ÁGUA - FORNECIMENTO E INSTALAÇÃO. AF_12/2014</v>
          </cell>
          <cell r="C3391" t="str">
            <v>UN</v>
          </cell>
          <cell r="D3391">
            <v>6.8</v>
          </cell>
        </row>
        <row r="3392">
          <cell r="A3392">
            <v>89434</v>
          </cell>
          <cell r="B3392" t="str">
            <v>LUVA SOLDÁVEL E COM ROSCA, PVC, SOLDÁVEL, DN 32MM X 1, INSTALADO EM RAMAL DE DISTRIBUIÇÃO DE ÁGUA - FORNECIMENTO E INSTALAÇÃO. AF_12/2014</v>
          </cell>
          <cell r="C3392" t="str">
            <v>UN</v>
          </cell>
          <cell r="D3392">
            <v>7.39</v>
          </cell>
        </row>
        <row r="3393">
          <cell r="A3393">
            <v>89435</v>
          </cell>
          <cell r="B3393" t="str">
            <v>UNIÃO, PVC, SOLDÁVEL, DN 32MM, INSTALADO EM RAMAL DE DISTRIBUIÇÃO DE ÁGUA - FORNECIMENTO E INSTALAÇÃO. AF_12/2014</v>
          </cell>
          <cell r="C3393" t="str">
            <v>UN</v>
          </cell>
          <cell r="D3393">
            <v>13.61</v>
          </cell>
        </row>
        <row r="3394">
          <cell r="A3394">
            <v>89436</v>
          </cell>
          <cell r="B3394" t="str">
            <v>ADAPTADOR CURTO COM BOLSA E ROSCA PARA REGISTRO, PVC, SOLDÁVEL, DN 32MM X 1, INSTALADO EM RAMAL DE DISTRIBUIÇÃO DE ÁGUA - FORNECIMENTO E INSTALAÇÃO. AF_12/2014</v>
          </cell>
          <cell r="C3394" t="str">
            <v>UN</v>
          </cell>
          <cell r="D3394">
            <v>5.03</v>
          </cell>
        </row>
        <row r="3395">
          <cell r="A3395">
            <v>89437</v>
          </cell>
          <cell r="B3395" t="str">
            <v>CURVA DE TRANSPOSIÇÃO, PVC, SOLDÁVEL, DN 32MM, INSTALADO EM RAMAL DE DISTRIBUIÇÃO DE ÁGUA   FORNECIMENTO E INSTALAÇÃO. AF_12/2014</v>
          </cell>
          <cell r="C3395" t="str">
            <v>UN</v>
          </cell>
          <cell r="D3395">
            <v>16.2</v>
          </cell>
        </row>
        <row r="3396">
          <cell r="A3396">
            <v>89438</v>
          </cell>
          <cell r="B3396" t="str">
            <v>TE, PVC, SOLDÁVEL, DN 20MM, INSTALADO EM RAMAL DE DISTRIBUIÇÃO DE ÁGUA - FORNECIMENTO E INSTALAÇÃO. AF_12/2014</v>
          </cell>
          <cell r="C3396" t="str">
            <v>UN</v>
          </cell>
          <cell r="D3396">
            <v>5.48</v>
          </cell>
        </row>
        <row r="3397">
          <cell r="A3397">
            <v>89439</v>
          </cell>
          <cell r="B3397" t="str">
            <v>TÊ SOLDÁVEL E COM ROSCA NA BOLSA CENTRAL, PVC, SOLDÁVEL, DN 20MM X 1/2, INSTALADO EM RAMAL DE DISTRIBUIÇÃO DE ÁGUA - FORNECIMENTO E INSTALAÇÃO. AF_12/2014</v>
          </cell>
          <cell r="C3397" t="str">
            <v>UN</v>
          </cell>
          <cell r="D3397">
            <v>6.84</v>
          </cell>
        </row>
        <row r="3398">
          <cell r="A3398">
            <v>89440</v>
          </cell>
          <cell r="B3398" t="str">
            <v>TE, PVC, SOLDÁVEL, DN 25MM, INSTALADO EM RAMAL DE DISTRIBUIÇÃO DE ÁGUA - FORNECIMENTO E INSTALAÇÃO. AF_12/2014</v>
          </cell>
          <cell r="C3398" t="str">
            <v>UN</v>
          </cell>
          <cell r="D3398">
            <v>6.61</v>
          </cell>
        </row>
        <row r="3399">
          <cell r="A3399">
            <v>89441</v>
          </cell>
          <cell r="B3399" t="str">
            <v>TÊ COM BUCHA DE LATÃO NA BOLSA CENTRAL, PVC, SOLDÁVEL, DN 25MM X 1/2, INSTALADO EM RAMAL DE DISTRIBUIÇÃO DE ÁGUA - FORNECIMENTO E INSTALAÇÃO. AF_12/2014</v>
          </cell>
          <cell r="C3399" t="str">
            <v>UN</v>
          </cell>
          <cell r="D3399">
            <v>11.68</v>
          </cell>
        </row>
        <row r="3400">
          <cell r="A3400">
            <v>89442</v>
          </cell>
          <cell r="B3400" t="str">
            <v>TÊ DE REDUÇÃO, PVC, SOLDÁVEL, DN 25MM X 20MM, INSTALADO EM RAMAL DE DISTRIBUIÇÃO DE ÁGUA - FORNECIMENTO E INSTALAÇÃO. AF_12/2014</v>
          </cell>
          <cell r="C3400" t="str">
            <v>UN</v>
          </cell>
          <cell r="D3400">
            <v>7.96</v>
          </cell>
        </row>
        <row r="3401">
          <cell r="A3401">
            <v>89443</v>
          </cell>
          <cell r="B3401" t="str">
            <v>TE, PVC, SOLDÁVEL, DN 32MM, INSTALADO EM RAMAL DE DISTRIBUIÇÃO DE ÁGUA - FORNECIMENTO E INSTALAÇÃO. AF_12/2014</v>
          </cell>
          <cell r="C3401" t="str">
            <v>UN</v>
          </cell>
          <cell r="D3401">
            <v>9.89</v>
          </cell>
        </row>
        <row r="3402">
          <cell r="A3402">
            <v>89444</v>
          </cell>
          <cell r="B3402" t="str">
            <v>TÊ COM BUCHA DE LATÃO NA BOLSA CENTRAL, PVC, SOLDÁVEL, DN 32MM X 3/4, INSTALADO EM RAMAL DE DISTRIBUIÇÃO DE ÁGUA - FORNECIMENTO E INSTALAÇÃO. AF_12/2014</v>
          </cell>
          <cell r="C3402" t="str">
            <v>UN</v>
          </cell>
          <cell r="D3402">
            <v>18.48</v>
          </cell>
        </row>
        <row r="3403">
          <cell r="A3403">
            <v>89445</v>
          </cell>
          <cell r="B3403" t="str">
            <v>TÊ DE REDUÇÃO, PVC, SOLDÁVEL, DN 32MM X 25MM, INSTALADO EM RAMAL DE DISTRIBUIÇÃO DE ÁGUA - FORNECIMENTO E INSTALAÇÃO. AF_12/2014</v>
          </cell>
          <cell r="C3403" t="str">
            <v>UN</v>
          </cell>
          <cell r="D3403">
            <v>11.23</v>
          </cell>
        </row>
        <row r="3404">
          <cell r="A3404">
            <v>89481</v>
          </cell>
          <cell r="B3404" t="str">
            <v>JOELHO 90 GRAUS, PVC, SOLDÁVEL, DN 25MM, INSTALADO EM PRUMADA DE ÁGUA - FORNECIMENTO E INSTALAÇÃO. AF_12/2014</v>
          </cell>
          <cell r="C3404" t="str">
            <v>UN</v>
          </cell>
          <cell r="D3404">
            <v>3.57</v>
          </cell>
        </row>
        <row r="3405">
          <cell r="A3405">
            <v>89485</v>
          </cell>
          <cell r="B3405" t="str">
            <v>JOELHO 45 GRAUS, PVC, SOLDÁVEL, DN 25MM, INSTALADO EM PRUMADA DE ÁGUA - FORNECIMENTO E INSTALAÇÃO. AF_12/2014</v>
          </cell>
          <cell r="C3405" t="str">
            <v>UN</v>
          </cell>
          <cell r="D3405">
            <v>4.08</v>
          </cell>
        </row>
        <row r="3406">
          <cell r="A3406">
            <v>89489</v>
          </cell>
          <cell r="B3406" t="str">
            <v>CURVA 90 GRAUS, PVC, SOLDÁVEL, DN 25MM, INSTALADO EM PRUMADA DE ÁGUA - FORNECIMENTO E INSTALAÇÃO. AF_12/2014</v>
          </cell>
          <cell r="C3406" t="str">
            <v>UN</v>
          </cell>
          <cell r="D3406">
            <v>5.14</v>
          </cell>
        </row>
        <row r="3407">
          <cell r="A3407">
            <v>89490</v>
          </cell>
          <cell r="B3407" t="str">
            <v>CURVA 45 GRAUS, PVC, SOLDÁVEL, DN 25MM, INSTALADO EM PRUMADA DE ÁGUA - FORNECIMENTO E INSTALAÇÃO. AF_12/2014</v>
          </cell>
          <cell r="C3407" t="str">
            <v>UN</v>
          </cell>
          <cell r="D3407">
            <v>4.67</v>
          </cell>
        </row>
        <row r="3408">
          <cell r="A3408">
            <v>89492</v>
          </cell>
          <cell r="B3408" t="str">
            <v>JOELHO 90 GRAUS, PVC, SOLDÁVEL, DN 32MM, INSTALADO EM PRUMADA DE ÁGUA - FORNECIMENTO E INSTALAÇÃO. AF_12/2014</v>
          </cell>
          <cell r="C3408" t="str">
            <v>UN</v>
          </cell>
          <cell r="D3408">
            <v>5.31</v>
          </cell>
        </row>
        <row r="3409">
          <cell r="A3409">
            <v>89493</v>
          </cell>
          <cell r="B3409" t="str">
            <v>JOELHO 45 GRAUS, PVC, SOLDÁVEL, DN 32MM, INSTALADO EM PRUMADA DE ÁGUA - FORNECIMENTO E INSTALAÇÃO. AF_12/2014</v>
          </cell>
          <cell r="C3409" t="str">
            <v>UN</v>
          </cell>
          <cell r="D3409">
            <v>6.75</v>
          </cell>
        </row>
        <row r="3410">
          <cell r="A3410">
            <v>89494</v>
          </cell>
          <cell r="B3410" t="str">
            <v>CURVA 90 GRAUS, PVC, SOLDÁVEL, DN 32MM, INSTALADO EM PRUMADA DE ÁGUA - FORNECIMENTO E INSTALAÇÃO. AF_12/2014</v>
          </cell>
          <cell r="C3410" t="str">
            <v>UN</v>
          </cell>
          <cell r="D3410">
            <v>8.5299999999999994</v>
          </cell>
        </row>
        <row r="3411">
          <cell r="A3411">
            <v>89496</v>
          </cell>
          <cell r="B3411" t="str">
            <v>CURVA 45 GRAUS, PVC, SOLDÁVEL, DN 32MM, INSTALADO EM PRUMADA DE ÁGUA - FORNECIMENTO E INSTALAÇÃO. AF_12/2014</v>
          </cell>
          <cell r="C3411" t="str">
            <v>UN</v>
          </cell>
          <cell r="D3411">
            <v>6.45</v>
          </cell>
        </row>
        <row r="3412">
          <cell r="A3412">
            <v>89497</v>
          </cell>
          <cell r="B3412" t="str">
            <v>JOELHO 90 GRAUS, PVC, SOLDÁVEL, DN 40MM, INSTALADO EM PRUMADA DE ÁGUA - FORNECIMENTO E INSTALAÇÃO. AF_12/2014</v>
          </cell>
          <cell r="C3412" t="str">
            <v>UN</v>
          </cell>
          <cell r="D3412">
            <v>8.2799999999999994</v>
          </cell>
        </row>
        <row r="3413">
          <cell r="A3413">
            <v>89498</v>
          </cell>
          <cell r="B3413" t="str">
            <v>JOELHO 45 GRAUS, PVC, SOLDÁVEL, DN 40MM, INSTALADO EM PRUMADA DE ÁGUA - FORNECIMENTO E INSTALAÇÃO. AF_12/2014</v>
          </cell>
          <cell r="C3413" t="str">
            <v>UN</v>
          </cell>
          <cell r="D3413">
            <v>8.94</v>
          </cell>
        </row>
        <row r="3414">
          <cell r="A3414">
            <v>89499</v>
          </cell>
          <cell r="B3414" t="str">
            <v>CURVA 90 GRAUS, PVC, SOLDÁVEL, DN 40MM, INSTALADO EM PRUMADA DE ÁGUA - FORNECIMENTO E INSTALAÇÃO. AF_12/2014</v>
          </cell>
          <cell r="C3414" t="str">
            <v>UN</v>
          </cell>
          <cell r="D3414">
            <v>13.13</v>
          </cell>
        </row>
        <row r="3415">
          <cell r="A3415">
            <v>89500</v>
          </cell>
          <cell r="B3415" t="str">
            <v>CURVA 45 GRAUS, PVC, SOLDÁVEL, DN 40MM, INSTALADO EM PRUMADA DE ÁGUA - FORNECIMENTO E INSTALAÇÃO. AF_12/2014</v>
          </cell>
          <cell r="C3415" t="str">
            <v>UN</v>
          </cell>
          <cell r="D3415">
            <v>9.07</v>
          </cell>
        </row>
        <row r="3416">
          <cell r="A3416">
            <v>89501</v>
          </cell>
          <cell r="B3416" t="str">
            <v>JOELHO 90 GRAUS, PVC, SOLDÁVEL, DN 50MM, INSTALADO EM PRUMADA DE ÁGUA - FORNECIMENTO E INSTALAÇÃO. AF_12/2014</v>
          </cell>
          <cell r="C3416" t="str">
            <v>UN</v>
          </cell>
          <cell r="D3416">
            <v>10.1</v>
          </cell>
        </row>
        <row r="3417">
          <cell r="A3417">
            <v>89502</v>
          </cell>
          <cell r="B3417" t="str">
            <v>JOELHO 45 GRAUS, PVC, SOLDÁVEL, DN 50MM, INSTALADO EM PRUMADA DE ÁGUA - FORNECIMENTO E INSTALAÇÃO. AF_12/2014</v>
          </cell>
          <cell r="C3417" t="str">
            <v>UN</v>
          </cell>
          <cell r="D3417">
            <v>11.29</v>
          </cell>
        </row>
        <row r="3418">
          <cell r="A3418">
            <v>89503</v>
          </cell>
          <cell r="B3418" t="str">
            <v>CURVA 90 GRAUS, PVC, SOLDÁVEL, DN 50MM, INSTALADO EM PRUMADA DE ÁGUA - FORNECIMENTO E INSTALAÇÃO. AF_12/2014</v>
          </cell>
          <cell r="C3418" t="str">
            <v>UN</v>
          </cell>
          <cell r="D3418">
            <v>16.48</v>
          </cell>
        </row>
        <row r="3419">
          <cell r="A3419">
            <v>89504</v>
          </cell>
          <cell r="B3419" t="str">
            <v>CURVA 45 GRAUS, PVC, SOLDÁVEL, DN 50MM, INSTALADO EM PRUMADA DE ÁGUA - FORNECIMENTO E INSTALAÇÃO. AF_12/2014</v>
          </cell>
          <cell r="C3419" t="str">
            <v>UN</v>
          </cell>
          <cell r="D3419">
            <v>14.6</v>
          </cell>
        </row>
        <row r="3420">
          <cell r="A3420">
            <v>89505</v>
          </cell>
          <cell r="B3420" t="str">
            <v>JOELHO 90 GRAUS, PVC, SOLDÁVEL, DN 60MM, INSTALADO EM PRUMADA DE ÁGUA - FORNECIMENTO E INSTALAÇÃO. AF_12/2014</v>
          </cell>
          <cell r="C3420" t="str">
            <v>UN</v>
          </cell>
          <cell r="D3420">
            <v>24.23</v>
          </cell>
        </row>
        <row r="3421">
          <cell r="A3421">
            <v>89506</v>
          </cell>
          <cell r="B3421" t="str">
            <v>JOELHO 45 GRAUS, PVC, SOLDÁVEL, DN 60MM, INSTALADO EM PRUMADA DE ÁGUA - FORNECIMENTO E INSTALAÇÃO. AF_12/2014</v>
          </cell>
          <cell r="C3421" t="str">
            <v>UN</v>
          </cell>
          <cell r="D3421">
            <v>27.06</v>
          </cell>
        </row>
        <row r="3422">
          <cell r="A3422">
            <v>89507</v>
          </cell>
          <cell r="B3422" t="str">
            <v>CURVA 90 GRAUS, PVC, SOLDÁVEL, DN 60MM, INSTALADO EM PRUMADA DE ÁGUA - FORNECIMENTO E INSTALAÇÃO. AF_12/2014</v>
          </cell>
          <cell r="C3422" t="str">
            <v>UN</v>
          </cell>
          <cell r="D3422">
            <v>32.97</v>
          </cell>
        </row>
        <row r="3423">
          <cell r="A3423">
            <v>89510</v>
          </cell>
          <cell r="B3423" t="str">
            <v>CURVA 45 GRAUS, PVC, SOLDÁVEL, DN 60MM, INSTALADO EM PRUMADA DE ÁGUA - FORNECIMENTO E INSTALAÇÃO. AF_12/2014</v>
          </cell>
          <cell r="C3423" t="str">
            <v>UN</v>
          </cell>
          <cell r="D3423">
            <v>22.13</v>
          </cell>
        </row>
        <row r="3424">
          <cell r="A3424">
            <v>89513</v>
          </cell>
          <cell r="B3424" t="str">
            <v>JOELHO 90 GRAUS, PVC, SOLDÁVEL, DN 75MM, INSTALADO EM PRUMADA DE ÁGUA - FORNECIMENTO E INSTALAÇÃO. AF_12/2014</v>
          </cell>
          <cell r="C3424" t="str">
            <v>UN</v>
          </cell>
          <cell r="D3424">
            <v>72.55</v>
          </cell>
        </row>
        <row r="3425">
          <cell r="A3425">
            <v>89514</v>
          </cell>
          <cell r="B3425" t="str">
            <v>JOELHO 90 GRAUS, PVC, SERIE R, ÁGUA PLUVIAL, DN 40 MM, JUNTA SOLDÁVEL, FORNECIDO E INSTALADO EM RAMAL DE ENCAMINHAMENTO. AF_12/2014</v>
          </cell>
          <cell r="C3425" t="str">
            <v>UN</v>
          </cell>
          <cell r="D3425">
            <v>6.66</v>
          </cell>
        </row>
        <row r="3426">
          <cell r="A3426">
            <v>89515</v>
          </cell>
          <cell r="B3426" t="str">
            <v>JOELHO 45 GRAUS, PVC, SOLDÁVEL, DN 75MM, INSTALADO EM PRUMADA DE ÁGUA - FORNECIMENTO E INSTALAÇÃO. AF_12/2014</v>
          </cell>
          <cell r="C3426" t="str">
            <v>UN</v>
          </cell>
          <cell r="D3426">
            <v>55.29</v>
          </cell>
        </row>
        <row r="3427">
          <cell r="A3427">
            <v>89516</v>
          </cell>
          <cell r="B3427" t="str">
            <v>JOELHO 45 GRAUS, PVC, SERIE R, ÁGUA PLUVIAL, DN 40 MM, JUNTA SOLDÁVEL, FORNECIDO E INSTALADO EM RAMAL DE ENCAMINHAMENTO. AF_12/2014</v>
          </cell>
          <cell r="C3427" t="str">
            <v>UN</v>
          </cell>
          <cell r="D3427">
            <v>5.92</v>
          </cell>
        </row>
        <row r="3428">
          <cell r="A3428">
            <v>89517</v>
          </cell>
          <cell r="B3428" t="str">
            <v>CURVA 90 GRAUS, PVC, SOLDÁVEL, DN 75MM, INSTALADO EM PRUMADA DE ÁGUA - FORNECIMENTO E INSTALAÇÃO. AF_12/2014</v>
          </cell>
          <cell r="C3428" t="str">
            <v>UN</v>
          </cell>
          <cell r="D3428">
            <v>46.89</v>
          </cell>
        </row>
        <row r="3429">
          <cell r="A3429">
            <v>89518</v>
          </cell>
          <cell r="B3429" t="str">
            <v>JOELHO 90 GRAUS, PVC, SERIE R, ÁGUA PLUVIAL, DN 50 MM, JUNTA ELÁSTICA, FORNECIDO E INSTALADO EM RAMAL DE ENCAMINHAMENTO. AF_12/2014</v>
          </cell>
          <cell r="C3429" t="str">
            <v>UN</v>
          </cell>
          <cell r="D3429">
            <v>9.34</v>
          </cell>
        </row>
        <row r="3430">
          <cell r="A3430">
            <v>89519</v>
          </cell>
          <cell r="B3430" t="str">
            <v>CURVA 45 GRAUS, PVC, SOLDÁVEL, DN 75MM, INSTALADO EM PRUMADA DE ÁGUA - FORNECIMENTO E INSTALAÇÃO. AF_12/2014</v>
          </cell>
          <cell r="C3430" t="str">
            <v>UN</v>
          </cell>
          <cell r="D3430">
            <v>32.39</v>
          </cell>
        </row>
        <row r="3431">
          <cell r="A3431">
            <v>89520</v>
          </cell>
          <cell r="B3431" t="str">
            <v>JOELHO 45 GRAUS, PVC, SERIE R, ÁGUA PLUVIAL, DN 50 MM, JUNTA ELÁSTICA, FORNECIDO E INSTALADO EM RAMAL DE ENCAMINHAMENTO. AF_12/2014</v>
          </cell>
          <cell r="C3431" t="str">
            <v>UN</v>
          </cell>
          <cell r="D3431">
            <v>8.36</v>
          </cell>
        </row>
        <row r="3432">
          <cell r="A3432">
            <v>89521</v>
          </cell>
          <cell r="B3432" t="str">
            <v>JOELHO 90 GRAUS, PVC, SOLDÁVEL, DN 85MM, INSTALADO EM PRUMADA DE ÁGUA - FORNECIMENTO E INSTALAÇÃO. AF_12/2014</v>
          </cell>
          <cell r="C3432" t="str">
            <v>UN</v>
          </cell>
          <cell r="D3432">
            <v>85.42</v>
          </cell>
        </row>
        <row r="3433">
          <cell r="A3433">
            <v>89522</v>
          </cell>
          <cell r="B3433" t="str">
            <v>JOELHO 90 GRAUS, PVC, SERIE R, ÁGUA PLUVIAL, DN 75 MM, JUNTA ELÁSTICA, FORNECIDO E INSTALADO EM RAMAL DE ENCAMINHAMENTO. AF_12/2014</v>
          </cell>
          <cell r="C3433" t="str">
            <v>UN</v>
          </cell>
          <cell r="D3433">
            <v>18.34</v>
          </cell>
        </row>
        <row r="3434">
          <cell r="A3434">
            <v>89523</v>
          </cell>
          <cell r="B3434" t="str">
            <v>JOELHO 45 GRAUS, PVC, SOLDÁVEL, DN 85MM, INSTALADO EM PRUMADA DE ÁGUA - FORNECIMENTO E INSTALAÇÃO. AF_12/2014</v>
          </cell>
          <cell r="C3434" t="str">
            <v>UN</v>
          </cell>
          <cell r="D3434">
            <v>65.08</v>
          </cell>
        </row>
        <row r="3435">
          <cell r="A3435">
            <v>89524</v>
          </cell>
          <cell r="B3435" t="str">
            <v>JOELHO 45 GRAUS, PVC, SERIE R, ÁGUA PLUVIAL, DN 75 MM, JUNTA ELÁSTICA, FORNECIDO E INSTALADO EM RAMAL DE ENCAMINHAMENTO. AF_12/2014</v>
          </cell>
          <cell r="C3435" t="str">
            <v>UN</v>
          </cell>
          <cell r="D3435">
            <v>16.46</v>
          </cell>
        </row>
        <row r="3436">
          <cell r="A3436">
            <v>89525</v>
          </cell>
          <cell r="B3436" t="str">
            <v>CURVA 90 GRAUS, PVC, SOLDÁVEL, DN 85MM, INSTALADO EM PRUMADA DE ÁGUA - FORNECIMENTO E INSTALAÇÃO. AF_12/2014</v>
          </cell>
          <cell r="C3436" t="str">
            <v>UN</v>
          </cell>
          <cell r="D3436">
            <v>64.05</v>
          </cell>
        </row>
        <row r="3437">
          <cell r="A3437">
            <v>89526</v>
          </cell>
          <cell r="B3437" t="str">
            <v>CURVA 87 GRAUS E 30 MINUTOS, PVC, SERIE R, ÁGUA PLUVIAL, DN 75 MM, JUNTA ELÁSTICA, FORNECIDO E INSTALADO EM RAMAL DE ENCAMINHAMENTO. AF_12/2014</v>
          </cell>
          <cell r="C3437" t="str">
            <v>UN</v>
          </cell>
          <cell r="D3437">
            <v>23.32</v>
          </cell>
        </row>
        <row r="3438">
          <cell r="A3438">
            <v>89527</v>
          </cell>
          <cell r="B3438" t="str">
            <v>CURVA 45 GRAUS, PVC, SOLDÁVEL, DN 85MM, INSTALADO EM PRUMADA DE ÁGUA - FORNECIMENTO E INSTALAÇÃO. AF_12/2014</v>
          </cell>
          <cell r="C3438" t="str">
            <v>UN</v>
          </cell>
          <cell r="D3438">
            <v>49.79</v>
          </cell>
        </row>
        <row r="3439">
          <cell r="A3439">
            <v>89528</v>
          </cell>
          <cell r="B3439" t="str">
            <v>LUVA, PVC, SOLDÁVEL, DN 25MM, INSTALADO EM PRUMADA DE ÁGUA - FORNECIMENTO E INSTALAÇÃO. AF_12/2014</v>
          </cell>
          <cell r="C3439" t="str">
            <v>UN</v>
          </cell>
          <cell r="D3439">
            <v>2.88</v>
          </cell>
        </row>
        <row r="3440">
          <cell r="A3440">
            <v>89529</v>
          </cell>
          <cell r="B3440" t="str">
            <v>JOELHO 90 GRAUS, PVC, SERIE R, ÁGUA PLUVIAL, DN 100 MM, JUNTA ELÁSTICA, FORNECIDO E INSTALADO EM RAMAL DE ENCAMINHAMENTO. AF_12/2014</v>
          </cell>
          <cell r="C3440" t="str">
            <v>UN</v>
          </cell>
          <cell r="D3440">
            <v>26.83</v>
          </cell>
        </row>
        <row r="3441">
          <cell r="A3441">
            <v>89530</v>
          </cell>
          <cell r="B3441" t="str">
            <v>LUVA DE CORRER, PVC, SOLDÁVEL, DN 25MM, INSTALADO EM PRUMADA DE ÁGUA - FORNECIMENTO E INSTALAÇÃO. AF_12/2014</v>
          </cell>
          <cell r="C3441" t="str">
            <v>UN</v>
          </cell>
          <cell r="D3441">
            <v>9.2100000000000009</v>
          </cell>
        </row>
        <row r="3442">
          <cell r="A3442">
            <v>89531</v>
          </cell>
          <cell r="B3442" t="str">
            <v>JOELHO 45 GRAUS, PVC, SERIE R, ÁGUA PLUVIAL, DN 100 MM, JUNTA ELÁSTICA, FORNECIDO E INSTALADO EM RAMAL DE ENCAMINHAMENTO. AF_12/2014</v>
          </cell>
          <cell r="C3442" t="str">
            <v>UN</v>
          </cell>
          <cell r="D3442">
            <v>22.25</v>
          </cell>
        </row>
        <row r="3443">
          <cell r="A3443">
            <v>89532</v>
          </cell>
          <cell r="B3443" t="str">
            <v>LUVA DE REDUÇÃO, PVC, SOLDÁVEL, DN 32MM X 25MM, INSTALADO EM PRUMADA DE ÁGUA - FORNECIMENTO E INSTALAÇÃO. AF_12/2014</v>
          </cell>
          <cell r="C3443" t="str">
            <v>UN</v>
          </cell>
          <cell r="D3443">
            <v>4.82</v>
          </cell>
        </row>
        <row r="3444">
          <cell r="A3444">
            <v>89533</v>
          </cell>
          <cell r="B3444" t="str">
            <v>JOELHO 45 GRAUS PARA PÉ DE COLUNA, PVC, SERIE R, ÁGUA PLUVIAL, DN 100 MM, JUNTA ELÁSTICA, FORNECIDO E INSTALADO EM RAMAL DE ENCAMINHAMENTO. AF_12/2014</v>
          </cell>
          <cell r="C3444" t="str">
            <v>UN</v>
          </cell>
          <cell r="D3444">
            <v>22.25</v>
          </cell>
        </row>
        <row r="3445">
          <cell r="A3445">
            <v>89534</v>
          </cell>
          <cell r="B3445" t="str">
            <v>LUVA SOLDÁVEL E COM ROSCA, PVC, SOLDÁVEL, DN 25MM X 3/4, INSTALADO EM PRUMADA DE ÁGUA - FORNECIMENTO E INSTALAÇÃO. AF_12/2014</v>
          </cell>
          <cell r="C3445" t="str">
            <v>UN</v>
          </cell>
          <cell r="D3445">
            <v>3.45</v>
          </cell>
        </row>
        <row r="3446">
          <cell r="A3446">
            <v>89535</v>
          </cell>
          <cell r="B3446" t="str">
            <v>CURVA 87 GRAUS E 30 MINUTOS, PVC, SERIE R, ÁGUA PLUVIAL, DN 100 MM, JUNTA ELÁSTICA, FORNECIDO E INSTALADO EM RAMAL DE ENCAMINHAMENTO. AF_12/2014</v>
          </cell>
          <cell r="C3446" t="str">
            <v>UN</v>
          </cell>
          <cell r="D3446">
            <v>34.020000000000003</v>
          </cell>
        </row>
        <row r="3447">
          <cell r="A3447">
            <v>89536</v>
          </cell>
          <cell r="B3447" t="str">
            <v>UNIÃO, PVC, SOLDÁVEL, DN 25MM, INSTALADO EM PRUMADA DE ÁGUA - FORNECIMENTO E INSTALAÇÃO. AF_12/2014</v>
          </cell>
          <cell r="C3447" t="str">
            <v>UN</v>
          </cell>
          <cell r="D3447">
            <v>8.33</v>
          </cell>
        </row>
        <row r="3448">
          <cell r="A3448">
            <v>89538</v>
          </cell>
          <cell r="B3448" t="str">
            <v>ADAPTADOR CURTO COM BOLSA E ROSCA PARA REGISTRO, PVC, SOLDÁVEL, DN 25MM X 3/4, INSTALADO EM PRUMADA DE ÁGUA - FORNECIMENTO E INSTALAÇÃO. AF_12/2014</v>
          </cell>
          <cell r="C3448" t="str">
            <v>UN</v>
          </cell>
          <cell r="D3448">
            <v>2.95</v>
          </cell>
        </row>
        <row r="3449">
          <cell r="A3449">
            <v>89540</v>
          </cell>
          <cell r="B3449" t="str">
            <v>CURVA DE TRANSPOSIÇÃO, PVC, SOLDÁVEL, DN 25MM, INSTALADO EM PRUMADA DE ÁGUA  - FORNECIMENTO E INSTALAÇÃO. AF_12/2014</v>
          </cell>
          <cell r="C3449" t="str">
            <v>UN</v>
          </cell>
          <cell r="D3449">
            <v>6.99</v>
          </cell>
        </row>
        <row r="3450">
          <cell r="A3450">
            <v>89541</v>
          </cell>
          <cell r="B3450" t="str">
            <v>LUVA, PVC, SOLDÁVEL, DN 32MM, INSTALADO EM PRUMADA DE ÁGUA - FORNECIMENTO E INSTALAÇÃO. AF_12/2014</v>
          </cell>
          <cell r="C3450" t="str">
            <v>UN</v>
          </cell>
          <cell r="D3450">
            <v>4.2699999999999996</v>
          </cell>
        </row>
        <row r="3451">
          <cell r="A3451">
            <v>89542</v>
          </cell>
          <cell r="B3451" t="str">
            <v>LUVA DE CORRER, PVC, SOLDÁVEL, DN 32MM, INSTALADO EM PRUMADA DE ÁGUA - FORNECIMENTO E INSTALAÇÃO. AF_12/2014</v>
          </cell>
          <cell r="C3451" t="str">
            <v>UN</v>
          </cell>
          <cell r="D3451">
            <v>19.350000000000001</v>
          </cell>
        </row>
        <row r="3452">
          <cell r="A3452">
            <v>89544</v>
          </cell>
          <cell r="B3452" t="str">
            <v>LUVA SIMPLES, PVC, SERIE R, ÁGUA PLUVIAL, DN 40 MM, JUNTA SOLDÁVEL, FORNECIDO E INSTALADO EM RAMAL DE ENCAMINHAMENTO. AF_12/2014</v>
          </cell>
          <cell r="C3452" t="str">
            <v>UN</v>
          </cell>
          <cell r="D3452">
            <v>5.84</v>
          </cell>
        </row>
        <row r="3453">
          <cell r="A3453">
            <v>89545</v>
          </cell>
          <cell r="B3453" t="str">
            <v>LUVA SIMPLES, PVC, SERIE R, ÁGUA PLUVIAL, DN 50 MM, JUNTA ELÁSTICA, FORNECIDO E INSTALADO EM RAMAL DE ENCAMINHAMENTO. AF_12/2014</v>
          </cell>
          <cell r="C3453" t="str">
            <v>UN</v>
          </cell>
          <cell r="D3453">
            <v>8.4</v>
          </cell>
        </row>
        <row r="3454">
          <cell r="A3454">
            <v>89546</v>
          </cell>
          <cell r="B3454" t="str">
            <v>BUCHA DE REDUÇÃO LONGA, PVC, SERIE R, ÁGUA PLUVIAL, DN 50 X 40 MM, JUNTA ELÁSTICA, FORNECIDO E INSTALADO EM RAMAL DE ENCAMINHAMENTO. AF_12/2014</v>
          </cell>
          <cell r="C3454" t="str">
            <v>UN</v>
          </cell>
          <cell r="D3454">
            <v>7.41</v>
          </cell>
        </row>
        <row r="3455">
          <cell r="A3455">
            <v>89547</v>
          </cell>
          <cell r="B3455" t="str">
            <v>LUVA SIMPLES, PVC, SERIE R, ÁGUA PLUVIAL, DN 75 MM, JUNTA ELÁSTICA, FORNECIDO E INSTALADO EM RAMAL DE ENCAMINHAMENTO. AF_12/2014</v>
          </cell>
          <cell r="C3455" t="str">
            <v>UN</v>
          </cell>
          <cell r="D3455">
            <v>12.77</v>
          </cell>
        </row>
        <row r="3456">
          <cell r="A3456">
            <v>89548</v>
          </cell>
          <cell r="B3456" t="str">
            <v>LUVA DE CORRER, PVC, SERIE R, ÁGUA PLUVIAL, DN 75 MM, JUNTA ELÁSTICA, FORNECIDO E INSTALADO EM RAMAL DE ENCAMINHAMENTO. AF_12/2014</v>
          </cell>
          <cell r="C3456" t="str">
            <v>UN</v>
          </cell>
          <cell r="D3456">
            <v>13.71</v>
          </cell>
        </row>
        <row r="3457">
          <cell r="A3457">
            <v>89549</v>
          </cell>
          <cell r="B3457" t="str">
            <v>REDUÇÃO EXCÊNTRICA, PVC, SERIE R, ÁGUA PLUVIAL, DN 75 X 50 MM, JUNTA ELÁSTICA, FORNECIDO E INSTALADO EM RAMAL DE ENCAMINHAMENTO. AF_12/2014</v>
          </cell>
          <cell r="C3457" t="str">
            <v>UN</v>
          </cell>
          <cell r="D3457">
            <v>10.26</v>
          </cell>
        </row>
        <row r="3458">
          <cell r="A3458">
            <v>89550</v>
          </cell>
          <cell r="B3458" t="str">
            <v>TÊ DE INSPEÇÃO, PVC, SERIE R, ÁGUA PLUVIAL, DN 75 MM, JUNTA ELÁSTICA, FORNECIDO E INSTALADO EM RAMAL DE ENCAMINHAMENTO. AF_12/2014</v>
          </cell>
          <cell r="C3458" t="str">
            <v>UN</v>
          </cell>
          <cell r="D3458">
            <v>23.05</v>
          </cell>
        </row>
        <row r="3459">
          <cell r="A3459">
            <v>89551</v>
          </cell>
          <cell r="B3459" t="str">
            <v>LUVA SOLDÁVEL E COM ROSCA, PVC, SOLDÁVEL, DN 32MM X 1, INSTALADO EM PRUMADA DE ÁGUA - FORNECIMENTO E INSTALAÇÃO. AF_12/2014</v>
          </cell>
          <cell r="C3459" t="str">
            <v>UN</v>
          </cell>
          <cell r="D3459">
            <v>6.56</v>
          </cell>
        </row>
        <row r="3460">
          <cell r="A3460">
            <v>89552</v>
          </cell>
          <cell r="B3460" t="str">
            <v>UNIÃO, PVC, SOLDÁVEL, DN 32MM, INSTALADO EM PRUMADA DE ÁGUA - FORNECIMENTO E INSTALAÇÃO. AF_12/2014</v>
          </cell>
          <cell r="C3460" t="str">
            <v>UN</v>
          </cell>
          <cell r="D3460">
            <v>12.78</v>
          </cell>
        </row>
        <row r="3461">
          <cell r="A3461">
            <v>89553</v>
          </cell>
          <cell r="B3461" t="str">
            <v>ADAPTADOR CURTO COM BOLSA E ROSCA PARA REGISTRO, PVC, SOLDÁVEL, DN 32MM X 1, INSTALADO EM PRUMADA DE ÁGUA - FORNECIMENTO E INSTALAÇÃO. AF_12/2014</v>
          </cell>
          <cell r="C3461" t="str">
            <v>UN</v>
          </cell>
          <cell r="D3461">
            <v>4.2</v>
          </cell>
        </row>
        <row r="3462">
          <cell r="A3462">
            <v>89554</v>
          </cell>
          <cell r="B3462" t="str">
            <v>LUVA SIMPLES, PVC, SERIE R, ÁGUA PLUVIAL, DN 100 MM, JUNTA ELÁSTICA, FORNECIDO E INSTALADO EM RAMAL DE ENCAMINHAMENTO. AF_12/2014</v>
          </cell>
          <cell r="C3462" t="str">
            <v>UN</v>
          </cell>
          <cell r="D3462">
            <v>15.76</v>
          </cell>
        </row>
        <row r="3463">
          <cell r="A3463">
            <v>89555</v>
          </cell>
          <cell r="B3463" t="str">
            <v>CURVA DE TRANSPOSIÇÃO, PVC, SOLDÁVEL, DN 32MM, INSTALADO EM PRUMADA DE ÁGUA   FORNECIMENTO E INSTALAÇÃO. AF_12/2014</v>
          </cell>
          <cell r="C3463" t="str">
            <v>UN</v>
          </cell>
          <cell r="D3463">
            <v>15.37</v>
          </cell>
        </row>
        <row r="3464">
          <cell r="A3464">
            <v>89556</v>
          </cell>
          <cell r="B3464" t="str">
            <v>LUVA DE CORRER, PVC, SERIE R, ÁGUA PLUVIAL, DN 100 MM, JUNTA ELÁSTICA, FORNECIDO E INSTALADO EM RAMAL DE ENCAMINHAMENTO. AF_12/2014</v>
          </cell>
          <cell r="C3464" t="str">
            <v>UN</v>
          </cell>
          <cell r="D3464">
            <v>22.17</v>
          </cell>
        </row>
        <row r="3465">
          <cell r="A3465">
            <v>89557</v>
          </cell>
          <cell r="B3465" t="str">
            <v>REDUÇÃO EXCÊNTRICA, PVC, SERIE R, ÁGUA PLUVIAL, DN 100 X 75 MM, JUNTA ELÁSTICA, FORNECIDO E INSTALADO EM RAMAL DE ENCAMINHAMENTO. AF_12/2014</v>
          </cell>
          <cell r="C3465" t="str">
            <v>UN</v>
          </cell>
          <cell r="D3465">
            <v>17.96</v>
          </cell>
        </row>
        <row r="3466">
          <cell r="A3466">
            <v>89558</v>
          </cell>
          <cell r="B3466" t="str">
            <v>LUVA, PVC, SOLDÁVEL, DN 40MM, INSTALADO EM PRUMADA DE ÁGUA - FORNECIMENTO E INSTALAÇÃO. AF_12/2014</v>
          </cell>
          <cell r="C3466" t="str">
            <v>UN</v>
          </cell>
          <cell r="D3466">
            <v>6.35</v>
          </cell>
        </row>
        <row r="3467">
          <cell r="A3467">
            <v>89559</v>
          </cell>
          <cell r="B3467" t="str">
            <v>TÊ DE INSPEÇÃO, PVC, SERIE R, ÁGUA PLUVIAL, DN 100 MM, JUNTA ELÁSTICA, FORNECIDO E INSTALADO EM RAMAL DE ENCAMINHAMENTO. AF_12/2014</v>
          </cell>
          <cell r="C3467" t="str">
            <v>UN</v>
          </cell>
          <cell r="D3467">
            <v>37.450000000000003</v>
          </cell>
        </row>
        <row r="3468">
          <cell r="A3468">
            <v>89561</v>
          </cell>
          <cell r="B3468" t="str">
            <v>JUNÇÃO SIMPLES, PVC, SERIE R, ÁGUA PLUVIAL, DN 40 MM, JUNTA SOLDÁVEL, FORNECIDO E INSTALADO EM RAMAL DE ENCAMINHAMENTO. AF_12/2014</v>
          </cell>
          <cell r="C3468" t="str">
            <v>UN</v>
          </cell>
          <cell r="D3468">
            <v>8.7799999999999994</v>
          </cell>
        </row>
        <row r="3469">
          <cell r="A3469">
            <v>89562</v>
          </cell>
          <cell r="B3469" t="str">
            <v>LUVA DE REDUÇÃO, PVC, SOLDÁVEL, DN 40MM X 32MM, INSTALADO EM PRUMADA DE ÁGUA - FORNECIMENTO E INSTALAÇÃO. AF_12/2014</v>
          </cell>
          <cell r="C3469" t="str">
            <v>UN</v>
          </cell>
          <cell r="D3469">
            <v>6.71</v>
          </cell>
        </row>
        <row r="3470">
          <cell r="A3470">
            <v>89563</v>
          </cell>
          <cell r="B3470" t="str">
            <v>JUNÇÃO SIMPLES, PVC, SERIE R, ÁGUA PLUVIAL, DN 50 MM, JUNTA ELÁSTICA, FORNECIDO E INSTALADO EM RAMAL DE ENCAMINHAMENTO. AF_12/2014</v>
          </cell>
          <cell r="C3470" t="str">
            <v>UN</v>
          </cell>
          <cell r="D3470">
            <v>14.18</v>
          </cell>
        </row>
        <row r="3471">
          <cell r="A3471">
            <v>89564</v>
          </cell>
          <cell r="B3471" t="str">
            <v>LUVA COM ROSCA, PVC, SOLDÁVEL, DN 40MM X 1.1/4, INSTALADO EM PRUMADA DE ÁGUA - FORNECIMENTO E INSTALAÇÃO. AF_12/2014</v>
          </cell>
          <cell r="C3471" t="str">
            <v>UN</v>
          </cell>
          <cell r="D3471">
            <v>11.64</v>
          </cell>
        </row>
        <row r="3472">
          <cell r="A3472">
            <v>89565</v>
          </cell>
          <cell r="B3472" t="str">
            <v>JUNÇÃO SIMPLES, PVC, SERIE R, ÁGUA PLUVIAL, DN 75 X 75 MM, JUNTA ELÁSTICA, FORNECIDO E INSTALADO EM RAMAL DE ENCAMINHAMENTO. AF_12/2014</v>
          </cell>
          <cell r="C3472" t="str">
            <v>UN</v>
          </cell>
          <cell r="D3472">
            <v>33.06</v>
          </cell>
        </row>
        <row r="3473">
          <cell r="A3473">
            <v>89566</v>
          </cell>
          <cell r="B3473" t="str">
            <v>TÊ, PVC, SERIE R, ÁGUA PLUVIAL, DN 75 MM, JUNTA ELÁSTICA, FORNECIDO E INSTALADO EM RAMAL DE ENCAMINHAMENTO. AF_12/2014</v>
          </cell>
          <cell r="C3473" t="str">
            <v>UN</v>
          </cell>
          <cell r="D3473">
            <v>29</v>
          </cell>
        </row>
        <row r="3474">
          <cell r="A3474">
            <v>89567</v>
          </cell>
          <cell r="B3474" t="str">
            <v>JUNÇÃO SIMPLES, PVC, SERIE R, ÁGUA PLUVIAL, DN 100 X 100 MM, JUNTA ELÁSTICA, FORNECIDO E INSTALADO EM RAMAL DE ENCAMINHAMENTO. AF_12/2014</v>
          </cell>
          <cell r="C3474" t="str">
            <v>UN</v>
          </cell>
          <cell r="D3474">
            <v>48.2</v>
          </cell>
        </row>
        <row r="3475">
          <cell r="A3475">
            <v>89568</v>
          </cell>
          <cell r="B3475" t="str">
            <v>UNIÃO, PVC, SOLDÁVEL, DN 40MM, INSTALADO EM PRUMADA DE ÁGUA - FORNECIMENTO E INSTALAÇÃO. AF_12/2014</v>
          </cell>
          <cell r="C3475" t="str">
            <v>UN</v>
          </cell>
          <cell r="D3475">
            <v>22.81</v>
          </cell>
        </row>
        <row r="3476">
          <cell r="A3476">
            <v>89569</v>
          </cell>
          <cell r="B3476" t="str">
            <v>JUNÇÃO SIMPLES, PVC, SERIE R, ÁGUA PLUVIAL, DN 100 X 75 MM, JUNTA ELÁSTICA, FORNECIDO E INSTALADO EM RAMAL DE ENCAMINHAMENTO. AF_12/2014</v>
          </cell>
          <cell r="C3476" t="str">
            <v>UN</v>
          </cell>
          <cell r="D3476">
            <v>45.74</v>
          </cell>
        </row>
        <row r="3477">
          <cell r="A3477">
            <v>89570</v>
          </cell>
          <cell r="B3477" t="str">
            <v>ADAPTADOR CURTO COM BOLSA E ROSCA PARA REGISTRO, PVC, SOLDÁVEL, DN 40MM X 1.1/2, INSTALADO EM PRUMADA DE ÁGUA - FORNECIMENTO E INSTALAÇÃO. AF_12/2014</v>
          </cell>
          <cell r="C3477" t="str">
            <v>UN</v>
          </cell>
          <cell r="D3477">
            <v>8.44</v>
          </cell>
        </row>
        <row r="3478">
          <cell r="A3478">
            <v>89571</v>
          </cell>
          <cell r="B3478" t="str">
            <v>TÊ, PVC, SERIE R, ÁGUA PLUVIAL, DN 100 X 100 MM, JUNTA ELÁSTICA, FORNECIDO E INSTALADO EM RAMAL DE ENCAMINHAMENTO. AF_12/2014</v>
          </cell>
          <cell r="C3478" t="str">
            <v>UN</v>
          </cell>
          <cell r="D3478">
            <v>44.64</v>
          </cell>
        </row>
        <row r="3479">
          <cell r="A3479">
            <v>89572</v>
          </cell>
          <cell r="B3479" t="str">
            <v>ADAPTADOR CURTO COM BOLSA E ROSCA PARA REGISTRO, PVC, SOLDÁVEL, DN 40MM X 1.1/4, INSTALADO EM PRUMADA DE ÁGUA - FORNECIMENTO E INSTALAÇÃO. AF_12/2014</v>
          </cell>
          <cell r="C3479" t="str">
            <v>UN</v>
          </cell>
          <cell r="D3479">
            <v>6.04</v>
          </cell>
        </row>
        <row r="3480">
          <cell r="A3480">
            <v>89573</v>
          </cell>
          <cell r="B3480" t="str">
            <v>TÊ, PVC, SERIE R, ÁGUA PLUVIAL, DN 100 X 75 MM, JUNTA ELÁSTICA, FORNECIDO E INSTALADO EM RAMAL DE ENCAMINHAMENTO. AF_12/2014</v>
          </cell>
          <cell r="C3480" t="str">
            <v>UN</v>
          </cell>
          <cell r="D3480">
            <v>40.909999999999997</v>
          </cell>
        </row>
        <row r="3481">
          <cell r="A3481">
            <v>89574</v>
          </cell>
          <cell r="B3481" t="str">
            <v>JUNÇÃO DUPLA, PVC, SERIE R, ÁGUA PLUVIAL, DN 100 X 100 X 100 MM, JUNTA ELÁSTICA, FORNECIDO E INSTALADO EM RAMAL DE ENCAMINHAMENTO. AF_12/2014</v>
          </cell>
          <cell r="C3481" t="str">
            <v>UN</v>
          </cell>
          <cell r="D3481">
            <v>77.989999999999995</v>
          </cell>
        </row>
        <row r="3482">
          <cell r="A3482">
            <v>89575</v>
          </cell>
          <cell r="B3482" t="str">
            <v>LUVA, PVC, SOLDÁVEL, DN 50MM, INSTALADO EM PRUMADA DE ÁGUA - FORNECIMENTO E INSTALAÇÃO. AF_12/2014</v>
          </cell>
          <cell r="C3482" t="str">
            <v>UN</v>
          </cell>
          <cell r="D3482">
            <v>8.1199999999999992</v>
          </cell>
        </row>
        <row r="3483">
          <cell r="A3483">
            <v>89577</v>
          </cell>
          <cell r="B3483" t="str">
            <v>LUVA DE CORRER, PVC, SOLDÁVEL, DN 50MM, INSTALADO EM PRUMADA DE ÁGUA - FORNECIMENTO E INSTALAÇÃO. AF_12/2014</v>
          </cell>
          <cell r="C3483" t="str">
            <v>UN</v>
          </cell>
          <cell r="D3483">
            <v>23.63</v>
          </cell>
        </row>
        <row r="3484">
          <cell r="A3484">
            <v>89579</v>
          </cell>
          <cell r="B3484" t="str">
            <v>LUVA DE REDUÇÃO, PVC, SOLDÁVEL, DN 50MM X 25MM, INSTALADO EM PRUMADA DE ÁGUA   FORNECIMENTO E INSTALAÇÃO. AF_12/2014</v>
          </cell>
          <cell r="C3484" t="str">
            <v>UN</v>
          </cell>
          <cell r="D3484">
            <v>8.3000000000000007</v>
          </cell>
        </row>
        <row r="3485">
          <cell r="A3485">
            <v>89581</v>
          </cell>
          <cell r="B3485" t="str">
            <v>JOELHO 90 GRAUS, PVC, SERIE R, ÁGUA PLUVIAL, DN 75 MM, JUNTA ELÁSTICA, FORNECIDO E INSTALADO EM CONDUTORES VERTICAIS DE ÁGUAS PLUVIAIS. AF_12/2014</v>
          </cell>
          <cell r="C3485" t="str">
            <v>UN</v>
          </cell>
          <cell r="D3485">
            <v>16.899999999999999</v>
          </cell>
        </row>
        <row r="3486">
          <cell r="A3486">
            <v>89582</v>
          </cell>
          <cell r="B3486" t="str">
            <v>JOELHO 45 GRAUS, PVC, SERIE R, ÁGUA PLUVIAL, DN 75 MM, JUNTA ELÁSTICA, FORNECIDO E INSTALADO EM CONDUTORES VERTICAIS DE ÁGUAS PLUVIAIS. AF_12/2014</v>
          </cell>
          <cell r="C3486" t="str">
            <v>UN</v>
          </cell>
          <cell r="D3486">
            <v>15.02</v>
          </cell>
        </row>
        <row r="3487">
          <cell r="A3487">
            <v>89583</v>
          </cell>
          <cell r="B3487" t="str">
            <v>CURVA 87 GRAUS E 30 MINUTOS, PVC, SERIE R, ÁGUA PLUVIAL, DN 75 MM, JUNTA ELÁSTICA, FORNECIDO E INSTALADO EM CONDUTORES VERTICAIS DE ÁGUAS PLUVIAIS. AF_12/2014</v>
          </cell>
          <cell r="C3487" t="str">
            <v>UN</v>
          </cell>
          <cell r="D3487">
            <v>21.88</v>
          </cell>
        </row>
        <row r="3488">
          <cell r="A3488">
            <v>89584</v>
          </cell>
          <cell r="B3488" t="str">
            <v>JOELHO 90 GRAUS, PVC, SERIE R, ÁGUA PLUVIAL, DN 100 MM, JUNTA ELÁSTICA, FORNECIDO E INSTALADO EM CONDUTORES VERTICAIS DE ÁGUAS PLUVIAIS. AF_12/2014</v>
          </cell>
          <cell r="C3488" t="str">
            <v>UN</v>
          </cell>
          <cell r="D3488">
            <v>25.38</v>
          </cell>
        </row>
        <row r="3489">
          <cell r="A3489">
            <v>89585</v>
          </cell>
          <cell r="B3489" t="str">
            <v>JOELHO 45 GRAUS, PVC, SERIE R, ÁGUA PLUVIAL, DN 100 MM, JUNTA ELÁSTICA, FORNECIDO E INSTALADO EM CONDUTORES VERTICAIS DE ÁGUAS PLUVIAIS. AF_12/2014</v>
          </cell>
          <cell r="C3489" t="str">
            <v>UN</v>
          </cell>
          <cell r="D3489">
            <v>20.8</v>
          </cell>
        </row>
        <row r="3490">
          <cell r="A3490">
            <v>89586</v>
          </cell>
          <cell r="B3490" t="str">
            <v>JOELHO 45 GRAUS PARA PÉ DE COLUNA, PVC, SERIE R, ÁGUA PLUVIAL, DN 100 MM, JUNTA ELÁSTICA, FORNECIDO E INSTALADO EM CONDUTORES VERTICAIS DE ÁGUAS PLUVIAIS. AF_12/2014</v>
          </cell>
          <cell r="C3490" t="str">
            <v>UN</v>
          </cell>
          <cell r="D3490">
            <v>20.8</v>
          </cell>
        </row>
        <row r="3491">
          <cell r="A3491">
            <v>89587</v>
          </cell>
          <cell r="B3491" t="str">
            <v>CURVA 87 GRAUS E 30 MINUTOS, PVC, SERIE R, ÁGUA PLUVIAL, DN 100 MM, JUNTA ELÁSTICA, FORNECIDO E INSTALADO EM CONDUTORES VERTICAIS DE ÁGUAS PLUVIAIS. AF_12/2014</v>
          </cell>
          <cell r="C3491" t="str">
            <v>UN</v>
          </cell>
          <cell r="D3491">
            <v>32.57</v>
          </cell>
        </row>
        <row r="3492">
          <cell r="A3492">
            <v>89590</v>
          </cell>
          <cell r="B3492" t="str">
            <v>JOELHO 90 GRAUS, PVC, SERIE R, ÁGUA PLUVIAL, DN 150 MM, JUNTA ELÁSTICA, FORNECIDO E INSTALADO EM CONDUTORES VERTICAIS DE ÁGUAS PLUVIAIS. AF_12/2014</v>
          </cell>
          <cell r="C3492" t="str">
            <v>UN</v>
          </cell>
          <cell r="D3492">
            <v>79.17</v>
          </cell>
        </row>
        <row r="3493">
          <cell r="A3493">
            <v>89591</v>
          </cell>
          <cell r="B3493" t="str">
            <v>JOELHO 45 GRAUS, PVC, SERIE R, ÁGUA PLUVIAL, DN 150 MM, JUNTA ELÁSTICA, FORNECIDO E INSTALADO EM CONDUTORES VERTICAIS DE ÁGUAS PLUVIAIS. AF_12/2014</v>
          </cell>
          <cell r="C3493" t="str">
            <v>UN</v>
          </cell>
          <cell r="D3493">
            <v>66.010000000000005</v>
          </cell>
        </row>
        <row r="3494">
          <cell r="A3494">
            <v>89592</v>
          </cell>
          <cell r="B3494" t="str">
            <v>CURVA 87 GRAUS E 30 MINUTOS, PVC, SERIE R, ÁGUA PLUVIAL, DN 150 MM, JUNTA ELÁSTICA, FORNECIDO E INSTALADO EM CONDUTORES VERTICAIS DE ÁGUAS PLUVIAIS. AF_12/2014</v>
          </cell>
          <cell r="C3494" t="str">
            <v>UN</v>
          </cell>
          <cell r="D3494">
            <v>104.28</v>
          </cell>
        </row>
        <row r="3495">
          <cell r="A3495">
            <v>89593</v>
          </cell>
          <cell r="B3495" t="str">
            <v>LUVA COM ROSCA, PVC, SOLDÁVEL, DN 50MM X 1.1/2, INSTALADO EM PRUMADA DE ÁGUA - FORNECIMENTO E INSTALAÇÃO. AF_12/2014</v>
          </cell>
          <cell r="C3495" t="str">
            <v>UN</v>
          </cell>
          <cell r="D3495">
            <v>21.48</v>
          </cell>
        </row>
        <row r="3496">
          <cell r="A3496">
            <v>89594</v>
          </cell>
          <cell r="B3496" t="str">
            <v>UNIÃO, PVC, SOLDÁVEL, DN 50MM, INSTALADO EM PRUMADA DE ÁGUA - FORNECIMENTO E INSTALAÇÃO. AF_12/2014</v>
          </cell>
          <cell r="C3496" t="str">
            <v>UN</v>
          </cell>
          <cell r="D3496">
            <v>25.71</v>
          </cell>
        </row>
        <row r="3497">
          <cell r="A3497">
            <v>89595</v>
          </cell>
          <cell r="B3497" t="str">
            <v>ADAPTADOR CURTO COM BOLSA E ROSCA PARA REGISTRO, PVC, SOLDÁVEL, DN 50MM X 1.1/4, INSTALADO EM PRUMADA DE ÁGUA - FORNECIMENTO E INSTALAÇÃO. AF_12/2014</v>
          </cell>
          <cell r="C3497" t="str">
            <v>UN</v>
          </cell>
          <cell r="D3497">
            <v>10.48</v>
          </cell>
        </row>
        <row r="3498">
          <cell r="A3498">
            <v>89596</v>
          </cell>
          <cell r="B3498" t="str">
            <v>ADAPTADOR CURTO COM BOLSA E ROSCA PARA REGISTRO, PVC, SOLDÁVEL, DN 50MM X 1.1/2, INSTALADO EM PRUMADA DE ÁGUA - FORNECIMENTO E INSTALAÇÃO. AF_12/2014</v>
          </cell>
          <cell r="C3498" t="str">
            <v>UN</v>
          </cell>
          <cell r="D3498">
            <v>8</v>
          </cell>
        </row>
        <row r="3499">
          <cell r="A3499">
            <v>89597</v>
          </cell>
          <cell r="B3499" t="str">
            <v>LUVA, PVC, SOLDÁVEL, DN 60MM, INSTALADO EM PRUMADA DE ÁGUA - FORNECIMENTO E INSTALAÇÃO. AF_12/2014</v>
          </cell>
          <cell r="C3499" t="str">
            <v>UN</v>
          </cell>
          <cell r="D3499">
            <v>14.38</v>
          </cell>
        </row>
        <row r="3500">
          <cell r="A3500">
            <v>89598</v>
          </cell>
          <cell r="B3500" t="str">
            <v>LUVA DE CORRER, PVC, SOLDÁVEL, DN 60MM, INSTALADO EM PRUMADA DE ÁGUA   FORNECIMENTO E INSTALAÇÃO. AF_12/2014</v>
          </cell>
          <cell r="C3500" t="str">
            <v>UN</v>
          </cell>
          <cell r="D3500">
            <v>35.380000000000003</v>
          </cell>
        </row>
        <row r="3501">
          <cell r="A3501">
            <v>89599</v>
          </cell>
          <cell r="B3501" t="str">
            <v>LUVA SIMPLES, PVC, SERIE R, ÁGUA PLUVIAL, DN 75 MM, JUNTA ELÁSTICA, FORNECIDO E INSTALADO EM CONDUTORES VERTICAIS DE ÁGUAS PLUVIAIS. AF_12/2014</v>
          </cell>
          <cell r="C3501" t="str">
            <v>UN</v>
          </cell>
          <cell r="D3501">
            <v>11.69</v>
          </cell>
        </row>
        <row r="3502">
          <cell r="A3502">
            <v>89600</v>
          </cell>
          <cell r="B3502" t="str">
            <v>LUVA DE CORRER, PVC, SERIE R, ÁGUA PLUVIAL, DN 75 MM, JUNTA ELÁSTICA, FORNECIDO E INSTALADO EM CONDUTORES VERTICAIS DE ÁGUAS PLUVIAIS. AF_12/2014</v>
          </cell>
          <cell r="C3502" t="str">
            <v>UN</v>
          </cell>
          <cell r="D3502">
            <v>12.63</v>
          </cell>
        </row>
        <row r="3503">
          <cell r="A3503">
            <v>89605</v>
          </cell>
          <cell r="B3503" t="str">
            <v>LUVA DE REDUÇÃO, PVC, SOLDÁVEL, DN 60MM X 50MM, INSTALADO EM PRUMADA DE ÁGUA - FORNECIMENTO E INSTALAÇÃO. AF_12/2014</v>
          </cell>
          <cell r="C3503" t="str">
            <v>UN</v>
          </cell>
          <cell r="D3503">
            <v>14.07</v>
          </cell>
        </row>
        <row r="3504">
          <cell r="A3504">
            <v>89609</v>
          </cell>
          <cell r="B3504" t="str">
            <v>UNIÃO, PVC, SOLDÁVEL, DN 60MM, INSTALADO EM PRUMADA DE ÁGUA - FORNECIMENTO E INSTALAÇÃO. AF_12/2014</v>
          </cell>
          <cell r="C3504" t="str">
            <v>UN</v>
          </cell>
          <cell r="D3504">
            <v>58.37</v>
          </cell>
        </row>
        <row r="3505">
          <cell r="A3505">
            <v>89610</v>
          </cell>
          <cell r="B3505" t="str">
            <v>ADAPTADOR CURTO COM BOLSA E ROSCA PARA REGISTRO, PVC, SOLDÁVEL, DN 60MM X 2, INSTALADO EM PRUMADA DE ÁGUA - FORNECIMENTO E INSTALAÇÃO. AF_12/2014</v>
          </cell>
          <cell r="C3505" t="str">
            <v>UN</v>
          </cell>
          <cell r="D3505">
            <v>14.39</v>
          </cell>
        </row>
        <row r="3506">
          <cell r="A3506">
            <v>89611</v>
          </cell>
          <cell r="B3506" t="str">
            <v>LUVA, PVC, SOLDÁVEL, DN 75MM, INSTALADO EM PRUMADA DE ÁGUA - FORNECIMENTO E INSTALAÇÃO. AF_12/2014</v>
          </cell>
          <cell r="C3506" t="str">
            <v>UN</v>
          </cell>
          <cell r="D3506">
            <v>23.3</v>
          </cell>
        </row>
        <row r="3507">
          <cell r="A3507">
            <v>89612</v>
          </cell>
          <cell r="B3507" t="str">
            <v>UNIÃO, PVC, SOLDÁVEL, DN 75MM, INSTALADO EM PRUMADA DE ÁGUA - FORNECIMENTO E INSTALAÇÃO. AF_12/2014</v>
          </cell>
          <cell r="C3507" t="str">
            <v>UN</v>
          </cell>
          <cell r="D3507">
            <v>114.31</v>
          </cell>
        </row>
        <row r="3508">
          <cell r="A3508">
            <v>89613</v>
          </cell>
          <cell r="B3508" t="str">
            <v>ADAPTADOR CURTO COM BOLSA E ROSCA PARA REGISTRO, PVC, SOLDÁVEL, DN 75MM X 2.1/2, INSTALADO EM PRUMADA DE ÁGUA - FORNECIMENTO E INSTALAÇÃO. AF_12/2014</v>
          </cell>
          <cell r="C3508" t="str">
            <v>UN</v>
          </cell>
          <cell r="D3508">
            <v>21.02</v>
          </cell>
        </row>
        <row r="3509">
          <cell r="A3509">
            <v>89614</v>
          </cell>
          <cell r="B3509" t="str">
            <v>LUVA, PVC, SOLDÁVEL, DN 85MM, INSTALADO EM PRUMADA DE ÁGUA - FORNECIMENTO E INSTALAÇÃO. AF_12/2014</v>
          </cell>
          <cell r="C3509" t="str">
            <v>UN</v>
          </cell>
          <cell r="D3509">
            <v>42.68</v>
          </cell>
        </row>
        <row r="3510">
          <cell r="A3510">
            <v>89615</v>
          </cell>
          <cell r="B3510" t="str">
            <v>UNIÃO, PVC, SOLDÁVEL, DN 85MM, INSTALADO EM PRUMADA DE ÁGUA - FORNECIMENTO E INSTALAÇÃO. AF_12/2014</v>
          </cell>
          <cell r="C3510" t="str">
            <v>UN</v>
          </cell>
          <cell r="D3510">
            <v>172.13</v>
          </cell>
        </row>
        <row r="3511">
          <cell r="A3511">
            <v>89616</v>
          </cell>
          <cell r="B3511" t="str">
            <v>ADAPTADOR CURTO COM BOLSA E ROSCA PARA REGISTRO, PVC, SOLDÁVEL, DN 85MM X 3, INSTALADO EM PRUMADA DE ÁGUA - FORNECIMENTO E INSTALAÇÃO. AF_12/2014</v>
          </cell>
          <cell r="C3511" t="str">
            <v>UN</v>
          </cell>
          <cell r="D3511">
            <v>29.91</v>
          </cell>
        </row>
        <row r="3512">
          <cell r="A3512">
            <v>89617</v>
          </cell>
          <cell r="B3512" t="str">
            <v>TE, PVC, SOLDÁVEL, DN 25MM, INSTALADO EM PRUMADA DE ÁGUA - FORNECIMENTO E INSTALAÇÃO. AF_12/2014</v>
          </cell>
          <cell r="C3512" t="str">
            <v>UN</v>
          </cell>
          <cell r="D3512">
            <v>5.12</v>
          </cell>
        </row>
        <row r="3513">
          <cell r="A3513">
            <v>89618</v>
          </cell>
          <cell r="B3513" t="str">
            <v>TÊ COM BUCHA DE LATÃO NA BOLSA CENTRAL, PVC, SOLDÁVEL, DN 25MM X 1/2, INSTALADO EM PRUMADA DE ÁGUA - FORNECIMENTO E INSTALAÇÃO. AF_12/2014</v>
          </cell>
          <cell r="C3513" t="str">
            <v>UN</v>
          </cell>
          <cell r="D3513">
            <v>10.19</v>
          </cell>
        </row>
        <row r="3514">
          <cell r="A3514">
            <v>89619</v>
          </cell>
          <cell r="B3514" t="str">
            <v>TÊ DE REDUÇÃO, PVC, SOLDÁVEL, DN 25MM X 20MM, INSTALADO EM PRUMADA DE ÁGUA - FORNECIMENTO E INSTALAÇÃO. AF_12/2014</v>
          </cell>
          <cell r="C3514" t="str">
            <v>UN</v>
          </cell>
          <cell r="D3514">
            <v>6.47</v>
          </cell>
        </row>
        <row r="3515">
          <cell r="A3515">
            <v>89620</v>
          </cell>
          <cell r="B3515" t="str">
            <v>TE, PVC, SOLDÁVEL, DN 32MM, INSTALADO EM PRUMADA DE ÁGUA - FORNECIMENTO E INSTALAÇÃO. AF_12/2014</v>
          </cell>
          <cell r="C3515" t="str">
            <v>UN</v>
          </cell>
          <cell r="D3515">
            <v>8.2100000000000009</v>
          </cell>
        </row>
        <row r="3516">
          <cell r="A3516">
            <v>89621</v>
          </cell>
          <cell r="B3516" t="str">
            <v>TÊ COM BUCHA DE LATÃO NA BOLSA CENTRAL, PVC, SOLDÁVEL, DN 32MM X 3/4, INSTALADO EM PRUMADA DE ÁGUA - FORNECIMENTO E INSTALAÇÃO. AF_12/2014</v>
          </cell>
          <cell r="C3516" t="str">
            <v>UN</v>
          </cell>
          <cell r="D3516">
            <v>16.8</v>
          </cell>
        </row>
        <row r="3517">
          <cell r="A3517">
            <v>89622</v>
          </cell>
          <cell r="B3517" t="str">
            <v>TÊ DE REDUÇÃO, PVC, SOLDÁVEL, DN 32MM X 25MM, INSTALADO EM PRUMADA DE ÁGUA - FORNECIMENTO E INSTALAÇÃO. AF_12/2014</v>
          </cell>
          <cell r="C3517" t="str">
            <v>UN</v>
          </cell>
          <cell r="D3517">
            <v>9.5500000000000007</v>
          </cell>
        </row>
        <row r="3518">
          <cell r="A3518">
            <v>89623</v>
          </cell>
          <cell r="B3518" t="str">
            <v>TE, PVC, SOLDÁVEL, DN 40MM, INSTALADO EM PRUMADA DE ÁGUA - FORNECIMENTO E INSTALAÇÃO. AF_12/2014</v>
          </cell>
          <cell r="C3518" t="str">
            <v>UN</v>
          </cell>
          <cell r="D3518">
            <v>12.75</v>
          </cell>
        </row>
        <row r="3519">
          <cell r="A3519">
            <v>89624</v>
          </cell>
          <cell r="B3519" t="str">
            <v>TÊ DE REDUÇÃO, PVC, SOLDÁVEL, DN 40MM X 32MM, INSTALADO EM PRUMADA DE ÁGUA - FORNECIMENTO E INSTALAÇÃO. AF_12/2014</v>
          </cell>
          <cell r="C3519" t="str">
            <v>UN</v>
          </cell>
          <cell r="D3519">
            <v>13.42</v>
          </cell>
        </row>
        <row r="3520">
          <cell r="A3520">
            <v>89625</v>
          </cell>
          <cell r="B3520" t="str">
            <v>TE, PVC, SOLDÁVEL, DN 50MM, INSTALADO EM PRUMADA DE ÁGUA - FORNECIMENTO E INSTALAÇÃO. AF_12/2014</v>
          </cell>
          <cell r="C3520" t="str">
            <v>UN</v>
          </cell>
          <cell r="D3520">
            <v>15.57</v>
          </cell>
        </row>
        <row r="3521">
          <cell r="A3521">
            <v>89626</v>
          </cell>
          <cell r="B3521" t="str">
            <v>TÊ DE REDUÇÃO, PVC, SOLDÁVEL, DN 50MM X 40MM, INSTALADO EM PRUMADA DE ÁGUA - FORNECIMENTO E INSTALAÇÃO. AF_12/2014</v>
          </cell>
          <cell r="C3521" t="str">
            <v>UN</v>
          </cell>
          <cell r="D3521">
            <v>20.79</v>
          </cell>
        </row>
        <row r="3522">
          <cell r="A3522">
            <v>89627</v>
          </cell>
          <cell r="B3522" t="str">
            <v>TÊ DE REDUÇÃO, PVC, SOLDÁVEL, DN 50MM X 25MM, INSTALADO EM PRUMADA DE ÁGUA - FORNECIMENTO E INSTALAÇÃO. AF_12/2014</v>
          </cell>
          <cell r="C3522" t="str">
            <v>UN</v>
          </cell>
          <cell r="D3522">
            <v>14.79</v>
          </cell>
        </row>
        <row r="3523">
          <cell r="A3523">
            <v>89628</v>
          </cell>
          <cell r="B3523" t="str">
            <v>TE, PVC, SOLDÁVEL, DN 60MM, INSTALADO EM PRUMADA DE ÁGUA - FORNECIMENTO E INSTALAÇÃO. AF_12/2014</v>
          </cell>
          <cell r="C3523" t="str">
            <v>UN</v>
          </cell>
          <cell r="D3523">
            <v>31.2</v>
          </cell>
        </row>
        <row r="3524">
          <cell r="A3524">
            <v>89629</v>
          </cell>
          <cell r="B3524" t="str">
            <v>TE, PVC, SOLDÁVEL, DN 75MM, INSTALADO EM PRUMADA DE ÁGUA - FORNECIMENTO E INSTALAÇÃO. AF_12/2014</v>
          </cell>
          <cell r="C3524" t="str">
            <v>UN</v>
          </cell>
          <cell r="D3524">
            <v>56.31</v>
          </cell>
        </row>
        <row r="3525">
          <cell r="A3525">
            <v>89630</v>
          </cell>
          <cell r="B3525" t="str">
            <v>TE DE REDUÇÃO, PVC, SOLDÁVEL, DN 75MM X 50MM, INSTALADO EM PRUMADA DE ÁGUA - FORNECIMENTO E INSTALAÇÃO. AF_12/2014</v>
          </cell>
          <cell r="C3525" t="str">
            <v>UN</v>
          </cell>
          <cell r="D3525">
            <v>49.21</v>
          </cell>
        </row>
        <row r="3526">
          <cell r="A3526">
            <v>89631</v>
          </cell>
          <cell r="B3526" t="str">
            <v>TE, PVC, SOLDÁVEL, DN 85MM, INSTALADO EM PRUMADA DE ÁGUA - FORNECIMENTO E INSTALAÇÃO. AF_12/2014</v>
          </cell>
          <cell r="C3526" t="str">
            <v>UN</v>
          </cell>
          <cell r="D3526">
            <v>84.5</v>
          </cell>
        </row>
        <row r="3527">
          <cell r="A3527">
            <v>89632</v>
          </cell>
          <cell r="B3527" t="str">
            <v>TE DE REDUÇÃO, PVC, SOLDÁVEL, DN 85MM X 60MM, INSTALADO EM PRUMADA DE ÁGUA - FORNECIMENTO E INSTALAÇÃO. AF_12/2014</v>
          </cell>
          <cell r="C3527" t="str">
            <v>UN</v>
          </cell>
          <cell r="D3527">
            <v>69.97</v>
          </cell>
        </row>
        <row r="3528">
          <cell r="A3528">
            <v>89637</v>
          </cell>
          <cell r="B3528" t="str">
            <v>JOELHO 90 GRAUS, CPVC, SOLDÁVEL, DN 15MM, INSTALADO EM RAMAL OU SUB-RAMAL DE ÁGUA - FORNECIMENTO E INSTALAÇÃO. AF_12/2014</v>
          </cell>
          <cell r="C3528" t="str">
            <v>UN</v>
          </cell>
          <cell r="D3528">
            <v>8.1</v>
          </cell>
        </row>
        <row r="3529">
          <cell r="A3529">
            <v>89638</v>
          </cell>
          <cell r="B3529" t="str">
            <v>JOELHO 45 GRAUS, CPVC, SOLDÁVEL, DN 15MM, INSTALADO EM RAMAL OU SUB-RAMAL DE ÁGUA - FORNECIMENTO E INSTALAÇÃO. AF_12/2014</v>
          </cell>
          <cell r="C3529" t="str">
            <v>UN</v>
          </cell>
          <cell r="D3529">
            <v>9.14</v>
          </cell>
        </row>
        <row r="3530">
          <cell r="A3530">
            <v>89639</v>
          </cell>
          <cell r="B3530" t="str">
            <v>CURVA 90 GRAUS, CPVC, SOLDÁVEL, DN 15MM, INSTALADO EM RAMAL OU SUB-RAMAL DE ÁGUA - FORNECIMENTO E INSTALAÇÃO. AF_12/2014</v>
          </cell>
          <cell r="C3530" t="str">
            <v>UN</v>
          </cell>
          <cell r="D3530">
            <v>9.5500000000000007</v>
          </cell>
        </row>
        <row r="3531">
          <cell r="A3531">
            <v>89640</v>
          </cell>
          <cell r="B3531" t="str">
            <v>JOELHO DE TRANSIÇÃO, 90 GRAUS, CPVC, SOLDÁVEL, DN 15MM X 1/2", INSTALADO EM RAMAL OU SUB-RAMAL DE ÁGUA - FORNECIMENTO E INSTALAÇÃO. AF_12/2014</v>
          </cell>
          <cell r="C3531" t="str">
            <v>UN</v>
          </cell>
          <cell r="D3531">
            <v>15.75</v>
          </cell>
        </row>
        <row r="3532">
          <cell r="A3532">
            <v>89641</v>
          </cell>
          <cell r="B3532" t="str">
            <v>JOELHO 90 GRAUS, CPVC, SOLDÁVEL, DN 22MM, INSTALADO EM RAMAL OU SUB-RAMAL DE ÁGUA - FORNECIMENTO E INSTALAÇÃO. AF_12/2014</v>
          </cell>
          <cell r="C3532" t="str">
            <v>UN</v>
          </cell>
          <cell r="D3532">
            <v>11.53</v>
          </cell>
        </row>
        <row r="3533">
          <cell r="A3533">
            <v>89642</v>
          </cell>
          <cell r="B3533" t="str">
            <v>JOELHO 45 GRAUS, CPVC, SOLDÁVEL, DN 22MM, INSTALADO EM RAMAL OU SUB-RAMAL DE ÁGUA - FORNECIMENTO E INSTALAÇÃO. AF_12/2014</v>
          </cell>
          <cell r="C3533" t="str">
            <v>UN</v>
          </cell>
          <cell r="D3533">
            <v>13.53</v>
          </cell>
        </row>
        <row r="3534">
          <cell r="A3534">
            <v>89643</v>
          </cell>
          <cell r="B3534" t="str">
            <v>CURVA 90 GRAUS, CPVC, SOLDÁVEL, DN 22MM, INSTALADO EM RAMAL OU SUB-RAMAL DE ÁGUA - FORNECIMENTO E INSTALAÇÃO. AF_12/2014</v>
          </cell>
          <cell r="C3534" t="str">
            <v>UN</v>
          </cell>
          <cell r="D3534">
            <v>14.2</v>
          </cell>
        </row>
        <row r="3535">
          <cell r="A3535">
            <v>89644</v>
          </cell>
          <cell r="B3535" t="str">
            <v>JOELHO DE TRANSIÇÃO, 90 GRAUS, CPVC, SOLDÁVEL, DN 22MM X 1/2", INSTALADO EM RAMAL OU SUB-RAMAL DE ÁGUA - FORNECIMENTO E INSTALAÇÃO. AF_12/2014</v>
          </cell>
          <cell r="C3535" t="str">
            <v>UN</v>
          </cell>
          <cell r="D3535">
            <v>23.66</v>
          </cell>
        </row>
        <row r="3536">
          <cell r="A3536">
            <v>89645</v>
          </cell>
          <cell r="B3536" t="str">
            <v>JOELHO DE TRANSIÇÃO, 90 GRAUS, CPVC, SOLDÁVEL, DN 22MM X 3/4", INSTALADO EM RAMAL OU SUB-RAMAL DE ÁGUA - FORNECIMENTO E INSTALAÇÃO. AF_12/2014</v>
          </cell>
          <cell r="C3536" t="str">
            <v>UN</v>
          </cell>
          <cell r="D3536">
            <v>26.89</v>
          </cell>
        </row>
        <row r="3537">
          <cell r="A3537">
            <v>89646</v>
          </cell>
          <cell r="B3537" t="str">
            <v>JOELHO 90 GRAUS, CPVC, SOLDÁVEL, DN 28MM, INSTALADO EM RAMAL OU SUB-RAMAL DE ÁGUA - FORNECIMENTO E INSTALAÇÃO. AF_12/2014</v>
          </cell>
          <cell r="C3537" t="str">
            <v>UN</v>
          </cell>
          <cell r="D3537">
            <v>18.55</v>
          </cell>
        </row>
        <row r="3538">
          <cell r="A3538">
            <v>89647</v>
          </cell>
          <cell r="B3538" t="str">
            <v>JOELHO 45 GRAUS, CPVC, SOLDÁVEL, DN 28MM, INSTALADO EM RAMAL OU SUB-RAMAL DE ÁGUA  FORNECIMENTO E INSTALAÇÃO. AF_12/2014</v>
          </cell>
          <cell r="C3538" t="str">
            <v>UN</v>
          </cell>
          <cell r="D3538">
            <v>18.079999999999998</v>
          </cell>
        </row>
        <row r="3539">
          <cell r="A3539">
            <v>89648</v>
          </cell>
          <cell r="B3539" t="str">
            <v>CURVA 90 GRAUS, CPVC, SOLDÁVEL, DN 28MM, INSTALADO EM RAMAL OU SUB-RAMAL DE ÁGUA  FORNECIMENTO E INSTALAÇÃO. AF_12/2014</v>
          </cell>
          <cell r="C3539" t="str">
            <v>UN</v>
          </cell>
          <cell r="D3539">
            <v>20.23</v>
          </cell>
        </row>
        <row r="3540">
          <cell r="A3540">
            <v>89649</v>
          </cell>
          <cell r="B3540" t="str">
            <v>JOELHO 90 GRAUS, CPVC, SOLDÁVEL, DN 35MM, INSTALADO EM RAMAL OU SUB-RAMAL DE ÁGUA  FORNECIMENTO E INSTALAÇÃO. AF_12/2014</v>
          </cell>
          <cell r="C3540" t="str">
            <v>UN</v>
          </cell>
          <cell r="D3540">
            <v>27.96</v>
          </cell>
        </row>
        <row r="3541">
          <cell r="A3541">
            <v>89650</v>
          </cell>
          <cell r="B3541" t="str">
            <v>JOELHO 45 GRAUS, CPVC, SOLDÁVEL, DN 35MM, INSTALADO EM RAMAL OU SUB-RAMAL DE ÁGUA  FORNECIMENTO E INSTALAÇÃO. AF_12/2014</v>
          </cell>
          <cell r="C3541" t="str">
            <v>UN</v>
          </cell>
          <cell r="D3541">
            <v>27.96</v>
          </cell>
        </row>
        <row r="3542">
          <cell r="A3542">
            <v>89651</v>
          </cell>
          <cell r="B3542" t="str">
            <v>LUVA, CPVC, SOLDÁVEL, DN 15MM, INSTALADO EM RAMAL OU SUB-RAMAL DE ÁGUA - FORNECIMENTO E INSTALAÇÃO. AF_12/2014</v>
          </cell>
          <cell r="C3542" t="str">
            <v>UN</v>
          </cell>
          <cell r="D3542">
            <v>5.5</v>
          </cell>
        </row>
        <row r="3543">
          <cell r="A3543">
            <v>89652</v>
          </cell>
          <cell r="B3543" t="str">
            <v>LUVA DE CORRER, CPVC, SOLDÁVEL, DN 15MM, INSTALADO EM RAMAL OU SUB-RAMAL DE ÁGUA  FORNECIMENTO E INSTALAÇÃO. AF_12/2014</v>
          </cell>
          <cell r="C3543" t="str">
            <v>UN</v>
          </cell>
          <cell r="D3543">
            <v>10.08</v>
          </cell>
        </row>
        <row r="3544">
          <cell r="A3544">
            <v>89653</v>
          </cell>
          <cell r="B3544" t="str">
            <v>LUVA DE TRANSIÇÃO, CPVC, SOLDÁVEL, DN15MM X 1/2", INSTALADO EM RAMAL OU SUB-RAMAL DE ÁGUA - FORNECIMENTO E INSTALAÇÃO. AF_12/2014</v>
          </cell>
          <cell r="C3544" t="str">
            <v>UN</v>
          </cell>
          <cell r="D3544">
            <v>17.13</v>
          </cell>
        </row>
        <row r="3545">
          <cell r="A3545">
            <v>89654</v>
          </cell>
          <cell r="B3545" t="str">
            <v>UNIÃO, CPVC, SOLDÁVEL, DN15MM, INSTALADO EM RAMAL OU SUB-RAMAL DE ÁGUA  FORNECIMENTO E INSTALAÇÃO. AF_12/2014</v>
          </cell>
          <cell r="C3545" t="str">
            <v>UN</v>
          </cell>
          <cell r="D3545">
            <v>16.670000000000002</v>
          </cell>
        </row>
        <row r="3546">
          <cell r="A3546">
            <v>89655</v>
          </cell>
          <cell r="B3546" t="str">
            <v>CONECTOR, CPVC, SOLDÁVEL, DN 15MM X 1/2, INSTALADO EM RAMAL OU SUB-RAMAL DE ÁGUA  FORNECIMENTO E INSTALAÇÃO. AF_12/2014</v>
          </cell>
          <cell r="C3546" t="str">
            <v>UN</v>
          </cell>
          <cell r="D3546">
            <v>25.28</v>
          </cell>
        </row>
        <row r="3547">
          <cell r="A3547">
            <v>89656</v>
          </cell>
          <cell r="B3547" t="str">
            <v>ADAPTADOR, CPVC, SOLDÁVEL, DN15MM, INSTALADO EM RAMAL OU SUB-RAMAL DE ÁGUA  FORNECIMENTO E INSTALAÇÃO. AF_12/2014</v>
          </cell>
          <cell r="C3547" t="str">
            <v>UN</v>
          </cell>
          <cell r="D3547">
            <v>10.81</v>
          </cell>
        </row>
        <row r="3548">
          <cell r="A3548">
            <v>89657</v>
          </cell>
          <cell r="B3548" t="str">
            <v>CURVA DE TRANSPOSIÇÃO, CPVC, SOLDÁVEL, DN15MM, INSTALADO EM RAMAL OU SUB-RAMAL DE ÁGUA  FORNECIMENTO E INSTALAÇÃO. AF_12/2014</v>
          </cell>
          <cell r="C3548" t="str">
            <v>UN</v>
          </cell>
          <cell r="D3548">
            <v>11.04</v>
          </cell>
        </row>
        <row r="3549">
          <cell r="A3549">
            <v>89658</v>
          </cell>
          <cell r="B3549" t="str">
            <v>LUVA, CPVC, SOLDÁVEL, DN 22MM, INSTALADO EM RAMAL OU SUB-RAMAL DE ÁGUA  FORNECIMENTO E INSTALAÇÃO. AF_12/2014</v>
          </cell>
          <cell r="C3549" t="str">
            <v>UN</v>
          </cell>
          <cell r="D3549">
            <v>7.61</v>
          </cell>
        </row>
        <row r="3550">
          <cell r="A3550">
            <v>89659</v>
          </cell>
          <cell r="B3550" t="str">
            <v>LUVA DE CORRER, CPVC, SOLDÁVEL, DN 22MM, INSTALADO EM RAMAL OU SUB-RAMAL DE ÁGUA  FORNECIMENTO E INSTALAÇÃO. AF_12/2014</v>
          </cell>
          <cell r="C3550" t="str">
            <v>UN</v>
          </cell>
          <cell r="D3550">
            <v>14.63</v>
          </cell>
        </row>
        <row r="3551">
          <cell r="A3551">
            <v>89660</v>
          </cell>
          <cell r="B3551" t="str">
            <v>LUVA DE TRANSIÇÃO, CPVC, SOLDÁVEL, DN22MM X 25MM, INSTALADO EM RAMAL OU SUB-RAMAL DE ÁGUA - FORNECIMENTO E INSTALAÇÃO. AF_12/2014</v>
          </cell>
          <cell r="C3551" t="str">
            <v>UN</v>
          </cell>
          <cell r="D3551">
            <v>7</v>
          </cell>
        </row>
        <row r="3552">
          <cell r="A3552">
            <v>89661</v>
          </cell>
          <cell r="B3552" t="str">
            <v>UNIÃO, CPVC, SOLDÁVEL, DN22MM, INSTALADO EM RAMAL OU SUB-RAMAL DE ÁGUA  FORNECIMENTO E INSTALAÇÃO. AF_12/2014</v>
          </cell>
          <cell r="C3552" t="str">
            <v>UN</v>
          </cell>
          <cell r="D3552">
            <v>19.97</v>
          </cell>
        </row>
        <row r="3553">
          <cell r="A3553">
            <v>89662</v>
          </cell>
          <cell r="B3553" t="str">
            <v>CONECTOR, CPVC, SOLDÁVEL, DN 22MM X 1/2, INSTALADO EM RAMAL OU SUB-RAMAL DE ÁGUA  FORNECIMENTO E INSTALAÇÃO. AF_12/2014</v>
          </cell>
          <cell r="C3553" t="str">
            <v>UN</v>
          </cell>
          <cell r="D3553">
            <v>31.4</v>
          </cell>
        </row>
        <row r="3554">
          <cell r="A3554">
            <v>89663</v>
          </cell>
          <cell r="B3554" t="str">
            <v>ADAPTADOR, CPVC, SOLDÁVEL, DN22MM, INSTALADO EM RAMAL OU SUB-RAMAL DE ÁGUA  FORNECIMENTO E INSTALAÇÃO. AF_12/2014</v>
          </cell>
          <cell r="C3554" t="str">
            <v>UN</v>
          </cell>
          <cell r="D3554">
            <v>12.25</v>
          </cell>
        </row>
        <row r="3555">
          <cell r="A3555">
            <v>89664</v>
          </cell>
          <cell r="B3555" t="str">
            <v>CURVA DE TRANSPOSIÇÃO, CPVC, SOLDÁVEL, DN22MM, INSTALADO EM RAMAL OU SUB-RAMAL DE ÁGUA  FORNECIMENTO E INSTALAÇÃO. AF_12/2014</v>
          </cell>
          <cell r="C3555" t="str">
            <v>UN</v>
          </cell>
          <cell r="D3555">
            <v>14.63</v>
          </cell>
        </row>
        <row r="3556">
          <cell r="A3556">
            <v>89665</v>
          </cell>
          <cell r="B3556" t="str">
            <v>REDUÇÃO EXCÊNTRICA, PVC, SERIE R, ÁGUA PLUVIAL, DN 75 X 50 MM, JUNTA ELÁSTICA, FORNECIDO E INSTALADO EM CONDUTORES VERTICAIS DE ÁGUAS PLUVIAIS. AF_12/2014</v>
          </cell>
          <cell r="C3556" t="str">
            <v>UN</v>
          </cell>
          <cell r="D3556">
            <v>9.18</v>
          </cell>
        </row>
        <row r="3557">
          <cell r="A3557">
            <v>89666</v>
          </cell>
          <cell r="B3557" t="str">
            <v>BUCHA DE REDUÇÃO, CPVC, SOLDÁVEL, DN22MM X 15MM, INSTALADO EM RAMAL OU SUB-RAMAL DE ÁGUA  FORNECIMENTO E INSTALAÇÃO. AF_12/2014</v>
          </cell>
          <cell r="C3557" t="str">
            <v>UN</v>
          </cell>
          <cell r="D3557">
            <v>5.95</v>
          </cell>
        </row>
        <row r="3558">
          <cell r="A3558">
            <v>89667</v>
          </cell>
          <cell r="B3558" t="str">
            <v>TÊ DE INSPEÇÃO, PVC, SERIE R, ÁGUA PLUVIAL, DN 75 MM, JUNTA ELÁSTICA, FORNECIDO E INSTALADO EM CONDUTORES VERTICAIS DE ÁGUAS PLUVIAIS. AF_12/2014</v>
          </cell>
          <cell r="C3558" t="str">
            <v>UN</v>
          </cell>
          <cell r="D3558">
            <v>21.97</v>
          </cell>
        </row>
        <row r="3559">
          <cell r="A3559">
            <v>89668</v>
          </cell>
          <cell r="B3559" t="str">
            <v>CONECTOR, CPVC, SOLDÁVEL, DN22MM X 3/4", INSTALADO EM RAMAL OU SUB-RAMAL DE ÁGUA - FORNECIMENTO E INSTALAÇÃO. AF_12/2014</v>
          </cell>
          <cell r="C3559" t="str">
            <v>UN</v>
          </cell>
          <cell r="D3559">
            <v>29.71</v>
          </cell>
        </row>
        <row r="3560">
          <cell r="A3560">
            <v>89669</v>
          </cell>
          <cell r="B3560" t="str">
            <v>LUVA SIMPLES, PVC, SERIE R, ÁGUA PLUVIAL, DN 100 MM, JUNTA ELÁSTICA, FORNECIDO E INSTALADO EM CONDUTORES VERTICAIS DE ÁGUAS PLUVIAIS. AF_12/2014</v>
          </cell>
          <cell r="C3560" t="str">
            <v>UN</v>
          </cell>
          <cell r="D3560">
            <v>14.86</v>
          </cell>
        </row>
        <row r="3561">
          <cell r="A3561">
            <v>89670</v>
          </cell>
          <cell r="B3561" t="str">
            <v>LUVA, CPVC, SOLDÁVEL, DN 28MM, INSTALADO EM RAMAL OU SUB-RAMAL DE ÁGUA  FORNECIMENTO E INSTALAÇÃO. AF_12/2014</v>
          </cell>
          <cell r="C3561" t="str">
            <v>UN</v>
          </cell>
          <cell r="D3561">
            <v>11.61</v>
          </cell>
        </row>
        <row r="3562">
          <cell r="A3562">
            <v>89671</v>
          </cell>
          <cell r="B3562" t="str">
            <v>LUVA DE CORRER, PVC, SERIE R, ÁGUA PLUVIAL, DN 100 MM, JUNTA ELÁSTICA, FORNECIDO E INSTALADO EM CONDUTORES VERTICAIS DE ÁGUAS PLUVIAIS. AF_12/2014</v>
          </cell>
          <cell r="C3562" t="str">
            <v>UN</v>
          </cell>
          <cell r="D3562">
            <v>21.27</v>
          </cell>
        </row>
        <row r="3563">
          <cell r="A3563">
            <v>89672</v>
          </cell>
          <cell r="B3563" t="str">
            <v>LUVA DE CORRER, CPVC, SOLDÁVEL, DN 28MM, INSTALADO EM RAMAL OU SUB-RAMAL DE ÁGUA  FORNECIMENTO E INSTALAÇÃO. AF_12/2014</v>
          </cell>
          <cell r="C3563" t="str">
            <v>UN</v>
          </cell>
          <cell r="D3563">
            <v>19.64</v>
          </cell>
        </row>
        <row r="3564">
          <cell r="A3564">
            <v>89673</v>
          </cell>
          <cell r="B3564" t="str">
            <v>REDUÇÃO EXCÊNTRICA, PVC, SERIE R, ÁGUA PLUVIAL, DN 100 X 75 MM, JUNTA ELÁSTICA, FORNECIDO E INSTALADO EM CONDUTORES VERTICAIS DE ÁGUAS PLUVIAIS. AF_12/2014</v>
          </cell>
          <cell r="C3564" t="str">
            <v>UN</v>
          </cell>
          <cell r="D3564">
            <v>17.059999999999999</v>
          </cell>
        </row>
        <row r="3565">
          <cell r="A3565">
            <v>89674</v>
          </cell>
          <cell r="B3565" t="str">
            <v>UNIÃO, CPVC, SOLDÁVEL, DN28MM, INSTALADO EM RAMAL OU SUB-RAMAL DE ÁGUA  FORNECIMENTO E INSTALAÇÃO. AF_12/2014</v>
          </cell>
          <cell r="C3565" t="str">
            <v>UN</v>
          </cell>
          <cell r="D3565">
            <v>29.88</v>
          </cell>
        </row>
        <row r="3566">
          <cell r="A3566">
            <v>89675</v>
          </cell>
          <cell r="B3566" t="str">
            <v>TÊ DE INSPEÇÃO, PVC, SERIE R, ÁGUA PLUVIAL, DN 100 MM, JUNTA ELÁSTICA, FORNECIDO E INSTALADO EM CONDUTORES VERTICAIS DE ÁGUAS PLUVIAIS. AF_12/2014</v>
          </cell>
          <cell r="C3566" t="str">
            <v>UN</v>
          </cell>
          <cell r="D3566">
            <v>36.549999999999997</v>
          </cell>
        </row>
        <row r="3567">
          <cell r="A3567">
            <v>89676</v>
          </cell>
          <cell r="B3567" t="str">
            <v>CONECTOR, CPVC, SOLDÁVEL, DN 28MM X 1, INSTALADO EM RAMAL OU SUB-RAMAL DE ÁGUA  FORNECIMENTO E INSTALAÇÃO. AF_12/2014</v>
          </cell>
          <cell r="C3567" t="str">
            <v>UN</v>
          </cell>
          <cell r="D3567">
            <v>46.59</v>
          </cell>
        </row>
        <row r="3568">
          <cell r="A3568">
            <v>89677</v>
          </cell>
          <cell r="B3568" t="str">
            <v>LUVA SIMPLES, PVC, SERIE R, ÁGUA PLUVIAL, DN 150 MM, JUNTA ELÁSTICA, FORNECIDO E INSTALADO EM CONDUTORES VERTICAIS DE ÁGUAS PLUVIAIS. AF_12/2014</v>
          </cell>
          <cell r="C3568" t="str">
            <v>UN</v>
          </cell>
          <cell r="D3568">
            <v>42.71</v>
          </cell>
        </row>
        <row r="3569">
          <cell r="A3569">
            <v>89678</v>
          </cell>
          <cell r="B3569" t="str">
            <v>BUCHA DE REDUÇÃO, CPVC, SOLDÁVEL, DN28MM X 22MM, INSTALADO EM RAMAL OU SUB-RAMAL DE ÁGUA  FORNECIMENTO E INSTALAÇÃO. AF_12/2014</v>
          </cell>
          <cell r="C3569" t="str">
            <v>UN</v>
          </cell>
          <cell r="D3569">
            <v>8.0399999999999991</v>
          </cell>
        </row>
        <row r="3570">
          <cell r="A3570">
            <v>89679</v>
          </cell>
          <cell r="B3570" t="str">
            <v>LUVA DE CORRER, PVC, SERIE R, ÁGUA PLUVIAL, DN 150 MM, JUNTA ELÁSTICA, FORNECIDO E INSTALADO EM CONDUTORES VERTICAIS DE ÁGUAS PLUVIAIS. AF_12/2014</v>
          </cell>
          <cell r="C3570" t="str">
            <v>UN</v>
          </cell>
          <cell r="D3570">
            <v>65.59</v>
          </cell>
        </row>
        <row r="3571">
          <cell r="A3571">
            <v>89680</v>
          </cell>
          <cell r="B3571" t="str">
            <v>LUVA, CPVC, SOLDÁVEL, DN 35MM, INSTALADO EM RAMAL OU SUB-RAMAL DE ÁGUA  FORNECIMENTO E INSTALAÇÃO. AF_12/2014</v>
          </cell>
          <cell r="C3571" t="str">
            <v>UN</v>
          </cell>
          <cell r="D3571">
            <v>18.829999999999998</v>
          </cell>
        </row>
        <row r="3572">
          <cell r="A3572">
            <v>89681</v>
          </cell>
          <cell r="B3572" t="str">
            <v>REDUÇÃO EXCÊNTRICA, PVC, SERIE R, ÁGUA PLUVIAL, DN 150 X 100 MM, JUNTA ELÁSTICA, FORNECIDO E INSTALADO EM CONDUTORES VERTICAIS DE ÁGUAS PLUVIAIS. AF_12/2014</v>
          </cell>
          <cell r="C3572" t="str">
            <v>UN</v>
          </cell>
          <cell r="D3572">
            <v>46.76</v>
          </cell>
        </row>
        <row r="3573">
          <cell r="A3573">
            <v>89682</v>
          </cell>
          <cell r="B3573" t="str">
            <v>LUVA DE CORRER, CPVC, SOLDÁVEL, DN 35MM, INSTALADO EM RAMAL OU SUB-RAMAL DE ÁGUA  FORNECIMENTO E INSTALAÇÃO. AF_12/2014</v>
          </cell>
          <cell r="C3573" t="str">
            <v>UN</v>
          </cell>
          <cell r="D3573">
            <v>30.84</v>
          </cell>
        </row>
        <row r="3574">
          <cell r="A3574">
            <v>89684</v>
          </cell>
          <cell r="B3574" t="str">
            <v>UNIÃO, CPVC, SOLDÁVEL, DN35MM, INSTALADO EM RAMAL OU SUB-RAMAL DE ÁGUA  FORNECIMENTO E INSTALAÇÃO. AF_12/2014</v>
          </cell>
          <cell r="C3574" t="str">
            <v>UN</v>
          </cell>
          <cell r="D3574">
            <v>43.72</v>
          </cell>
        </row>
        <row r="3575">
          <cell r="A3575">
            <v>89685</v>
          </cell>
          <cell r="B3575" t="str">
            <v>JUNÇÃO SIMPLES, PVC, SERIE R, ÁGUA PLUVIAL, DN 75 X 75 MM, JUNTA ELÁSTICA, FORNECIDO E INSTALADO EM CONDUTORES VERTICAIS DE ÁGUAS PLUVIAIS. AF_12/2014</v>
          </cell>
          <cell r="C3575" t="str">
            <v>UN</v>
          </cell>
          <cell r="D3575">
            <v>31.08</v>
          </cell>
        </row>
        <row r="3576">
          <cell r="A3576">
            <v>89686</v>
          </cell>
          <cell r="B3576" t="str">
            <v>CONECTOR, CPVC, SOLDÁVEL, DN 35MM X 1 1/4, INSTALADO EM RAMAL OU SUB-RAMAL DE ÁGUA  FORNECIMENTO E INSTALAÇÃO. AF_12/2014</v>
          </cell>
          <cell r="C3576" t="str">
            <v>UN</v>
          </cell>
          <cell r="D3576">
            <v>171.13</v>
          </cell>
        </row>
        <row r="3577">
          <cell r="A3577">
            <v>89687</v>
          </cell>
          <cell r="B3577" t="str">
            <v>TÊ, PVC, SERIE R, ÁGUA PLUVIAL, DN 75 X 75 MM, JUNTA ELÁSTICA, FORNECIDO E INSTALADO EM CONDUTORES VERTICAIS DE ÁGUAS PLUVIAIS. AF_12/2014</v>
          </cell>
          <cell r="C3577" t="str">
            <v>UN</v>
          </cell>
          <cell r="D3577">
            <v>27.02</v>
          </cell>
        </row>
        <row r="3578">
          <cell r="A3578">
            <v>89689</v>
          </cell>
          <cell r="B3578" t="str">
            <v>BUCHA DE REDUÇÃO, CPVC, SOLDÁVEL, DN35MM X 28MM, INSTALADO EM RAMAL OU SUB-RAMAL DE ÁGUA  FORNECIMENTO E INSTALAÇÃO. AF_12/2014</v>
          </cell>
          <cell r="C3578" t="str">
            <v>UN</v>
          </cell>
          <cell r="D3578">
            <v>33.42</v>
          </cell>
        </row>
        <row r="3579">
          <cell r="A3579">
            <v>89690</v>
          </cell>
          <cell r="B3579" t="str">
            <v>JUNÇÃO SIMPLES, PVC, SERIE R, ÁGUA PLUVIAL, DN 100 X 100 MM, JUNTA ELÁSTICA, FORNECIDO E INSTALADO EM CONDUTORES VERTICAIS DE ÁGUAS PLUVIAIS. AF_12/2014</v>
          </cell>
          <cell r="C3579" t="str">
            <v>UN</v>
          </cell>
          <cell r="D3579">
            <v>46.21</v>
          </cell>
        </row>
        <row r="3580">
          <cell r="A3580">
            <v>89691</v>
          </cell>
          <cell r="B3580" t="str">
            <v>TE, CPVC, SOLDÁVEL, DN 15MM, INSTALADO EM RAMAL OU SUB-RAMAL DE ÁGUA - FORNECIMENTO E INSTALAÇÃO. AF_12/2014</v>
          </cell>
          <cell r="C3580" t="str">
            <v>UN</v>
          </cell>
          <cell r="D3580">
            <v>10.34</v>
          </cell>
        </row>
        <row r="3581">
          <cell r="A3581">
            <v>89692</v>
          </cell>
          <cell r="B3581" t="str">
            <v>JUNÇÃO SIMPLES, PVC, SERIE R, ÁGUA PLUVIAL, DN 100 X 75 MM, JUNTA ELÁSTICA, FORNECIDO E INSTALADO EM CONDUTORES VERTICAIS DE ÁGUAS PLUVIAIS. AF_12/2014</v>
          </cell>
          <cell r="C3581" t="str">
            <v>UN</v>
          </cell>
          <cell r="D3581">
            <v>43.75</v>
          </cell>
        </row>
        <row r="3582">
          <cell r="A3582">
            <v>89693</v>
          </cell>
          <cell r="B3582" t="str">
            <v>TÊ, PVC, SERIE R, ÁGUA PLUVIAL, DN 100 X 100 MM, JUNTA ELÁSTICA, FORNECIDO E INSTALADO EM CONDUTORES VERTICAIS DE ÁGUAS PLUVIAIS. AF_12/2014</v>
          </cell>
          <cell r="C3582" t="str">
            <v>UN</v>
          </cell>
          <cell r="D3582">
            <v>42.65</v>
          </cell>
        </row>
        <row r="3583">
          <cell r="A3583">
            <v>89694</v>
          </cell>
          <cell r="B3583" t="str">
            <v>TE DE TRANSIÇÃO, CPVC, SOLDÁVEL, DN 15MM X 1/2, INSTALADO EM RAMAL OU SUB-RAMAL DE ÁGUA  FORNECIMENTO E INSTALAÇÃO. AF_12/2014</v>
          </cell>
          <cell r="C3583" t="str">
            <v>UN</v>
          </cell>
          <cell r="D3583">
            <v>18.2</v>
          </cell>
        </row>
        <row r="3584">
          <cell r="A3584">
            <v>89695</v>
          </cell>
          <cell r="B3584" t="str">
            <v>TÊ MISTURADOR, CPVC, SOLDÁVEL, DN15MM, INSTALADO EM RAMAL OU SUB-RAMAL DE ÁGUA  FORNECIMENTO E INSTALAÇÃO. AF_12/2014</v>
          </cell>
          <cell r="C3584" t="str">
            <v>UN</v>
          </cell>
          <cell r="D3584">
            <v>16.72</v>
          </cell>
        </row>
        <row r="3585">
          <cell r="A3585">
            <v>89696</v>
          </cell>
          <cell r="B3585" t="str">
            <v>TÊ, PVC, SERIE R, ÁGUA PLUVIAL, DN 100 X 75 MM, JUNTA ELÁSTICA, FORNECIDO E INSTALADO EM CONDUTORES VERTICAIS DE ÁGUAS PLUVIAIS. AF_12/2014</v>
          </cell>
          <cell r="C3585" t="str">
            <v>UN</v>
          </cell>
          <cell r="D3585">
            <v>38.92</v>
          </cell>
        </row>
        <row r="3586">
          <cell r="A3586">
            <v>89697</v>
          </cell>
          <cell r="B3586" t="str">
            <v>TE, CPVC, SOLDÁVEL, DN 22MM, INSTALADO EM RAMAL OU SUB-RAMAL DE ÁGUA - FORNECIMENTO E INSTALAÇÃO. AF_12/2014</v>
          </cell>
          <cell r="C3586" t="str">
            <v>UN</v>
          </cell>
          <cell r="D3586">
            <v>12.78</v>
          </cell>
        </row>
        <row r="3587">
          <cell r="A3587">
            <v>89698</v>
          </cell>
          <cell r="B3587" t="str">
            <v>JUNÇÃO SIMPLES, PVC, SERIE R, ÁGUA PLUVIAL, DN 150 X 150 MM, JUNTA ELÁSTICA, FORNECIDO E INSTALADO EM CONDUTORES VERTICAIS DE ÁGUAS PLUVIAIS. AF_12/2014</v>
          </cell>
          <cell r="C3587" t="str">
            <v>UN</v>
          </cell>
          <cell r="D3587">
            <v>136.46</v>
          </cell>
        </row>
        <row r="3588">
          <cell r="A3588">
            <v>89699</v>
          </cell>
          <cell r="B3588" t="str">
            <v>JUNÇÃO SIMPLES, PVC, SERIE R, ÁGUA PLUVIAL, DN 150 X 100 MM, JUNTA ELÁSTICA, FORNECIDO E INSTALADO EM CONDUTORES VERTICAIS DE ÁGUAS PLUVIAIS. AF_12/2014</v>
          </cell>
          <cell r="C3588" t="str">
            <v>UN</v>
          </cell>
          <cell r="D3588">
            <v>115.6</v>
          </cell>
        </row>
        <row r="3589">
          <cell r="A3589">
            <v>89700</v>
          </cell>
          <cell r="B3589" t="str">
            <v>TE DE TRANSIÇÃO, CPVC, SOLDÁVEL, DN 22MM X 1/2, INSTALADO EM RAMAL OU SUB-RAMAL DE ÁGUA  FORNECIMENTO E INSTALAÇÃO. AF_12/2014</v>
          </cell>
          <cell r="C3589" t="str">
            <v>UN</v>
          </cell>
          <cell r="D3589">
            <v>19.510000000000002</v>
          </cell>
        </row>
        <row r="3590">
          <cell r="A3590">
            <v>89701</v>
          </cell>
          <cell r="B3590" t="str">
            <v>TÊ, PVC, SERIE R, ÁGUA PLUVIAL, DN 150 X 150 MM, JUNTA ELÁSTICA, FORNECIDO E INSTALADO EM CONDUTORES VERTICAIS DE ÁGUAS PLUVIAIS. AF_12/2014</v>
          </cell>
          <cell r="C3590" t="str">
            <v>UN</v>
          </cell>
          <cell r="D3590">
            <v>89.4</v>
          </cell>
        </row>
        <row r="3591">
          <cell r="A3591">
            <v>89702</v>
          </cell>
          <cell r="B3591" t="str">
            <v>TÊ MISTURADOR, CPVC, SOLDÁVEL, DN22MM, INSTALADO EM RAMAL OU SUB-RAMAL DE ÁGUA  FORNECIMENTO E INSTALAÇÃO. AF_12/2014</v>
          </cell>
          <cell r="C3591" t="str">
            <v>UN</v>
          </cell>
          <cell r="D3591">
            <v>19.510000000000002</v>
          </cell>
        </row>
        <row r="3592">
          <cell r="A3592">
            <v>89703</v>
          </cell>
          <cell r="B3592" t="str">
            <v>TE MISTURADOR DE TRANSIÇÃO, CPVC, SOLDÁVEL, DN 22MM X 3/4", INSTALADO EM RAMAL OU SUB-RAMAL DE ÁGUA - FORNECIMENTO E INSTALAÇÃO. AF_12/2014</v>
          </cell>
          <cell r="C3592" t="str">
            <v>UN</v>
          </cell>
          <cell r="D3592">
            <v>46.84</v>
          </cell>
        </row>
        <row r="3593">
          <cell r="A3593">
            <v>89704</v>
          </cell>
          <cell r="B3593" t="str">
            <v>TÊ, PVC, SERIE R, ÁGUA PLUVIAL, DN 150 X 100 MM, JUNTA ELÁSTICA, FORNECIDO E INSTALADO EM CONDUTORES VERTICAIS DE ÁGUAS PLUVIAIS. AF_12/2014</v>
          </cell>
          <cell r="C3593" t="str">
            <v>UN</v>
          </cell>
          <cell r="D3593">
            <v>75.569999999999993</v>
          </cell>
        </row>
        <row r="3594">
          <cell r="A3594">
            <v>89705</v>
          </cell>
          <cell r="B3594" t="str">
            <v>TÊ, CPVC, SOLDÁVEL, DN28MM, INSTALADO EM RAMAL OU SUB-RAMAL DE ÁGUA   FORNECIMENTO E INSTALAÇÃO. AF_12/2014</v>
          </cell>
          <cell r="C3594" t="str">
            <v>UN</v>
          </cell>
          <cell r="D3594">
            <v>21.73</v>
          </cell>
        </row>
        <row r="3595">
          <cell r="A3595">
            <v>89706</v>
          </cell>
          <cell r="B3595" t="str">
            <v>TÊ, CPVC, SOLDÁVEL, DN35MM, INSTALADO EM RAMAL OU SUB-RAMAL DE ÁGUA  FORNECIMENTO E INSTALAÇÃO. AF_12/2014</v>
          </cell>
          <cell r="C3595" t="str">
            <v>UN</v>
          </cell>
          <cell r="D3595">
            <v>50.5</v>
          </cell>
        </row>
        <row r="3596">
          <cell r="A3596">
            <v>89718</v>
          </cell>
          <cell r="B3596" t="str">
            <v>TUBO, CPVC, SOLDÁVEL, DN 35MM, INSTALADO EM RAMAL DE DISTRIBUIÇÃO DE ÁGUA   FORNECIMENTO E INSTALAÇÃO. AF_12/2014</v>
          </cell>
          <cell r="C3596" t="str">
            <v>M</v>
          </cell>
          <cell r="D3596">
            <v>32.659999999999997</v>
          </cell>
        </row>
        <row r="3597">
          <cell r="A3597">
            <v>89719</v>
          </cell>
          <cell r="B3597" t="str">
            <v>JOELHO 90 GRAUS, CPVC, SOLDÁVEL, DN 22MM, INSTALADO EM RAMAL DE DISTRIBUIÇÃO DE ÁGUA   FORNECIMENTO E INSTALAÇÃO. AF_12/2014</v>
          </cell>
          <cell r="C3597" t="str">
            <v>UN</v>
          </cell>
          <cell r="D3597">
            <v>9.51</v>
          </cell>
        </row>
        <row r="3598">
          <cell r="A3598">
            <v>89720</v>
          </cell>
          <cell r="B3598" t="str">
            <v>JOELHO 45 GRAUS, CPVC, SOLDÁVEL, DN 22MM, INSTALADO EM RAMAL DE DISTRIBUIÇÃO DE ÁGUA   FORNECIMENTO E INSTALAÇÃO. AF_12/2014</v>
          </cell>
          <cell r="C3598" t="str">
            <v>UN</v>
          </cell>
          <cell r="D3598">
            <v>11.51</v>
          </cell>
        </row>
        <row r="3599">
          <cell r="A3599">
            <v>89721</v>
          </cell>
          <cell r="B3599" t="str">
            <v>CURVA 90 GRAUS, CPVC, SOLDÁVEL, DN 22MM, INSTALADO EM RAMAL DE DISTRIBUIÇÃO DE ÁGUA - FORNECIMENTO E INSTALAÇÃO. AF_12/2014</v>
          </cell>
          <cell r="C3599" t="str">
            <v>UN</v>
          </cell>
          <cell r="D3599">
            <v>12.18</v>
          </cell>
        </row>
        <row r="3600">
          <cell r="A3600">
            <v>89722</v>
          </cell>
          <cell r="B3600" t="str">
            <v>JOELHO DE TRANSIÇÃO, 90 GRAUS, CPVC, SOLDÁVEL, DN 22MM X 1/2", INSTALADO EM RAMAL DE ALIMENTAÇAÕ DE ÁGUA - FORNECIMENTO E INSTALAÇÃO. AF_12/2014</v>
          </cell>
          <cell r="C3600" t="str">
            <v>UN</v>
          </cell>
          <cell r="D3600">
            <v>21.64</v>
          </cell>
        </row>
        <row r="3601">
          <cell r="A3601">
            <v>89723</v>
          </cell>
          <cell r="B3601" t="str">
            <v>JOELHO 90 GRAUS, CPVC, SOLDÁVEL, DN 28MM, INSTALADO EM RAMAL DE DISTRIBUIÇÃO DE ÁGUA   FORNECIMENTO E INSTALAÇÃO. AF_12/2014</v>
          </cell>
          <cell r="C3601" t="str">
            <v>UN</v>
          </cell>
          <cell r="D3601">
            <v>16.2</v>
          </cell>
        </row>
        <row r="3602">
          <cell r="A3602">
            <v>89724</v>
          </cell>
          <cell r="B3602" t="str">
            <v>JOELHO 90 GRAUS, PVC, SERIE NORMAL, ESGOTO PREDIAL, DN 40 MM, JUNTA SOLDÁVEL, FORNECIDO E INSTALADO EM RAMAL DE DESCARGA OU RAMAL DE ESGOTO SANITÁRIO. AF_12/2014</v>
          </cell>
          <cell r="C3602" t="str">
            <v>UN</v>
          </cell>
          <cell r="D3602">
            <v>7.19</v>
          </cell>
        </row>
        <row r="3603">
          <cell r="A3603">
            <v>89725</v>
          </cell>
          <cell r="B3603" t="str">
            <v>JOELHO 45 GRAUS, CPVC, SOLDÁVEL, DN 28MM, INSTALADO EM RAMAL DE DISTRIBUIÇÃO DE ÁGUA   FORNECIMENTO E INSTALAÇÃO. AF_12/2014</v>
          </cell>
          <cell r="C3603" t="str">
            <v>UN</v>
          </cell>
          <cell r="D3603">
            <v>15.73</v>
          </cell>
        </row>
        <row r="3604">
          <cell r="A3604">
            <v>89726</v>
          </cell>
          <cell r="B3604" t="str">
            <v>JOELHO 45 GRAUS, PVC, SERIE NORMAL, ESGOTO PREDIAL, DN 40 MM, JUNTA SOLDÁVEL, FORNECIDO E INSTALADO EM RAMAL DE DESCARGA OU RAMAL DE ESGOTO SANITÁRIO. AF_12/2014</v>
          </cell>
          <cell r="C3604" t="str">
            <v>UN</v>
          </cell>
          <cell r="D3604">
            <v>5.7</v>
          </cell>
        </row>
        <row r="3605">
          <cell r="A3605">
            <v>89727</v>
          </cell>
          <cell r="B3605" t="str">
            <v>CURVA 90 GRAUS, CPVC, SOLDÁVEL, DN 28MM, INSTALADO EM RAMAL DE DISTRIBUIÇÃO DE ÁGUA   FORNECIMENTO E INSTALAÇÃO. AF_12/2014</v>
          </cell>
          <cell r="C3605" t="str">
            <v>UN</v>
          </cell>
          <cell r="D3605">
            <v>17.88</v>
          </cell>
        </row>
        <row r="3606">
          <cell r="A3606">
            <v>89728</v>
          </cell>
          <cell r="B3606" t="str">
            <v>CURVA CURTA 90 GRAUS, PVC, SERIE NORMAL, ESGOTO PREDIAL, DN 40 MM, JUNTA SOLDÁVEL, FORNECIDO E INSTALADO EM RAMAL DE DESCARGA OU RAMAL DE ESGOTO SANITÁRIO. AF_12/2014</v>
          </cell>
          <cell r="C3606" t="str">
            <v>UN</v>
          </cell>
          <cell r="D3606">
            <v>7.56</v>
          </cell>
        </row>
        <row r="3607">
          <cell r="A3607">
            <v>89729</v>
          </cell>
          <cell r="B3607" t="str">
            <v>JOELHO 90 GRAUS, CPVC, SOLDÁVEL, DN 35MM, INSTALADO EM RAMAL DE DISTRIBUIÇÃO DE ÁGUA   FORNECIMENTO E INSTALAÇÃO. AF_12/2014</v>
          </cell>
          <cell r="C3607" t="str">
            <v>UN</v>
          </cell>
          <cell r="D3607">
            <v>25.18</v>
          </cell>
        </row>
        <row r="3608">
          <cell r="A3608">
            <v>89730</v>
          </cell>
          <cell r="B3608" t="str">
            <v>CURVA LONGA 90 GRAUS, PVC, SERIE NORMAL, ESGOTO PREDIAL, DN 40 MM, JUNTA SOLDÁVEL, FORNECIDO E INSTALADO EM RAMAL DE DESCARGA OU RAMAL DE ESGOTO SANITÁRIO. AF_12/2014</v>
          </cell>
          <cell r="C3608" t="str">
            <v>UN</v>
          </cell>
          <cell r="D3608">
            <v>8.0399999999999991</v>
          </cell>
        </row>
        <row r="3609">
          <cell r="A3609">
            <v>89731</v>
          </cell>
          <cell r="B3609" t="str">
            <v>JOELHO 90 GRAUS, PVC, SERIE NORMAL, ESGOTO PREDIAL, DN 50 MM, JUNTA ELÁSTICA, FORNECIDO E INSTALADO EM RAMAL DE DESCARGA OU RAMAL DE ESGOTO SANITÁRIO. AF_12/2014</v>
          </cell>
          <cell r="C3609" t="str">
            <v>UN</v>
          </cell>
          <cell r="D3609">
            <v>8.27</v>
          </cell>
        </row>
        <row r="3610">
          <cell r="A3610">
            <v>89732</v>
          </cell>
          <cell r="B3610" t="str">
            <v>JOELHO 45 GRAUS, PVC, SERIE NORMAL, ESGOTO PREDIAL, DN 50 MM, JUNTA ELÁSTICA, FORNECIDO E INSTALADO EM RAMAL DE DESCARGA OU RAMAL DE ESGOTO SANITÁRIO. AF_12/2014</v>
          </cell>
          <cell r="C3610" t="str">
            <v>UN</v>
          </cell>
          <cell r="D3610">
            <v>8.6199999999999992</v>
          </cell>
        </row>
        <row r="3611">
          <cell r="A3611">
            <v>89733</v>
          </cell>
          <cell r="B3611" t="str">
            <v>CURVA CURTA 90 GRAUS, PVC, SERIE NORMAL, ESGOTO PREDIAL, DN 50 MM, JUNTA ELÁSTICA, FORNECIDO E INSTALADO EM RAMAL DE DESCARGA OU RAMAL DE ESGOTO SANITÁRIO. AF_12/2014</v>
          </cell>
          <cell r="C3611" t="str">
            <v>UN</v>
          </cell>
          <cell r="D3611">
            <v>12.4</v>
          </cell>
        </row>
        <row r="3612">
          <cell r="A3612">
            <v>89734</v>
          </cell>
          <cell r="B3612" t="str">
            <v>JOELHO 45 GRAUS, CPVC, SOLDÁVEL, DN 35MM, INSTALADO EM RAMAL DE DISTRIBUIÇÃO DE ÁGUA   FORNECIMENTO E INSTALAÇÃO. AF_12/2014</v>
          </cell>
          <cell r="C3612" t="str">
            <v>UN</v>
          </cell>
          <cell r="D3612">
            <v>25.18</v>
          </cell>
        </row>
        <row r="3613">
          <cell r="A3613">
            <v>89735</v>
          </cell>
          <cell r="B3613" t="str">
            <v>CURVA LONGA 90 GRAUS, PVC, SERIE NORMAL, ESGOTO PREDIAL, DN 50 MM, JUNTA ELÁSTICA, FORNECIDO E INSTALADO EM RAMAL DE DESCARGA OU RAMAL DE ESGOTO SANITÁRIO. AF_12/2014</v>
          </cell>
          <cell r="C3613" t="str">
            <v>UN</v>
          </cell>
          <cell r="D3613">
            <v>12.98</v>
          </cell>
        </row>
        <row r="3614">
          <cell r="A3614">
            <v>89736</v>
          </cell>
          <cell r="B3614" t="str">
            <v>LUVA, CPVC, SOLDÁVEL, DN 22MM, INSTALADO EM RAMAL DE DISTRIBUIÇÃO DE ÁGUA   FORNECIMENTO E INSTALAÇÃO. AF_12/2014</v>
          </cell>
          <cell r="C3614" t="str">
            <v>UN</v>
          </cell>
          <cell r="D3614">
            <v>6.27</v>
          </cell>
        </row>
        <row r="3615">
          <cell r="A3615">
            <v>89737</v>
          </cell>
          <cell r="B3615" t="str">
            <v>JOELHO 90 GRAUS, PVC, SERIE NORMAL, ESGOTO PREDIAL, DN 75 MM, JUNTA ELÁSTICA, FORNECIDO E INSTALADO EM RAMAL DE DESCARGA OU RAMAL DE ESGOTO SANITÁRIO. AF_12/2014</v>
          </cell>
          <cell r="C3615" t="str">
            <v>UN</v>
          </cell>
          <cell r="D3615">
            <v>13.66</v>
          </cell>
        </row>
        <row r="3616">
          <cell r="A3616">
            <v>89738</v>
          </cell>
          <cell r="B3616" t="str">
            <v>LUVA DE CORRER, CPVC, SOLDÁVEL, DN 22MM, INSTALADO EM RAMAL DE DISTRIBUIÇÃO DE ÁGUA   FORNECIMENTO E INSTALAÇÃO. AF_12/2014</v>
          </cell>
          <cell r="C3616" t="str">
            <v>UN</v>
          </cell>
          <cell r="D3616">
            <v>13.29</v>
          </cell>
        </row>
        <row r="3617">
          <cell r="A3617">
            <v>89739</v>
          </cell>
          <cell r="B3617" t="str">
            <v>JOELHO 45 GRAUS, PVC, SERIE NORMAL, ESGOTO PREDIAL, DN 75 MM, JUNTA ELÁSTICA, FORNECIDO E INSTALADO EM RAMAL DE DESCARGA OU RAMAL DE ESGOTO SANITÁRIO. AF_12/2014</v>
          </cell>
          <cell r="C3617" t="str">
            <v>UN</v>
          </cell>
          <cell r="D3617">
            <v>14.16</v>
          </cell>
        </row>
        <row r="3618">
          <cell r="A3618">
            <v>89740</v>
          </cell>
          <cell r="B3618" t="str">
            <v>LUVA DE TRANSIÇÃO, CPVC, SOLDÁVEL, DN 22MM X 25MM, INSTALADO EM RAMAL DE DISTRIBUIÇÃO DE ÁGUA   FORNECIMENTO E INSTALAÇÃO. AF_12/2014</v>
          </cell>
          <cell r="C3618" t="str">
            <v>UN</v>
          </cell>
          <cell r="D3618">
            <v>5.66</v>
          </cell>
        </row>
        <row r="3619">
          <cell r="A3619">
            <v>89741</v>
          </cell>
          <cell r="B3619" t="str">
            <v>UNIÃO, CPVC, SOLDÁVEL, DN 22MM, INSTALADO EM RAMAL DE DISTRIBUIÇÃO DE ÁGUA   FORNECIMENTO E INSTALAÇÃO. AF_12/2014</v>
          </cell>
          <cell r="C3619" t="str">
            <v>UN</v>
          </cell>
          <cell r="D3619">
            <v>18.63</v>
          </cell>
        </row>
        <row r="3620">
          <cell r="A3620">
            <v>89742</v>
          </cell>
          <cell r="B3620" t="str">
            <v>CURVA CURTA 90 GRAUS, PVC, SERIE NORMAL, ESGOTO PREDIAL, DN 75 MM, JUNTA ELÁSTICA, FORNECIDO E INSTALADO EM RAMAL DE DESCARGA OU RAMAL DE ESGOTO SANITÁRIO. AF_12/2014</v>
          </cell>
          <cell r="C3620" t="str">
            <v>UN</v>
          </cell>
          <cell r="D3620">
            <v>20.82</v>
          </cell>
        </row>
        <row r="3621">
          <cell r="A3621">
            <v>89743</v>
          </cell>
          <cell r="B3621" t="str">
            <v>CURVA LONGA 90 GRAUS, PVC, SERIE NORMAL, ESGOTO PREDIAL, DN 75 MM, JUNTA ELÁSTICA, FORNECIDO E INSTALADO EM RAMAL DE DESCARGA OU RAMAL DE ESGOTO SANITÁRIO. AF_12/2014</v>
          </cell>
          <cell r="C3621" t="str">
            <v>UN</v>
          </cell>
          <cell r="D3621">
            <v>28.01</v>
          </cell>
        </row>
        <row r="3622">
          <cell r="A3622">
            <v>89744</v>
          </cell>
          <cell r="B3622" t="str">
            <v>JOELHO 90 GRAUS, PVC, SERIE NORMAL, ESGOTO PREDIAL, DN 100 MM, JUNTA ELÁSTICA, FORNECIDO E INSTALADO EM RAMAL DE DESCARGA OU RAMAL DE ESGOTO SANITÁRIO. AF_12/2014</v>
          </cell>
          <cell r="C3622" t="str">
            <v>UN</v>
          </cell>
          <cell r="D3622">
            <v>17.84</v>
          </cell>
        </row>
        <row r="3623">
          <cell r="A3623">
            <v>89745</v>
          </cell>
          <cell r="B3623" t="str">
            <v>CONECTOR, CPVC, SOLDÁVEL, DN 22MM X 1/2 , INSTALADO EM RAMAL DE DISTRIBUIÇÃO DE ÁGUA   FORNECIMENTO E INSTALAÇÃO. AF_12/2014</v>
          </cell>
          <cell r="C3623" t="str">
            <v>UN</v>
          </cell>
          <cell r="D3623">
            <v>30.06</v>
          </cell>
        </row>
        <row r="3624">
          <cell r="A3624">
            <v>89746</v>
          </cell>
          <cell r="B3624" t="str">
            <v>JOELHO 45 GRAUS, PVC, SERIE NORMAL, ESGOTO PREDIAL, DN 100 MM, JUNTA ELÁSTICA, FORNECIDO E INSTALADO EM RAMAL DE DESCARGA OU RAMAL DE ESGOTO SANITÁRIO. AF_12/2014</v>
          </cell>
          <cell r="C3624" t="str">
            <v>UN</v>
          </cell>
          <cell r="D3624">
            <v>17.809999999999999</v>
          </cell>
        </row>
        <row r="3625">
          <cell r="A3625">
            <v>89747</v>
          </cell>
          <cell r="B3625" t="str">
            <v>ADAPTADOR, CPVC, SOLDÁVEL, DN 22MM, INSTALADO EM RAMAL DE DISTRIBUIÇÃO DE ÁGUA   FORNECIMENTO E INSTALAÇÃO. AF_12/2014</v>
          </cell>
          <cell r="C3625" t="str">
            <v>UN</v>
          </cell>
          <cell r="D3625">
            <v>10.91</v>
          </cell>
        </row>
        <row r="3626">
          <cell r="A3626">
            <v>89748</v>
          </cell>
          <cell r="B3626" t="str">
            <v>CURVA CURTA 90 GRAUS, PVC, SERIE NORMAL, ESGOTO PREDIAL, DN 100 MM, JUNTA ELÁSTICA, FORNECIDO E INSTALADO EM RAMAL DE DESCARGA OU RAMAL DE ESGOTO SANITÁRIO. AF_12/2014</v>
          </cell>
          <cell r="C3626" t="str">
            <v>UN</v>
          </cell>
          <cell r="D3626">
            <v>25.63</v>
          </cell>
        </row>
        <row r="3627">
          <cell r="A3627">
            <v>89749</v>
          </cell>
          <cell r="B3627" t="str">
            <v>CURVA DE TRANSPOSIÇÃO, CPVC, SOLDÁVEL, DN 22MM, INSTALADO EM RAMAL DE DISTRIBUIÇÃO DE ÁGUA   FORNECIMENTO E INSTALAÇÃO. AF_12/2014</v>
          </cell>
          <cell r="C3627" t="str">
            <v>UN</v>
          </cell>
          <cell r="D3627">
            <v>13.29</v>
          </cell>
        </row>
        <row r="3628">
          <cell r="A3628">
            <v>89750</v>
          </cell>
          <cell r="B3628" t="str">
            <v>CURVA LONGA 90 GRAUS, PVC, SERIE NORMAL, ESGOTO PREDIAL, DN 100 MM, JUNTA ELÁSTICA, FORNECIDO E INSTALADO EM RAMAL DE DESCARGA OU RAMAL DE ESGOTO SANITÁRIO. AF_12/2014</v>
          </cell>
          <cell r="C3628" t="str">
            <v>UN</v>
          </cell>
          <cell r="D3628">
            <v>39.46</v>
          </cell>
        </row>
        <row r="3629">
          <cell r="A3629">
            <v>89751</v>
          </cell>
          <cell r="B3629" t="str">
            <v>BUCHA DE REDUÇÃO, CPVC, SOLDÁVEL, DN 22MM X 15MM, INSTALADO EM RAMAL DE DISTRIBUIÇÃO DE ÁGUA   FORNECIMENTO E INSTALAÇÃO. AF_12/2014</v>
          </cell>
          <cell r="C3629" t="str">
            <v>UN</v>
          </cell>
          <cell r="D3629">
            <v>4.6100000000000003</v>
          </cell>
        </row>
        <row r="3630">
          <cell r="A3630">
            <v>89752</v>
          </cell>
          <cell r="B3630" t="str">
            <v>LUVA SIMPLES, PVC, SERIE NORMAL, ESGOTO PREDIAL, DN 40 MM, JUNTA SOLDÁVEL, FORNECIDO E INSTALADO EM RAMAL DE DESCARGA OU RAMAL DE ESGOTO SANITÁRIO. AF_12/2014</v>
          </cell>
          <cell r="C3630" t="str">
            <v>UN</v>
          </cell>
          <cell r="D3630">
            <v>4.76</v>
          </cell>
        </row>
        <row r="3631">
          <cell r="A3631">
            <v>89753</v>
          </cell>
          <cell r="B3631" t="str">
            <v>LUVA SIMPLES, PVC, SERIE NORMAL, ESGOTO PREDIAL, DN 50 MM, JUNTA ELÁSTICA, FORNECIDO E INSTALADO EM RAMAL DE DESCARGA OU RAMAL DE ESGOTO SANITÁRIO. AF_12/2014</v>
          </cell>
          <cell r="C3631" t="str">
            <v>UN</v>
          </cell>
          <cell r="D3631">
            <v>6.68</v>
          </cell>
        </row>
        <row r="3632">
          <cell r="A3632">
            <v>89754</v>
          </cell>
          <cell r="B3632" t="str">
            <v>LUVA DE CORRER, PVC, SERIE NORMAL, ESGOTO PREDIAL, DN 50 MM, JUNTA ELÁSTICA, FORNECIDO E INSTALADO EM RAMAL DE DESCARGA OU RAMAL DE ESGOTO SANITÁRIO. AF_12/2014</v>
          </cell>
          <cell r="C3632" t="str">
            <v>UN</v>
          </cell>
          <cell r="D3632">
            <v>10.88</v>
          </cell>
        </row>
        <row r="3633">
          <cell r="A3633">
            <v>89755</v>
          </cell>
          <cell r="B3633" t="str">
            <v>LUVA, CPVC, SOLDÁVEL, DN 28MM, INSTALADO EM RAMAL DE DISTRIBUIÇÃO DE ÁGUA   FORNECIMENTO E INSTALAÇÃO. AF_12/2014</v>
          </cell>
          <cell r="C3633" t="str">
            <v>UN</v>
          </cell>
          <cell r="D3633">
            <v>10.06</v>
          </cell>
        </row>
        <row r="3634">
          <cell r="A3634">
            <v>89756</v>
          </cell>
          <cell r="B3634" t="str">
            <v>LUVA DE CORRER, CPVC, SOLDÁVEL, DN 28MM, INSTALADO EM RAMAL DE DISTRIBUIÇÃO DE ÁGUA   FORNECIMENTO E INSTALAÇÃO. AF_12/2014</v>
          </cell>
          <cell r="C3634" t="str">
            <v>UN</v>
          </cell>
          <cell r="D3634">
            <v>18.09</v>
          </cell>
        </row>
        <row r="3635">
          <cell r="A3635">
            <v>89757</v>
          </cell>
          <cell r="B3635" t="str">
            <v>UNIÃO, CPVC, SOLDÁVEL, DN 28MM, INSTALADO EM RAMAL DE DISTRIBUIÇÃO DE ÁGUA   FORNECIMENTO E INSTALAÇÃO. AF_12/2014</v>
          </cell>
          <cell r="C3635" t="str">
            <v>UN</v>
          </cell>
          <cell r="D3635">
            <v>28.33</v>
          </cell>
        </row>
        <row r="3636">
          <cell r="A3636">
            <v>89758</v>
          </cell>
          <cell r="B3636" t="str">
            <v>CONECTOR, CPVC, SOLDÁVEL, DN 28MM X 1 , INSTALADO EM RAMAL DE DISTRIBUIÇÃO DE ÁGUA   FORNECIMENTO E INSTALAÇÃO. AF_12/2014</v>
          </cell>
          <cell r="C3636" t="str">
            <v>UN</v>
          </cell>
          <cell r="D3636">
            <v>45.04</v>
          </cell>
        </row>
        <row r="3637">
          <cell r="A3637">
            <v>89759</v>
          </cell>
          <cell r="B3637" t="str">
            <v>BUCHA DE REDUÇÃO, CPVC, SOLDÁVEL, DN 28MM X 22MM, INSTALADO EM RAMAL DE DISTRIBUIÇÃO DE ÁGUA - FORNECIMENTO E INSTALAÇÃO. AF_12/2014</v>
          </cell>
          <cell r="C3637" t="str">
            <v>UN</v>
          </cell>
          <cell r="D3637">
            <v>6.49</v>
          </cell>
        </row>
        <row r="3638">
          <cell r="A3638">
            <v>89760</v>
          </cell>
          <cell r="B3638" t="str">
            <v>LUVA, CPVC, SOLDÁVEL, DN 35MM, INSTALADO EM RAMAL DE DISTRIBUIÇÃO DE ÁGUA - FORNECIMENTO E INSTALAÇÃO. AF_12/2014</v>
          </cell>
          <cell r="C3638" t="str">
            <v>UN</v>
          </cell>
          <cell r="D3638">
            <v>16.98</v>
          </cell>
        </row>
        <row r="3639">
          <cell r="A3639">
            <v>89761</v>
          </cell>
          <cell r="B3639" t="str">
            <v>LUVA DE CORRER, CPVC, SOLDÁVEL, DN 35MM, INSTALADO EM RAMAL DE DISTRIBUIÇÃO DE ÁGUA - FORNECIMENTO E INSTALAÇÃO. AF_12/2014</v>
          </cell>
          <cell r="C3639" t="str">
            <v>UN</v>
          </cell>
          <cell r="D3639">
            <v>28.99</v>
          </cell>
        </row>
        <row r="3640">
          <cell r="A3640">
            <v>89762</v>
          </cell>
          <cell r="B3640" t="str">
            <v>UNIÃO, CPVC, SOLDÁVEL, DN35MM, INSTALADO EM RAMAL DE DISTRIBUIÇÃO DE ÁGUA - FORNECIMENTO E INSTALAÇÃO. AF_12/2014</v>
          </cell>
          <cell r="C3640" t="str">
            <v>UN</v>
          </cell>
          <cell r="D3640">
            <v>41.87</v>
          </cell>
        </row>
        <row r="3641">
          <cell r="A3641">
            <v>89763</v>
          </cell>
          <cell r="B3641" t="str">
            <v>CONECTOR, CPVC, SOLDÁVEL, DN 35MM X 1 1/4 , INSTALADO EM RAMAL DE DISTRIBUIÇÃO DE ÁGUA - FORNECIMENTO E INSTALAÇÃO. AF_12/2014</v>
          </cell>
          <cell r="C3641" t="str">
            <v>UN</v>
          </cell>
          <cell r="D3641">
            <v>169.28</v>
          </cell>
        </row>
        <row r="3642">
          <cell r="A3642">
            <v>89764</v>
          </cell>
          <cell r="B3642" t="str">
            <v>BUCHA DE REDUÇÃO, CPVC, SOLDÁVEL, DN35MM X 28MM, INSTALADO EM RAMAL DE DISTRIBUIÇÃO DE ÁGUA - FORNECIMENTO E INSTALAÇÃO. AF_12/2014</v>
          </cell>
          <cell r="C3642" t="str">
            <v>UN</v>
          </cell>
          <cell r="D3642">
            <v>31.57</v>
          </cell>
        </row>
        <row r="3643">
          <cell r="A3643">
            <v>89765</v>
          </cell>
          <cell r="B3643" t="str">
            <v>TE, CPVC, SOLDÁVEL, DN 22MM, INSTALADO EM RAMAL DE DISTRIBUIÇÃO DE ÁGUA - FORNECIMENTO E INSTALAÇÃO. AF_12/2014</v>
          </cell>
          <cell r="C3643" t="str">
            <v>UN</v>
          </cell>
          <cell r="D3643">
            <v>12.12</v>
          </cell>
        </row>
        <row r="3644">
          <cell r="A3644">
            <v>89766</v>
          </cell>
          <cell r="B3644" t="str">
            <v>TE DE TRANSIÇÃO, CPVC, SOLDÁVEL, DN 22MM X 1/2 , INSTALADO EM RAMAL DE DISTRIBUIÇÃO DE ÁGUA   FORNECIMENTO E INSTALAÇÃO. AF_12/2014</v>
          </cell>
          <cell r="C3644" t="str">
            <v>UN</v>
          </cell>
          <cell r="D3644">
            <v>18.850000000000001</v>
          </cell>
        </row>
        <row r="3645">
          <cell r="A3645">
            <v>89767</v>
          </cell>
          <cell r="B3645" t="str">
            <v>TÊ MISTURADOR, CPVC, SOLDÁVEL, DN 22MM, INSTALADO EM RAMAL DE DISTRIBUIÇÃO DE ÁGUA - FORNECIMENTO E INSTALAÇÃO. AF_12/2014</v>
          </cell>
          <cell r="C3645" t="str">
            <v>UN</v>
          </cell>
          <cell r="D3645">
            <v>18.850000000000001</v>
          </cell>
        </row>
        <row r="3646">
          <cell r="A3646">
            <v>89768</v>
          </cell>
          <cell r="B3646" t="str">
            <v>TÊ, CPVC, SOLDÁVEL, DN 28MM, INSTALADO EM RAMAL DE DISTRIBUIÇÃO DE ÁGUA - FORNECIMENTO E INSTALAÇÃO. AF_12/2014</v>
          </cell>
          <cell r="C3646" t="str">
            <v>UN</v>
          </cell>
          <cell r="D3646">
            <v>18.59</v>
          </cell>
        </row>
        <row r="3647">
          <cell r="A3647">
            <v>89769</v>
          </cell>
          <cell r="B3647" t="str">
            <v>TÊ, CPVC, SOLDÁVEL, DN35MM, INSTALADO EM RAMAL DE DISTRIBUIÇÃO DE ÁGUA - FORNECIMENTO E INSTALAÇÃO. AF_12/2014</v>
          </cell>
          <cell r="C3647" t="str">
            <v>UN</v>
          </cell>
          <cell r="D3647">
            <v>46.78</v>
          </cell>
        </row>
        <row r="3648">
          <cell r="A3648">
            <v>89772</v>
          </cell>
          <cell r="B3648" t="str">
            <v>TUBO, CPVC, SOLDÁVEL, DN 54MM, INSTALADO EM PRUMADA DE ÁGUA  FORNECIMENTO E INSTALAÇÃO. AF_12/2014</v>
          </cell>
          <cell r="C3648" t="str">
            <v>M</v>
          </cell>
          <cell r="D3648">
            <v>58.51</v>
          </cell>
        </row>
        <row r="3649">
          <cell r="A3649">
            <v>89774</v>
          </cell>
          <cell r="B3649" t="str">
            <v>LUVA SIMPLES, PVC, SERIE NORMAL, ESGOTO PREDIAL, DN 75 MM, JUNTA ELÁSTICA, FORNECIDO E INSTALADO EM RAMAL DE DESCARGA OU RAMAL DE ESGOTO SANITÁRIO. AF_12/2014</v>
          </cell>
          <cell r="C3649" t="str">
            <v>UN</v>
          </cell>
          <cell r="D3649">
            <v>10.88</v>
          </cell>
        </row>
        <row r="3650">
          <cell r="A3650">
            <v>89776</v>
          </cell>
          <cell r="B3650" t="str">
            <v>LUVA DE CORRER, PVC, SERIE NORMAL, ESGOTO PREDIAL, DN 75 MM, JUNTA ELÁSTICA, FORNECIDO E INSTALADO EM RAMAL DE DESCARGA OU RAMAL DE ESGOTO SANITÁRIO. AF_12/2014</v>
          </cell>
          <cell r="C3650" t="str">
            <v>UN</v>
          </cell>
          <cell r="D3650">
            <v>14.12</v>
          </cell>
        </row>
        <row r="3651">
          <cell r="A3651">
            <v>89777</v>
          </cell>
          <cell r="B3651" t="str">
            <v>JOELHO 90 GRAUS, CPVC, SOLDÁVEL, DN 35MM, INSTALADO EM PRUMADA DE ÁGUA  FORNECIMENTO E INSTALAÇÃO. AF_12/2014</v>
          </cell>
          <cell r="C3651" t="str">
            <v>UN</v>
          </cell>
          <cell r="D3651">
            <v>23.91</v>
          </cell>
        </row>
        <row r="3652">
          <cell r="A3652">
            <v>89778</v>
          </cell>
          <cell r="B3652" t="str">
            <v>LUVA SIMPLES, PVC, SERIE NORMAL, ESGOTO PREDIAL, DN 100 MM, JUNTA ELÁSTICA, FORNECIDO E INSTALADO EM RAMAL DE DESCARGA OU RAMAL DE ESGOTO SANITÁRIO. AF_12/2014</v>
          </cell>
          <cell r="C3652" t="str">
            <v>UN</v>
          </cell>
          <cell r="D3652">
            <v>13.81</v>
          </cell>
        </row>
        <row r="3653">
          <cell r="A3653">
            <v>89779</v>
          </cell>
          <cell r="B3653" t="str">
            <v>LUVA DE CORRER, PVC, SERIE NORMAL, ESGOTO PREDIAL, DN 100 MM, JUNTA ELÁSTICA, FORNECIDO E INSTALADO EM RAMAL DE DESCARGA OU RAMAL DE ESGOTO SANITÁRIO. AF_12/2014</v>
          </cell>
          <cell r="C3653" t="str">
            <v>UN</v>
          </cell>
          <cell r="D3653">
            <v>19.82</v>
          </cell>
        </row>
        <row r="3654">
          <cell r="A3654">
            <v>89780</v>
          </cell>
          <cell r="B3654" t="str">
            <v>JOELHO 45 GRAUS, CPVC, SOLDÁVEL, DN 35MM, INSTALADO EM PRUMADA DE ÁGUA - FORNECIMENTO E INSTALAÇÃO. AF_12/2014</v>
          </cell>
          <cell r="C3654" t="str">
            <v>UN</v>
          </cell>
          <cell r="D3654">
            <v>23.91</v>
          </cell>
        </row>
        <row r="3655">
          <cell r="A3655">
            <v>89781</v>
          </cell>
          <cell r="B3655" t="str">
            <v>JOELHO 90 GRAUS, CPVC, SOLDÁVEL, DN 42MM, INSTALADO EM PRUMADA DE ÁGUA  FORNECIMENTO E INSTALAÇÃO. AF_12/2014</v>
          </cell>
          <cell r="C3655" t="str">
            <v>UN</v>
          </cell>
          <cell r="D3655">
            <v>36.17</v>
          </cell>
        </row>
        <row r="3656">
          <cell r="A3656">
            <v>89782</v>
          </cell>
          <cell r="B3656" t="str">
            <v>TE, PVC, SERIE NORMAL, ESGOTO PREDIAL, DN 40 X 40 MM, JUNTA SOLDÁVEL, FORNECIDO E INSTALADO EM RAMAL DE DESCARGA OU RAMAL DE ESGOTO SANITÁRIO. AF_12/2014</v>
          </cell>
          <cell r="C3656" t="str">
            <v>UN</v>
          </cell>
          <cell r="D3656">
            <v>8.86</v>
          </cell>
        </row>
        <row r="3657">
          <cell r="A3657">
            <v>89783</v>
          </cell>
          <cell r="B3657" t="str">
            <v>JUNÇÃO SIMPLES, PVC, SERIE NORMAL, ESGOTO PREDIAL, DN 40 MM, JUNTA SOLDÁVEL, FORNECIDO E INSTALADO EM RAMAL DE DESCARGA OU RAMAL DE ESGOTO SANITÁRIO. AF_12/2014</v>
          </cell>
          <cell r="C3657" t="str">
            <v>UN</v>
          </cell>
          <cell r="D3657">
            <v>9.01</v>
          </cell>
        </row>
        <row r="3658">
          <cell r="A3658">
            <v>89784</v>
          </cell>
          <cell r="B3658" t="str">
            <v>TE, PVC, SERIE NORMAL, ESGOTO PREDIAL, DN 50 X 50 MM, JUNTA ELÁSTICA, FORNECIDO E INSTALADO EM RAMAL DE DESCARGA OU RAMAL DE ESGOTO SANITÁRIO. AF_12/2014</v>
          </cell>
          <cell r="C3658" t="str">
            <v>UN</v>
          </cell>
          <cell r="D3658">
            <v>14.49</v>
          </cell>
        </row>
        <row r="3659">
          <cell r="A3659">
            <v>89785</v>
          </cell>
          <cell r="B3659" t="str">
            <v>JUNÇÃO SIMPLES, PVC, SERIE NORMAL, ESGOTO PREDIAL, DN 50 X 50 MM, JUNTA ELÁSTICA, FORNECIDO E INSTALADO EM RAMAL DE DESCARGA OU RAMAL DE ESGOTO SANITÁRIO. AF_12/2014</v>
          </cell>
          <cell r="C3659" t="str">
            <v>UN</v>
          </cell>
          <cell r="D3659">
            <v>15.49</v>
          </cell>
        </row>
        <row r="3660">
          <cell r="A3660">
            <v>89786</v>
          </cell>
          <cell r="B3660" t="str">
            <v>TE, PVC, SERIE NORMAL, ESGOTO PREDIAL, DN 75 X 75 MM, JUNTA ELÁSTICA, FORNECIDO E INSTALADO EM RAMAL DE DESCARGA OU RAMAL DE ESGOTO SANITÁRIO. AF_12/2014</v>
          </cell>
          <cell r="C3660" t="str">
            <v>UN</v>
          </cell>
          <cell r="D3660">
            <v>23.27</v>
          </cell>
        </row>
        <row r="3661">
          <cell r="A3661">
            <v>89787</v>
          </cell>
          <cell r="B3661" t="str">
            <v>JOELHO 45 GRAUS, CPVC, SOLDÁVEL, DN 42MM, INSTALADO EM PRUMADA DE ÁGUA  FORNECIMENTO E INSTALAÇÃO. AF_12/2014</v>
          </cell>
          <cell r="C3661" t="str">
            <v>UN</v>
          </cell>
          <cell r="D3661">
            <v>36.17</v>
          </cell>
        </row>
        <row r="3662">
          <cell r="A3662">
            <v>89788</v>
          </cell>
          <cell r="B3662" t="str">
            <v>JOELHO 90 GRAUS, CPVC, SOLDÁVEL, DN 54MM, INSTALADO EM PRUMADA DE ÁGUA  FORNECIMENTO E INSTALAÇÃO. AF_12/2014</v>
          </cell>
          <cell r="C3662" t="str">
            <v>UN</v>
          </cell>
          <cell r="D3662">
            <v>72.23</v>
          </cell>
        </row>
        <row r="3663">
          <cell r="A3663">
            <v>89789</v>
          </cell>
          <cell r="B3663" t="str">
            <v>JOELHO 45 GRAUS, CPVC, SOLDÁVEL, DN 54MM, INSTALADO EM PRUMADA DE ÁGUA  FORNECIMENTO E INSTALAÇÃO. AF_12/2014</v>
          </cell>
          <cell r="C3663" t="str">
            <v>UN</v>
          </cell>
          <cell r="D3663">
            <v>73.41</v>
          </cell>
        </row>
        <row r="3664">
          <cell r="A3664">
            <v>89790</v>
          </cell>
          <cell r="B3664" t="str">
            <v>JOELHO 90 GRAUS, CPVC, SOLDÁVEL, DN 73MM, INSTALADO EM PRUMADA DE ÁGUA  FORNECIMENTO E INSTALAÇÃO. AF_12/2014</v>
          </cell>
          <cell r="C3664" t="str">
            <v>UN</v>
          </cell>
          <cell r="D3664">
            <v>181.72</v>
          </cell>
        </row>
        <row r="3665">
          <cell r="A3665">
            <v>89791</v>
          </cell>
          <cell r="B3665" t="str">
            <v>JOELHO 45 GRAUS, CPVC, SOLDÁVEL, DN 73MM, INSTALADO EM PRUMADA DE ÁGUA  FORNECIMENTO E INSTALAÇÃO. AF_12/2014</v>
          </cell>
          <cell r="C3665" t="str">
            <v>UN</v>
          </cell>
          <cell r="D3665">
            <v>186.07</v>
          </cell>
        </row>
        <row r="3666">
          <cell r="A3666">
            <v>89792</v>
          </cell>
          <cell r="B3666" t="str">
            <v>JOELHO 90 GRAUS, CPVC, SOLDÁVEL, DN 89MM, INSTALADO EM PRUMADA DE ÁGUA  FORNECIMENTO E INSTALAÇÃO. AF_12/2014</v>
          </cell>
          <cell r="C3666" t="str">
            <v>UN</v>
          </cell>
          <cell r="D3666">
            <v>212.95</v>
          </cell>
        </row>
        <row r="3667">
          <cell r="A3667">
            <v>89793</v>
          </cell>
          <cell r="B3667" t="str">
            <v>JOELHO 45 GRAUS, CPVC, SOLDÁVEL, DN 89MM, INSTALADO EM PRUMADA DE ÁGUA  FORNECIMENTO E INSTALAÇÃO. AF_12/2014</v>
          </cell>
          <cell r="C3667" t="str">
            <v>UN</v>
          </cell>
          <cell r="D3667">
            <v>218.81</v>
          </cell>
        </row>
        <row r="3668">
          <cell r="A3668">
            <v>89794</v>
          </cell>
          <cell r="B3668" t="str">
            <v>LUVA, CPVC, SOLDÁVEL, DN 35MM, INSTALADO EM PRUMADA DE ÁGUA  FORNECIMENTO E INSTALAÇÃO. AF_12/2014</v>
          </cell>
          <cell r="C3668" t="str">
            <v>UN</v>
          </cell>
          <cell r="D3668">
            <v>16.149999999999999</v>
          </cell>
        </row>
        <row r="3669">
          <cell r="A3669">
            <v>89795</v>
          </cell>
          <cell r="B3669" t="str">
            <v>JUNÇÃO SIMPLES, PVC, SERIE NORMAL, ESGOTO PREDIAL, DN 75 X 75 MM, JUNTA ELÁSTICA, FORNECIDO E INSTALADO EM RAMAL DE DESCARGA OU RAMAL DE ESGOTO SANITÁRIO. AF_12/2014</v>
          </cell>
          <cell r="C3669" t="str">
            <v>UN</v>
          </cell>
          <cell r="D3669">
            <v>24.64</v>
          </cell>
        </row>
        <row r="3670">
          <cell r="A3670">
            <v>89796</v>
          </cell>
          <cell r="B3670" t="str">
            <v>TE, PVC, SERIE NORMAL, ESGOTO PREDIAL, DN 100 X 100 MM, JUNTA ELÁSTICA, FORNECIDO E INSTALADO EM RAMAL DE DESCARGA OU RAMAL DE ESGOTO SANITÁRIO. AF_12/2014</v>
          </cell>
          <cell r="C3670" t="str">
            <v>UN</v>
          </cell>
          <cell r="D3670">
            <v>29.16</v>
          </cell>
        </row>
        <row r="3671">
          <cell r="A3671">
            <v>89797</v>
          </cell>
          <cell r="B3671" t="str">
            <v>JUNÇÃO SIMPLES, PVC, SERIE NORMAL, ESGOTO PREDIAL, DN 100 X 100 MM, JUNTA ELÁSTICA, FORNECIDO E INSTALADO EM RAMAL DE DESCARGA OU RAMAL DE ESGOTO SANITÁRIO. AF_12/2014</v>
          </cell>
          <cell r="C3671" t="str">
            <v>UN</v>
          </cell>
          <cell r="D3671">
            <v>32.380000000000003</v>
          </cell>
        </row>
        <row r="3672">
          <cell r="A3672">
            <v>89801</v>
          </cell>
          <cell r="B3672" t="str">
            <v>JOELHO 90 GRAUS, PVC, SERIE NORMAL, ESGOTO PREDIAL, DN 50 MM, JUNTA ELÁSTICA, FORNECIDO E INSTALADO EM PRUMADA DE ESGOTO SANITÁRIO OU VENTILAÇÃO. AF_12/2014</v>
          </cell>
          <cell r="C3672" t="str">
            <v>UN</v>
          </cell>
          <cell r="D3672">
            <v>5.03</v>
          </cell>
        </row>
        <row r="3673">
          <cell r="A3673">
            <v>89802</v>
          </cell>
          <cell r="B3673" t="str">
            <v>JOELHO 45 GRAUS, PVC, SERIE NORMAL, ESGOTO PREDIAL, DN 50 MM, JUNTA ELÁSTICA, FORNECIDO E INSTALADO EM PRUMADA DE ESGOTO SANITÁRIO OU VENTILAÇÃO. AF_12/2014</v>
          </cell>
          <cell r="C3673" t="str">
            <v>UN</v>
          </cell>
          <cell r="D3673">
            <v>5.38</v>
          </cell>
        </row>
        <row r="3674">
          <cell r="A3674">
            <v>89803</v>
          </cell>
          <cell r="B3674" t="str">
            <v>CURVA CURTA 90 GRAUS, PVC, SERIE NORMAL, ESGOTO PREDIAL, DN 50 MM, JUNTA ELÁSTICA, FORNECIDO E INSTALADO EM PRUMADA DE ESGOTO SANITÁRIO OU VENTILAÇÃO. AF_12/2014</v>
          </cell>
          <cell r="C3674" t="str">
            <v>UN</v>
          </cell>
          <cell r="D3674">
            <v>9.16</v>
          </cell>
        </row>
        <row r="3675">
          <cell r="A3675">
            <v>89804</v>
          </cell>
          <cell r="B3675" t="str">
            <v>CURVA LONGA 90 GRAUS, PVC, SERIE NORMAL, ESGOTO PREDIAL, DN 50 MM, JUNTA ELÁSTICA, FORNECIDO E INSTALADO EM PRUMADA DE ESGOTO SANITÁRIO OU VENTILAÇÃO. AF_12/2014</v>
          </cell>
          <cell r="C3675" t="str">
            <v>UN</v>
          </cell>
          <cell r="D3675">
            <v>9.74</v>
          </cell>
        </row>
        <row r="3676">
          <cell r="A3676">
            <v>89805</v>
          </cell>
          <cell r="B3676" t="str">
            <v>JOELHO 90 GRAUS, PVC, SERIE NORMAL, ESGOTO PREDIAL, DN 75 MM, JUNTA ELÁSTICA, FORNECIDO E INSTALADO EM PRUMADA DE ESGOTO SANITÁRIO OU VENTILAÇÃO. AF_12/2014</v>
          </cell>
          <cell r="C3676" t="str">
            <v>UN</v>
          </cell>
          <cell r="D3676">
            <v>9.69</v>
          </cell>
        </row>
        <row r="3677">
          <cell r="A3677">
            <v>89806</v>
          </cell>
          <cell r="B3677" t="str">
            <v>JOELHO 45 GRAUS, PVC, SERIE NORMAL, ESGOTO PREDIAL, DN 75 MM, JUNTA ELÁSTICA, FORNECIDO E INSTALADO EM PRUMADA DE ESGOTO SANITÁRIO OU VENTILAÇÃO. AF_12/2014</v>
          </cell>
          <cell r="C3677" t="str">
            <v>UN</v>
          </cell>
          <cell r="D3677">
            <v>10.19</v>
          </cell>
        </row>
        <row r="3678">
          <cell r="A3678">
            <v>89807</v>
          </cell>
          <cell r="B3678" t="str">
            <v>CURVA CURTA 90 GRAUS, PVC, SERIE NORMAL, ESGOTO PREDIAL, DN 75 MM, JUNTA ELÁSTICA, FORNECIDO E INSTALADO EM PRUMADA DE ESGOTO SANITÁRIO OU VENTILAÇÃO. AF_12/2014</v>
          </cell>
          <cell r="C3678" t="str">
            <v>UN</v>
          </cell>
          <cell r="D3678">
            <v>16.850000000000001</v>
          </cell>
        </row>
        <row r="3679">
          <cell r="A3679">
            <v>89808</v>
          </cell>
          <cell r="B3679" t="str">
            <v>CURVA LONGA 90 GRAUS, PVC, SERIE NORMAL, ESGOTO PREDIAL, DN 75 MM, JUNTA ELÁSTICA, FORNECIDO E INSTALADO EM PRUMADA DE ESGOTO SANITÁRIO OU VENTILAÇÃO. AF_12/2014</v>
          </cell>
          <cell r="C3679" t="str">
            <v>UN</v>
          </cell>
          <cell r="D3679">
            <v>24.04</v>
          </cell>
        </row>
        <row r="3680">
          <cell r="A3680">
            <v>89809</v>
          </cell>
          <cell r="B3680" t="str">
            <v>JOELHO 90 GRAUS, PVC, SERIE NORMAL, ESGOTO PREDIAL, DN 100 MM, JUNTA ELÁSTICA, FORNECIDO E INSTALADO EM PRUMADA DE ESGOTO SANITÁRIO OU VENTILAÇÃO. AF_12/2014</v>
          </cell>
          <cell r="C3680" t="str">
            <v>UN</v>
          </cell>
          <cell r="D3680">
            <v>13.14</v>
          </cell>
        </row>
        <row r="3681">
          <cell r="A3681">
            <v>89810</v>
          </cell>
          <cell r="B3681" t="str">
            <v>JOELHO 45 GRAUS, PVC, SERIE NORMAL, ESGOTO PREDIAL, DN 100 MM, JUNTA ELÁSTICA, FORNECIDO E INSTALADO EM PRUMADA DE ESGOTO SANITÁRIO OU VENTILAÇÃO. AF_12/2014</v>
          </cell>
          <cell r="C3681" t="str">
            <v>UN</v>
          </cell>
          <cell r="D3681">
            <v>13.11</v>
          </cell>
        </row>
        <row r="3682">
          <cell r="A3682">
            <v>89811</v>
          </cell>
          <cell r="B3682" t="str">
            <v>CURVA CURTA 90 GRAUS, PVC, SERIE NORMAL, ESGOTO PREDIAL, DN 100 MM, JUNTA ELÁSTICA, FORNECIDO E INSTALADO EM PRUMADA DE ESGOTO SANITÁRIO OU VENTILAÇÃO. AF_12/2014</v>
          </cell>
          <cell r="C3682" t="str">
            <v>UN</v>
          </cell>
          <cell r="D3682">
            <v>20.93</v>
          </cell>
        </row>
        <row r="3683">
          <cell r="A3683">
            <v>89812</v>
          </cell>
          <cell r="B3683" t="str">
            <v>CURVA LONGA 90 GRAUS, PVC, SERIE NORMAL, ESGOTO PREDIAL, DN 100 MM, JUNTA ELÁSTICA, FORNECIDO E INSTALADO EM PRUMADA DE ESGOTO SANITÁRIO OU VENTILAÇÃO. AF_12/2014</v>
          </cell>
          <cell r="C3683" t="str">
            <v>UN</v>
          </cell>
          <cell r="D3683">
            <v>34.76</v>
          </cell>
        </row>
        <row r="3684">
          <cell r="A3684">
            <v>89813</v>
          </cell>
          <cell r="B3684" t="str">
            <v>LUVA SIMPLES, PVC, SERIE NORMAL, ESGOTO PREDIAL, DN 50 MM, JUNTA ELÁSTICA, FORNECIDO E INSTALADO EM PRUMADA DE ESGOTO SANITÁRIO OU VENTILAÇÃO. AF_12/2014</v>
          </cell>
          <cell r="C3684" t="str">
            <v>UN</v>
          </cell>
          <cell r="D3684">
            <v>4.88</v>
          </cell>
        </row>
        <row r="3685">
          <cell r="A3685">
            <v>89814</v>
          </cell>
          <cell r="B3685" t="str">
            <v>LUVA DE CORRER, PVC, SERIE NORMAL, ESGOTO PREDIAL, DN 50 MM, JUNTA ELÁSTICA, FORNECIDO E INSTALADO EM PRUMADA DE ESGOTO SANITÁRIO OU VENTILAÇÃO. AF_12/2014</v>
          </cell>
          <cell r="C3685" t="str">
            <v>UN</v>
          </cell>
          <cell r="D3685">
            <v>9.08</v>
          </cell>
        </row>
        <row r="3686">
          <cell r="A3686">
            <v>89815</v>
          </cell>
          <cell r="B3686" t="str">
            <v>LUVA DE CORRER, CPVC, SOLDÁVEL, DN 35MM, INSTALADO EM PRUMADA DE ÁGUA  FORNECIMENTO E INSTALAÇÃO. AF_12/2014</v>
          </cell>
          <cell r="C3686" t="str">
            <v>UN</v>
          </cell>
          <cell r="D3686">
            <v>28.16</v>
          </cell>
        </row>
        <row r="3687">
          <cell r="A3687">
            <v>89816</v>
          </cell>
          <cell r="B3687" t="str">
            <v>UNIÃO, CPVC, SOLDÁVEL, DN35MM, INSTALADO EM PRUMADA DE ÁGUA  FORNECIMENTO E INSTALAÇÃO. AF_12/2014</v>
          </cell>
          <cell r="C3687" t="str">
            <v>UN</v>
          </cell>
          <cell r="D3687">
            <v>41.04</v>
          </cell>
        </row>
        <row r="3688">
          <cell r="A3688">
            <v>89817</v>
          </cell>
          <cell r="B3688" t="str">
            <v>LUVA SIMPLES, PVC, SERIE NORMAL, ESGOTO PREDIAL, DN 75 MM, JUNTA ELÁSTICA, FORNECIDO E INSTALADO EM PRUMADA DE ESGOTO SANITÁRIO OU VENTILAÇÃO. AF_12/2014</v>
          </cell>
          <cell r="C3688" t="str">
            <v>UN</v>
          </cell>
          <cell r="D3688">
            <v>8.36</v>
          </cell>
        </row>
        <row r="3689">
          <cell r="A3689">
            <v>89818</v>
          </cell>
          <cell r="B3689" t="str">
            <v>CONECTOR, CPVC, SOLDÁVEL, DN 35MM X 1 1/4, INSTALADO EM PRUMADA DE ÁGUA  FORNECIMENTO E INSTALAÇÃO. AF_12/2014</v>
          </cell>
          <cell r="C3689" t="str">
            <v>UN</v>
          </cell>
          <cell r="D3689">
            <v>168.45</v>
          </cell>
        </row>
        <row r="3690">
          <cell r="A3690">
            <v>89819</v>
          </cell>
          <cell r="B3690" t="str">
            <v>LUVA DE CORRER, PVC, SERIE NORMAL, ESGOTO PREDIAL, DN 75 MM, JUNTA ELÁSTICA, FORNECIDO E INSTALADO EM PRUMADA DE ESGOTO SANITÁRIO OU VENTILAÇÃO. AF_12/2014</v>
          </cell>
          <cell r="C3690" t="str">
            <v>UN</v>
          </cell>
          <cell r="D3690">
            <v>11.6</v>
          </cell>
        </row>
        <row r="3691">
          <cell r="A3691">
            <v>89820</v>
          </cell>
          <cell r="B3691" t="str">
            <v>BUCHA DE REDUÇÃO, CPVC, SOLDÁVEL, DN35MM X 28MM, INSTALADO EM PRUMADA DE ÁGUA  FORNECIMENTO E INSTALAÇÃO. AF_12/2014</v>
          </cell>
          <cell r="C3691" t="str">
            <v>UN</v>
          </cell>
          <cell r="D3691">
            <v>30.74</v>
          </cell>
        </row>
        <row r="3692">
          <cell r="A3692">
            <v>89821</v>
          </cell>
          <cell r="B3692" t="str">
            <v>LUVA SIMPLES, PVC, SERIE NORMAL, ESGOTO PREDIAL, DN 100 MM, JUNTA ELÁSTICA, FORNECIDO E INSTALADO EM PRUMADA DE ESGOTO SANITÁRIO OU VENTILAÇÃO. AF_12/2014</v>
          </cell>
          <cell r="C3692" t="str">
            <v>UN</v>
          </cell>
          <cell r="D3692">
            <v>10.56</v>
          </cell>
        </row>
        <row r="3693">
          <cell r="A3693">
            <v>89822</v>
          </cell>
          <cell r="B3693" t="str">
            <v>LUVA, CPVC, SOLDÁVEL, DN 42MM, INSTALADO EM PRUMADA DE ÁGUA  FORNECIMENTO E INSTALAÇÃO. AF_12/2014</v>
          </cell>
          <cell r="C3693" t="str">
            <v>UN</v>
          </cell>
          <cell r="D3693">
            <v>21.42</v>
          </cell>
        </row>
        <row r="3694">
          <cell r="A3694">
            <v>89823</v>
          </cell>
          <cell r="B3694" t="str">
            <v>LUVA DE CORRER, PVC, SERIE NORMAL, ESGOTO PREDIAL, DN 100 MM, JUNTA ELÁSTICA, FORNECIDO E INSTALADO EM PRUMADA DE ESGOTO SANITÁRIO OU VENTILAÇÃO. AF_12/2014</v>
          </cell>
          <cell r="C3694" t="str">
            <v>UN</v>
          </cell>
          <cell r="D3694">
            <v>16.57</v>
          </cell>
        </row>
        <row r="3695">
          <cell r="A3695">
            <v>89824</v>
          </cell>
          <cell r="B3695" t="str">
            <v>LUVA DE CORRER, CPVC, SOLDÁVEL, DN 42MM, INSTALADO EM PRUMADA DE ÁGUA  FORNECIMENTO E INSTALAÇÃO. AF_12/2014</v>
          </cell>
          <cell r="C3695" t="str">
            <v>UN</v>
          </cell>
          <cell r="D3695">
            <v>38.53</v>
          </cell>
        </row>
        <row r="3696">
          <cell r="A3696">
            <v>89825</v>
          </cell>
          <cell r="B3696" t="str">
            <v>TE, PVC, SERIE NORMAL, ESGOTO PREDIAL, DN 50 X 50 MM, JUNTA ELÁSTICA, FORNECIDO E INSTALADO EM PRUMADA DE ESGOTO SANITÁRIO OU VENTILAÇÃO. AF_12/2014</v>
          </cell>
          <cell r="C3696" t="str">
            <v>UN</v>
          </cell>
          <cell r="D3696">
            <v>10.52</v>
          </cell>
        </row>
        <row r="3697">
          <cell r="A3697">
            <v>89826</v>
          </cell>
          <cell r="B3697" t="str">
            <v>LUVA DE TRANSIÇÃO, CPVC, SOLDÁVEL, DN42MM X 1.1/2, INSTALADO EM PRUMADA DE ÁGUA  FORNECIMENTO E INSTALAÇÃO. AF_12/2014</v>
          </cell>
          <cell r="C3697" t="str">
            <v>UN</v>
          </cell>
          <cell r="D3697">
            <v>171.77</v>
          </cell>
        </row>
        <row r="3698">
          <cell r="A3698">
            <v>89827</v>
          </cell>
          <cell r="B3698" t="str">
            <v>JUNÇÃO SIMPLES, PVC, SERIE NORMAL, ESGOTO PREDIAL, DN 50 X 50 MM, JUNTA ELÁSTICA, FORNECIDO E INSTALADO EM PRUMADA DE ESGOTO SANITÁRIO OU VENTILAÇÃO. AF_12/2014</v>
          </cell>
          <cell r="C3698" t="str">
            <v>UN</v>
          </cell>
          <cell r="D3698">
            <v>11.52</v>
          </cell>
        </row>
        <row r="3699">
          <cell r="A3699">
            <v>89828</v>
          </cell>
          <cell r="B3699" t="str">
            <v>UNIÃO, CPVC, SOLDÁVEL, DN42MM, INSTALADO EM PRUMADA DE ÁGUA  FORNECIMENTO E INSTALAÇÃO. AF_12/2014</v>
          </cell>
          <cell r="C3699" t="str">
            <v>UN</v>
          </cell>
          <cell r="D3699">
            <v>59.65</v>
          </cell>
        </row>
        <row r="3700">
          <cell r="A3700">
            <v>89829</v>
          </cell>
          <cell r="B3700" t="str">
            <v>TE, PVC, SERIE NORMAL, ESGOTO PREDIAL, DN 75 X 75 MM, JUNTA ELÁSTICA, FORNECIDO E INSTALADO EM PRUMADA DE ESGOTO SANITÁRIO OU VENTILAÇÃO. AF_12/2014</v>
          </cell>
          <cell r="C3700" t="str">
            <v>UN</v>
          </cell>
          <cell r="D3700">
            <v>18.2</v>
          </cell>
        </row>
        <row r="3701">
          <cell r="A3701">
            <v>89830</v>
          </cell>
          <cell r="B3701" t="str">
            <v>JUNÇÃO SIMPLES, PVC, SERIE NORMAL, ESGOTO PREDIAL, DN 75 X 75 MM, JUNTA ELÁSTICA, FORNECIDO E INSTALADO EM PRUMADA DE ESGOTO SANITÁRIO OU VENTILAÇÃO. AF_12/2014</v>
          </cell>
          <cell r="C3701" t="str">
            <v>UN</v>
          </cell>
          <cell r="D3701">
            <v>19.57</v>
          </cell>
        </row>
        <row r="3702">
          <cell r="A3702">
            <v>89831</v>
          </cell>
          <cell r="B3702" t="str">
            <v>CONECTOR, CPVC, SOLDÁVEL, DN 42MM X 1.1/2, INSTALADO EM PRUMADA DE ÁGUA  FORNECIMENTO E INSTALAÇÃO. AF_12/2014</v>
          </cell>
          <cell r="C3702" t="str">
            <v>UN</v>
          </cell>
          <cell r="D3702">
            <v>205.74</v>
          </cell>
        </row>
        <row r="3703">
          <cell r="A3703">
            <v>89832</v>
          </cell>
          <cell r="B3703" t="str">
            <v>BUCHA DE REDUÇÃO, CPVC, SOLDÁVEL, DN 42MM X 22MM, INSTALADO EM RAMAL DE DISTRIBUIÇÃO DE ÁGUA - FORNECIMENTO E INSTALAÇÃO. AF_12/2014</v>
          </cell>
          <cell r="C3703" t="str">
            <v>UN</v>
          </cell>
          <cell r="D3703">
            <v>40.479999999999997</v>
          </cell>
        </row>
        <row r="3704">
          <cell r="A3704">
            <v>89833</v>
          </cell>
          <cell r="B3704" t="str">
            <v>TE, PVC, SERIE NORMAL, ESGOTO PREDIAL, DN 100 X 100 MM, JUNTA ELÁSTICA, FORNECIDO E INSTALADO EM PRUMADA DE ESGOTO SANITÁRIO OU VENTILAÇÃO. AF_12/2014</v>
          </cell>
          <cell r="C3704" t="str">
            <v>UN</v>
          </cell>
          <cell r="D3704">
            <v>23.02</v>
          </cell>
        </row>
        <row r="3705">
          <cell r="A3705">
            <v>89834</v>
          </cell>
          <cell r="B3705" t="str">
            <v>JUNÇÃO SIMPLES, PVC, SERIE NORMAL, ESGOTO PREDIAL, DN 100 X 100 MM, JUNTA ELÁSTICA, FORNECIDO E INSTALADO EM PRUMADA DE ESGOTO SANITÁRIO OU VENTILAÇÃO. AF_12/2014</v>
          </cell>
          <cell r="C3705" t="str">
            <v>UN</v>
          </cell>
          <cell r="D3705">
            <v>26.24</v>
          </cell>
        </row>
        <row r="3706">
          <cell r="A3706">
            <v>89835</v>
          </cell>
          <cell r="B3706" t="str">
            <v>LUVA, CPVC, SOLDÁVEL, DN 54MM, INSTALADO EM PRUMADA DE ÁGUA  FORNECIMENTO E INSTALAÇÃO. AF_12/2014</v>
          </cell>
          <cell r="C3706" t="str">
            <v>UN</v>
          </cell>
          <cell r="D3706">
            <v>39.4</v>
          </cell>
        </row>
        <row r="3707">
          <cell r="A3707">
            <v>89836</v>
          </cell>
          <cell r="B3707" t="str">
            <v>LUVA DE TRANSIÇÃO, CPVC, SOLDÁVEL, DN 54MM X 2, INSTALADO EM PRUMADA DE ÁGUA  FORNECIMENTO E INSTALAÇÃO. AF_12/2014</v>
          </cell>
          <cell r="C3707" t="str">
            <v>UN</v>
          </cell>
          <cell r="D3707">
            <v>278.2</v>
          </cell>
        </row>
        <row r="3708">
          <cell r="A3708">
            <v>89837</v>
          </cell>
          <cell r="B3708" t="str">
            <v>UNIÃO, CPVC, SOLDÁVEL, DN 54MM, INSTALADO EM PRUMADA DE ÁGUA  FORNECIMENTO E INSTALAÇÃO. AF_12/2014</v>
          </cell>
          <cell r="C3708" t="str">
            <v>UN</v>
          </cell>
          <cell r="D3708">
            <v>137.38999999999999</v>
          </cell>
        </row>
        <row r="3709">
          <cell r="A3709">
            <v>89838</v>
          </cell>
          <cell r="B3709" t="str">
            <v>LUVA, CPVC, SOLDÁVEL, DN 73MM, INSTALADO EM PRUMADA DE ÁGUA  FORNECIMENTO E INSTALAÇÃO. AF_12/2014</v>
          </cell>
          <cell r="C3709" t="str">
            <v>UN</v>
          </cell>
          <cell r="D3709">
            <v>149.72999999999999</v>
          </cell>
        </row>
        <row r="3710">
          <cell r="A3710">
            <v>89839</v>
          </cell>
          <cell r="B3710" t="str">
            <v>UNIÃO, CPVC, SOLDÁVEL, DN 73MM, INSTALADO EM PRUMADA DE ÁGUA  FORNECIMENTO E INSTALAÇÃO. AF_12/2014</v>
          </cell>
          <cell r="C3710" t="str">
            <v>UN</v>
          </cell>
          <cell r="D3710">
            <v>199.1</v>
          </cell>
        </row>
        <row r="3711">
          <cell r="A3711">
            <v>89840</v>
          </cell>
          <cell r="B3711" t="str">
            <v>LUVA, CPVC, SOLDÁVEL, DN 89MM, INSTALADO EM PRUMADA DE ÁGUA  FORNECIMENTO E INSTALAÇÃO. AF_12/2014</v>
          </cell>
          <cell r="C3711" t="str">
            <v>UN</v>
          </cell>
          <cell r="D3711">
            <v>171.45</v>
          </cell>
        </row>
        <row r="3712">
          <cell r="A3712">
            <v>89841</v>
          </cell>
          <cell r="B3712" t="str">
            <v>UNIÃO, CPVC, SOLDÁVEL, DN 89MM, INSTALADO EM PRUMADA DE ÁGUA  FORNECIMENTO E INSTALAÇÃO. AF_12/2014</v>
          </cell>
          <cell r="C3712" t="str">
            <v>UN</v>
          </cell>
          <cell r="D3712">
            <v>292.5</v>
          </cell>
        </row>
        <row r="3713">
          <cell r="A3713">
            <v>89842</v>
          </cell>
          <cell r="B3713" t="str">
            <v>TÊ, CPVC, SOLDÁVEL, DN 35MM, INSTALADO EM PRUMADA DE ÁGUA  FORNECIMENTO E INSTALAÇÃO. AF_12/2014</v>
          </cell>
          <cell r="C3713" t="str">
            <v>UN</v>
          </cell>
          <cell r="D3713">
            <v>45.12</v>
          </cell>
        </row>
        <row r="3714">
          <cell r="A3714">
            <v>89844</v>
          </cell>
          <cell r="B3714" t="str">
            <v>TE, CPVC, SOLDÁVEL, DN  42MM, INSTALADO EM PRUMADA DE ÁGUA  FORNECIMENTO E INSTALAÇÃO. AF_12/2014</v>
          </cell>
          <cell r="C3714" t="str">
            <v>UN</v>
          </cell>
          <cell r="D3714">
            <v>57.73</v>
          </cell>
        </row>
        <row r="3715">
          <cell r="A3715">
            <v>89845</v>
          </cell>
          <cell r="B3715" t="str">
            <v>TÊ, CPVC, SOLDÁVEL, DN 54 MM, INSTALADO EM PRUMADA DE ÁGUA  FORNECIMENTO E INSTALAÇÃO. AF_12/2014</v>
          </cell>
          <cell r="C3715" t="str">
            <v>UN</v>
          </cell>
          <cell r="D3715">
            <v>90.6</v>
          </cell>
        </row>
        <row r="3716">
          <cell r="A3716">
            <v>89846</v>
          </cell>
          <cell r="B3716" t="str">
            <v>TÊ, CPVC, SOLDÁVEL, DN 73MM, INSTALADO EM PRUMADA DE ÁGUA  FORNECIMENTO E INSTALAÇÃO. AF_12/2014</v>
          </cell>
          <cell r="C3716" t="str">
            <v>UN</v>
          </cell>
          <cell r="D3716">
            <v>207.45</v>
          </cell>
        </row>
        <row r="3717">
          <cell r="A3717">
            <v>89847</v>
          </cell>
          <cell r="B3717" t="str">
            <v>TÊ, CPVC, SOLDÁVEL, DN 89MM, INSTALADO EM PRUMADA DE ÁGUA  FORNECIMENTO E INSTALAÇÃO. AF_12/2014</v>
          </cell>
          <cell r="C3717" t="str">
            <v>UN</v>
          </cell>
          <cell r="D3717">
            <v>254.21</v>
          </cell>
        </row>
        <row r="3718">
          <cell r="A3718">
            <v>89850</v>
          </cell>
          <cell r="B3718" t="str">
            <v>JOELHO 90 GRAUS, PVC, SERIE NORMAL, ESGOTO PREDIAL, DN 100 MM, JUNTA ELÁSTICA, FORNECIDO E INSTALADO EM SUBCOLETOR AÉREO DE ESGOTO SANITÁRIO. AF_12/2014</v>
          </cell>
          <cell r="C3718" t="str">
            <v>UN</v>
          </cell>
          <cell r="D3718">
            <v>17.47</v>
          </cell>
        </row>
        <row r="3719">
          <cell r="A3719">
            <v>89851</v>
          </cell>
          <cell r="B3719" t="str">
            <v>JOELHO 45 GRAUS, PVC, SERIE NORMAL, ESGOTO PREDIAL, DN 100 MM, JUNTA ELÁSTICA, FORNECIDO E INSTALADO EM SUBCOLETOR AÉREO DE ESGOTO SANITÁRIO. AF_12/2014</v>
          </cell>
          <cell r="C3719" t="str">
            <v>UN</v>
          </cell>
          <cell r="D3719">
            <v>17.440000000000001</v>
          </cell>
        </row>
        <row r="3720">
          <cell r="A3720">
            <v>89852</v>
          </cell>
          <cell r="B3720" t="str">
            <v>CURVA CURTA 90 GRAUS, PVC, SERIE NORMAL, ESGOTO PREDIAL, DN 100 MM, JUNTA ELÁSTICA, FORNECIDO E INSTALADO EM SUBCOLETOR AÉREO DE ESGOTO SANITÁRIO. AF_12/2014</v>
          </cell>
          <cell r="C3720" t="str">
            <v>UN</v>
          </cell>
          <cell r="D3720">
            <v>25.26</v>
          </cell>
        </row>
        <row r="3721">
          <cell r="A3721">
            <v>89853</v>
          </cell>
          <cell r="B3721" t="str">
            <v>CURVA LONGA 90 GRAUS, PVC, SERIE NORMAL, ESGOTO PREDIAL, DN 100 MM, JUNTA ELÁSTICA, FORNECIDO E INSTALADO EM SUBCOLETOR AÉREO DE ESGOTO SANITÁRIO. AF_12/2014</v>
          </cell>
          <cell r="C3721" t="str">
            <v>UN</v>
          </cell>
          <cell r="D3721">
            <v>39.090000000000003</v>
          </cell>
        </row>
        <row r="3722">
          <cell r="A3722">
            <v>89854</v>
          </cell>
          <cell r="B3722" t="str">
            <v>JOELHO 90 GRAUS, PVC, SERIE NORMAL, ESGOTO PREDIAL, DN 150 MM, JUNTA ELÁSTICA, FORNECIDO E INSTALADO EM SUBCOLETOR AÉREO DE ESGOTO SANITÁRIO. AF_12/2014</v>
          </cell>
          <cell r="C3722" t="str">
            <v>UN</v>
          </cell>
          <cell r="D3722">
            <v>53.34</v>
          </cell>
        </row>
        <row r="3723">
          <cell r="A3723">
            <v>89855</v>
          </cell>
          <cell r="B3723" t="str">
            <v>JOELHO 45 GRAUS, PVC, SERIE NORMAL, ESGOTO PREDIAL, DN 150 MM, JUNTA ELÁSTICA, FORNECIDO E INSTALADO EM SUBCOLETOR AÉREO DE ESGOTO SANITÁRIO. AF_12/2014</v>
          </cell>
          <cell r="C3723" t="str">
            <v>UN</v>
          </cell>
          <cell r="D3723">
            <v>56.12</v>
          </cell>
        </row>
        <row r="3724">
          <cell r="A3724">
            <v>89856</v>
          </cell>
          <cell r="B3724" t="str">
            <v>LUVA SIMPLES, PVC, SERIE NORMAL, ESGOTO PREDIAL, DN 100 MM, JUNTA ELÁSTICA, FORNECIDO E INSTALADO EM SUBCOLETOR AÉREO DE ESGOTO SANITÁRIO. AF_12/2014</v>
          </cell>
          <cell r="C3724" t="str">
            <v>UN</v>
          </cell>
          <cell r="D3724">
            <v>13.45</v>
          </cell>
        </row>
        <row r="3725">
          <cell r="A3725">
            <v>89857</v>
          </cell>
          <cell r="B3725" t="str">
            <v>LUVA DE CORRER, PVC, SERIE NORMAL, ESGOTO PREDIAL, DN 100 MM, JUNTA ELÁSTICA, FORNECIDO E INSTALADO EM SUBCOLETOR AÉREO DE ESGOTO SANITÁRIO. AF_12/2014</v>
          </cell>
          <cell r="C3725" t="str">
            <v>UN</v>
          </cell>
          <cell r="D3725">
            <v>19.46</v>
          </cell>
        </row>
        <row r="3726">
          <cell r="A3726">
            <v>89859</v>
          </cell>
          <cell r="B3726" t="str">
            <v>LUVA DE CORRER, PVC, SERIE NORMAL, ESGOTO PREDIAL, DN 150 MM, JUNTA ELÁSTICA, FORNECIDO E INSTALADO EM SUBCOLETOR AÉREO DE ESGOTO SANITÁRIO. AF_12/2014</v>
          </cell>
          <cell r="C3726" t="str">
            <v>UN</v>
          </cell>
          <cell r="D3726">
            <v>63.19</v>
          </cell>
        </row>
        <row r="3727">
          <cell r="A3727">
            <v>89860</v>
          </cell>
          <cell r="B3727" t="str">
            <v>TE, PVC, SERIE NORMAL, ESGOTO PREDIAL, DN 100 X 100 MM, JUNTA ELÁSTICA, FORNECIDO E INSTALADO EM SUBCOLETOR AÉREO DE ESGOTO SANITÁRIO. AF_12/2014</v>
          </cell>
          <cell r="C3727" t="str">
            <v>UN</v>
          </cell>
          <cell r="D3727">
            <v>28.8</v>
          </cell>
        </row>
        <row r="3728">
          <cell r="A3728">
            <v>89861</v>
          </cell>
          <cell r="B3728" t="str">
            <v>JUNÇÃO SIMPLES, PVC, SERIE NORMAL, ESGOTO PREDIAL, DN 100 X 100 MM, JUNTA ELÁSTICA, FORNECIDO E INSTALADO EM SUBCOLETOR AÉREO DE ESGOTO SANITÁRIO. AF_12/2014</v>
          </cell>
          <cell r="C3728" t="str">
            <v>UN</v>
          </cell>
          <cell r="D3728">
            <v>32.020000000000003</v>
          </cell>
        </row>
        <row r="3729">
          <cell r="A3729">
            <v>89862</v>
          </cell>
          <cell r="B3729" t="str">
            <v>TE, PVC, SERIE NORMAL, ESGOTO PREDIAL, DN 150 X 150 MM, JUNTA ELÁSTICA, FORNECIDO E INSTALADO EM SUBCOLETOR AÉREO DE ESGOTO SANITÁRIO. AF_12/2014</v>
          </cell>
          <cell r="C3729" t="str">
            <v>UN</v>
          </cell>
          <cell r="D3729">
            <v>62.6</v>
          </cell>
        </row>
        <row r="3730">
          <cell r="A3730">
            <v>89863</v>
          </cell>
          <cell r="B3730" t="str">
            <v>JUNÇÃO SIMPLES, PVC, SERIE NORMAL, ESGOTO PREDIAL, DN 150 X 150 MM, JUNTA ELÁSTICA, FORNECIDO E INSTALADO EM SUBCOLETOR AÉREO DE ESGOTO SANITÁRIO. AF_12/2014</v>
          </cell>
          <cell r="C3730" t="str">
            <v>UN</v>
          </cell>
          <cell r="D3730">
            <v>116.42</v>
          </cell>
        </row>
        <row r="3731">
          <cell r="A3731">
            <v>89866</v>
          </cell>
          <cell r="B3731" t="str">
            <v>JOELHO 90 GRAUS, PVC, SOLDÁVEL, DN 25MM, INSTALADO EM DRENO DE AR-CONDICIONADO - FORNECIMENTO E INSTALAÇÃO. AF_12/2014</v>
          </cell>
          <cell r="C3731" t="str">
            <v>UN</v>
          </cell>
          <cell r="D3731">
            <v>3.95</v>
          </cell>
        </row>
        <row r="3732">
          <cell r="A3732">
            <v>89867</v>
          </cell>
          <cell r="B3732" t="str">
            <v>JOELHO 45 GRAUS, PVC, SOLDÁVEL, DN 25MM, INSTALADO EM DRENO DE AR-CONDICIONADO - FORNECIMENTO E INSTALAÇÃO. AF_12/2014</v>
          </cell>
          <cell r="C3732" t="str">
            <v>UN</v>
          </cell>
          <cell r="D3732">
            <v>4.46</v>
          </cell>
        </row>
        <row r="3733">
          <cell r="A3733">
            <v>89868</v>
          </cell>
          <cell r="B3733" t="str">
            <v>LUVA, PVC, SOLDÁVEL, DN 25MM, INSTALADO EM DRENO DE AR-CONDICIONADO - FORNECIMENTO E INSTALAÇÃO. AF_12/2014</v>
          </cell>
          <cell r="C3733" t="str">
            <v>UN</v>
          </cell>
          <cell r="D3733">
            <v>2.9</v>
          </cell>
        </row>
        <row r="3734">
          <cell r="A3734">
            <v>89869</v>
          </cell>
          <cell r="B3734" t="str">
            <v>TE, PVC, SOLDÁVEL, DN 25MM, INSTALADO EM DRENO DE AR-CONDICIONADO - FORNECIMENTO E INSTALAÇÃO. AF_12/2014</v>
          </cell>
          <cell r="C3734" t="str">
            <v>UN</v>
          </cell>
          <cell r="D3734">
            <v>6.35</v>
          </cell>
        </row>
        <row r="3735">
          <cell r="A3735">
            <v>89979</v>
          </cell>
          <cell r="B3735" t="str">
            <v>LUVA COM BUCHA DE LATÃO, PVC, SOLDÁVEL, DN 32MM X 1 , INSTALADO EM RAMAL OU SUB-RAMAL DE ÁGUA   FORNECIMENTO E INSTALAÇÃO. AF_12/2014</v>
          </cell>
          <cell r="C3735" t="str">
            <v>UN</v>
          </cell>
          <cell r="D3735">
            <v>17.899999999999999</v>
          </cell>
        </row>
        <row r="3736">
          <cell r="A3736">
            <v>89980</v>
          </cell>
          <cell r="B3736" t="str">
            <v>LUVA COM BUCHA DE LATÃO, PVC, SOLDÁVEL, DN 25MM X 3/4, INSTALADO EM PRUMADA DE ÁGUA - FORNECIMENTO E INSTALAÇÃO. AF_12/2014</v>
          </cell>
          <cell r="C3736" t="str">
            <v>UN</v>
          </cell>
          <cell r="D3736">
            <v>6.88</v>
          </cell>
        </row>
        <row r="3737">
          <cell r="A3737">
            <v>89981</v>
          </cell>
          <cell r="B3737" t="str">
            <v>LUVA SOLDÁVEL E COM BUCHA DE LATÃO, PVC, SOLDÁVEL, DN 32MM X 1 , INSTALADO EM PRUMADA DE ÁGUA   FORNECIMENTO E INSTALAÇÃO. AF_12/2014</v>
          </cell>
          <cell r="C3737" t="str">
            <v>UN</v>
          </cell>
          <cell r="D3737">
            <v>15.29</v>
          </cell>
        </row>
        <row r="3738">
          <cell r="A3738">
            <v>90373</v>
          </cell>
          <cell r="B3738" t="str">
            <v>JOELHO 90 GRAUS COM BUCHA DE LATÃO, PVC, SOLDÁVEL, DN 25MM, X 1/2 INSTALADO EM RAMAL OU SUB-RAMAL DE ÁGUA - FORNECIMENTO E INSTALAÇÃO. AF_12/2014</v>
          </cell>
          <cell r="C3738" t="str">
            <v>UN</v>
          </cell>
          <cell r="D3738">
            <v>10.49</v>
          </cell>
        </row>
        <row r="3739">
          <cell r="A3739">
            <v>90374</v>
          </cell>
          <cell r="B3739" t="str">
            <v>TÊ COM BUCHA DE LATÃO NA BOLSA CENTRAL, PVC, SOLDÁVEL, DN 25MM X 3/4, INSTALADO EM RAMAL OU SUB-RAMAL DE ÁGUA - FORNECIMENTO E INSTALAÇÃO. AF_03/2015</v>
          </cell>
          <cell r="C3739" t="str">
            <v>UN</v>
          </cell>
          <cell r="D3739">
            <v>16.100000000000001</v>
          </cell>
        </row>
        <row r="3740">
          <cell r="A3740">
            <v>90375</v>
          </cell>
          <cell r="B3740" t="str">
            <v>BUCHA DE REDUÇÃO, PVC, SOLDÁVEL, DN 40MM X 32MM, INSTALADO EM RAMAL OU SUB-RAMAL DE ÁGUA - FORNECIMENTO E INSTALAÇÃO. AF_03/2015</v>
          </cell>
          <cell r="C3740" t="str">
            <v>UN</v>
          </cell>
          <cell r="D3740">
            <v>6.9</v>
          </cell>
        </row>
        <row r="3741">
          <cell r="A3741">
            <v>92287</v>
          </cell>
          <cell r="B3741" t="str">
            <v>COTOVELO EM COBRE, DN 22 MM, 90 GRAUS, SEM ANEL DE SOLDA, INSTALADO EM PRUMADA   FORNECIMENTO E INSTALAÇÃO. AF_12/2015</v>
          </cell>
          <cell r="C3741" t="str">
            <v>UN</v>
          </cell>
          <cell r="D3741">
            <v>11.14</v>
          </cell>
        </row>
        <row r="3742">
          <cell r="A3742">
            <v>92288</v>
          </cell>
          <cell r="B3742" t="str">
            <v>COTOVELO EM COBRE, DN 28 MM, 90 GRAUS, SEM ANEL DE SOLDA, INSTALADO EM PRUMADA  FORNECIMENTO E INSTALAÇÃO. AF_12/2015</v>
          </cell>
          <cell r="C3742" t="str">
            <v>UN</v>
          </cell>
          <cell r="D3742">
            <v>16.88</v>
          </cell>
        </row>
        <row r="3743">
          <cell r="A3743">
            <v>92289</v>
          </cell>
          <cell r="B3743" t="str">
            <v>COTOVELO EM COBRE, DN 35 MM, 90 GRAUS, SEM ANEL DE SOLDA, INSTALADO EM PRUMADA  FORNECIMENTO E INSTALAÇÃO. AF_12/2015</v>
          </cell>
          <cell r="C3743" t="str">
            <v>UN</v>
          </cell>
          <cell r="D3743">
            <v>29.03</v>
          </cell>
        </row>
        <row r="3744">
          <cell r="A3744">
            <v>92290</v>
          </cell>
          <cell r="B3744" t="str">
            <v>COTOVELO EM COBRE, DN 42 MM, 90 GRAUS, SEM ANEL DE SOLDA, INSTALADO EM PRUMADA  FORNECIMENTO E INSTALAÇÃO. AF_12/2015</v>
          </cell>
          <cell r="C3744" t="str">
            <v>UN</v>
          </cell>
          <cell r="D3744">
            <v>43.68</v>
          </cell>
        </row>
        <row r="3745">
          <cell r="A3745">
            <v>92291</v>
          </cell>
          <cell r="B3745" t="str">
            <v>COTOVELO EM COBRE, DN 54 MM, 90 GRAUS, SEM ANEL DE SOLDA, INSTALADO EM PRUMADA  FORNECIMENTO E INSTALAÇÃO. AF_12/2015</v>
          </cell>
          <cell r="C3745" t="str">
            <v>UN</v>
          </cell>
          <cell r="D3745">
            <v>66.47</v>
          </cell>
        </row>
        <row r="3746">
          <cell r="A3746">
            <v>92292</v>
          </cell>
          <cell r="B3746" t="str">
            <v>COTOVELO EM COBRE, DN 66 MM, 90 GRAUS, SEM ANEL DE SOLDA, INSTALADO EM PRUMADA  FORNECIMENTO E INSTALAÇÃO. AF_12/2015</v>
          </cell>
          <cell r="C3746" t="str">
            <v>UN</v>
          </cell>
          <cell r="D3746">
            <v>204.33</v>
          </cell>
        </row>
        <row r="3747">
          <cell r="A3747">
            <v>92293</v>
          </cell>
          <cell r="B3747" t="str">
            <v>LUVA EM COBRE, DN 22 MM, SEM ANEL DE SOLDA, INSTALADO EM PRUMADA  FORNECIMENTO E INSTALAÇÃO. AF_12/2015</v>
          </cell>
          <cell r="C3747" t="str">
            <v>UN</v>
          </cell>
          <cell r="D3747">
            <v>6.49</v>
          </cell>
        </row>
        <row r="3748">
          <cell r="A3748">
            <v>92294</v>
          </cell>
          <cell r="B3748" t="str">
            <v>LUVA EM COBRE, DN 28 MM, SEM ANEL DE SOLDA, INSTALADO EM PRUMADA  FORNECIMENTO E INSTALAÇÃO. AF_12/2015</v>
          </cell>
          <cell r="C3748" t="str">
            <v>UN</v>
          </cell>
          <cell r="D3748">
            <v>10.41</v>
          </cell>
        </row>
        <row r="3749">
          <cell r="A3749">
            <v>92295</v>
          </cell>
          <cell r="B3749" t="str">
            <v>LUVA EM COBRE, DN 35 MM, SEM ANEL DE SOLDA, INSTALADO EM PRUMADA  FORNECIMENTO E INSTALAÇÃO. AF_12/2015</v>
          </cell>
          <cell r="C3749" t="str">
            <v>UN</v>
          </cell>
          <cell r="D3749">
            <v>18.920000000000002</v>
          </cell>
        </row>
        <row r="3750">
          <cell r="A3750">
            <v>92296</v>
          </cell>
          <cell r="B3750" t="str">
            <v>LUVA EM COBRE, DN 42 MM, SEM ANEL DE SOLDA, INSTALADO EM PRUMADA  FORNECIMENTO E INSTALAÇÃO. AF_12/2015</v>
          </cell>
          <cell r="C3750" t="str">
            <v>UN</v>
          </cell>
          <cell r="D3750">
            <v>25.07</v>
          </cell>
        </row>
        <row r="3751">
          <cell r="A3751">
            <v>92297</v>
          </cell>
          <cell r="B3751" t="str">
            <v>LUVA EM COBRE, DN 54 MM, SEM ANEL DE SOLDA, INSTALADO EM PRUMADA  FORNECIMENTO E INSTALAÇÃO. AF_12/2015</v>
          </cell>
          <cell r="C3751" t="str">
            <v>UN</v>
          </cell>
          <cell r="D3751">
            <v>38.450000000000003</v>
          </cell>
        </row>
        <row r="3752">
          <cell r="A3752">
            <v>92298</v>
          </cell>
          <cell r="B3752" t="str">
            <v>LUVA EM COBRE, DN 66 MM, SEM ANEL DE SOLDA, INSTALADO EM PRUMADA  FORNECIMENTO E INSTALAÇÃO. AF_12/2015</v>
          </cell>
          <cell r="C3752" t="str">
            <v>UN</v>
          </cell>
          <cell r="D3752">
            <v>106.08</v>
          </cell>
        </row>
        <row r="3753">
          <cell r="A3753">
            <v>92299</v>
          </cell>
          <cell r="B3753" t="str">
            <v>TE EM COBRE, DN 22 MM, SEM ANEL DE SOLDA, INSTALADO EM PRUMADA  FORNECIMENTO E INSTALAÇÃO. AF_12/2015</v>
          </cell>
          <cell r="C3753" t="str">
            <v>UN</v>
          </cell>
          <cell r="D3753">
            <v>14.71</v>
          </cell>
        </row>
        <row r="3754">
          <cell r="A3754">
            <v>92300</v>
          </cell>
          <cell r="B3754" t="str">
            <v>TE EM COBRE, DN 28 MM, SEM ANEL DE SOLDA, INSTALADO EM PRUMADA  FORNECIMENTO E INSTALAÇÃO. AF_12/2015</v>
          </cell>
          <cell r="C3754" t="str">
            <v>UN</v>
          </cell>
          <cell r="D3754">
            <v>21.57</v>
          </cell>
        </row>
        <row r="3755">
          <cell r="A3755">
            <v>92301</v>
          </cell>
          <cell r="B3755" t="str">
            <v>TE EM COBRE, DN 35 MM, SEM ANEL DE SOLDA, INSTALADO EM PRUMADA  FORNECIMENTO E INSTALAÇÃO. AF_12/2015</v>
          </cell>
          <cell r="C3755" t="str">
            <v>UN</v>
          </cell>
          <cell r="D3755">
            <v>41.22</v>
          </cell>
        </row>
        <row r="3756">
          <cell r="A3756">
            <v>92302</v>
          </cell>
          <cell r="B3756" t="str">
            <v>TE EM COBRE, DN 42 MM, SEM ANEL DE SOLDA, INSTALADO EM PRUMADA  FORNECIMENTO E INSTALAÇÃO. AF_12/2015</v>
          </cell>
          <cell r="C3756" t="str">
            <v>UN</v>
          </cell>
          <cell r="D3756">
            <v>54.29</v>
          </cell>
        </row>
        <row r="3757">
          <cell r="A3757">
            <v>92303</v>
          </cell>
          <cell r="B3757" t="str">
            <v>TE EM COBRE, DN 54 MM, SEM ANEL DE SOLDA, INSTALADO EM PRUMADA  FORNECIMENTO E INSTALAÇÃO. AF_12/2015</v>
          </cell>
          <cell r="C3757" t="str">
            <v>UN</v>
          </cell>
          <cell r="D3757">
            <v>98.3</v>
          </cell>
        </row>
        <row r="3758">
          <cell r="A3758">
            <v>92304</v>
          </cell>
          <cell r="B3758" t="str">
            <v>TE EM COBRE, DN 66 MM, SEM ANEL DE SOLDA, INSTALADO EM PRUMADA  FORNECIMENTO E INSTALAÇÃO. AF_12/2015</v>
          </cell>
          <cell r="C3758" t="str">
            <v>UN</v>
          </cell>
          <cell r="D3758">
            <v>252.37</v>
          </cell>
        </row>
        <row r="3759">
          <cell r="A3759">
            <v>92311</v>
          </cell>
          <cell r="B3759" t="str">
            <v>COTOVELO EM COBRE, DN 15 MM, 90 GRAUS, SEM ANEL DE SOLDA, INSTALADO EM RAMAL DE DISTRIBUIÇÃO  FORNECIMENTO E INSTALAÇÃO. AF_12/2015</v>
          </cell>
          <cell r="C3759" t="str">
            <v>UN</v>
          </cell>
          <cell r="D3759">
            <v>8.52</v>
          </cell>
        </row>
        <row r="3760">
          <cell r="A3760">
            <v>92312</v>
          </cell>
          <cell r="B3760" t="str">
            <v>COTOVELO EM COBRE, DN 22 MM, 90 GRAUS, SEM ANEL DE SOLDA, INSTALADO EM RAMAL DE DISTRIBUIÇÃO  FORNECIMENTO E INSTALAÇÃO. AF_12/2015</v>
          </cell>
          <cell r="C3760" t="str">
            <v>UN</v>
          </cell>
          <cell r="D3760">
            <v>13.4</v>
          </cell>
        </row>
        <row r="3761">
          <cell r="A3761">
            <v>92313</v>
          </cell>
          <cell r="B3761" t="str">
            <v>COTOVELO EM COBRE, DN 28 MM, 90 GRAUS, SEM ANEL DE SOLDA, INSTALADO EM RAMAL DE DISTRIBUIÇÃO  FORNECIMENTO E INSTALAÇÃO. AF_12/2015</v>
          </cell>
          <cell r="C3761" t="str">
            <v>UN</v>
          </cell>
          <cell r="D3761">
            <v>19.14</v>
          </cell>
        </row>
        <row r="3762">
          <cell r="A3762">
            <v>92314</v>
          </cell>
          <cell r="B3762" t="str">
            <v>LUVA EM COBRE, DN 15 MM, SEM ANEL DE SOLDA, INSTALADO EM RAMAL DE DISTRIBUIÇÃO  FORNECIMENTO E INSTALAÇÃO. AF_12/2015</v>
          </cell>
          <cell r="C3762" t="str">
            <v>UN</v>
          </cell>
          <cell r="D3762">
            <v>5.56</v>
          </cell>
        </row>
        <row r="3763">
          <cell r="A3763">
            <v>92315</v>
          </cell>
          <cell r="B3763" t="str">
            <v>LUVA EM COBRE, DN 22 MM, SEM ANEL DE SOLDA, INSTALADO EM RAMAL DE DISTRIBUIÇÃO  FORNECIMENTO E INSTALAÇÃO. AF_12/2015</v>
          </cell>
          <cell r="C3763" t="str">
            <v>UN</v>
          </cell>
          <cell r="D3763">
            <v>8.0299999999999994</v>
          </cell>
        </row>
        <row r="3764">
          <cell r="A3764">
            <v>92316</v>
          </cell>
          <cell r="B3764" t="str">
            <v>LUVA EM COBRE, DN 28 MM, SEM ANEL DE SOLDA, INSTALADO EM RAMAL DE DISTRIBUIÇÃO  FORNECIMENTO E INSTALAÇÃO. AF_12/2015</v>
          </cell>
          <cell r="C3764" t="str">
            <v>UN</v>
          </cell>
          <cell r="D3764">
            <v>11.95</v>
          </cell>
        </row>
        <row r="3765">
          <cell r="A3765">
            <v>92317</v>
          </cell>
          <cell r="B3765" t="str">
            <v>TE EM COBRE, DN 15 MM, SEM ANEL DE SOLDA, INSTALADO EM RAMAL DE DISTRIBUIÇÃO  FORNECIMENTO E INSTALAÇÃO. AF_12/2015</v>
          </cell>
          <cell r="C3765" t="str">
            <v>UN</v>
          </cell>
          <cell r="D3765">
            <v>11.56</v>
          </cell>
        </row>
        <row r="3766">
          <cell r="A3766">
            <v>92318</v>
          </cell>
          <cell r="B3766" t="str">
            <v>TE EM COBRE, DN 22 MM, SEM ANEL DE SOLDA, INSTALADO EM RAMAL DE DISTRIBUIÇÃO  FORNECIMENTO E INSTALAÇÃO. AF_12/2015</v>
          </cell>
          <cell r="C3766" t="str">
            <v>UN</v>
          </cell>
          <cell r="D3766">
            <v>17.73</v>
          </cell>
        </row>
        <row r="3767">
          <cell r="A3767">
            <v>92319</v>
          </cell>
          <cell r="B3767" t="str">
            <v>TE EM COBRE, DN 28 MM, SEM ANEL DE SOLDA, INSTALADO EM RAMAL DE DISTRIBUIÇÃO  FORNECIMENTO E INSTALAÇÃO. AF_12/2015</v>
          </cell>
          <cell r="C3767" t="str">
            <v>UN</v>
          </cell>
          <cell r="D3767">
            <v>24.59</v>
          </cell>
        </row>
        <row r="3768">
          <cell r="A3768">
            <v>92326</v>
          </cell>
          <cell r="B3768" t="str">
            <v>COTOVELO EM COBRE, DN 15 MM, 90 GRAUS, SEM ANEL DE SOLDA, INSTALADO EM RAMAL E SUB-RAMAL  FORNECIMENTO E INSTALAÇÃO. AF_12/2015</v>
          </cell>
          <cell r="C3768" t="str">
            <v>UN</v>
          </cell>
          <cell r="D3768">
            <v>9.76</v>
          </cell>
        </row>
        <row r="3769">
          <cell r="A3769">
            <v>92327</v>
          </cell>
          <cell r="B3769" t="str">
            <v>COTOVELO EM COBRE, DN 22 MM, 90 GRAUS, SEM ANEL DE SOLDA, INSTALADO EM RAMAL E SUB-RAMAL  FORNECIMENTO E INSTALAÇÃO. AF_12/2015</v>
          </cell>
          <cell r="C3769" t="str">
            <v>UN</v>
          </cell>
          <cell r="D3769">
            <v>15.48</v>
          </cell>
        </row>
        <row r="3770">
          <cell r="A3770">
            <v>92328</v>
          </cell>
          <cell r="B3770" t="str">
            <v>COTOVELO EM COBRE, DN 28 MM, 90 GRAUS, SEM ANEL DE SOLDA, INSTALADO EM RAMAL E SUB-RAMAL  FORNECIMENTO E INSTALAÇÃO. AF_12/2015</v>
          </cell>
          <cell r="C3770" t="str">
            <v>UN</v>
          </cell>
          <cell r="D3770">
            <v>22.84</v>
          </cell>
        </row>
        <row r="3771">
          <cell r="A3771">
            <v>92329</v>
          </cell>
          <cell r="B3771" t="str">
            <v>LUVA EM COBRE, DN 15 MM, SEM ANEL DE SOLDA, INSTALADO EM RAMAL E SUB-RAMAL  FORNECIMENTO E INSTALAÇÃO. AF_12/2015</v>
          </cell>
          <cell r="C3771" t="str">
            <v>UN</v>
          </cell>
          <cell r="D3771">
            <v>5.7</v>
          </cell>
        </row>
        <row r="3772">
          <cell r="A3772">
            <v>92330</v>
          </cell>
          <cell r="B3772" t="str">
            <v>LUVA EM COBRE, DN 22 MM, SEM ANEL DE SOLDA, INSTALADO EM RAMAL E SUB-RAMAL  FORNECIMENTO E INSTALAÇÃO. AF_12/2015</v>
          </cell>
          <cell r="C3772" t="str">
            <v>UN</v>
          </cell>
          <cell r="D3772">
            <v>9.4</v>
          </cell>
        </row>
        <row r="3773">
          <cell r="A3773">
            <v>92331</v>
          </cell>
          <cell r="B3773" t="str">
            <v>LUVA EM COBRE, DN 28 MM, SEM ANEL DE SOLDA, INSTALADO EM RAMAL E SUB-RAMAL  FORNECIMENTO E INSTALAÇÃO. AF_12/2015</v>
          </cell>
          <cell r="C3773" t="str">
            <v>UN</v>
          </cell>
          <cell r="D3773">
            <v>14.43</v>
          </cell>
        </row>
        <row r="3774">
          <cell r="A3774">
            <v>92332</v>
          </cell>
          <cell r="B3774" t="str">
            <v>TE EM COBRE, DN 15 MM, SEM ANEL DE SOLDA, INSTALADO EM RAMAL E SUB-RAMAL  FORNECIMENTO E INSTALAÇÃO. AF_12/2015</v>
          </cell>
          <cell r="C3774" t="str">
            <v>UN</v>
          </cell>
          <cell r="D3774">
            <v>11.77</v>
          </cell>
        </row>
        <row r="3775">
          <cell r="A3775">
            <v>92333</v>
          </cell>
          <cell r="B3775" t="str">
            <v>TE EM COBRE, DN 22 MM, SEM ANEL DE SOLDA, INSTALADO EM RAMAL E SUB-RAMAL  FORNECIMENTO E INSTALAÇÃO. AF_12/2015</v>
          </cell>
          <cell r="C3775" t="str">
            <v>UN</v>
          </cell>
          <cell r="D3775">
            <v>20.49</v>
          </cell>
        </row>
        <row r="3776">
          <cell r="A3776">
            <v>92334</v>
          </cell>
          <cell r="B3776" t="str">
            <v>TE EM COBRE, DN 28 MM, SEM ANEL DE SOLDA, INSTALADO EM RAMAL E SUB-RAMAL  FORNECIMENTO E INSTALAÇÃO. AF_12/2015</v>
          </cell>
          <cell r="C3776" t="str">
            <v>UN</v>
          </cell>
          <cell r="D3776">
            <v>29.52</v>
          </cell>
        </row>
        <row r="3777">
          <cell r="A3777">
            <v>92344</v>
          </cell>
          <cell r="B3777" t="str">
            <v>NIPLE, EM FERRO GALVANIZADO, DN 50 (2"), CONEXÃO ROSQUEADA, INSTALADO EM PRUMADAS - FORNECIMENTO E INSTALAÇÃO. AF_12/2015</v>
          </cell>
          <cell r="C3777" t="str">
            <v>UN</v>
          </cell>
          <cell r="D3777">
            <v>39.93</v>
          </cell>
        </row>
        <row r="3778">
          <cell r="A3778">
            <v>92345</v>
          </cell>
          <cell r="B3778" t="str">
            <v>LUVA, EM FERRO GALVANIZADO, DN 50 (2"), CONEXÃO ROSQUEADA, INSTALADO EM PRUMADAS - FORNECIMENTO E INSTALAÇÃO. AF_12/2015</v>
          </cell>
          <cell r="C3778" t="str">
            <v>UN</v>
          </cell>
          <cell r="D3778">
            <v>39.92</v>
          </cell>
        </row>
        <row r="3779">
          <cell r="A3779">
            <v>92346</v>
          </cell>
          <cell r="B3779" t="str">
            <v>NIPLE, EM FERRO GALVANIZADO, DN 65 (2 1/2"), CONEXÃO ROSQUEADA, INSTALADO EM PRUMADAS - FORNECIMENTO E INSTALAÇÃO. AF_12/2015</v>
          </cell>
          <cell r="C3779" t="str">
            <v>UN</v>
          </cell>
          <cell r="D3779">
            <v>50.67</v>
          </cell>
        </row>
        <row r="3780">
          <cell r="A3780">
            <v>92347</v>
          </cell>
          <cell r="B3780" t="str">
            <v>LUVA, EM FERRO GALVANIZADO, DN 65 (2 1/2"), CONEXÃO ROSQUEADA, INSTALADO EM PRUMADAS - FORNECIMENTO E INSTALAÇÃO. AF_12/2015</v>
          </cell>
          <cell r="C3780" t="str">
            <v>UN</v>
          </cell>
          <cell r="D3780">
            <v>55.4</v>
          </cell>
        </row>
        <row r="3781">
          <cell r="A3781">
            <v>92348</v>
          </cell>
          <cell r="B3781" t="str">
            <v>NIPLE, EM FERRO GALVANIZADO, DN 80 (3"), CONEXÃO ROSQUEADA, INSTALADO EM PRUMADAS - FORNECIMENTO E INSTALAÇÃO. AF_12/2015</v>
          </cell>
          <cell r="C3781" t="str">
            <v>UN</v>
          </cell>
          <cell r="D3781">
            <v>68.3</v>
          </cell>
        </row>
        <row r="3782">
          <cell r="A3782">
            <v>92349</v>
          </cell>
          <cell r="B3782" t="str">
            <v>LUVA, EM FERRO GALVANIZADO, DN 80 (3"), CONEXÃO ROSQUEADA, INSTALADO EM PRUMADAS - FORNECIMENTO E INSTALAÇÃO. AF_12/2015</v>
          </cell>
          <cell r="C3782" t="str">
            <v>UN</v>
          </cell>
          <cell r="D3782">
            <v>72.510000000000005</v>
          </cell>
        </row>
        <row r="3783">
          <cell r="A3783">
            <v>92350</v>
          </cell>
          <cell r="B3783" t="str">
            <v>JOELHO 45 GRAUS, EM FERRO GALVANIZADO, DN 50 (2"), CONEXÃO ROSQUEADA, INSTALADO EM PRUMADAS - FORNECIMENTO E INSTALAÇÃO. AF_12/2015</v>
          </cell>
          <cell r="C3783" t="str">
            <v>UN</v>
          </cell>
          <cell r="D3783">
            <v>59.38</v>
          </cell>
        </row>
        <row r="3784">
          <cell r="A3784">
            <v>92351</v>
          </cell>
          <cell r="B3784" t="str">
            <v>JOELHO 90 GRAUS, EM FERRO GALVANIZADO, DN 50 (2"), CONEXÃO ROSQUEADA, INSTALADO EM PRUMADAS - FORNECIMENTO E INSTALAÇÃO. AF_12/2015</v>
          </cell>
          <cell r="C3784" t="str">
            <v>UN</v>
          </cell>
          <cell r="D3784">
            <v>58.33</v>
          </cell>
        </row>
        <row r="3785">
          <cell r="A3785">
            <v>92352</v>
          </cell>
          <cell r="B3785" t="str">
            <v>JOELHO 45 GRAUS, EM FERRO GALVANIZADO, DN 65 (2 1/2"), CONEXÃO ROSQUEADA, INSTALADO EM PRUMADAS - FORNECIMENTO E INSTALAÇÃO. AF_12/2015</v>
          </cell>
          <cell r="C3785" t="str">
            <v>UN</v>
          </cell>
          <cell r="D3785">
            <v>84.94</v>
          </cell>
        </row>
        <row r="3786">
          <cell r="A3786">
            <v>92353</v>
          </cell>
          <cell r="B3786" t="str">
            <v>JOELHO 90 GRAUS, EM FERRO GALVANIZADO, DN 65 (2 1/2"), CONEXÃO ROSQUEADA, INSTALADO EM PRUMADAS - FORNECIMENTO E INSTALAÇÃO. AF_12/2015</v>
          </cell>
          <cell r="C3786" t="str">
            <v>UN</v>
          </cell>
          <cell r="D3786">
            <v>80.31</v>
          </cell>
        </row>
        <row r="3787">
          <cell r="A3787">
            <v>92354</v>
          </cell>
          <cell r="B3787" t="str">
            <v>JOELHO 45 GRAUS, EM FERRO GALVANIZADO, DN 80 (3"), CONEXÃO ROSQUEADA, INSTALADO EM PRUMADAS - FORNECIMENTO E INSTALAÇÃO. AF_12/2015</v>
          </cell>
          <cell r="C3787" t="str">
            <v>UN</v>
          </cell>
          <cell r="D3787">
            <v>109.54</v>
          </cell>
        </row>
        <row r="3788">
          <cell r="A3788">
            <v>92355</v>
          </cell>
          <cell r="B3788" t="str">
            <v>JOELHO 90 GRAUS, EM FERRO GALVANIZADO, DN 80 (3"), CONEXÃO ROSQUEADA, INSTALADO EM PRUMADAS - FORNECIMENTO E INSTALAÇÃO. AF_12/2015</v>
          </cell>
          <cell r="C3788" t="str">
            <v>UN</v>
          </cell>
          <cell r="D3788">
            <v>100.63</v>
          </cell>
        </row>
        <row r="3789">
          <cell r="A3789">
            <v>92356</v>
          </cell>
          <cell r="B3789" t="str">
            <v>TÊ, EM FERRO GALVANIZADO, DN 50 (2"), CONEXÃO ROSQUEADA, INSTALADO EM PRUMADAS - FORNECIMENTO E INSTALAÇÃO. AF_12/2015</v>
          </cell>
          <cell r="C3789" t="str">
            <v>UN</v>
          </cell>
          <cell r="D3789">
            <v>77.819999999999993</v>
          </cell>
        </row>
        <row r="3790">
          <cell r="A3790">
            <v>92357</v>
          </cell>
          <cell r="B3790" t="str">
            <v>TÊ, EM FERRO GALVANIZADO, DN 65 (2 1/2"), CONEXÃO ROSQUEADA, INSTALADO EM PRUMADAS - FORNECIMENTO E INSTALAÇÃO. AF_12/2015</v>
          </cell>
          <cell r="C3790" t="str">
            <v>UN</v>
          </cell>
          <cell r="D3790">
            <v>109.49</v>
          </cell>
        </row>
        <row r="3791">
          <cell r="A3791">
            <v>92358</v>
          </cell>
          <cell r="B3791" t="str">
            <v>TÊ, EM FERRO GALVANIZADO, DN 80 (3"), CONEXÃO ROSQUEADA, INSTALADO EM PRUMADAS - FORNECIMENTO E INSTALAÇÃO. AF_12/2015</v>
          </cell>
          <cell r="C3791" t="str">
            <v>UN</v>
          </cell>
          <cell r="D3791">
            <v>133.38999999999999</v>
          </cell>
        </row>
        <row r="3792">
          <cell r="A3792">
            <v>92369</v>
          </cell>
          <cell r="B3792" t="str">
            <v>NIPLE, EM FERRO GALVANIZADO, DN 25 (1"), CONEXÃO ROSQUEADA, INSTALADO EM REDE DE ALIMENTAÇÃO PARA HIDRANTE - FORNECIMENTO E INSTALAÇÃO. AF_12/2015</v>
          </cell>
          <cell r="C3792" t="str">
            <v>UN</v>
          </cell>
          <cell r="D3792">
            <v>23.25</v>
          </cell>
        </row>
        <row r="3793">
          <cell r="A3793">
            <v>92370</v>
          </cell>
          <cell r="B3793" t="str">
            <v>LUVA, EM FERRO GALVANIZADO, DN 25 (1"), CONEXÃO ROSQUEADA, INSTALADO EM REDE DE ALIMENTAÇÃO PARA HIDRANTE - FORNECIMENTO E INSTALAÇÃO. AF_12/2015</v>
          </cell>
          <cell r="C3793" t="str">
            <v>UN</v>
          </cell>
          <cell r="D3793">
            <v>24.1</v>
          </cell>
        </row>
        <row r="3794">
          <cell r="A3794">
            <v>92371</v>
          </cell>
          <cell r="B3794" t="str">
            <v>NIPLE, EM FERRO GALVANIZADO, DN 32 (1 1/4"), CONEXÃO ROSQUEADA, INSTALADO EM REDE DE ALIMENTAÇÃO PARA HIDRANTE - FORNECIMENTO E INSTALAÇÃO. AF_12/2015</v>
          </cell>
          <cell r="C3794" t="str">
            <v>UN</v>
          </cell>
          <cell r="D3794">
            <v>27.41</v>
          </cell>
        </row>
        <row r="3795">
          <cell r="A3795">
            <v>92372</v>
          </cell>
          <cell r="B3795" t="str">
            <v>LUVA, EM FERRO GALVANIZADO, DN 32 (1 1/4"), CONEXÃO ROSQUEADA, INSTALADO EM REDE DE ALIMENTAÇÃO PARA HIDRANTE - FORNECIMENTO E INSTALAÇÃO. AF_12/2015</v>
          </cell>
          <cell r="C3795" t="str">
            <v>UN</v>
          </cell>
          <cell r="D3795">
            <v>28.2</v>
          </cell>
        </row>
        <row r="3796">
          <cell r="A3796">
            <v>92373</v>
          </cell>
          <cell r="B3796" t="str">
            <v>NIPLE, EM FERRO GALVANIZADO, DN 40 (1 1/2"), CONEXÃO ROSQUEADA, INSTALADO EM REDE DE ALIMENTAÇÃO PARA HIDRANTE - FORNECIMENTO E INSTALAÇÃO. AF_12/2015</v>
          </cell>
          <cell r="C3796" t="str">
            <v>UN</v>
          </cell>
          <cell r="D3796">
            <v>31.79</v>
          </cell>
        </row>
        <row r="3797">
          <cell r="A3797">
            <v>92374</v>
          </cell>
          <cell r="B3797" t="str">
            <v>LUVA, EM FERRO GALVANIZADO, DN 40 (1 1/2"), CONEXÃO ROSQUEADA, INSTALADO EM REDE DE ALIMENTAÇÃO PARA HIDRANTE - FORNECIMENTO E INSTALAÇÃO. AF_12/2015</v>
          </cell>
          <cell r="C3797" t="str">
            <v>UN</v>
          </cell>
          <cell r="D3797">
            <v>31.94</v>
          </cell>
        </row>
        <row r="3798">
          <cell r="A3798">
            <v>92375</v>
          </cell>
          <cell r="B3798" t="str">
            <v>NIPLE, EM FERRO GALVANIZADO, DN 50 (2"), CONEXÃO ROSQUEADA, INSTALADO EM REDE DE ALIMENTAÇÃO PARA HIDRANTE - FORNECIMENTO E INSTALAÇÃO. AF_12/2015</v>
          </cell>
          <cell r="C3798" t="str">
            <v>UN</v>
          </cell>
          <cell r="D3798">
            <v>39.89</v>
          </cell>
        </row>
        <row r="3799">
          <cell r="A3799">
            <v>92376</v>
          </cell>
          <cell r="B3799" t="str">
            <v>LUVA, EM FERRO GALVANIZADO, DN 50 (2"), CONEXÃO ROSQUEADA, INSTALADO EM REDE DE ALIMENTAÇÃO PARA HIDRANTE - FORNECIMENTO E INSTALAÇÃO. AF_12/2015</v>
          </cell>
          <cell r="C3799" t="str">
            <v>UN</v>
          </cell>
          <cell r="D3799">
            <v>39.880000000000003</v>
          </cell>
        </row>
        <row r="3800">
          <cell r="A3800">
            <v>92377</v>
          </cell>
          <cell r="B3800" t="str">
            <v>NIPLE, EM FERRO GALVANIZADO, DN 65 (2 1/2"), CONEXÃO ROSQUEADA, INSTALADO EM REDE DE ALIMENTAÇÃO PARA HIDRANTE - FORNECIMENTO E INSTALAÇÃO. AF_12/2015</v>
          </cell>
          <cell r="C3800" t="str">
            <v>UN</v>
          </cell>
          <cell r="D3800">
            <v>51.89</v>
          </cell>
        </row>
        <row r="3801">
          <cell r="A3801">
            <v>92378</v>
          </cell>
          <cell r="B3801" t="str">
            <v>LUVA, EM FERRO GALVANIZADO, DN 65 (2 1/2"), CONEXÃO ROSQUEADA, INSTALADO EM REDE DE ALIMENTAÇÃO PARA HIDRANTE - FORNECIMENTO E INSTALAÇÃO. AF_12/2015</v>
          </cell>
          <cell r="C3801" t="str">
            <v>UN</v>
          </cell>
          <cell r="D3801">
            <v>56.62</v>
          </cell>
        </row>
        <row r="3802">
          <cell r="A3802">
            <v>92379</v>
          </cell>
          <cell r="B3802" t="str">
            <v>NIPLE, EM FERRO GALVANIZADO, DN 80 (3"), CONEXÃO ROSQUEADA, INSTALADO EM REDE DE ALIMENTAÇÃO PARA HIDRANTE - FORNECIMENTO E INSTALAÇÃO. AF_12/2015</v>
          </cell>
          <cell r="C3802" t="str">
            <v>UN</v>
          </cell>
          <cell r="D3802">
            <v>70.819999999999993</v>
          </cell>
        </row>
        <row r="3803">
          <cell r="A3803">
            <v>92380</v>
          </cell>
          <cell r="B3803" t="str">
            <v>LUVA, EM FERRO GALVANIZADO, DN 80 (3"), CONEXÃO ROSQUEADA, INSTALADO EM REDE DE ALIMENTAÇÃO PARA HIDRANTE - FORNECIMENTO E INSTALAÇÃO. AF_12/2015</v>
          </cell>
          <cell r="C3803" t="str">
            <v>UN</v>
          </cell>
          <cell r="D3803">
            <v>75.03</v>
          </cell>
        </row>
        <row r="3804">
          <cell r="A3804">
            <v>92381</v>
          </cell>
          <cell r="B3804" t="str">
            <v>JOELHO 45 GRAUS, EM FERRO GALVANIZADO, DN 25 (1"), CONEXÃO ROSQUEADA, INSTALADO EM REDE DE ALIMENTAÇÃO PARA HIDRANTE - FORNECIMENTO E INSTALAÇÃO. AF_12/2015</v>
          </cell>
          <cell r="C3804" t="str">
            <v>UN</v>
          </cell>
          <cell r="D3804">
            <v>35.08</v>
          </cell>
        </row>
        <row r="3805">
          <cell r="A3805">
            <v>92382</v>
          </cell>
          <cell r="B3805" t="str">
            <v>JOELHO 90 GRAUS, EM FERRO GALVANIZADO, DN 25 (1"), CONEXÃO ROSQUEADA, INSTALADO EM REDE DE ALIMENTAÇÃO PARA HIDRANTE - FORNECIMENTO E INSTALAÇÃO. AF_12/2015</v>
          </cell>
          <cell r="C3805" t="str">
            <v>UN</v>
          </cell>
          <cell r="D3805">
            <v>33.950000000000003</v>
          </cell>
        </row>
        <row r="3806">
          <cell r="A3806">
            <v>92383</v>
          </cell>
          <cell r="B3806" t="str">
            <v>JOELHO 45 GRAUS, EM FERRO GALVANIZADO, DN 32 (1 1/4"), CONEXÃO ROSQUEADA, INSTALADO EM REDE DE ALIMENTAÇÃO PARA HIDRANTE - FORNECIMENTO E INSTALAÇÃO. AF_12/2015</v>
          </cell>
          <cell r="C3806" t="str">
            <v>UN</v>
          </cell>
          <cell r="D3806">
            <v>42.65</v>
          </cell>
        </row>
        <row r="3807">
          <cell r="A3807">
            <v>92384</v>
          </cell>
          <cell r="B3807" t="str">
            <v>JOELHO 90 GRAUS, EM FERRO GALVANIZADO, DN 32 (1 1/4"), CONEXÃO ROSQUEADA, INSTALADO EM REDE DE ALIMENTAÇÃO PARA HIDRANTE - FORNECIMENTO E INSTALAÇÃO. AF_12/2015</v>
          </cell>
          <cell r="C3807" t="str">
            <v>UN</v>
          </cell>
          <cell r="D3807">
            <v>40.409999999999997</v>
          </cell>
        </row>
        <row r="3808">
          <cell r="A3808">
            <v>92385</v>
          </cell>
          <cell r="B3808" t="str">
            <v>JOELHO 45 GRAUS, EM FERRO GALVANIZADO, DN 40 (1 1/2"), CONEXÃO ROSQUEADA, INSTALADO EM REDE DE ALIMENTAÇÃO PARA HIDRANTE - FORNECIMENTO E INSTALAÇÃO. AF_12/2015</v>
          </cell>
          <cell r="C3808" t="str">
            <v>UN</v>
          </cell>
          <cell r="D3808">
            <v>48.35</v>
          </cell>
        </row>
        <row r="3809">
          <cell r="A3809">
            <v>92386</v>
          </cell>
          <cell r="B3809" t="str">
            <v>JOELHO 90 GRAUS, EM FERRO GALVANIZADO, DN 40 (1 1/2"), CONEXÃO ROSQUEADA, INSTALADO EM REDE DE ALIMENTAÇÃO PARA HIDRANTE - FORNECIMENTO E INSTALAÇÃO. AF_12/2015</v>
          </cell>
          <cell r="C3809" t="str">
            <v>UN</v>
          </cell>
          <cell r="D3809">
            <v>46.81</v>
          </cell>
        </row>
        <row r="3810">
          <cell r="A3810">
            <v>92387</v>
          </cell>
          <cell r="B3810" t="str">
            <v>JOELHO 45 GRAUS, EM FERRO GALVANIZADO, DN 50 (2"), CONEXÃO ROSQUEADA, INSTALADO EM REDE DE ALIMENTAÇÃO PARA HIDRANTE - FORNECIMENTO E INSTALAÇÃO. AF_12/2015</v>
          </cell>
          <cell r="C3810" t="str">
            <v>UN</v>
          </cell>
          <cell r="D3810">
            <v>59.31</v>
          </cell>
        </row>
        <row r="3811">
          <cell r="A3811">
            <v>92388</v>
          </cell>
          <cell r="B3811" t="str">
            <v>JOELHO 90 GRAUS, EM FERRO GALVANIZADO, DN 50 (2"), CONEXÃO ROSQUEADA, INSTALADO EM REDE DE ALIMENTAÇÃO PARA HIDRANTE - FORNECIMENTO E INSTALAÇÃO. AF_12/2015</v>
          </cell>
          <cell r="C3811" t="str">
            <v>UN</v>
          </cell>
          <cell r="D3811">
            <v>58.26</v>
          </cell>
        </row>
        <row r="3812">
          <cell r="A3812">
            <v>92389</v>
          </cell>
          <cell r="B3812" t="str">
            <v>JOELHO 45 GRAUS, EM FERRO GALVANIZADO, DN 65 (2 1/2"), CONEXÃO ROSQUEADA, INSTALADO EM REDE DE ALIMENTAÇÃO PARA HIDRANTE - FORNECIMENTO E INSTALAÇÃO. AF_12/2015</v>
          </cell>
          <cell r="C3812" t="str">
            <v>UN</v>
          </cell>
          <cell r="D3812">
            <v>86.82</v>
          </cell>
        </row>
        <row r="3813">
          <cell r="A3813">
            <v>92390</v>
          </cell>
          <cell r="B3813" t="str">
            <v>JOELHO 90 GRAUS, EM FERRO GALVANIZADO, DN 65 (2 1/2"), CONEXÃO ROSQUEADA, INSTALADO EM REDE DE ALIMENTAÇÃO PARA HIDRANTE - FORNECIMENTO E INSTALAÇÃO. AF_12/2015</v>
          </cell>
          <cell r="C3813" t="str">
            <v>UN</v>
          </cell>
          <cell r="D3813">
            <v>82.19</v>
          </cell>
        </row>
        <row r="3814">
          <cell r="A3814">
            <v>92635</v>
          </cell>
          <cell r="B3814" t="str">
            <v>JOELHO 45 GRAUS, EM FERRO GALVANIZADO, CONEXÃO ROSQUEADA, DN 80 (3"), INSTALADO EM REDE DE ALIMENTAÇÃO PARA HIDRANTE - FORNECIMENTO E INSTALAÇÃO. AF_12/2015</v>
          </cell>
          <cell r="C3814" t="str">
            <v>UN</v>
          </cell>
          <cell r="D3814">
            <v>113.34</v>
          </cell>
        </row>
        <row r="3815">
          <cell r="A3815">
            <v>92636</v>
          </cell>
          <cell r="B3815" t="str">
            <v>JOELHO 90 GRAUS, EM FERRO GALVANIZADO, CONEXÃO ROSQUEADA, DN 80 (3"), INSTALADO EM REDE DE ALIMENTAÇÃO PARA HIDRANTE - FORNECIMENTO E INSTALAÇÃO. AF_12/2015</v>
          </cell>
          <cell r="C3815" t="str">
            <v>UN</v>
          </cell>
          <cell r="D3815">
            <v>104.43</v>
          </cell>
        </row>
        <row r="3816">
          <cell r="A3816">
            <v>92637</v>
          </cell>
          <cell r="B3816" t="str">
            <v>TÊ, EM FERRO GALVANIZADO, CONEXÃO ROSQUEADA, DN 25 (1"), INSTALADO EM REDE DE ALIMENTAÇÃO PARA HIDRANTE - FORNECIMENTO E INSTALAÇÃO. AF_12/2015</v>
          </cell>
          <cell r="C3816" t="str">
            <v>UN</v>
          </cell>
          <cell r="D3816">
            <v>45.72</v>
          </cell>
        </row>
        <row r="3817">
          <cell r="A3817">
            <v>92638</v>
          </cell>
          <cell r="B3817" t="str">
            <v>TÊ, EM FERRO GALVANIZADO, CONEXÃO ROSQUEADA, DN 32 (1 1/4"), INSTALADO EM REDE DE ALIMENTAÇÃO PARA HIDRANTE - FORNECIMENTO E INSTALAÇÃO. AF_12/2015</v>
          </cell>
          <cell r="C3817" t="str">
            <v>UN</v>
          </cell>
          <cell r="D3817">
            <v>54.19</v>
          </cell>
        </row>
        <row r="3818">
          <cell r="A3818">
            <v>92639</v>
          </cell>
          <cell r="B3818" t="str">
            <v>TÊ, EM FERRO GALVANIZADO, CONEXÃO ROSQUEADA, DN 40 (1 1/2"), INSTALADO EM REDE DE ALIMENTAÇÃO PARA HIDRANTE - FORNECIMENTO E INSTALAÇÃO. AF_12/2015</v>
          </cell>
          <cell r="C3818" t="str">
            <v>UN</v>
          </cell>
          <cell r="D3818">
            <v>61.86</v>
          </cell>
        </row>
        <row r="3819">
          <cell r="A3819">
            <v>92640</v>
          </cell>
          <cell r="B3819" t="str">
            <v>TÊ, EM FERRO GALVANIZADO, CONEXÃO ROSQUEADA, DN 50 (2"), INSTALADO EM REDE DE ALIMENTAÇÃO PARA HIDRANTE - FORNECIMENTO E INSTALAÇÃO. AF_12/2015</v>
          </cell>
          <cell r="C3819" t="str">
            <v>UN</v>
          </cell>
          <cell r="D3819">
            <v>77.709999999999994</v>
          </cell>
        </row>
        <row r="3820">
          <cell r="A3820">
            <v>92642</v>
          </cell>
          <cell r="B3820" t="str">
            <v>TÊ, EM FERRO GALVANIZADO, CONEXÃO ROSQUEADA, DN 65 (2 1/2"), INSTALADO EM REDE DE ALIMENTAÇÃO PARA HIDRANTE - FORNECIMENTO E INSTALAÇÃO. AF_12/2015</v>
          </cell>
          <cell r="C3820" t="str">
            <v>UN</v>
          </cell>
          <cell r="D3820">
            <v>111.94</v>
          </cell>
        </row>
        <row r="3821">
          <cell r="A3821">
            <v>92644</v>
          </cell>
          <cell r="B3821" t="str">
            <v>TÊ, EM FERRO GALVANIZADO, CONEXÃO ROSQUEADA, DN 80 (3"), INSTALADO EM REDE DE ALIMENTAÇÃO PARA HIDRANTE - FORNECIMENTO E INSTALAÇÃO. AF_12/2015</v>
          </cell>
          <cell r="C3821" t="str">
            <v>UN</v>
          </cell>
          <cell r="D3821">
            <v>138.44</v>
          </cell>
        </row>
        <row r="3822">
          <cell r="A3822">
            <v>92657</v>
          </cell>
          <cell r="B3822" t="str">
            <v>NIPLE, EM FERRO GALVANIZADO, CONEXÃO ROSQUEADA, DN 25 (1"), INSTALADO EM REDE DE ALIMENTAÇÃO PARA SPRINKLER - FORNECIMENTO E INSTALAÇÃO. AF_12/2015</v>
          </cell>
          <cell r="C3822" t="str">
            <v>UN</v>
          </cell>
          <cell r="D3822">
            <v>16.420000000000002</v>
          </cell>
        </row>
        <row r="3823">
          <cell r="A3823">
            <v>92658</v>
          </cell>
          <cell r="B3823" t="str">
            <v>LUVA, EM FERRO GALVANIZADO, CONEXÃO ROSQUEADA, DN 25 (1"), INSTALADO EM REDE DE ALIMENTAÇÃO PARA SPRINKLER - FORNECIMENTO E INSTALAÇÃO. AF_12/2015</v>
          </cell>
          <cell r="C3823" t="str">
            <v>UN</v>
          </cell>
          <cell r="D3823">
            <v>17.27</v>
          </cell>
        </row>
        <row r="3824">
          <cell r="A3824">
            <v>92659</v>
          </cell>
          <cell r="B3824" t="str">
            <v>NIPLE, EM FERRO GALVANIZADO, CONEXÃO ROSQUEADA, DN 32 (1 1/4"), INSTALADO EM REDE DE ALIMENTAÇÃO PARA SPRINKLER - FORNECIMENTO E INSTALAÇÃO. AF_12/2015</v>
          </cell>
          <cell r="C3824" t="str">
            <v>UN</v>
          </cell>
          <cell r="D3824">
            <v>19.64</v>
          </cell>
        </row>
        <row r="3825">
          <cell r="A3825">
            <v>92660</v>
          </cell>
          <cell r="B3825" t="str">
            <v>LUVA, EM FERRO GALVANIZADO, CONEXÃO ROSQUEADA, DN 32 (1 1/4"), INSTALADO EM REDE DE ALIMENTAÇÃO PARA SPRINKLER - FORNECIMENTO E INSTALAÇÃO. AF_12/2015</v>
          </cell>
          <cell r="C3825" t="str">
            <v>UN</v>
          </cell>
          <cell r="D3825">
            <v>20.43</v>
          </cell>
        </row>
        <row r="3826">
          <cell r="A3826">
            <v>92661</v>
          </cell>
          <cell r="B3826" t="str">
            <v>NIPLE, EM FERRO GALVANIZADO, CONEXÃO ROSQUEADA, DN 40 (1 1/2"), INSTALADO EM REDE DE ALIMENTAÇÃO PARA SPRINKLER - FORNECIMENTO E INSTALAÇÃO. AF_12/2015</v>
          </cell>
          <cell r="C3826" t="str">
            <v>UN</v>
          </cell>
          <cell r="D3826">
            <v>22.95</v>
          </cell>
        </row>
        <row r="3827">
          <cell r="A3827">
            <v>92662</v>
          </cell>
          <cell r="B3827" t="str">
            <v>LUVA, EM FERRO GALVANIZADO, CONEXÃO ROSQUEADA, DN 40 (1 1/2"), INSTALADO EM REDE DE ALIMENTAÇÃO PARA SPRINKLER - FORNECIMENTO E INSTALAÇÃO. AF_12/2015</v>
          </cell>
          <cell r="C3827" t="str">
            <v>UN</v>
          </cell>
          <cell r="D3827">
            <v>23.1</v>
          </cell>
        </row>
        <row r="3828">
          <cell r="A3828">
            <v>92663</v>
          </cell>
          <cell r="B3828" t="str">
            <v>NIPLE, EM FERRO GALVANIZADO, CONEXÃO ROSQUEADA, DN 50 (2"), INSTALADO EM REDE DE ALIMENTAÇÃO PARA SPRINKLER - FORNECIMENTO E INSTALAÇÃO. AF_12/2015</v>
          </cell>
          <cell r="C3828" t="str">
            <v>UN</v>
          </cell>
          <cell r="D3828">
            <v>29.71</v>
          </cell>
        </row>
        <row r="3829">
          <cell r="A3829">
            <v>92664</v>
          </cell>
          <cell r="B3829" t="str">
            <v>LUVA, EM FERRO GALVANIZADO, CONEXÃO ROSQUEADA, DN 50 (2"), INSTALADO EM REDE DE ALIMENTAÇÃO PARA SPRINKLER - FORNECIMENTO E INSTALAÇÃO. AF_12/2015</v>
          </cell>
          <cell r="C3829" t="str">
            <v>UN</v>
          </cell>
          <cell r="D3829">
            <v>29.7</v>
          </cell>
        </row>
        <row r="3830">
          <cell r="A3830">
            <v>92665</v>
          </cell>
          <cell r="B3830" t="str">
            <v>NIPLE, EM FERRO GALVANIZADO, CONEXÃO ROSQUEADA, DN 65 (2 1/2"), INSTALADO EM REDE DE ALIMENTAÇÃO PARA SPRINKLER - FORNECIMENTO E INSTALAÇÃO. AF_12/2015</v>
          </cell>
          <cell r="C3830" t="str">
            <v>UN</v>
          </cell>
          <cell r="D3830">
            <v>39.69</v>
          </cell>
        </row>
        <row r="3831">
          <cell r="A3831">
            <v>92666</v>
          </cell>
          <cell r="B3831" t="str">
            <v>LUVA, EM FERRO GALVANIZADO, CONEXÃO ROSQUEADA, DN 65 (2 1/2"), INSTALADO EM REDE DE ALIMENTAÇÃO PARA SPRINKLER - FORNECIMENTO E INSTALAÇÃO. AF_12/2015</v>
          </cell>
          <cell r="C3831" t="str">
            <v>UN</v>
          </cell>
          <cell r="D3831">
            <v>44.42</v>
          </cell>
        </row>
        <row r="3832">
          <cell r="A3832">
            <v>92667</v>
          </cell>
          <cell r="B3832" t="str">
            <v>NIPLE, EM FERRO GALVANIZADO, CONEXÃO ROSQUEADA, DN 80 (3"), INSTALADO EM REDE DE ALIMENTAÇÃO PARA SPRINKLER - FORNECIMENTO E INSTALAÇÃO. AF_12/2015</v>
          </cell>
          <cell r="C3832" t="str">
            <v>UN</v>
          </cell>
          <cell r="D3832">
            <v>56.63</v>
          </cell>
        </row>
        <row r="3833">
          <cell r="A3833">
            <v>92668</v>
          </cell>
          <cell r="B3833" t="str">
            <v>LUVA, EM FERRO GALVANIZADO, CONEXÃO ROSQUEADA, DN 80 (3"), INSTALADO EM REDE DE ALIMENTAÇÃO PARA SPRINKLER - FORNECIMENTO E INSTALAÇÃO. AF_12/2015</v>
          </cell>
          <cell r="C3833" t="str">
            <v>UN</v>
          </cell>
          <cell r="D3833">
            <v>60.84</v>
          </cell>
        </row>
        <row r="3834">
          <cell r="A3834">
            <v>92669</v>
          </cell>
          <cell r="B3834" t="str">
            <v>JOELHO 45 GRAUS, EM FERRO GALVANIZADO, CONEXÃO ROSQUEADA, DN 25 (1"), INSTALADO EM REDE DE ALIMENTAÇÃO PARA SPRINKLER - FORNECIMENTO E INSTALAÇÃO. AF_12/2015</v>
          </cell>
          <cell r="C3834" t="str">
            <v>UN</v>
          </cell>
          <cell r="D3834">
            <v>24.82</v>
          </cell>
        </row>
        <row r="3835">
          <cell r="A3835">
            <v>92670</v>
          </cell>
          <cell r="B3835" t="str">
            <v>JOELHO 90 GRAUS, EM FERRO GALVANIZADO, CONEXÃO ROSQUEADA, DN 25 (1"), INSTALADO EM REDE DE ALIMENTAÇÃO PARA SPRINKLER - FORNECIMENTO E INSTALAÇÃO. AF_12/2015</v>
          </cell>
          <cell r="C3835" t="str">
            <v>UN</v>
          </cell>
          <cell r="D3835">
            <v>23.69</v>
          </cell>
        </row>
        <row r="3836">
          <cell r="A3836">
            <v>92671</v>
          </cell>
          <cell r="B3836" t="str">
            <v>JOELHO 45 GRAUS, EM FERRO GALVANIZADO, CONEXÃO ROSQUEADA, DN 32 (1 1/4"), INSTALADO EM REDE DE ALIMENTAÇÃO PARA SPRINKLER - FORNECIMENTO E INSTALAÇÃO. AF_12/2015</v>
          </cell>
          <cell r="C3836" t="str">
            <v>UN</v>
          </cell>
          <cell r="D3836">
            <v>31.02</v>
          </cell>
        </row>
        <row r="3837">
          <cell r="A3837">
            <v>92672</v>
          </cell>
          <cell r="B3837" t="str">
            <v>JOELHO 90 GRAUS, EM FERRO GALVANIZADO, CONEXÃO ROSQUEADA, DN 32 (1 1/4"), INSTALADO EM REDE DE ALIMENTAÇÃO PARA SPRINKLER - FORNECIMENTO E INSTALAÇÃO. AF_12/2015</v>
          </cell>
          <cell r="C3837" t="str">
            <v>UN</v>
          </cell>
          <cell r="D3837">
            <v>28.78</v>
          </cell>
        </row>
        <row r="3838">
          <cell r="A3838">
            <v>92673</v>
          </cell>
          <cell r="B3838" t="str">
            <v>JOELHO 45 GRAUS, EM FERRO GALVANIZADO, CONEXÃO ROSQUEADA, DN 40 (1 1/2"), INSTALADO EM REDE DE ALIMENTAÇÃO PARA SPRINKLER - FORNECIMENTO E INSTALAÇÃO. AF_12/2015</v>
          </cell>
          <cell r="C3838" t="str">
            <v>UN</v>
          </cell>
          <cell r="D3838">
            <v>35.1</v>
          </cell>
        </row>
        <row r="3839">
          <cell r="A3839">
            <v>92674</v>
          </cell>
          <cell r="B3839" t="str">
            <v>JOELHO 90 GRAUS, EM FERRO GALVANIZADO, CONEXÃO ROSQUEADA, DN 40 (1 1/2"), INSTALADO EM REDE DE ALIMENTAÇÃO PARA SPRINKLER - FORNECIMENTO E INSTALAÇÃO. AF_12/2015</v>
          </cell>
          <cell r="C3839" t="str">
            <v>UN</v>
          </cell>
          <cell r="D3839">
            <v>33.56</v>
          </cell>
        </row>
        <row r="3840">
          <cell r="A3840">
            <v>92675</v>
          </cell>
          <cell r="B3840" t="str">
            <v>JOELHO 45 GRAUS, EM FERRO GALVANIZADO, CONEXÃO ROSQUEADA, DN 50 (2"), INSTALADO EM REDE DE ALIMENTAÇÃO PARA SPRINKLER - FORNECIMENTO E INSTALAÇÃO. AF_12/2015</v>
          </cell>
          <cell r="C3840" t="str">
            <v>UN</v>
          </cell>
          <cell r="D3840">
            <v>44.07</v>
          </cell>
        </row>
        <row r="3841">
          <cell r="A3841">
            <v>92676</v>
          </cell>
          <cell r="B3841" t="str">
            <v>JOELHO 90 GRAUS, EM FERRO GALVANIZADO, CONEXÃO ROSQUEADA, DN 50 (2"), INSTALADO EM REDE DE ALIMENTAÇÃO PARA SPRINKLER - FORNECIMENTO E INSTALAÇÃO. AF_12/2015</v>
          </cell>
          <cell r="C3841" t="str">
            <v>UN</v>
          </cell>
          <cell r="D3841">
            <v>43.02</v>
          </cell>
        </row>
        <row r="3842">
          <cell r="A3842">
            <v>92677</v>
          </cell>
          <cell r="B3842" t="str">
            <v>JOELHO 45 GRAUS, EM FERRO GALVANIZADO, CONEXÃO ROSQUEADA, DN 65 (2 1/2"), INSTALADO EM REDE DE ALIMENTAÇÃO PARA SPRINKLER - FORNECIMENTO E INSTALAÇÃO. AF_12/2015</v>
          </cell>
          <cell r="C3842" t="str">
            <v>UN</v>
          </cell>
          <cell r="D3842">
            <v>68.55</v>
          </cell>
        </row>
        <row r="3843">
          <cell r="A3843">
            <v>92678</v>
          </cell>
          <cell r="B3843" t="str">
            <v>JOELHO 90 GRAUS, EM FERRO GALVANIZADO, CONEXÃO ROSQUEADA, DN 65 (2 1/2"), INSTALADO EM REDE DE ALIMENTAÇÃO PARA SPRINKLER - FORNECIMENTO E INSTALAÇÃO. AF_12/2015</v>
          </cell>
          <cell r="C3843" t="str">
            <v>UN</v>
          </cell>
          <cell r="D3843">
            <v>63.92</v>
          </cell>
        </row>
        <row r="3844">
          <cell r="A3844">
            <v>92679</v>
          </cell>
          <cell r="B3844" t="str">
            <v>JOELHO 45 GRAUS, EM FERRO GALVANIZADO, CONEXÃO ROSQUEADA, DN 80 (3"), INSTALADO EM REDE DE ALIMENTAÇÃO PARA SPRINKLER - FORNECIMENTO E INSTALAÇÃO. AF_12/2015</v>
          </cell>
          <cell r="C3844" t="str">
            <v>UN</v>
          </cell>
          <cell r="D3844">
            <v>92.07</v>
          </cell>
        </row>
        <row r="3845">
          <cell r="A3845">
            <v>92680</v>
          </cell>
          <cell r="B3845" t="str">
            <v>JOELHO 90 GRAUS, EM FERRO GALVANIZADO, CONEXÃO ROSQUEADA, DN 80 (3"), INSTALADO EM REDE DE ALIMENTAÇÃO PARA SPRINKLER - FORNECIMENTO E INSTALAÇÃO. AF_12/2015</v>
          </cell>
          <cell r="C3845" t="str">
            <v>UN</v>
          </cell>
          <cell r="D3845">
            <v>83.16</v>
          </cell>
        </row>
        <row r="3846">
          <cell r="A3846">
            <v>92681</v>
          </cell>
          <cell r="B3846" t="str">
            <v>TÊ, EM FERRO GALVANIZADO, CONEXÃO ROSQUEADA, DN 25 (1"), INSTALADO EM REDE DE ALIMENTAÇÃO PARA SPRINKLER - FORNECIMENTO E INSTALAÇÃO. AF_12/2015</v>
          </cell>
          <cell r="C3846" t="str">
            <v>UN</v>
          </cell>
          <cell r="D3846">
            <v>32.03</v>
          </cell>
        </row>
        <row r="3847">
          <cell r="A3847">
            <v>92682</v>
          </cell>
          <cell r="B3847" t="str">
            <v>TÊ, EM FERRO GALVANIZADO, CONEXÃO ROSQUEADA, DN 32 (1 1/4"), INSTALADO EM REDE DE ALIMENTAÇÃO PARA SPRINKLER - FORNECIMENTO E INSTALAÇÃO. AF_12/2015</v>
          </cell>
          <cell r="C3847" t="str">
            <v>UN</v>
          </cell>
          <cell r="D3847">
            <v>38.61</v>
          </cell>
        </row>
        <row r="3848">
          <cell r="A3848">
            <v>92683</v>
          </cell>
          <cell r="B3848" t="str">
            <v>TÊ, EM FERRO GALVANIZADO, CONEXÃO ROSQUEADA, DN 40 (1 1/2"), INSTALADO EM REDE DE ALIMENTAÇÃO PARA SPRINKLER - FORNECIMENTO E INSTALAÇÃO. AF_12/2015</v>
          </cell>
          <cell r="C3848" t="str">
            <v>UN</v>
          </cell>
          <cell r="D3848">
            <v>44.2</v>
          </cell>
        </row>
        <row r="3849">
          <cell r="A3849">
            <v>92684</v>
          </cell>
          <cell r="B3849" t="str">
            <v>TÊ, EM FERRO GALVANIZADO, CONEXÃO ROSQUEADA, DN 50 (2"), INSTALADO EM REDE DE ALIMENTAÇÃO PARA SPRINKLER - FORNECIMENTO E INSTALAÇÃO. AF_12/2015</v>
          </cell>
          <cell r="C3849" t="str">
            <v>UN</v>
          </cell>
          <cell r="D3849">
            <v>57.38</v>
          </cell>
        </row>
        <row r="3850">
          <cell r="A3850">
            <v>92685</v>
          </cell>
          <cell r="B3850" t="str">
            <v>TÊ, EM FERRO GALVANIZADO, CONEXÃO ROSQUEADA, DN 65 (2 1/2"), INSTALADO EM REDE DE ALIMENTAÇÃO PARA SPRINKLER - FORNECIMENTO E INSTALAÇÃO. AF_12/2015</v>
          </cell>
          <cell r="C3850" t="str">
            <v>UN</v>
          </cell>
          <cell r="D3850">
            <v>87.6</v>
          </cell>
        </row>
        <row r="3851">
          <cell r="A3851">
            <v>92686</v>
          </cell>
          <cell r="B3851" t="str">
            <v>TÊ, EM FERRO GALVANIZADO, CONEXÃO ROSQUEADA, DN 80 (3"), INSTALADO EM REDE DE ALIMENTAÇÃO PARA SPRINKLER - FORNECIMENTO E INSTALAÇÃO. AF_12/2015</v>
          </cell>
          <cell r="C3851" t="str">
            <v>UN</v>
          </cell>
          <cell r="D3851">
            <v>110.06</v>
          </cell>
        </row>
        <row r="3852">
          <cell r="A3852">
            <v>92692</v>
          </cell>
          <cell r="B3852" t="str">
            <v>NIPLE, EM FERRO GALVANIZADO, CONEXÃO ROSQUEADA, DN 15 (1/2"), INSTALADO EM RAMAIS E SUB-RAMAIS DE GÁS - FORNECIMENTO E INSTALAÇÃO. AF_12/2015</v>
          </cell>
          <cell r="C3852" t="str">
            <v>UN</v>
          </cell>
          <cell r="D3852">
            <v>8.99</v>
          </cell>
        </row>
        <row r="3853">
          <cell r="A3853">
            <v>92693</v>
          </cell>
          <cell r="B3853" t="str">
            <v>LUVA, EM FERRO GALVANIZADO, CONEXÃO ROSQUEADA, DN 15 (1/2"), INSTALADO EM RAMAIS E SUB-RAMAIS DE GÁS - FORNECIMENTO E INSTALAÇÃO. AF_12/2015</v>
          </cell>
          <cell r="C3853" t="str">
            <v>UN</v>
          </cell>
          <cell r="D3853">
            <v>9.18</v>
          </cell>
        </row>
        <row r="3854">
          <cell r="A3854">
            <v>92694</v>
          </cell>
          <cell r="B3854" t="str">
            <v>NIPLE, EM FERRO GALVANIZADO, CONEXÃO ROSQUEADA, DN 20 (3/4"), INSTALADO EM RAMAIS E SUB-RAMAIS DE GÁS - FORNECIMENTO E INSTALAÇÃO. AF_12/2015</v>
          </cell>
          <cell r="C3854" t="str">
            <v>UN</v>
          </cell>
          <cell r="D3854">
            <v>14.54</v>
          </cell>
        </row>
        <row r="3855">
          <cell r="A3855">
            <v>92695</v>
          </cell>
          <cell r="B3855" t="str">
            <v>LUVA, EM FERRO GALVANIZADO, CONEXÃO ROSQUEADA, DN 20 (3/4"), INSTALADO EM RAMAIS E SUB-RAMAIS DE GÁS - FORNECIMENTO E INSTALAÇÃO. AF_12/2015</v>
          </cell>
          <cell r="C3855" t="str">
            <v>UN</v>
          </cell>
          <cell r="D3855">
            <v>14.73</v>
          </cell>
        </row>
        <row r="3856">
          <cell r="A3856">
            <v>92696</v>
          </cell>
          <cell r="B3856" t="str">
            <v>NIPLE, EM FERRO GALVANIZADO, CONEXÃO ROSQUEADA, DN 25 (1"), INSTALADO EM RAMAIS E SUB-RAMAIS DE GÁS - FORNECIMENTO E INSTALAÇÃO. AF_12/2015</v>
          </cell>
          <cell r="C3856" t="str">
            <v>UN</v>
          </cell>
          <cell r="D3856">
            <v>22.96</v>
          </cell>
        </row>
        <row r="3857">
          <cell r="A3857">
            <v>92697</v>
          </cell>
          <cell r="B3857" t="str">
            <v>LUVA, EM FERRO GALVANIZADO, CONEXÃO ROSQUEADA, DN 25 (1"), INSTALADO EM RAMAIS E SUB-RAMAIS DE GÁS - FORNECIMENTO E INSTALAÇÃO. AF_12/2015</v>
          </cell>
          <cell r="C3857" t="str">
            <v>UN</v>
          </cell>
          <cell r="D3857">
            <v>23.81</v>
          </cell>
        </row>
        <row r="3858">
          <cell r="A3858">
            <v>92698</v>
          </cell>
          <cell r="B3858" t="str">
            <v>JOELHO 45 GRAUS, EM FERRO GALVANIZADO, CONEXÃO ROSQUEADA, DN 15 (1/2"), INSTALADO EM RAMAIS E SUB-RAMAIS DE GÁS - FORNECIMENTO E INSTALAÇÃO. AF_12/2015</v>
          </cell>
          <cell r="C3858" t="str">
            <v>UN</v>
          </cell>
          <cell r="D3858">
            <v>13.31</v>
          </cell>
        </row>
        <row r="3859">
          <cell r="A3859">
            <v>92699</v>
          </cell>
          <cell r="B3859" t="str">
            <v>JOELHO 90 GRAUS, EM FERRO GALVANIZADO, CONEXÃO ROSQUEADA, DN 15 (1/2"), INSTALADO EM RAMAIS E SUB-RAMAIS DE GÁS - FORNECIMENTO E INSTALAÇÃO. AF_12/2015</v>
          </cell>
          <cell r="C3859" t="str">
            <v>UN</v>
          </cell>
          <cell r="D3859">
            <v>12.69</v>
          </cell>
        </row>
        <row r="3860">
          <cell r="A3860">
            <v>92700</v>
          </cell>
          <cell r="B3860" t="str">
            <v>JOELHO 45 GRAUS, EM FERRO GALVANIZADO, CONEXÃO ROSQUEADA, DN 20 (3/4"), INSTALADO EM RAMAIS E SUB-RAMAIS DE GÁS - FORNECIMENTO E INSTALAÇÃO. AF_12/2015</v>
          </cell>
          <cell r="C3860" t="str">
            <v>UN</v>
          </cell>
          <cell r="D3860">
            <v>21.97</v>
          </cell>
        </row>
        <row r="3861">
          <cell r="A3861">
            <v>92701</v>
          </cell>
          <cell r="B3861" t="str">
            <v>JOELHO 90 GRAUS, EM FERRO GALVANIZADO, CONEXÃO ROSQUEADA, DN 20 (3/4"), INSTALADO EM RAMAIS E SUB-RAMAIS DE GÁS - FORNECIMENTO E INSTALAÇÃO. AF_12/2015</v>
          </cell>
          <cell r="C3861" t="str">
            <v>UN</v>
          </cell>
          <cell r="D3861">
            <v>21.06</v>
          </cell>
        </row>
        <row r="3862">
          <cell r="A3862">
            <v>92702</v>
          </cell>
          <cell r="B3862" t="str">
            <v>JOELHO 45 GRAUS, EM FERRO GALVANIZADO, CONEXÃO ROSQUEADA, DN 25 (1"), INSTALADO EM RAMAIS E SUB-RAMAIS DE GÁS - FORNECIMENTO E INSTALAÇÃO. AF_12/2015</v>
          </cell>
          <cell r="C3862" t="str">
            <v>UN</v>
          </cell>
          <cell r="D3862">
            <v>34.69</v>
          </cell>
        </row>
        <row r="3863">
          <cell r="A3863">
            <v>92703</v>
          </cell>
          <cell r="B3863" t="str">
            <v>JOELHO 90 GRAUS, EM FERRO GALVANIZADO, CONEXÃO ROSQUEADA, DN 25 (1"), INSTALADO EM RAMAIS E SUB-RAMAIS DE GÁS - FORNECIMENTO E INSTALAÇÃO. AF_12/2015</v>
          </cell>
          <cell r="C3863" t="str">
            <v>UN</v>
          </cell>
          <cell r="D3863">
            <v>33.56</v>
          </cell>
        </row>
        <row r="3864">
          <cell r="A3864">
            <v>92704</v>
          </cell>
          <cell r="B3864" t="str">
            <v>TÊ, EM FERRO GALVANIZADO, CONEXÃO ROSQUEADA, DN 15 (1/2"), INSTALADO EM RAMAIS E SUB-RAMAIS DE GÁS - FORNECIMENTO E INSTALAÇÃO. AF_12/2015</v>
          </cell>
          <cell r="C3864" t="str">
            <v>UN</v>
          </cell>
          <cell r="D3864">
            <v>17.07</v>
          </cell>
        </row>
        <row r="3865">
          <cell r="A3865">
            <v>92705</v>
          </cell>
          <cell r="B3865" t="str">
            <v>TÊ, EM FERRO GALVANIZADO, CONEXÃO ROSQUEADA, DN 20 (3/4"), INSTALADO EM RAMAIS E SUB-RAMAIS DE GÁS - FORNECIMENTO E INSTALAÇÃO. AF_12/2015</v>
          </cell>
          <cell r="C3865" t="str">
            <v>UN</v>
          </cell>
          <cell r="D3865">
            <v>27.9</v>
          </cell>
        </row>
        <row r="3866">
          <cell r="A3866">
            <v>92706</v>
          </cell>
          <cell r="B3866" t="str">
            <v>TÊ, EM FERRO GALVANIZADO, CONEXÃO ROSQUEADA, DN 25 (1"), INSTALADO EM RAMAIS E SUB-RAMAIS DE GÁS - FORNECIMENTO E INSTALAÇÃO. AF_12/2015</v>
          </cell>
          <cell r="C3866" t="str">
            <v>UN</v>
          </cell>
          <cell r="D3866">
            <v>45.17</v>
          </cell>
        </row>
        <row r="3867">
          <cell r="A3867">
            <v>92889</v>
          </cell>
          <cell r="B3867" t="str">
            <v>UNIÃO, EM FERRO GALVANIZADO, DN 50 (2"), CONEXÃO ROSQUEADA, INSTALADO EM PRUMADAS - FORNECIMENTO E INSTALAÇÃO. AF_12/2015</v>
          </cell>
          <cell r="C3867" t="str">
            <v>UN</v>
          </cell>
          <cell r="D3867">
            <v>70.59</v>
          </cell>
        </row>
        <row r="3868">
          <cell r="A3868">
            <v>92890</v>
          </cell>
          <cell r="B3868" t="str">
            <v>UNIÃO, EM FERRO GALVANIZADO, DN 65 (2 1/2"), CONEXÃO ROSQUEADA, INSTALADO EM PRUMADAS - FORNECIMENTO E INSTALAÇÃO. AF_12/2015</v>
          </cell>
          <cell r="C3868" t="str">
            <v>UN</v>
          </cell>
          <cell r="D3868">
            <v>103.41</v>
          </cell>
        </row>
        <row r="3869">
          <cell r="A3869">
            <v>92891</v>
          </cell>
          <cell r="B3869" t="str">
            <v>UNIÃO, EM FERRO GALVANIZADO, DN 80 (3"), CONEXÃO ROSQUEADA, INSTALADO EM PRUMADAS - FORNECIMENTO E INSTALAÇÃO. AF_12/2015</v>
          </cell>
          <cell r="C3869" t="str">
            <v>UN</v>
          </cell>
          <cell r="D3869">
            <v>148.09</v>
          </cell>
        </row>
        <row r="3870">
          <cell r="A3870">
            <v>92892</v>
          </cell>
          <cell r="B3870" t="str">
            <v>UNIÃO, EM FERRO GALVANIZADO, DN 25 (1"), CONEXÃO ROSQUEADA, INSTALADO EM REDE DE ALIMENTAÇÃO PARA HIDRANTE - FORNECIMENTO E INSTALAÇÃO. AF_12/2015</v>
          </cell>
          <cell r="C3870" t="str">
            <v>UN</v>
          </cell>
          <cell r="D3870">
            <v>33.229999999999997</v>
          </cell>
        </row>
        <row r="3871">
          <cell r="A3871">
            <v>92893</v>
          </cell>
          <cell r="B3871" t="str">
            <v>UNIÃO, EM FERRO GALVANIZADO, DN 32 (1 1/4"), CONEXÃO ROSQUEADA, INSTALADO EM REDE DE ALIMENTAÇÃO PARA HIDRANTE - FORNECIMENTO E INSTALAÇÃO. AF_12/2015</v>
          </cell>
          <cell r="C3871" t="str">
            <v>UN</v>
          </cell>
          <cell r="D3871">
            <v>45.17</v>
          </cell>
        </row>
        <row r="3872">
          <cell r="A3872">
            <v>92894</v>
          </cell>
          <cell r="B3872" t="str">
            <v>UNIÃO, EM FERRO GALVANIZADO, DN 40 (1 1/2"), CONEXÃO ROSQUEADA, INSTALADO EM REDE DE ALIMENTAÇÃO PARA HIDRANTE - FORNECIMENTO E INSTALAÇÃO. AF_12/2015</v>
          </cell>
          <cell r="C3872" t="str">
            <v>UN</v>
          </cell>
          <cell r="D3872">
            <v>53.24</v>
          </cell>
        </row>
        <row r="3873">
          <cell r="A3873">
            <v>92895</v>
          </cell>
          <cell r="B3873" t="str">
            <v>UNIÃO, EM FERRO GALVANIZADO, DN 50 (2"), CONEXÃO ROSQUEADA, INSTALADO EM REDE DE ALIMENTAÇÃO PARA HIDRANTE - FORNECIMENTO E INSTALAÇÃO. AF_12/2015</v>
          </cell>
          <cell r="C3873" t="str">
            <v>UN</v>
          </cell>
          <cell r="D3873">
            <v>70.55</v>
          </cell>
        </row>
        <row r="3874">
          <cell r="A3874">
            <v>92896</v>
          </cell>
          <cell r="B3874" t="str">
            <v>UNIÃO, EM FERRO GALVANIZADO, DN 65 (2 1/2"), CONEXÃO ROSQUEADA, INSTALADO EM REDE DE ALIMENTAÇÃO PARA HIDRANTE - FORNECIMENTO E INSTALAÇÃO. AF_12/2015</v>
          </cell>
          <cell r="C3874" t="str">
            <v>UN</v>
          </cell>
          <cell r="D3874">
            <v>104.63</v>
          </cell>
        </row>
        <row r="3875">
          <cell r="A3875">
            <v>92897</v>
          </cell>
          <cell r="B3875" t="str">
            <v>UNIÃO, EM FERRO GALVANIZADO, DN 80 (3"), CONEXÃO ROSQUEADA, INSTALADO EM REDE DE ALIMENTAÇÃO PARA HIDRANTE - FORNECIMENTO E INSTALAÇÃO. AF_12/2015</v>
          </cell>
          <cell r="C3875" t="str">
            <v>UN</v>
          </cell>
          <cell r="D3875">
            <v>150.61000000000001</v>
          </cell>
        </row>
        <row r="3876">
          <cell r="A3876">
            <v>92898</v>
          </cell>
          <cell r="B3876" t="str">
            <v>UNIÃO, EM FERRO GALVANIZADO, CONEXÃO ROSQUEADA, DN 25 (1"), INSTALADO EM REDE DE ALIMENTAÇÃO PARA SPRINKLER - FORNECIMENTO E INSTALAÇÃO. AF_12/2015</v>
          </cell>
          <cell r="C3876" t="str">
            <v>UN</v>
          </cell>
          <cell r="D3876">
            <v>26.4</v>
          </cell>
        </row>
        <row r="3877">
          <cell r="A3877">
            <v>92899</v>
          </cell>
          <cell r="B3877" t="str">
            <v>UNIÃO, EM FERRO GALVANIZADO, CONEXÃO ROSQUEADA, DN 32 (1 1/4"), INSTALADO EM REDE DE ALIMENTAÇÃO PARA SPRINKLER - FORNECIMENTO E INSTALAÇÃO. AF_12/2015</v>
          </cell>
          <cell r="C3877" t="str">
            <v>UN</v>
          </cell>
          <cell r="D3877">
            <v>37.4</v>
          </cell>
        </row>
        <row r="3878">
          <cell r="A3878">
            <v>92900</v>
          </cell>
          <cell r="B3878" t="str">
            <v>UNIÃO, EM FERRO GALVANIZADO, CONEXÃO ROSQUEADA, DN 40 (1 1/2"), INSTALADO EM REDE DE ALIMENTAÇÃO PARA SPRINKLER - FORNECIMENTO E INSTALAÇÃO. AF_12/2015</v>
          </cell>
          <cell r="C3878" t="str">
            <v>UN</v>
          </cell>
          <cell r="D3878">
            <v>44.4</v>
          </cell>
        </row>
        <row r="3879">
          <cell r="A3879">
            <v>92901</v>
          </cell>
          <cell r="B3879" t="str">
            <v>UNIÃO, EM FERRO GALVANIZADO, CONEXÃO ROSQUEADA, DN 50 (2"), INSTALADO EM REDE DE ALIMENTAÇÃO PARA SPRINKLER - FORNECIMENTO E INSTALAÇÃO. AF_12/2015</v>
          </cell>
          <cell r="C3879" t="str">
            <v>UN</v>
          </cell>
          <cell r="D3879">
            <v>60.37</v>
          </cell>
        </row>
        <row r="3880">
          <cell r="A3880">
            <v>92902</v>
          </cell>
          <cell r="B3880" t="str">
            <v>UNIÃO, EM FERRO GALVANIZADO, CONEXÃO ROSQUEADA, DN 65 (2 1/2"), INSTALADO EM REDE DE ALIMENTAÇÃO PARA SPRINKLER - FORNECIMENTO E INSTALAÇÃO. AF_12/2015</v>
          </cell>
          <cell r="C3880" t="str">
            <v>UN</v>
          </cell>
          <cell r="D3880">
            <v>92.43</v>
          </cell>
        </row>
        <row r="3881">
          <cell r="A3881">
            <v>92903</v>
          </cell>
          <cell r="B3881" t="str">
            <v>UNIÃO, EM FERRO GALVANIZADO, CONEXÃO ROSQUEADA, DN 80 (3"), INSTALADO EM REDE DE ALIMENTAÇÃO PARA SPRINKLER - FORNECIMENTO E INSTALAÇÃO. AF_12/2015</v>
          </cell>
          <cell r="C3881" t="str">
            <v>UN</v>
          </cell>
          <cell r="D3881">
            <v>136.41999999999999</v>
          </cell>
        </row>
        <row r="3882">
          <cell r="A3882">
            <v>92904</v>
          </cell>
          <cell r="B3882" t="str">
            <v>UNIÃO, EM FERRO GALVANIZADO, CONEXÃO ROSQUEADA, DN 15 (1/2"), INSTALADO EM RAMAIS E SUB-RAMAIS DE GÁS - FORNECIMENTO E INSTALAÇÃO. AF_12/2015</v>
          </cell>
          <cell r="C3882" t="str">
            <v>UN</v>
          </cell>
          <cell r="D3882">
            <v>17.559999999999999</v>
          </cell>
        </row>
        <row r="3883">
          <cell r="A3883">
            <v>92905</v>
          </cell>
          <cell r="B3883" t="str">
            <v>UNIÃO, EM FERRO GALVANIZADO, CONEXÃO ROSQUEADA, DN 20 (3/4"), INSTALADO EM RAMAIS E SUB-RAMAIS DE GÁS - FORNECIMENTO E INSTALAÇÃO. AF_12/2015</v>
          </cell>
          <cell r="C3883" t="str">
            <v>UN</v>
          </cell>
          <cell r="D3883">
            <v>25.72</v>
          </cell>
        </row>
        <row r="3884">
          <cell r="A3884">
            <v>92906</v>
          </cell>
          <cell r="B3884" t="str">
            <v>UNIÃO, EM FERRO GALVANIZADO, CONEXÃO ROSQUEADA, DN 25 (1"), INSTALADO EM RAMAIS E SUB-RAMAIS DE GÁS - FORNECIMENTO E INSTALAÇÃO. AF_12/2015</v>
          </cell>
          <cell r="C3884" t="str">
            <v>UN</v>
          </cell>
          <cell r="D3884">
            <v>32.94</v>
          </cell>
        </row>
        <row r="3885">
          <cell r="A3885">
            <v>92907</v>
          </cell>
          <cell r="B3885" t="str">
            <v>LUVA DE REDUÇÃO, EM FERRO GALVANIZADO, 2" X 1 1/2", CONEXÃO ROSQUEADA, INSTALADO EM PRUMADAS - FORNECIMENTO E INSTALAÇÃO. AF_12/2015</v>
          </cell>
          <cell r="C3885" t="str">
            <v>UN</v>
          </cell>
          <cell r="D3885">
            <v>41.7</v>
          </cell>
        </row>
        <row r="3886">
          <cell r="A3886">
            <v>92908</v>
          </cell>
          <cell r="B3886" t="str">
            <v>LUVA DE REDUÇÃO, EM FERRO GALVANIZADO, 2" X 1 1/4", CONEXÃO ROSQUEADA, INSTALADO EM PRUMADAS - FORNECIMENTO E INSTALAÇÃO. AF_12/2015</v>
          </cell>
          <cell r="C3886" t="str">
            <v>UN</v>
          </cell>
          <cell r="D3886">
            <v>41.7</v>
          </cell>
        </row>
        <row r="3887">
          <cell r="A3887">
            <v>92909</v>
          </cell>
          <cell r="B3887" t="str">
            <v>LUVA DE REDUÇÃO, EM FERRO GALVANIZADO, 2" X 1", CONEXÃO ROSQUEADA, INSTALADO EM PRUMADAS - FORNECIMENTO E INSTALAÇÃO. AF_12/2015</v>
          </cell>
          <cell r="C3887" t="str">
            <v>UN</v>
          </cell>
          <cell r="D3887">
            <v>41.7</v>
          </cell>
        </row>
        <row r="3888">
          <cell r="A3888">
            <v>92910</v>
          </cell>
          <cell r="B3888" t="str">
            <v>LUVA DE REDUÇÃO, EM FERRO GALVANIZADO, 2 1/2" X 1 1/2", CONEXÃO ROSQUEADA, INSTALADO EM PRUMADAS - FORNECIMENTO E INSTALAÇÃO. AF_12/2015</v>
          </cell>
          <cell r="C3888" t="str">
            <v>UN</v>
          </cell>
          <cell r="D3888">
            <v>57.39</v>
          </cell>
        </row>
        <row r="3889">
          <cell r="A3889">
            <v>92911</v>
          </cell>
          <cell r="B3889" t="str">
            <v>LUVA DE REDUÇÃO, EM FERRO GALVANIZADO, 2 1/2" X 2", CONEXÃO ROSQUEADA, INSTALADO EM PRUMADAS - FORNECIMENTO E INSTALAÇÃO. AF_12/2015</v>
          </cell>
          <cell r="C3889" t="str">
            <v>UN</v>
          </cell>
          <cell r="D3889">
            <v>57.39</v>
          </cell>
        </row>
        <row r="3890">
          <cell r="A3890">
            <v>92912</v>
          </cell>
          <cell r="B3890" t="str">
            <v>LUVA DE REDUÇÃO, EM FERRO GALVANIZADO, 3" X 1 1/2", CONEXÃO ROSQUEADA, INSTALADO EM PRUMADAS - FORNECIMENTO E INSTALAÇÃO. AF_12/2015</v>
          </cell>
          <cell r="C3890" t="str">
            <v>UN</v>
          </cell>
          <cell r="D3890">
            <v>73.86</v>
          </cell>
        </row>
        <row r="3891">
          <cell r="A3891">
            <v>92913</v>
          </cell>
          <cell r="B3891" t="str">
            <v>LUVA DE REDUÇÃO, EM FERRO GALVANIZADO, 3" X 2 1/2", CONEXÃO ROSQUEADA, INSTALADO EM PRUMADAS - FORNECIMENTO E INSTALAÇÃO. AF_12/2015</v>
          </cell>
          <cell r="C3891" t="str">
            <v>UN</v>
          </cell>
          <cell r="D3891">
            <v>75.989999999999995</v>
          </cell>
        </row>
        <row r="3892">
          <cell r="A3892">
            <v>92914</v>
          </cell>
          <cell r="B3892" t="str">
            <v>LUVA DE REDUÇÃO, EM FERRO GALVANIZADO, 3" X 2", CONEXÃO ROSQUEADA, INSTALADO EM PRUMADAS - FORNECIMENTO E INSTALAÇÃO. AF_12/2015</v>
          </cell>
          <cell r="C3892" t="str">
            <v>UN</v>
          </cell>
          <cell r="D3892">
            <v>75.989999999999995</v>
          </cell>
        </row>
        <row r="3893">
          <cell r="A3893">
            <v>92918</v>
          </cell>
          <cell r="B3893" t="str">
            <v>LUVA DE REDUÇÃO, EM FERRO GALVANIZADO, 1" X 1/2", CONEXÃO ROSQUEADA, INSTALADO EM REDE DE ALIMENTAÇÃO PARA HIDRANTE - FORNECIMENTO E INSTALAÇÃO. AF_12/2015</v>
          </cell>
          <cell r="C3893" t="str">
            <v>UN</v>
          </cell>
          <cell r="D3893">
            <v>24.03</v>
          </cell>
        </row>
        <row r="3894">
          <cell r="A3894">
            <v>92920</v>
          </cell>
          <cell r="B3894" t="str">
            <v>LUVA DE REDUÇÃO, EM FERRO GALVANIZADO, 1" X 3/4", CONEXÃO ROSQUEADA, INSTALADO EM REDE DE ALIMENTAÇÃO PARA HIDRANTE - FORNECIMENTO E INSTALAÇÃO. AF_12/2015</v>
          </cell>
          <cell r="C3894" t="str">
            <v>UN</v>
          </cell>
          <cell r="D3894">
            <v>24.15</v>
          </cell>
        </row>
        <row r="3895">
          <cell r="A3895">
            <v>92925</v>
          </cell>
          <cell r="B3895" t="str">
            <v>LUVA DE REDUÇÃO, EM FERRO GALVANIZADO, 1 1/4" X 1", CONEXÃO ROSQUEADA, INSTALADO EM REDE DE ALIMENTAÇÃO PARA HIDRANTE - FORNECIMENTO E INSTALAÇÃO. AF_12/2015</v>
          </cell>
          <cell r="C3895" t="str">
            <v>UN</v>
          </cell>
          <cell r="D3895">
            <v>28.83</v>
          </cell>
        </row>
        <row r="3896">
          <cell r="A3896">
            <v>92926</v>
          </cell>
          <cell r="B3896" t="str">
            <v>LUVA DE REDUÇÃO, EM FERRO GALVANIZADO, 1 1/4" X 1/2", CONEXÃO ROSQUEADA, INSTALADO EM REDE DE ALIMENTAÇÃO PARA HIDRANTE - FORNECIMENTO E INSTALAÇÃO. AF_12/2015</v>
          </cell>
          <cell r="C3896" t="str">
            <v>UN</v>
          </cell>
          <cell r="D3896">
            <v>28.83</v>
          </cell>
        </row>
        <row r="3897">
          <cell r="A3897">
            <v>92927</v>
          </cell>
          <cell r="B3897" t="str">
            <v>LUVA DE REDUÇÃO, EM FERRO GALVANIZADO, 1 1/4" X 3/4", CONEXÃO ROSQUEADA, INSTALADO EM REDE DE ALIMENTAÇÃO PARA HIDRANTE - FORNECIMENTO E INSTALAÇÃO. AF_12/2015</v>
          </cell>
          <cell r="C3897" t="str">
            <v>UN</v>
          </cell>
          <cell r="D3897">
            <v>28.83</v>
          </cell>
        </row>
        <row r="3898">
          <cell r="A3898">
            <v>92928</v>
          </cell>
          <cell r="B3898" t="str">
            <v>LUVA DE REDUÇÃO, EM FERRO GALVANIZADO, 1 1/2" X 1 1/4", CONEXÃO ROSQUEADA, INSTALADO EM REDE DE ALIMENTAÇÃO PARA HIDRANTE - FORNECIMENTO E INSTALAÇÃO. AF_12/2015</v>
          </cell>
          <cell r="C3898" t="str">
            <v>UN</v>
          </cell>
          <cell r="D3898">
            <v>32.6</v>
          </cell>
        </row>
        <row r="3899">
          <cell r="A3899">
            <v>92929</v>
          </cell>
          <cell r="B3899" t="str">
            <v>LUVA DE REDUÇÃO, EM FERRO GALVANIZADO, 1 1/2" X 1", CONEXÃO ROSQUEADA, INSTALADO EM REDE DE ALIMENTAÇÃO PARA HIDRANTE - FORNECIMENTO E INSTALAÇÃO. AF_12/2015</v>
          </cell>
          <cell r="C3899" t="str">
            <v>UN</v>
          </cell>
          <cell r="D3899">
            <v>32.6</v>
          </cell>
        </row>
        <row r="3900">
          <cell r="A3900">
            <v>92930</v>
          </cell>
          <cell r="B3900" t="str">
            <v>LUVA DE REDUÇÃO, EM FERRO GALVANIZADO, 1 1/2" X 3/4", CONEXÃO ROSQUEADA, INSTALADO EM REDE DE ALIMENTAÇÃO PARA HIDRANTE - FORNECIMENTO E INSTALAÇÃO. AF_12/2015</v>
          </cell>
          <cell r="C3900" t="str">
            <v>UN</v>
          </cell>
          <cell r="D3900">
            <v>32.6</v>
          </cell>
        </row>
        <row r="3901">
          <cell r="A3901">
            <v>92931</v>
          </cell>
          <cell r="B3901" t="str">
            <v>LUVA DE REDUÇÃO, EM FERRO GALVANIZADO, 2" X 1 1/2", CONEXÃO ROSQUEADA, INSTALADO EM REDE DE ALIMENTAÇÃO PARA HIDRANTE - FORNECIMENTO E INSTALAÇÃO. AF_12/2015</v>
          </cell>
          <cell r="C3901" t="str">
            <v>UN</v>
          </cell>
          <cell r="D3901">
            <v>41.66</v>
          </cell>
        </row>
        <row r="3902">
          <cell r="A3902">
            <v>92932</v>
          </cell>
          <cell r="B3902" t="str">
            <v>LUVA DE REDUÇÃO, EM FERRO GALVANIZADO, 2" X 1 1/4", CONEXÃO ROSQUEADA, INSTALADO EM REDE DE ALIMENTAÇÃO PARA HIDRANTE - FORNECIMENTO E INSTALAÇÃO. AF_12/2015</v>
          </cell>
          <cell r="C3902" t="str">
            <v>UN</v>
          </cell>
          <cell r="D3902">
            <v>41.66</v>
          </cell>
        </row>
        <row r="3903">
          <cell r="A3903">
            <v>92933</v>
          </cell>
          <cell r="B3903" t="str">
            <v>LUVA DE REDUÇÃO, EM FERRO GALVANIZADO, 2" X 1", CONEXÃO ROSQUEADA, INSTALADO EM REDE DE ALIMENTAÇÃO PARA HIDRANTE - FORNECIMENTO E INSTALAÇÃO. AF_12/2015</v>
          </cell>
          <cell r="C3903" t="str">
            <v>UN</v>
          </cell>
          <cell r="D3903">
            <v>41.66</v>
          </cell>
        </row>
        <row r="3904">
          <cell r="A3904">
            <v>92934</v>
          </cell>
          <cell r="B3904" t="str">
            <v>LUVA DE REDUÇÃO, EM FERRO GALVANIZADO, 2 1/2" X 1 1/2", CONEXÃO ROSQUEADA, INSTALADO EM REDE DE ALIMENTAÇÃO PARA HIDRANTE - FORNECIMENTO E INSTALAÇÃO. AF_12/2015</v>
          </cell>
          <cell r="C3904" t="str">
            <v>UN</v>
          </cell>
          <cell r="D3904">
            <v>58.61</v>
          </cell>
        </row>
        <row r="3905">
          <cell r="A3905">
            <v>92935</v>
          </cell>
          <cell r="B3905" t="str">
            <v>LUVA DE REDUÇÃO, EM FERRO GALVANIZADO, 2 1/2" X 2", CONEXÃO ROSQUEADA, INSTALADO EM REDE DE ALIMENTAÇÃO PARA HIDRANTE - FORNECIMENTO E INSTALAÇÃO. AF_12/2015</v>
          </cell>
          <cell r="C3905" t="str">
            <v>UN</v>
          </cell>
          <cell r="D3905">
            <v>58.61</v>
          </cell>
        </row>
        <row r="3906">
          <cell r="A3906">
            <v>92936</v>
          </cell>
          <cell r="B3906" t="str">
            <v>LUVA DE REDUÇÃO, EM FERRO GALVANIZADO, 3" X 2 1/2", CONEXÃO ROSQUEADA, INSTALADO EM REDE DE ALIMENTAÇÃO PARA HIDRANTE - FORNECIMENTO E INSTALAÇÃO. AF_12/2015</v>
          </cell>
          <cell r="C3906" t="str">
            <v>UN</v>
          </cell>
          <cell r="D3906">
            <v>78.510000000000005</v>
          </cell>
        </row>
        <row r="3907">
          <cell r="A3907">
            <v>92937</v>
          </cell>
          <cell r="B3907" t="str">
            <v>LUVA DE REDUÇÃO, EM FERRO GALVANIZADO, 3" X 2", CONEXÃO ROSQUEADA, INSTALADO EM REDE DE ALIMENTAÇÃO PARA HIDRANTE - FORNECIMENTO E INSTALAÇÃO. AF_12/2015</v>
          </cell>
          <cell r="C3907" t="str">
            <v>UN</v>
          </cell>
          <cell r="D3907">
            <v>78.510000000000005</v>
          </cell>
        </row>
        <row r="3908">
          <cell r="A3908">
            <v>92938</v>
          </cell>
          <cell r="B3908" t="str">
            <v>LUVA DE REDUÇÃO, EM FERRO GALVANIZADO, 1" X 1/2", CONEXÃO ROSQUEADA, INSTALADO EM REDE DE ALIMENTAÇÃO PARA SPRINKLER - FORNECIMENTO E INSTALAÇÃO. AF_12/2015</v>
          </cell>
          <cell r="C3908" t="str">
            <v>UN</v>
          </cell>
          <cell r="D3908">
            <v>17.2</v>
          </cell>
        </row>
        <row r="3909">
          <cell r="A3909">
            <v>92939</v>
          </cell>
          <cell r="B3909" t="str">
            <v>LUVA DE REDUÇÃO, EM FERRO GALVANIZADO, 1" X 3/4", CONEXÃO ROSQUEADA, INSTALADO EM REDE DE ALIMENTAÇÃO PARA SPRINKLER - FORNECIMENTO E INSTALAÇÃO. AF_12/2015</v>
          </cell>
          <cell r="C3909" t="str">
            <v>UN</v>
          </cell>
          <cell r="D3909">
            <v>17.32</v>
          </cell>
        </row>
        <row r="3910">
          <cell r="A3910">
            <v>92940</v>
          </cell>
          <cell r="B3910" t="str">
            <v>LUVA DE REDUÇÃO, EM FERRO GALVANIZADO, 1 1/4" X 1", CONEXÃO ROSQUEADA, INSTALADO EM REDE DE ALIMENTAÇÃO PARA SPRINKLER - FORNECIMENTO E INSTALAÇÃO. AF_12/2015</v>
          </cell>
          <cell r="C3910" t="str">
            <v>UN</v>
          </cell>
          <cell r="D3910">
            <v>21.06</v>
          </cell>
        </row>
        <row r="3911">
          <cell r="A3911">
            <v>92941</v>
          </cell>
          <cell r="B3911" t="str">
            <v>LUVA DE REDUÇÃO, EM FERRO GALVANIZADO, 1 1/4" X 1/2", CONEXÃO ROSQUEADA, INSTALADO EM REDE DE ALIMENTAÇÃO PARA SPRINKLER - FORNECIMENTO E INSTALAÇÃO. AF_12/2015</v>
          </cell>
          <cell r="C3911" t="str">
            <v>UN</v>
          </cell>
          <cell r="D3911">
            <v>21.06</v>
          </cell>
        </row>
        <row r="3912">
          <cell r="A3912">
            <v>92942</v>
          </cell>
          <cell r="B3912" t="str">
            <v>LUVA DE REDUÇÃO, EM FERRO GALVANIZADO, 1 1/4" X 3/4", CONEXÃO ROSQUEADA, INSTALADO EM REDE DE ALIMENTAÇÃO PARA SPRINKLER - FORNECIMENTO E INSTALAÇÃO. AF_12/2015</v>
          </cell>
          <cell r="C3912" t="str">
            <v>UN</v>
          </cell>
          <cell r="D3912">
            <v>21.06</v>
          </cell>
        </row>
        <row r="3913">
          <cell r="A3913">
            <v>92943</v>
          </cell>
          <cell r="B3913" t="str">
            <v>LUVA DE REDUÇÃO, EM FERRO GALVANIZADO, 1 1/2" X 1 1/4", CONEXÃO ROSQUEADA, INSTALADO EM REDE DE ALIMENTAÇÃO PARA SPRINKLER - FORNECIMENTO E INSTALAÇÃO. AF_12/2015</v>
          </cell>
          <cell r="C3913" t="str">
            <v>UN</v>
          </cell>
          <cell r="D3913">
            <v>23.76</v>
          </cell>
        </row>
        <row r="3914">
          <cell r="A3914">
            <v>92944</v>
          </cell>
          <cell r="B3914" t="str">
            <v>LUVA DE REDUÇÃO, EM FERRO GALVANIZADO, 1 1/2" X 1", CONEXÃO ROSQUEADA, INSTALADO EM REDE DE ALIMENTAÇÃO PARA SPRINKLER - FORNECIMENTO E INSTALAÇÃO. AF_12/2015</v>
          </cell>
          <cell r="C3914" t="str">
            <v>UN</v>
          </cell>
          <cell r="D3914">
            <v>23.76</v>
          </cell>
        </row>
        <row r="3915">
          <cell r="A3915">
            <v>92945</v>
          </cell>
          <cell r="B3915" t="str">
            <v>LUVA DE REDUÇÃO, EM FERRO GALVANIZADO, 1 1/2" X 3/4", CONEXÃO ROSQUEADA, INSTALADO EM REDE DE ALIMENTAÇÃO PARA SPRINKLER - FORNECIMENTO E INSTALAÇÃO. AF_12/2015</v>
          </cell>
          <cell r="C3915" t="str">
            <v>UN</v>
          </cell>
          <cell r="D3915">
            <v>23.76</v>
          </cell>
        </row>
        <row r="3916">
          <cell r="A3916">
            <v>92946</v>
          </cell>
          <cell r="B3916" t="str">
            <v>LUVA DE REDUÇÃO, EM FERRO GALVANIZADO, 2" X 1 1/2", CONEXÃO ROSQUEADA, INSTALADO EM REDE DE ALIMENTAÇÃO PARA SPRINKLER - FORNECIMENTO E INSTALAÇÃO. AF_12/2015</v>
          </cell>
          <cell r="C3916" t="str">
            <v>UN</v>
          </cell>
          <cell r="D3916">
            <v>31.48</v>
          </cell>
        </row>
        <row r="3917">
          <cell r="A3917">
            <v>92947</v>
          </cell>
          <cell r="B3917" t="str">
            <v>LUVA DE REDUÇÃO, EM FERRO GALVANIZADO, 2" X 1 1/4", CONEXÃO ROSQUEADA, INSTALADO EM REDE DE ALIMENTAÇÃO PARA SPRINKLER - FORNECIMENTO E INSTALAÇÃO. AF_12/2015</v>
          </cell>
          <cell r="C3917" t="str">
            <v>UN</v>
          </cell>
          <cell r="D3917">
            <v>31.48</v>
          </cell>
        </row>
        <row r="3918">
          <cell r="A3918">
            <v>92948</v>
          </cell>
          <cell r="B3918" t="str">
            <v>LUVA DE REDUÇÃO, EM FERRO GALVANIZADO, 2" X 1", CONEXÃO ROSQUEADA, INSTALADO EM REDE DE ALIMENTAÇÃO PARA SPRINKLER - FORNECIMENTO E INSTALAÇÃO. AF_12/2015</v>
          </cell>
          <cell r="C3918" t="str">
            <v>UN</v>
          </cell>
          <cell r="D3918">
            <v>31.48</v>
          </cell>
        </row>
        <row r="3919">
          <cell r="A3919">
            <v>92949</v>
          </cell>
          <cell r="B3919" t="str">
            <v>LUVA DE REDUÇÃO, EM FERRO GALVANIZADO, 2 1/2" X 1 1/2", CONEXÃO ROSQUEADA, INSTALADO EM REDE DE ALIMENTAÇÃO PARA SPRINKLER - FORNECIMENTO E INSTALAÇÃO. AF_12/2015</v>
          </cell>
          <cell r="C3919" t="str">
            <v>UN</v>
          </cell>
          <cell r="D3919">
            <v>46.41</v>
          </cell>
        </row>
        <row r="3920">
          <cell r="A3920">
            <v>92950</v>
          </cell>
          <cell r="B3920" t="str">
            <v>LUVA DE REDUÇÃO, EM FERRO GALVANIZADO, 2 1/2" X 2", CONEXÃO ROSQUEADA, INSTALADO EM REDE DE ALIMENTAÇÃO PARA SPRINKLER - FORNECIMENTO E INSTALAÇÃO. AF_12/2015</v>
          </cell>
          <cell r="C3920" t="str">
            <v>UN</v>
          </cell>
          <cell r="D3920">
            <v>46.41</v>
          </cell>
        </row>
        <row r="3921">
          <cell r="A3921">
            <v>92951</v>
          </cell>
          <cell r="B3921" t="str">
            <v>LUVA DE REDUÇÃO, EM FERRO GALVANIZADO, 3" X 2 1/2", CONEXÃO ROSQUEADA, INSTALADO EM REDE DE ALIMENTAÇÃO PARA SPRINKLER - FORNECIMENTO E INSTALAÇÃO. AF_12/2015</v>
          </cell>
          <cell r="C3921" t="str">
            <v>UN</v>
          </cell>
          <cell r="D3921">
            <v>64.319999999999993</v>
          </cell>
        </row>
        <row r="3922">
          <cell r="A3922">
            <v>92952</v>
          </cell>
          <cell r="B3922" t="str">
            <v>LUVA DE REDUÇÃO, EM FERRO GALVANIZADO, 3" X 2", CONEXÃO ROSQUEADA, INSTALADO EM REDE DE ALIMENTAÇÃO PARA SPRINKLER - FORNECIMENTO E INSTALAÇÃO. AF_12/2015</v>
          </cell>
          <cell r="C3922" t="str">
            <v>UN</v>
          </cell>
          <cell r="D3922">
            <v>64.319999999999993</v>
          </cell>
        </row>
        <row r="3923">
          <cell r="A3923">
            <v>92953</v>
          </cell>
          <cell r="B3923" t="str">
            <v>LUVA DE REDUÇÃO, EM FERRO GALVANIZADO, 3/4" X 1/2", CONEXÃO ROSQUEADA, INSTALADO EM RAMAIS E SUB-RAMAIS DE GÁS - FORNECIMENTO E INSTALAÇÃO. AF_12/2015</v>
          </cell>
          <cell r="C3923" t="str">
            <v>UN</v>
          </cell>
          <cell r="D3923">
            <v>15.34</v>
          </cell>
        </row>
        <row r="3924">
          <cell r="A3924">
            <v>93050</v>
          </cell>
          <cell r="B3924" t="str">
            <v>LUVA PASSANTE EM COBRE, DN 22 MM, SEM ANEL DE SOLDA, INSTALADO EM PRUMADA  FORNECIMENTO E INSTALAÇÃO. AF_01/2016</v>
          </cell>
          <cell r="C3924" t="str">
            <v>UN</v>
          </cell>
          <cell r="D3924">
            <v>7.24</v>
          </cell>
        </row>
        <row r="3925">
          <cell r="A3925">
            <v>93051</v>
          </cell>
          <cell r="B3925" t="str">
            <v>BUCHA DE REDUÇÃO EM COBRE, DN 22 MM X 15 MM, SEM ANEL DE SOLDA, BOLSA X BOLSA, INSTALADO EM PRUMADA  FORNECIMENTO E INSTALAÇÃO. AF_01/2016</v>
          </cell>
          <cell r="C3925" t="str">
            <v>UN</v>
          </cell>
          <cell r="D3925">
            <v>6.73</v>
          </cell>
        </row>
        <row r="3926">
          <cell r="A3926">
            <v>93052</v>
          </cell>
          <cell r="B3926" t="str">
            <v>JUNTA DE EXPANSÃO EM COBRE, DN 22 MM, PONTA X PONTA, INSTALADO EM PRUMADA  FORNECIMENTO E INSTALAÇÃO. AF_01/2016</v>
          </cell>
          <cell r="C3926" t="str">
            <v>UN</v>
          </cell>
          <cell r="D3926">
            <v>297.33999999999997</v>
          </cell>
        </row>
        <row r="3927">
          <cell r="A3927">
            <v>93054</v>
          </cell>
          <cell r="B3927" t="str">
            <v>CONECTOR EM BRONZE/LATÃO, DN 22 MM X 3/4", SEM ANEL DE SOLDA, BOLSA X ROSCA F, INSTALADO EM PRUMADA  FORNECIMENTO E INSTALAÇÃO. AF_01/2016</v>
          </cell>
          <cell r="C3927" t="str">
            <v>UN</v>
          </cell>
          <cell r="D3927">
            <v>13.29</v>
          </cell>
        </row>
        <row r="3928">
          <cell r="A3928">
            <v>93055</v>
          </cell>
          <cell r="B3928" t="str">
            <v>CURVA DE TRANSPOSIÇÃO EM BRONZE/LATÃO, DN 22 MM, SEM ANEL DE SOLDA, BOLSA X BOLSA, INSTALADO EM PRUMADA  FORNECIMENTO E INSTALAÇÃO. AF_01/2016</v>
          </cell>
          <cell r="C3928" t="str">
            <v>UN</v>
          </cell>
          <cell r="D3928">
            <v>26.45</v>
          </cell>
        </row>
        <row r="3929">
          <cell r="A3929">
            <v>93056</v>
          </cell>
          <cell r="B3929" t="str">
            <v>LUVA PASSANTE EM COBRE, DN 28 MM, SEM ANEL DE SOLDA, INSTALADO EM PRUMADA  FORNECIMENTO E INSTALAÇÃO. AF_01/2016</v>
          </cell>
          <cell r="C3929" t="str">
            <v>UN</v>
          </cell>
          <cell r="D3929">
            <v>10.41</v>
          </cell>
        </row>
        <row r="3930">
          <cell r="A3930">
            <v>93057</v>
          </cell>
          <cell r="B3930" t="str">
            <v>BUCHA DE REDUÇÃO EM COBRE, DN 28 MM X 22 MM, SEM ANEL DE SOLDA, PONTA X BOLSA, INSTALADO EM PRUMADA  FORNECIMENTO E INSTALAÇÃO. AF_01/2016</v>
          </cell>
          <cell r="C3930" t="str">
            <v>UN</v>
          </cell>
          <cell r="D3930">
            <v>9.18</v>
          </cell>
        </row>
        <row r="3931">
          <cell r="A3931">
            <v>93058</v>
          </cell>
          <cell r="B3931" t="str">
            <v>JUNTA DE EXPANSÃO EM COBRE, DN 28 MM, PONTA X PONTA, INSTALADO EM PRUMADA  FORNECIMENTO E INSTALAÇÃO. AF_01/2016</v>
          </cell>
          <cell r="C3931" t="str">
            <v>UN</v>
          </cell>
          <cell r="D3931">
            <v>327.02</v>
          </cell>
        </row>
        <row r="3932">
          <cell r="A3932">
            <v>93059</v>
          </cell>
          <cell r="B3932" t="str">
            <v>CONECTOR EM BRONZE/LATÃO, DN 28 MM X 1/2", SEM ANEL DE SOLDA, BOLSA X ROSCA F, INSTALADO EM PRUMADA  FORNECIMENTO E INSTALAÇÃO. AF_01/2016</v>
          </cell>
          <cell r="C3932" t="str">
            <v>UN</v>
          </cell>
          <cell r="D3932">
            <v>18.12</v>
          </cell>
        </row>
        <row r="3933">
          <cell r="A3933">
            <v>93060</v>
          </cell>
          <cell r="B3933" t="str">
            <v>CURVA DE TRANSPOSIÇÃO EM BRONZE/LATÃO, DN 28 MM, SEM ANEL DE SOLDA, BOLSA X BOLSA, INSTALADO EM PRUMADA  FORNECIMENTO E INSTALAÇÃO. AF_01/2016</v>
          </cell>
          <cell r="C3933" t="str">
            <v>UN</v>
          </cell>
          <cell r="D3933">
            <v>45.74</v>
          </cell>
        </row>
        <row r="3934">
          <cell r="A3934">
            <v>93061</v>
          </cell>
          <cell r="B3934" t="str">
            <v>LUVA PASSANTE EM COBRE, DN 35 MM, SEM ANEL DE SOLDA, INSTALADO EM PRUMADA  FORNECIMENTO E INSTALAÇÃO. AF_01/2016</v>
          </cell>
          <cell r="C3934" t="str">
            <v>UN</v>
          </cell>
          <cell r="D3934">
            <v>19</v>
          </cell>
        </row>
        <row r="3935">
          <cell r="A3935">
            <v>93062</v>
          </cell>
          <cell r="B3935" t="str">
            <v>BUCHA DE REDUÇÃO EM COBRE, DN 35 MM X 28 MM, SEM ANEL DE SOLDA, PONTA X BOLSA, INSTALADO EM PRUMADA  FORNECIMENTO E INSTALAÇÃO. AF_01/2016</v>
          </cell>
          <cell r="C3935" t="str">
            <v>UN</v>
          </cell>
          <cell r="D3935">
            <v>16.61</v>
          </cell>
        </row>
        <row r="3936">
          <cell r="A3936">
            <v>93063</v>
          </cell>
          <cell r="B3936" t="str">
            <v>JUNTA DE EXPANSÃO EM BRONZE/LATÃO, DN 35 MM, PONTA X PONTA, INSTALADO EM PRUMADA  FORNECIMENTO E INSTALAÇÃO. AF_01/2016</v>
          </cell>
          <cell r="C3936" t="str">
            <v>UN</v>
          </cell>
          <cell r="D3936">
            <v>374.59</v>
          </cell>
        </row>
        <row r="3937">
          <cell r="A3937">
            <v>93064</v>
          </cell>
          <cell r="B3937" t="str">
            <v>LUVA PASSANTE EM COBRE, DN 42 MM, SEM ANEL DE SOLDA, INSTALADO EM PRUMADA  FORNECIMENTO E INSTALAÇÃO. AF_01/2016</v>
          </cell>
          <cell r="C3937" t="str">
            <v>UN</v>
          </cell>
          <cell r="D3937">
            <v>28.99</v>
          </cell>
        </row>
        <row r="3938">
          <cell r="A3938">
            <v>93065</v>
          </cell>
          <cell r="B3938" t="str">
            <v>BUCHA DE REDUÇÃO EM COBRE, DN 42 MM X 35 MM, SEM ANEL DE SOLDA, PONTA X BOLSA, INSTALADO EM PRUMADA  FORNECIMENTO E INSTALAÇÃO. AF_01/2016</v>
          </cell>
          <cell r="C3938" t="str">
            <v>UN</v>
          </cell>
          <cell r="D3938">
            <v>27.22</v>
          </cell>
        </row>
        <row r="3939">
          <cell r="A3939">
            <v>93066</v>
          </cell>
          <cell r="B3939" t="str">
            <v>JUNTA DE EXPANSÃO EM BRONZE/LATÃO, DN 42 MM, PONTA X PONTA, INSTALADO EM PRUMADA  FORNECIMENTO E INSTALAÇÃO. AF_01/2016</v>
          </cell>
          <cell r="C3939" t="str">
            <v>UN</v>
          </cell>
          <cell r="D3939">
            <v>470.15</v>
          </cell>
        </row>
        <row r="3940">
          <cell r="A3940">
            <v>93067</v>
          </cell>
          <cell r="B3940" t="str">
            <v>LUVA PASSANTE EM COBRE, DN 54 MM, SEM ANEL DE SOLDA, INSTALADO EM PRUMADA  FORNECIMENTO E INSTALAÇÃO. AF_01/2016</v>
          </cell>
          <cell r="C3940" t="str">
            <v>UN</v>
          </cell>
          <cell r="D3940">
            <v>42.72</v>
          </cell>
        </row>
        <row r="3941">
          <cell r="A3941">
            <v>93068</v>
          </cell>
          <cell r="B3941" t="str">
            <v>BUCHA DE REDUÇÃO EM COBRE, DN 54 MM X 42 MM, SEM ANEL DE SOLDA, PONTA X BOLSA, INSTALADO EM PRUMADA  FORNECIMENTO E INSTALAÇÃO. AF_01/2016</v>
          </cell>
          <cell r="C3941" t="str">
            <v>UN</v>
          </cell>
          <cell r="D3941">
            <v>37.54</v>
          </cell>
        </row>
        <row r="3942">
          <cell r="A3942">
            <v>93069</v>
          </cell>
          <cell r="B3942" t="str">
            <v>JUNTA DE EXPANSÃO EM BRONZE/LATÃO, DN 54 MM, PONTA X PONTA, INSTALADO EM PRUMADA  FORNECIMENTO E INSTALAÇÃO. AF_01/2016</v>
          </cell>
          <cell r="C3942" t="str">
            <v>UN</v>
          </cell>
          <cell r="D3942">
            <v>651.4</v>
          </cell>
        </row>
        <row r="3943">
          <cell r="A3943">
            <v>93070</v>
          </cell>
          <cell r="B3943" t="str">
            <v>LUVA PASSANTE EM COBRE, DN 66 MM, SEM ANEL DE SOLDA, INSTALADO EM PRUMADA  FORNECIMENTO E INSTALAÇÃO. AF_01/2016</v>
          </cell>
          <cell r="C3943" t="str">
            <v>UN</v>
          </cell>
          <cell r="D3943">
            <v>106.08</v>
          </cell>
        </row>
        <row r="3944">
          <cell r="A3944">
            <v>93071</v>
          </cell>
          <cell r="B3944" t="str">
            <v>BUCHA DE REDUÇÃO EM COBRE, DN 66 MM X 54 MM, SEM ANEL DE SOLDA, PONTA X BOLSA, INSTALADO EM PRUMADA  FORNECIMENTO E INSTALAÇÃO. AF_01/2016</v>
          </cell>
          <cell r="C3944" t="str">
            <v>UN</v>
          </cell>
          <cell r="D3944">
            <v>98.62</v>
          </cell>
        </row>
        <row r="3945">
          <cell r="A3945">
            <v>93072</v>
          </cell>
          <cell r="B3945" t="str">
            <v>JUNTA DE EXPANSÃO EM BRONZE/LATÃO, DN 66 MM, PONTA X PONTA, INSTALADO EM PRUMADA  FORNECIMENTO E INSTALAÇÃO. AF_01/2016</v>
          </cell>
          <cell r="C3945" t="str">
            <v>UN</v>
          </cell>
          <cell r="D3945">
            <v>859.29</v>
          </cell>
        </row>
        <row r="3946">
          <cell r="A3946">
            <v>93073</v>
          </cell>
          <cell r="B3946" t="str">
            <v>TE DUPLA CURVA EM BRONZE/LATÃO, DN 3/4" X 22 MM X 3/4", SEM ANEL DE SOLDA, ROSCA F X BOLSA X ROSCA F, INSTALADO EM PRUMADA  FORNECIMENTO E INSTALAÇÃO. AF_01/2016</v>
          </cell>
          <cell r="C3946" t="str">
            <v>UN</v>
          </cell>
          <cell r="D3946">
            <v>48.49</v>
          </cell>
        </row>
        <row r="3947">
          <cell r="A3947">
            <v>93074</v>
          </cell>
          <cell r="B3947" t="str">
            <v>CURVA EM COBRE, DN 15 MM, 45 GRAUS, SEM ANEL DE SOLDA, BOLSA X BOLSA, INSTALADO EM RAMAL DE DISTRIBUIÇÃO  FORNECIMENTO E INSTALAÇÃO. AF_01/2016</v>
          </cell>
          <cell r="C3947" t="str">
            <v>UN</v>
          </cell>
          <cell r="D3947">
            <v>8.5</v>
          </cell>
        </row>
        <row r="3948">
          <cell r="A3948">
            <v>93075</v>
          </cell>
          <cell r="B3948" t="str">
            <v>COTOVELO EM BRONZE/LATÃO, DN 15 MM X 1/2", 90 GRAUS, SEM ANEL DE SOLDA, BOLSA X ROSCA F, INSTALADO EM RAMAL DE DISTRIBUIÇÃO  FORNECIMENTO E INSTALAÇÃO. AF_01/2016</v>
          </cell>
          <cell r="C3948" t="str">
            <v>UN</v>
          </cell>
          <cell r="D3948">
            <v>13.43</v>
          </cell>
        </row>
        <row r="3949">
          <cell r="A3949">
            <v>93076</v>
          </cell>
          <cell r="B3949" t="str">
            <v>CURVA EM COBRE, DN 22 MM, 45 GRAUS, SEM ANEL DE SOLDA, BOLSA X BOLSA, INSTALADO EM RAMAL DE DISTRIBUIÇÃO  FORNECIMENTO E INSTALAÇÃO. AF_01/2016</v>
          </cell>
          <cell r="C3949" t="str">
            <v>UN</v>
          </cell>
          <cell r="D3949">
            <v>13.24</v>
          </cell>
        </row>
        <row r="3950">
          <cell r="A3950">
            <v>93077</v>
          </cell>
          <cell r="B3950" t="str">
            <v>COTOVELO EM BRONZE/LATÃO, DN 22 MM X 1/2", 90 GRAUS, SEM ANEL DE SOLDA, BOLSA X ROSCA F, INSTALADO EM RAMAL DE DISTRIBUIÇÃO  FORNECIMENTO E INSTALAÇÃO. AF_01/2016</v>
          </cell>
          <cell r="C3950" t="str">
            <v>UN</v>
          </cell>
          <cell r="D3950">
            <v>18.77</v>
          </cell>
        </row>
        <row r="3951">
          <cell r="A3951">
            <v>93078</v>
          </cell>
          <cell r="B3951" t="str">
            <v>COTOVELO EM BRONZE/LATÃO, DN 22 MM X 3/4", 90 GRAUS, SEM ANEL DE SOLDA, BOLSA X ROSCA F, INSTALADO EM RAMAL DE DISTRIBUIÇÃO  FORNECIMENTO E INSTALAÇÃO. AF_01/2016</v>
          </cell>
          <cell r="C3951" t="str">
            <v>UN</v>
          </cell>
          <cell r="D3951">
            <v>20.22</v>
          </cell>
        </row>
        <row r="3952">
          <cell r="A3952">
            <v>93079</v>
          </cell>
          <cell r="B3952" t="str">
            <v>CURVA EM COBRE, DN 28 MM, 45 GRAUS, SEM ANEL DE SOLDA, BOLSA X BOLSA, INSTALADO EM RAMAL DE DISTRIBUIÇÃO  FORNECIMENTO E INSTALAÇÃO. AF_01/2016</v>
          </cell>
          <cell r="C3952" t="str">
            <v>UN</v>
          </cell>
          <cell r="D3952">
            <v>18.13</v>
          </cell>
        </row>
        <row r="3953">
          <cell r="A3953">
            <v>93080</v>
          </cell>
          <cell r="B3953" t="str">
            <v>LUVA PASSANTE EM COBRE, DN 15 MM, SEM ANEL DE SOLDA, INSTALADO EM RAMAL DE DISTRIBUIÇÃO  FORNECIMENTO E INSTALAÇÃO. AF_01/2016</v>
          </cell>
          <cell r="C3953" t="str">
            <v>UN</v>
          </cell>
          <cell r="D3953">
            <v>5.58</v>
          </cell>
        </row>
        <row r="3954">
          <cell r="A3954">
            <v>93081</v>
          </cell>
          <cell r="B3954" t="str">
            <v>CONECTOR EM BRONZE/LATÃO, DN 15 MM X 1/2", SEM ANEL DE SOLDA, BOLSA X ROSCA F, INSTALADO EM RAMAL DE DISTRIBUIÇÃO  FORNECIMENTO E INSTALAÇÃO. AF_01/2016</v>
          </cell>
          <cell r="C3954" t="str">
            <v>UN</v>
          </cell>
          <cell r="D3954">
            <v>11.83</v>
          </cell>
        </row>
        <row r="3955">
          <cell r="A3955">
            <v>93082</v>
          </cell>
          <cell r="B3955" t="str">
            <v>CURVA DE TRANSPOSIÇÃO EM BRONZE/LATÃO, DN 15 MM, SEM ANEL DE SOLDA, BOLSA X BOLSA, INSTALADO EM RAMAL DE DISTRIBUIÇÃO  FORNECIMENTO E INSTALAÇÃO. AF_01/2016</v>
          </cell>
          <cell r="C3955" t="str">
            <v>UN</v>
          </cell>
          <cell r="D3955">
            <v>14.32</v>
          </cell>
        </row>
        <row r="3956">
          <cell r="A3956">
            <v>93083</v>
          </cell>
          <cell r="B3956" t="str">
            <v>JUNTA DE EXPANSÃO EM COBRE, DN 15 MM, PONTA X PONTA, INSTALADO EM RAMAL DE DISTRIBUIÇÃO  FORNECIMENTO E INSTALAÇÃO. AF_01/2016</v>
          </cell>
          <cell r="C3956" t="str">
            <v>UN</v>
          </cell>
          <cell r="D3956">
            <v>257.38</v>
          </cell>
        </row>
        <row r="3957">
          <cell r="A3957">
            <v>93084</v>
          </cell>
          <cell r="B3957" t="str">
            <v>LUVA PASSANTE EM COBRE, DN 22 MM, SEM ANEL DE SOLDA, INSTALADO EM RAMAL DE DISTRIBUIÇÃO  FORNECIMENTO E INSTALAÇÃO. AF_01/2016</v>
          </cell>
          <cell r="C3957" t="str">
            <v>UN</v>
          </cell>
          <cell r="D3957">
            <v>8.7799999999999994</v>
          </cell>
        </row>
        <row r="3958">
          <cell r="A3958">
            <v>93085</v>
          </cell>
          <cell r="B3958" t="str">
            <v>BUCHA DE REDUÇÃO EM COBRE, DN 22 MM X 15 MM, SEM ANEL DE SOLDA, PONTA X BOLSA, INSTALADO EM RAMAL DE DISTRIBUIÇÃO  FORNECIMENTO E INSTALAÇÃO. AF_01/2016</v>
          </cell>
          <cell r="C3958" t="str">
            <v>UN</v>
          </cell>
          <cell r="D3958">
            <v>8.27</v>
          </cell>
        </row>
        <row r="3959">
          <cell r="A3959">
            <v>93086</v>
          </cell>
          <cell r="B3959" t="str">
            <v>JUNTA DE EXPANSÃO EM COBRE, DN 22 MM, PONTA X PONTA, INSTALADO EM RAMAL DE DISTRIBUIÇÃO  FORNECIMENTO E INSTALAÇÃO. AF_01/2016</v>
          </cell>
          <cell r="C3959" t="str">
            <v>UN</v>
          </cell>
          <cell r="D3959">
            <v>298.88</v>
          </cell>
        </row>
        <row r="3960">
          <cell r="A3960">
            <v>93087</v>
          </cell>
          <cell r="B3960" t="str">
            <v>CONECTOR EM BRONZE/LATÃO, DN 22 MM X 1/2", SEM ANEL DE SOLDA, BOLSA X ROSCA F, INSTALADO EM RAMAL DE DISTRIBUIÇÃO  FORNECIMENTO E INSTALAÇÃO. AF_01/2016</v>
          </cell>
          <cell r="C3960" t="str">
            <v>UN</v>
          </cell>
          <cell r="D3960">
            <v>12.9</v>
          </cell>
        </row>
        <row r="3961">
          <cell r="A3961">
            <v>93088</v>
          </cell>
          <cell r="B3961" t="str">
            <v>CONECTOR EM BRONZE/LATÃO, DN 22 MM X 3/4", SEM ANEL DE SOLDA, BOLSA X ROSCA F, INSTALADO EM RAMAL DE DISTRIBUIÇÃO  FORNECIMENTO E INSTALAÇÃO. AF_01/2016</v>
          </cell>
          <cell r="C3961" t="str">
            <v>UN</v>
          </cell>
          <cell r="D3961">
            <v>14.98</v>
          </cell>
        </row>
        <row r="3962">
          <cell r="A3962">
            <v>93089</v>
          </cell>
          <cell r="B3962" t="str">
            <v>CURVA DE TRANSPOSIÇÃO EM BRONZE/LATÃO, DN 22 MM, SEM ANEL DE SOLDA, BOLSA X BOLSA, INSTALADO EM RAMAL DE DISTRIBUIÇÃO  FORNECIMENTO E INSTALAÇÃO. AF_01/2016</v>
          </cell>
          <cell r="C3962" t="str">
            <v>UN</v>
          </cell>
          <cell r="D3962">
            <v>27.99</v>
          </cell>
        </row>
        <row r="3963">
          <cell r="A3963">
            <v>93090</v>
          </cell>
          <cell r="B3963" t="str">
            <v>LUVA PASSANTE EM COBRE, DN 28 MM, SEM ANEL DE SOLDA, INSTALADO EM RAMAL DE DISTRIBUIÇÃO  FORNECIMENTO E INSTALAÇÃO. AF_01/2016</v>
          </cell>
          <cell r="C3963" t="str">
            <v>UN</v>
          </cell>
          <cell r="D3963">
            <v>11.95</v>
          </cell>
        </row>
        <row r="3964">
          <cell r="A3964">
            <v>93091</v>
          </cell>
          <cell r="B3964" t="str">
            <v>BUCHA DE REDUÇÃO EM COBRE, DN 28 MM X 22 MM, SEM ANEL DE SOLDA, INSTALADO EM RAMAL DE DISTRIBUIÇÃO  FORNECIMENTO E INSTALAÇÃO. AF_01/2016</v>
          </cell>
          <cell r="C3964" t="str">
            <v>UN</v>
          </cell>
          <cell r="D3964">
            <v>10.72</v>
          </cell>
        </row>
        <row r="3965">
          <cell r="A3965">
            <v>93092</v>
          </cell>
          <cell r="B3965" t="str">
            <v>JUNTA DE EXPANSÃO EM COBRE, DN 28 MM, PONTA X PONTA, INSTALADO EM RAMAL DE DISTRIBUIÇÃO  FORNECIMENTO E INSTALAÇÃO. AF_01/2016</v>
          </cell>
          <cell r="C3965" t="str">
            <v>UN</v>
          </cell>
          <cell r="D3965">
            <v>328.56</v>
          </cell>
        </row>
        <row r="3966">
          <cell r="A3966">
            <v>93093</v>
          </cell>
          <cell r="B3966" t="str">
            <v>CONECTOR EM BRONZE/LATÃO, DN 28 MM X 1/2", SEM ANEL DE SOLDA, BOLSA X ROSCA F, INSTALADO EM RAMAL DE DISTRIBUIÇÃO  FORNECIMENTO E INSTALAÇÃO. AF_01/2016</v>
          </cell>
          <cell r="C3966" t="str">
            <v>UN</v>
          </cell>
          <cell r="D3966">
            <v>19.66</v>
          </cell>
        </row>
        <row r="3967">
          <cell r="A3967">
            <v>93094</v>
          </cell>
          <cell r="B3967" t="str">
            <v>CURVA DE TRANSPOSIÇÃO EM BRONZE/LATÃO, DN 28 MM, SEM ANEL DE SOLDA, BOLSA X BOLSA, INSTALADO EM RAMAL DE DISTRIBUIÇÃO  FORNECIMENTO E INSTALAÇÃO. AF_01/2016</v>
          </cell>
          <cell r="C3967" t="str">
            <v>UN</v>
          </cell>
          <cell r="D3967">
            <v>47.28</v>
          </cell>
        </row>
        <row r="3968">
          <cell r="A3968">
            <v>93095</v>
          </cell>
          <cell r="B3968" t="str">
            <v>TE DUPLA CURVA EM BRONZE/LATÃO, DN 1/2" X 15 MM X 1/2", SEM ANEL DE SOLDA, ROSCA F X BOLSA X ROSCA F, INSTALADO EM RAMAL DE DISTRIBUIÇÃO  FORNECIMENTO E INSTALAÇÃO. AF_01/2016</v>
          </cell>
          <cell r="C3968" t="str">
            <v>UN</v>
          </cell>
          <cell r="D3968">
            <v>36.43</v>
          </cell>
        </row>
        <row r="3969">
          <cell r="A3969">
            <v>93096</v>
          </cell>
          <cell r="B3969" t="str">
            <v>TE DUPLA CURVA EM BRONZE/LATÃO, DN 3/4" X 22 MM X 3/4", SEM ANEL DE SOLDA, ROSCA F X BOLSA X ROSCA F, INSTALADO EM RAMAL DE DISTRIBUIÇÃO  FORNECIMENTO E INSTALAÇÃO. AF_01/2016</v>
          </cell>
          <cell r="C3969" t="str">
            <v>UN</v>
          </cell>
          <cell r="D3969">
            <v>51.51</v>
          </cell>
        </row>
        <row r="3970">
          <cell r="A3970">
            <v>93097</v>
          </cell>
          <cell r="B3970" t="str">
            <v>CURVA EM COBRE, DN 15 MM, 45 GRAUS, SEM ANEL DE SOLDA, BOLSA X BOLSA, INSTALADO EM RAMAL E SUB-RAMAL  FORNECIMENTO E INSTALAÇÃO. AF_01/2016</v>
          </cell>
          <cell r="C3970" t="str">
            <v>UN</v>
          </cell>
          <cell r="D3970">
            <v>8.69</v>
          </cell>
        </row>
        <row r="3971">
          <cell r="A3971">
            <v>93098</v>
          </cell>
          <cell r="B3971" t="str">
            <v>COTOVELO EM BRONZE/LATÃO, DN 15 MM X 1/2", 90 GRAUS, SEM ANEL DE SOLDA, BOLSA X ROSCA F, INSTALADO EM RAMAL E SUB-RAMAL  FORNECIMENTO E INSTALAÇÃO. AF_01/2016</v>
          </cell>
          <cell r="C3971" t="str">
            <v>UN</v>
          </cell>
          <cell r="D3971">
            <v>13.62</v>
          </cell>
        </row>
        <row r="3972">
          <cell r="A3972">
            <v>93099</v>
          </cell>
          <cell r="B3972" t="str">
            <v>CURVA EM COBRE, DN 22 MM, 45 GRAUS, SEM ANEL DE SOLDA, BOLSA X BOLSA, INSTALADO EM RAMAL E SUB-RAMAL  FORNECIMENTO E INSTALAÇÃO. AF_01/2016</v>
          </cell>
          <cell r="C3972" t="str">
            <v>UN</v>
          </cell>
          <cell r="D3972">
            <v>15.32</v>
          </cell>
        </row>
        <row r="3973">
          <cell r="A3973">
            <v>93100</v>
          </cell>
          <cell r="B3973" t="str">
            <v>COTOVELO EM BRONZE/LATÃO, DN 22 MM X 1/2", 90 GRAUS, SEM ANEL DE SOLDA, BOLSA X ROSCA F, INSTALADO EM RAMAL E SUB-RAMAL  FORNECIMENTO E INSTALAÇÃO. AF_01/2016</v>
          </cell>
          <cell r="C3973" t="str">
            <v>UN</v>
          </cell>
          <cell r="D3973">
            <v>20.85</v>
          </cell>
        </row>
        <row r="3974">
          <cell r="A3974">
            <v>93101</v>
          </cell>
          <cell r="B3974" t="str">
            <v>COTOVELO EM BRONZE/LATÃO, DN 22 MM X 3/4", 90 GRAUS, SEM ANEL DE SOLDA, BOLSA X ROSCA F, INSTALADO EM RAMAL E SUB-RAMAL  FORNECIMENTO E INSTALAÇÃO. AF_01/2016</v>
          </cell>
          <cell r="C3974" t="str">
            <v>UN</v>
          </cell>
          <cell r="D3974">
            <v>22.3</v>
          </cell>
        </row>
        <row r="3975">
          <cell r="A3975">
            <v>93102</v>
          </cell>
          <cell r="B3975" t="str">
            <v>CURVA EM COBRE, DN 28 MM, 45 GRAUS, SEM ANEL DE SOLDA, BOLSA X BOLSA, INSTALADO EM RAMAL E SUB-RAMAL  FORNECIMENTO E INSTALAÇÃO. AF_01/2016</v>
          </cell>
          <cell r="C3975" t="str">
            <v>UN</v>
          </cell>
          <cell r="D3975">
            <v>20.03</v>
          </cell>
        </row>
        <row r="3976">
          <cell r="A3976">
            <v>93103</v>
          </cell>
          <cell r="B3976" t="str">
            <v>LUVA PASSANTE EM COBRE, DN 15 MM, SEM ANEL DE SOLDA, INSTALADO EM RAMAL E SUB-RAMAL  FORNECIMENTO E INSTALAÇÃO. AF_01/2016</v>
          </cell>
          <cell r="C3976" t="str">
            <v>UN</v>
          </cell>
          <cell r="D3976">
            <v>5.72</v>
          </cell>
        </row>
        <row r="3977">
          <cell r="A3977">
            <v>93104</v>
          </cell>
          <cell r="B3977" t="str">
            <v>CONECTOR EM BRONZE/LATÃO, DN 15 MM X 1/2", SEM ANEL DE SOLDA, BOLSA X ROSCA F, INSTALADO EM RAMAL E SUB-RAMAL  FORNECIMENTO E INSTALAÇÃO. AF_01/2016</v>
          </cell>
          <cell r="C3977" t="str">
            <v>UN</v>
          </cell>
          <cell r="D3977">
            <v>11.97</v>
          </cell>
        </row>
        <row r="3978">
          <cell r="A3978">
            <v>93105</v>
          </cell>
          <cell r="B3978" t="str">
            <v>CURVA DE TRANSPOSIÇÃO EM BRONZE/LATÃO, DN 15 MM, SEM ANEL DE SOLDA, BOLSA X BOLSA, INSTALADO EM RAMAL E SUB-RAMAL  FORNECIMENTO E INSTALAÇÃO. AF_01/2016</v>
          </cell>
          <cell r="C3978" t="str">
            <v>UN</v>
          </cell>
          <cell r="D3978">
            <v>14.46</v>
          </cell>
        </row>
        <row r="3979">
          <cell r="A3979">
            <v>93106</v>
          </cell>
          <cell r="B3979" t="str">
            <v>JUNTA DE EXPANSÃO EM COBRE, DN 15 MM, PONTA X PONTA, INSTALADO EM RAMAL E SUB-RAMAL  FORNECIMENTO E INSTALAÇÃO. AF_01/2016</v>
          </cell>
          <cell r="C3979" t="str">
            <v>UN</v>
          </cell>
          <cell r="D3979">
            <v>257.52</v>
          </cell>
        </row>
        <row r="3980">
          <cell r="A3980">
            <v>93107</v>
          </cell>
          <cell r="B3980" t="str">
            <v>LUVA PASSANTE EM COBRE, DN 22 MM, SEM ANEL DE SOLDA, INSTALADO EM RAMAL E SUB-RAMAL  FORNECIMENTO E INSTALAÇÃO. AF_01/2016</v>
          </cell>
          <cell r="C3980" t="str">
            <v>UN</v>
          </cell>
          <cell r="D3980">
            <v>10.15</v>
          </cell>
        </row>
        <row r="3981">
          <cell r="A3981">
            <v>93108</v>
          </cell>
          <cell r="B3981" t="str">
            <v>BUCHA DE REDUÇÃO EM COBRE, DN 22 MM X 15 MM, SEM ANEL DE SOLDA, PONTA X BOLSA, INSTALADO EM RAMAL E SUB-RAMAL  FORNECIMENTO E INSTALAÇÃO. AF_01/2016</v>
          </cell>
          <cell r="C3981" t="str">
            <v>UN</v>
          </cell>
          <cell r="D3981">
            <v>9.64</v>
          </cell>
        </row>
        <row r="3982">
          <cell r="A3982">
            <v>93109</v>
          </cell>
          <cell r="B3982" t="str">
            <v>JUNTA DE EXPANSÃO EM COBRE, DN 22 MM, PONTA X PONTA, INSTALADO EM RAMAL E SUB-RAMAL  FORNECIMENTO E INSTALAÇÃO. AF_01/2016</v>
          </cell>
          <cell r="C3982" t="str">
            <v>UN</v>
          </cell>
          <cell r="D3982">
            <v>300.25</v>
          </cell>
        </row>
        <row r="3983">
          <cell r="A3983">
            <v>93110</v>
          </cell>
          <cell r="B3983" t="str">
            <v>CONECTOR EM BRONZE/LATÃO, DN 22 MM X 1/2", SEM ANEL DE SOLDA, BOLSA X ROSCA F, INSTALADO EM RAMAL E SUB-RAMAL  FORNECIMENTO E INSTALAÇÃO. AF_01/2016</v>
          </cell>
          <cell r="C3983" t="str">
            <v>UN</v>
          </cell>
          <cell r="D3983">
            <v>14.27</v>
          </cell>
        </row>
        <row r="3984">
          <cell r="A3984">
            <v>93111</v>
          </cell>
          <cell r="B3984" t="str">
            <v>CONECTOR EM BRONZE/LATÃO, DN 22 MM X 3/4", SEM ANEL DE SOLDA, BOLSA X ROSCA F, INSTALADO EM RAMAL E SUB-RAMAL  FORNECIMENTO E INSTALAÇÃO. AF_01/2016</v>
          </cell>
          <cell r="C3984" t="str">
            <v>UN</v>
          </cell>
          <cell r="D3984">
            <v>16.2</v>
          </cell>
        </row>
        <row r="3985">
          <cell r="A3985">
            <v>93112</v>
          </cell>
          <cell r="B3985" t="str">
            <v>CURVA DE TRANSPOSIÇÃO EM BRONZE/LATÃO, DN 22 MM, SEM ANEL DE SOLDA, BOLSA X BOLSA, INSTALADO EM RAMAL E SUB-RAMAL  FORNECIMENTO E INSTALAÇÃO. AF_01/2016</v>
          </cell>
          <cell r="C3985" t="str">
            <v>UN</v>
          </cell>
          <cell r="D3985">
            <v>29.36</v>
          </cell>
        </row>
        <row r="3986">
          <cell r="A3986">
            <v>93113</v>
          </cell>
          <cell r="B3986" t="str">
            <v>LUVA PASSANTE EM COBRE, DN 28 MM, SEM ANEL DE SOLDA, INSTALADO EM RAMAL E SUB-RAMAL  FORNECIMENTO E INSTALAÇÃO. AF_01/2016</v>
          </cell>
          <cell r="C3986" t="str">
            <v>UN</v>
          </cell>
          <cell r="D3986">
            <v>14.43</v>
          </cell>
        </row>
        <row r="3987">
          <cell r="A3987">
            <v>93114</v>
          </cell>
          <cell r="B3987" t="str">
            <v>CONECTOR EM BRONZE/LATÃO, DN 28 MM X 1/2", SEM ANEL DE SOLDA, BOLSA X ROSCA F, INSTALADO EM RAMAL E SUB-RAMAL  FORNECIMENTO E INSTALAÇÃO. AF_01/2016</v>
          </cell>
          <cell r="C3987" t="str">
            <v>UN</v>
          </cell>
          <cell r="D3987">
            <v>22.14</v>
          </cell>
        </row>
        <row r="3988">
          <cell r="A3988">
            <v>93115</v>
          </cell>
          <cell r="B3988" t="str">
            <v>CURVA DE TRANSPOSIÇÃO EM BRONZE/LATÃO, DN 28 MM, SEM ANEL DE SOLDA, BOLSA X BOLSA, INSTALADO EM RAMAL E SUB-RAMAL  FORNECIMENTO E INSTALAÇÃO. AF_01/2016</v>
          </cell>
          <cell r="C3988" t="str">
            <v>UN</v>
          </cell>
          <cell r="D3988">
            <v>49.76</v>
          </cell>
        </row>
        <row r="3989">
          <cell r="A3989">
            <v>93116</v>
          </cell>
          <cell r="B3989" t="str">
            <v>JUNTA DE EXPANSÃO EM COBRE, DN 28 MM, PONTA X PONTA, INSTALADO EM RAMAL E SUB-RAMAL  FORNECIMENTO E INSTALAÇÃO. AF_01/2016</v>
          </cell>
          <cell r="C3989" t="str">
            <v>UN</v>
          </cell>
          <cell r="D3989">
            <v>331.04</v>
          </cell>
        </row>
        <row r="3990">
          <cell r="A3990">
            <v>93117</v>
          </cell>
          <cell r="B3990" t="str">
            <v>TE DUPLA CURVA EM BRONZE/LATÃO, DN 1/2" X 15 MM X 1/2", SEM ANEL DE SOLDA, ROSCA F X BOLSA X ROSCA F, INSTALADO EM RAMAL E SUB-RAMAL  FORNECIMENTO E INSTALAÇÃO. AF_01/2016</v>
          </cell>
          <cell r="C3990" t="str">
            <v>UN</v>
          </cell>
          <cell r="D3990">
            <v>36.64</v>
          </cell>
        </row>
        <row r="3991">
          <cell r="A3991">
            <v>93118</v>
          </cell>
          <cell r="B3991" t="str">
            <v>TE DUPLA CURVA EM BRONZE/LATÃO, DN 3/4" X 22 MM X 3/4", SEM ANEL DE SOLDA, ROSCA F X BOLSA X ROSCA F, INSTALADO EM RAMAL E SUB-RAMAL  FORNECIMENTO E INSTALAÇÃO. AF_01/2016</v>
          </cell>
          <cell r="C3991" t="str">
            <v>UN</v>
          </cell>
          <cell r="D3991">
            <v>54.27</v>
          </cell>
        </row>
        <row r="3992">
          <cell r="A3992">
            <v>93119</v>
          </cell>
          <cell r="B3992" t="str">
            <v>CURVA EM COBRE, DN 22 MM, 45 GRAUS, SEM ANEL DE SOLDA, BOLSA X BOLSA, INSTALADO EM PRUMADA  FORNECIMENTO E INSTALAÇÃO. AF_01/2016</v>
          </cell>
          <cell r="C3992" t="str">
            <v>UN</v>
          </cell>
          <cell r="D3992">
            <v>10.98</v>
          </cell>
        </row>
        <row r="3993">
          <cell r="A3993">
            <v>93120</v>
          </cell>
          <cell r="B3993" t="str">
            <v>COTOVELO EM BRONZE/LATÃO, DN 22 MM X 1/2", 90 GRAUS, SEM ANEL DE SOLDA, BOLSA X ROSCA F, INSTALADO EM PRUMADA  FORNECIMENTO E INSTALAÇÃO. AF_01/2016</v>
          </cell>
          <cell r="C3993" t="str">
            <v>UN</v>
          </cell>
          <cell r="D3993">
            <v>16.510000000000002</v>
          </cell>
        </row>
        <row r="3994">
          <cell r="A3994">
            <v>93121</v>
          </cell>
          <cell r="B3994" t="str">
            <v>COTOVELO EM BRONZE/LATÃO, DN 22 MM X 3/4", 90 GRAUS, SEM ANEL DE SOLDA, BOLSA X ROSCA F, INSTALADO EM PRUMADA  FORNECIMENTO E INSTALAÇÃO. AF_01/2016</v>
          </cell>
          <cell r="C3994" t="str">
            <v>UN</v>
          </cell>
          <cell r="D3994">
            <v>17.96</v>
          </cell>
        </row>
        <row r="3995">
          <cell r="A3995">
            <v>93122</v>
          </cell>
          <cell r="B3995" t="str">
            <v>CURVA EM COBRE, DN 28 MM, 45 GRAUS, SEM ANEL DE SOLDA, BOLSA X BOLSA, INSTALADO EM PRUMADA  FORNECIMENTO E INSTALAÇÃO. AF_01/2016</v>
          </cell>
          <cell r="C3995" t="str">
            <v>UN</v>
          </cell>
          <cell r="D3995">
            <v>15.87</v>
          </cell>
        </row>
        <row r="3996">
          <cell r="A3996">
            <v>93123</v>
          </cell>
          <cell r="B3996" t="str">
            <v>CURVA EM COBRE, DN 35 MM, 45 GRAUS, SEM ANEL DE SOLDA, BOLSA X BOLSA, INSTALADO EM PRUMADA  FORNECIMENTO E INSTALAÇÃO. AF_01/2016</v>
          </cell>
          <cell r="C3996" t="str">
            <v>UN</v>
          </cell>
          <cell r="D3996">
            <v>33.979999999999997</v>
          </cell>
        </row>
        <row r="3997">
          <cell r="A3997">
            <v>93124</v>
          </cell>
          <cell r="B3997" t="str">
            <v>CURVA EM COBRE, DN 42 MM, 45 GRAUS, SEM ANEL DE SOLDA, BOLSA X BOLSA, INSTALADO EM PRUMADA  FORNECIMENTO E INSTALAÇÃO. AF_01/2016</v>
          </cell>
          <cell r="C3997" t="str">
            <v>UN</v>
          </cell>
          <cell r="D3997">
            <v>52.99</v>
          </cell>
        </row>
        <row r="3998">
          <cell r="A3998">
            <v>93125</v>
          </cell>
          <cell r="B3998" t="str">
            <v>CURVA EM COBRE, DN 54 MM, 45 GRAUS, SEM ANEL DE SOLDA, BOLSA X BOLSA, INSTALADO EM PRUMADA  FORNECIMENTO E INSTALAÇÃO. AF_01/2016</v>
          </cell>
          <cell r="C3998" t="str">
            <v>UN</v>
          </cell>
          <cell r="D3998">
            <v>76.77</v>
          </cell>
        </row>
        <row r="3999">
          <cell r="A3999">
            <v>93126</v>
          </cell>
          <cell r="B3999" t="str">
            <v>CURVA EM COBRE, DN 66 MM, 45 GRAUS, SEM ANEL DE SOLDA, BOLSA X BOLSA, INSTALADO EM PRUMADA  FORNECIMENTO E INSTALAÇÃO. AF_01/2016</v>
          </cell>
          <cell r="C3999" t="str">
            <v>UN</v>
          </cell>
          <cell r="D3999">
            <v>168.5</v>
          </cell>
        </row>
        <row r="4000">
          <cell r="A4000">
            <v>93133</v>
          </cell>
          <cell r="B4000" t="str">
            <v>BUCHA DE REDUÇÃO EM COBRE, DN 28 MM X 22 MM, SEM ANEL DE SOLDA, INSTALADO EM RAMAL E SUB-RAMAL  FORNECIMENTO E INSTALAÇÃO. AF_01/2016</v>
          </cell>
          <cell r="C4000" t="str">
            <v>UN</v>
          </cell>
          <cell r="D4000">
            <v>13.2</v>
          </cell>
        </row>
        <row r="4001">
          <cell r="A4001">
            <v>94465</v>
          </cell>
          <cell r="B4001" t="str">
            <v>LUVA, EM FERRO GALVANIZADO, CONEXÃO ROSQUEADA, DN 50 (2), INSTALADO EM RESERVAÇÃO DE ÁGUA DE EDIFICAÇÃO QUE POSSUA RESERVATÓRIO DE FIBRA/FIBROCIMENTO  FORNECIMENTO E INSTALAÇÃO. AF_06/2016</v>
          </cell>
          <cell r="C4001" t="str">
            <v>UN</v>
          </cell>
          <cell r="D4001">
            <v>29.18</v>
          </cell>
        </row>
        <row r="4002">
          <cell r="A4002">
            <v>94466</v>
          </cell>
          <cell r="B4002" t="str">
            <v>NIPLE, EM FERRO GALVANIZADO, CONEXÃO ROSQUEADA, DN 50 (2), INSTALADO EM RESERVAÇÃO DE ÁGUA DE EDIFICAÇÃO QUE POSSUA RESERVATÓRIO DE FIBRA/FIBROCIMENTO  FORNECIMENTO E INSTALAÇÃO. AF_06/2016</v>
          </cell>
          <cell r="C4002" t="str">
            <v>UN</v>
          </cell>
          <cell r="D4002">
            <v>29.19</v>
          </cell>
        </row>
        <row r="4003">
          <cell r="A4003">
            <v>94467</v>
          </cell>
          <cell r="B4003" t="str">
            <v>LUVA, EM FERRO GALVANIZADO, CONEXÃO ROSQUEADA, DN 65 (2 1/2), INSTALADO EM RESERVAÇÃO DE ÁGUA DE EDIFICAÇÃO QUE POSSUA RESERVATÓRIO DE FIBRA/FIBROCIMENTO  FORNECIMENTO E INSTALAÇÃO. AF_06/2016</v>
          </cell>
          <cell r="C4003" t="str">
            <v>UN</v>
          </cell>
          <cell r="D4003">
            <v>42.49</v>
          </cell>
        </row>
        <row r="4004">
          <cell r="A4004">
            <v>94468</v>
          </cell>
          <cell r="B4004" t="str">
            <v>NIPLE, EM FERRO GALVANIZADO, CONEXÃO ROSQUEADA, DN 65 (2 1/2), INSTALADO EM RESERVAÇÃO DE ÁGUA DE EDIFICAÇÃO QUE POSSUA RESERVATÓRIO DE FIBRA/FIBROCIMENTO  FORNECIMENTO E INSTALAÇÃO. AF_06/2016</v>
          </cell>
          <cell r="C4004" t="str">
            <v>UN</v>
          </cell>
          <cell r="D4004">
            <v>37.76</v>
          </cell>
        </row>
        <row r="4005">
          <cell r="A4005">
            <v>94469</v>
          </cell>
          <cell r="B4005" t="str">
            <v>LUVA, EM FERRO GALVANIZADO, CONEXÃO ROSQUEADA, DN 80 (3), INSTALADO EM RESERVAÇÃO DE ÁGUA DE EDIFICAÇÃO QUE POSSUA RESERVATÓRIO DE FIBRA/FIBROCIMENTO  FORNECIMENTO E INSTALAÇÃO. AF_06/2016</v>
          </cell>
          <cell r="C4005" t="str">
            <v>UN</v>
          </cell>
          <cell r="D4005">
            <v>60.75</v>
          </cell>
        </row>
        <row r="4006">
          <cell r="A4006">
            <v>94470</v>
          </cell>
          <cell r="B4006" t="str">
            <v>NIPLE, EM FERRO GALVANIZADO, CONEXÃO ROSQUEADA, DN 80 (3), INSTALADO EM RESERVAÇÃO DE ÁGUA DE EDIFICAÇÃO QUE POSSUA RESERVATÓRIO DE FIBRA/FIBROCIMENTO  FORNECIMENTO E INSTALAÇÃO. AF_06/2016</v>
          </cell>
          <cell r="C4006" t="str">
            <v>UN</v>
          </cell>
          <cell r="D4006">
            <v>56.54</v>
          </cell>
        </row>
        <row r="4007">
          <cell r="A4007">
            <v>94471</v>
          </cell>
          <cell r="B4007" t="str">
            <v>COTOVELO 90 GRAUS, EM FERRO GALVANIZADO, CONEXÃO ROSQUEADA, DN 50 (2), INSTALADO EM RESERVAÇÃO DE ÁGUA DE EDIFICAÇÃO QUE POSSUA RESERVATÓRIO DE FIBRA/FIBROCIMENTO  FORNECIMENTO E INSTALAÇÃO. AF_06/2016</v>
          </cell>
          <cell r="C4007" t="str">
            <v>UN</v>
          </cell>
          <cell r="D4007">
            <v>42.25</v>
          </cell>
        </row>
        <row r="4008">
          <cell r="A4008">
            <v>94472</v>
          </cell>
          <cell r="B4008" t="str">
            <v>COTOVELO 45 GRAUS, EM FERRO GALVANIZADO, CONEXÃO ROSQUEADA, DN 50 (2), INSTALADO EM RESERVAÇÃO DE ÁGUA DE EDIFICAÇÃO QUE POSSUA RESERVATÓRIO DE FIBRA/FIBROCIMENTO  FORNECIMENTO E INSTALAÇÃO. AF_06/2016</v>
          </cell>
          <cell r="C4008" t="str">
            <v>UN</v>
          </cell>
          <cell r="D4008">
            <v>43.3</v>
          </cell>
        </row>
        <row r="4009">
          <cell r="A4009">
            <v>94473</v>
          </cell>
          <cell r="B4009" t="str">
            <v>COTOVELO 90 GRAUS, EM FERRO GALVANIZADO, CONEXÃO ROSQUEADA, DN 65 (2 1/2), INSTALADO EM RESERVAÇÃO DE ÁGUA DE EDIFICAÇÃO QUE POSSUA RESERVATÓRIO DE FIBRA/FIBROCIMENTO  FORNECIMENTO E INSTALAÇÃO. AF_06/2016</v>
          </cell>
          <cell r="C4009" t="str">
            <v>UN</v>
          </cell>
          <cell r="D4009">
            <v>61.05</v>
          </cell>
        </row>
        <row r="4010">
          <cell r="A4010">
            <v>94474</v>
          </cell>
          <cell r="B4010" t="str">
            <v>COTOVELO 45 GRAUS, EM FERRO GALVANIZADO, CONEXÃO ROSQUEADA, DN 65 (2 1/2), INSTALADO EM RESERVAÇÃO DE ÁGUA DE EDIFICAÇÃO QUE POSSUA RESERVATÓRIO DE FIBRA/FIBROCIMENTO  FORNECIMENTO E INSTALAÇÃO. AF_06/2016</v>
          </cell>
          <cell r="C4010" t="str">
            <v>UN</v>
          </cell>
          <cell r="D4010">
            <v>65.680000000000007</v>
          </cell>
        </row>
        <row r="4011">
          <cell r="A4011">
            <v>94475</v>
          </cell>
          <cell r="B4011" t="str">
            <v>COTOVELO 90 GRAUS, EM FERRO GALVANIZADO, CONEXÃO ROSQUEADA, DN 80 (3), INSTALADO EM RESERVAÇÃO DE ÁGUA DE EDIFICAÇÃO QUE POSSUA RESERVATÓRIO DE FIBRA/FIBROCIMENTO  FORNECIMENTO E INSTALAÇÃO. AF_06/2016</v>
          </cell>
          <cell r="C4011" t="str">
            <v>UN</v>
          </cell>
          <cell r="D4011">
            <v>83.03</v>
          </cell>
        </row>
        <row r="4012">
          <cell r="A4012">
            <v>94476</v>
          </cell>
          <cell r="B4012" t="str">
            <v>COTOVELO 45 GRAUS, EM FERRO GALVANIZADO, CONEXÃO ROSQUEADA, DN 80 (3), INSTALADO EM RESERVAÇÃO DE ÁGUA DE EDIFICAÇÃO QUE POSSUA RESERVATÓRIO DE FIBRA/FIBROCIMENTO  FORNECIMENTO E INSTALAÇÃO. AF_06/2016</v>
          </cell>
          <cell r="C4012" t="str">
            <v>UN</v>
          </cell>
          <cell r="D4012">
            <v>91.94</v>
          </cell>
        </row>
        <row r="4013">
          <cell r="A4013">
            <v>94477</v>
          </cell>
          <cell r="B4013" t="str">
            <v>TÊ, EM FERRO GALVANIZADO, CONEXÃO ROSQUEADA, DN 50 (2), INSTALADO EM RESERVAÇÃO DE ÁGUA DE EDIFICAÇÃO QUE POSSUA RESERVATÓRIO DE FIBRA/FIBROCIMENTO  FORNECIMENTO E INSTALAÇÃO. AF_06/2016</v>
          </cell>
          <cell r="C4013" t="str">
            <v>UN</v>
          </cell>
          <cell r="D4013">
            <v>56.27</v>
          </cell>
        </row>
        <row r="4014">
          <cell r="A4014">
            <v>94478</v>
          </cell>
          <cell r="B4014" t="str">
            <v>TÊ, EM FERRO GALVANIZADO, CONEXÃO ROSQUEADA, DN 65 (2 1/2), INSTALADO EM RESERVAÇÃO DE ÁGUA DE EDIFICAÇÃO QUE POSSUA RESERVATÓRIO DE FIBRA/FIBROCIMENTO  FORNECIMENTO E INSTALAÇÃO. AF_06/2016</v>
          </cell>
          <cell r="C4014" t="str">
            <v>UN</v>
          </cell>
          <cell r="D4014">
            <v>83.69</v>
          </cell>
        </row>
        <row r="4015">
          <cell r="A4015">
            <v>94479</v>
          </cell>
          <cell r="B4015" t="str">
            <v>TÊ, EM FERRO GALVANIZADO, CONEXÃO ROSQUEADA, DN 80 (3), INSTALADO EM RESERVAÇÃO DE ÁGUA DE EDIFICAÇÃO QUE POSSUA RESERVATÓRIO DE FIBRA/FIBROCIMENTO  FORNECIMENTO E INSTALAÇÃO. AF_06/2016</v>
          </cell>
          <cell r="C4015" t="str">
            <v>UN</v>
          </cell>
          <cell r="D4015">
            <v>109.83</v>
          </cell>
        </row>
        <row r="4016">
          <cell r="A4016">
            <v>94606</v>
          </cell>
          <cell r="B4016" t="str">
            <v>LUVA EM COBRE, DN 54 MM, SEM ANEL DE SOLDA, INSTALADO EM RESERVAÇÃO DE ÁGUA DE EDIFICAÇÃO QUE POSSUA RESERVATÓRIO DE FIBRA/FIBROCIMENTO  FORNECIMENTO E INSTALAÇÃO. AF_06/2016</v>
          </cell>
          <cell r="C4016" t="str">
            <v>UN</v>
          </cell>
          <cell r="D4016">
            <v>49.11</v>
          </cell>
        </row>
        <row r="4017">
          <cell r="A4017">
            <v>94608</v>
          </cell>
          <cell r="B4017" t="str">
            <v>LUVA EM COBRE, DN 66 MM, SEM ANEL DE SOLDA, INSTALADO EM RESERVAÇÃO DE ÁGUA DE EDIFICAÇÃO QUE POSSUA RESERVATÓRIO DE FIBRA/FIBROCIMENTO  FORNECIMENTO E INSTALAÇÃO. AF_06/2016</v>
          </cell>
          <cell r="C4017" t="str">
            <v>UN</v>
          </cell>
          <cell r="D4017">
            <v>114.76</v>
          </cell>
        </row>
        <row r="4018">
          <cell r="A4018">
            <v>94610</v>
          </cell>
          <cell r="B4018" t="str">
            <v>LUVA EM COBRE, DN 79 MM, SEM ANEL DE SOLDA, INSTALADO EM RESERVAÇÃO DE ÁGUA DE EDIFICAÇÃO QUE POSSUA RESERVATÓRIO DE FIBRA/FIBROCIMENTO  FORNECIMENTO E INSTALAÇÃO. AF_06/2016</v>
          </cell>
          <cell r="C4018" t="str">
            <v>UN</v>
          </cell>
          <cell r="D4018">
            <v>168.86</v>
          </cell>
        </row>
        <row r="4019">
          <cell r="A4019">
            <v>94612</v>
          </cell>
          <cell r="B4019" t="str">
            <v>LUVA DE COBRE, DN 104 MM, SEM ANEL DE SOLDA, INSTALADO EM RESERVAÇÃO DE ÁGUA DE EDIFICAÇÃO QUE POSSUA RESERVATÓRIO DE FIBRA/FIBROCIMENTO  FORNECIMENTO E INSTALAÇÃO. AF_06/2016</v>
          </cell>
          <cell r="C4019" t="str">
            <v>UN</v>
          </cell>
          <cell r="D4019">
            <v>235.14</v>
          </cell>
        </row>
        <row r="4020">
          <cell r="A4020">
            <v>94614</v>
          </cell>
          <cell r="B4020" t="str">
            <v>COTOVELO EM COBRE, DN 54 MM, 90 GRAUS, SEM ANEL DE SOLDA, INSTALADO EM RESERVAÇÃO DE ÁGUA DE EDIFICAÇÃO QUE POSSUA RESERVATÓRIO DE FIBRA/FIBROCIMENTO  FORNECIMENTO E INSTALAÇÃO. AF_06/2016</v>
          </cell>
          <cell r="C4020" t="str">
            <v>UN</v>
          </cell>
          <cell r="D4020">
            <v>82.3</v>
          </cell>
        </row>
        <row r="4021">
          <cell r="A4021">
            <v>94615</v>
          </cell>
          <cell r="B4021" t="str">
            <v>CURVA EM COBRE, DN 54 MM, 45 GRAUS, SEM ANEL DE SOLDA, BOLSA X BOLSA, INSTALADO EM RESERVAÇÃO DE ÁGUA DE EDIFICAÇÃO QUE POSSUA RESERVATÓRIO DE FIBRA/FIBROCIMENTO  FORNECIMENTO E INSTALAÇÃO. AF_06/2016</v>
          </cell>
          <cell r="C4021" t="str">
            <v>UN</v>
          </cell>
          <cell r="D4021">
            <v>92.6</v>
          </cell>
        </row>
        <row r="4022">
          <cell r="A4022">
            <v>94616</v>
          </cell>
          <cell r="B4022" t="str">
            <v>COTOVELO EM COBRE, DN 66 MM, 90 GRAUS, SEM ANEL DE SOLDA, INSTALADO EM RESERVAÇÃO DE ÁGUA DE EDIFICAÇÃO QUE POSSUA RESERVATÓRIO DE FIBRA/FIBROCIMENTO  FORNECIMENTO E INSTALAÇÃO. AF_06/2016</v>
          </cell>
          <cell r="C4022" t="str">
            <v>UN</v>
          </cell>
          <cell r="D4022">
            <v>217.74</v>
          </cell>
        </row>
        <row r="4023">
          <cell r="A4023">
            <v>94617</v>
          </cell>
          <cell r="B4023" t="str">
            <v>CURVA EM COBRE, DN 66 MM, 45 GRAUS, SEM ANEL DE SOLDA, BOLSA X BOLSA, INSTALADO EM RESERVAÇÃO DE ÁGUA DE EDIFICAÇÃO QUE POSSUA RESERVATÓRIO DE FIBRA/FIBROCIMENTO  FORNECIMENTO E INSTALAÇÃO. AF_06/2016</v>
          </cell>
          <cell r="C4023" t="str">
            <v>UN</v>
          </cell>
          <cell r="D4023">
            <v>181.91</v>
          </cell>
        </row>
        <row r="4024">
          <cell r="A4024">
            <v>94618</v>
          </cell>
          <cell r="B4024" t="str">
            <v>COTOVELO EM COBRE, DN 79 MM, 90 GRAUS, SEM ANEL DE SOLDA, INSTALADO EM RESERVAÇÃO DE ÁGUA DE EDIFICAÇÃO QUE POSSUA RESERVATÓRIO DE FIBRA/FIBROCIMENTO  FORNECIMENTO E INSTALAÇÃO. AF_06/2016</v>
          </cell>
          <cell r="C4024" t="str">
            <v>UN</v>
          </cell>
          <cell r="D4024">
            <v>214.49</v>
          </cell>
        </row>
        <row r="4025">
          <cell r="A4025">
            <v>94620</v>
          </cell>
          <cell r="B4025" t="str">
            <v>COTOVELO EM COBRE, DN 104 MM, 90 GRAUS, SEM ANEL DE SOLDA, INSTALADO EM RESERVAÇÃO DE ÁGUA DE EDIFICAÇÃO QUE POSSUA RESERVATÓRIO DE FIBRA/FIBROCIMENTO  FORNECIMENTO E INSTALAÇÃO. AF_06/2016</v>
          </cell>
          <cell r="C4025" t="str">
            <v>UN</v>
          </cell>
          <cell r="D4025">
            <v>482.52</v>
          </cell>
        </row>
        <row r="4026">
          <cell r="A4026">
            <v>94622</v>
          </cell>
          <cell r="B4026" t="str">
            <v>TE EM COBRE, DN 54 MM, SEM ANEL DE SOLDA, INSTALADO EM RESERVAÇÃO DE ÁGUA DE EDIFICAÇÃO QUE POSSUA RESERVATÓRIO DE FIBRA/FIBROCIMENTO  FORNECIMENTO E INSTALAÇÃO. AF_06/2016</v>
          </cell>
          <cell r="C4026" t="str">
            <v>UN</v>
          </cell>
          <cell r="D4026">
            <v>119.62</v>
          </cell>
        </row>
        <row r="4027">
          <cell r="A4027">
            <v>94623</v>
          </cell>
          <cell r="B4027" t="str">
            <v>TE EM COBRE, DN 66 MM, SEM ANEL DE SOLDA, INSTALADO EM RESERVAÇÃO DE ÁGUA DE EDIFICAÇÃO QUE POSSUA RESERVATÓRIO DE FIBRA/FIBROCIMENTO  FORNECIMENTO E INSTALAÇÃO. AF_06/2016</v>
          </cell>
          <cell r="C4027" t="str">
            <v>UN</v>
          </cell>
          <cell r="D4027">
            <v>270.27999999999997</v>
          </cell>
        </row>
        <row r="4028">
          <cell r="A4028">
            <v>94624</v>
          </cell>
          <cell r="B4028" t="str">
            <v>TE EM COBRE, DN 79 MM, SEM ANEL DE SOLDA, INSTALADO EM RESERVAÇÃO DE ÁGUA DE EDIFICAÇÃO QUE POSSUA RESERVATÓRIO DE FIBRA/FIBROCIMENTO  FORNECIMENTO E INSTALAÇÃO. AF_06/2016</v>
          </cell>
          <cell r="C4028" t="str">
            <v>UN</v>
          </cell>
          <cell r="D4028">
            <v>407.77</v>
          </cell>
        </row>
        <row r="4029">
          <cell r="A4029">
            <v>94625</v>
          </cell>
          <cell r="B4029" t="str">
            <v>TE EM COBRE, DN 104 MM, SEM ANEL DE SOLDA, INSTALADO EM RESERVAÇÃO DE ÁGUA DE EDIFICAÇÃO QUE POSSUA RESERVATÓRIO DE FIBRA/FIBROCIMENTO  FORNECIMENTO E INSTALAÇÃO. AF_06/2016</v>
          </cell>
          <cell r="C4029" t="str">
            <v>UN</v>
          </cell>
          <cell r="D4029">
            <v>838.88</v>
          </cell>
        </row>
        <row r="4030">
          <cell r="A4030">
            <v>94656</v>
          </cell>
          <cell r="B4030" t="str">
            <v>ADAPTADOR CURTO COM BOLSA E ROSCA PARA REGISTRO, PVC, SOLDÁVEL, DN  25 MM X 3/4 , INSTALADO EM RESERVAÇÃO DE ÁGUA DE EDIFICAÇÃO QUE POSSUA RESERVATÓRIO DE FIBRA/FIBROCIMENTO   FORNECIMENTO E INSTALAÇÃO. AF_06/2016</v>
          </cell>
          <cell r="C4030" t="str">
            <v>UN</v>
          </cell>
          <cell r="D4030">
            <v>4.8600000000000003</v>
          </cell>
        </row>
        <row r="4031">
          <cell r="A4031">
            <v>94657</v>
          </cell>
          <cell r="B4031" t="str">
            <v>LUVA PVC, SOLDÁVEL, DN  25 MM, INSTALADA EM RESERVAÇÃO DE ÁGUA DE EDIFICAÇÃO QUE POSSUA RESERVATÓRIO DE FIBRA/FIBROCIMENTO   FORNECIMENTO E INSTALAÇÃO. AF_06/2016</v>
          </cell>
          <cell r="C4031" t="str">
            <v>UN</v>
          </cell>
          <cell r="D4031">
            <v>4.79</v>
          </cell>
        </row>
        <row r="4032">
          <cell r="A4032">
            <v>94658</v>
          </cell>
          <cell r="B4032" t="str">
            <v>ADAPTADOR CURTO COM BOLSA E ROSCA PARA REGISTRO, PVC, SOLDÁVEL, DN 32 MM X 1 , INSTALADO EM RESERVAÇÃO DE ÁGUA DE EDIFICAÇÃO QUE POSSUA RESERVATÓRIO DE FIBRA/FIBROCIMENTO   FORNECIMENTO E INSTALAÇÃO. AF_06/2016</v>
          </cell>
          <cell r="C4032" t="str">
            <v>UN</v>
          </cell>
          <cell r="D4032">
            <v>5.49</v>
          </cell>
        </row>
        <row r="4033">
          <cell r="A4033">
            <v>94659</v>
          </cell>
          <cell r="B4033" t="str">
            <v>LUVA PVC, SOLDÁVEL, DN 32 MM, INSTALADA EM RESERVAÇÃO DE ÁGUA DE EDIFICAÇÃO QUE POSSUA RESERVATÓRIO DE FIBRA/FIBROCIMENTO   FORNECIMENTO E INSTALAÇÃO. AF_06/2016</v>
          </cell>
          <cell r="C4033" t="str">
            <v>UN</v>
          </cell>
          <cell r="D4033">
            <v>5.56</v>
          </cell>
        </row>
        <row r="4034">
          <cell r="A4034">
            <v>94660</v>
          </cell>
          <cell r="B4034" t="str">
            <v>ADAPTADOR CURTO COM BOLSA E ROSCA PARA REGISTRO, PVC, SOLDÁVEL, DN 40 MM X 1 1/4 , INSTALADO EM RESERVAÇÃO DE ÁGUA DE EDIFICAÇÃO QUE POSSUA RESERVATÓRIO DE FIBRA/FIBROCIMENTO   FORNECIMENTO E INSTALAÇÃO. AF_06/2016</v>
          </cell>
          <cell r="C4034" t="str">
            <v>UN</v>
          </cell>
          <cell r="D4034">
            <v>8.91</v>
          </cell>
        </row>
        <row r="4035">
          <cell r="A4035">
            <v>94661</v>
          </cell>
          <cell r="B4035" t="str">
            <v>LUVA, PVC, SOLDÁVEL, DN 40 MM, INSTALADO EM RESERVAÇÃO DE ÁGUA DE EDIFICAÇÃO QUE POSSUA RESERVATÓRIO DE FIBRA/FIBROCIMENTO   FORNECIMENTO E INSTALAÇÃO. AF_06/2016</v>
          </cell>
          <cell r="C4035" t="str">
            <v>UN</v>
          </cell>
          <cell r="D4035">
            <v>9.2200000000000006</v>
          </cell>
        </row>
        <row r="4036">
          <cell r="A4036">
            <v>94662</v>
          </cell>
          <cell r="B4036" t="str">
            <v>ADAPTADOR CURTO COM BOLSA E ROSCA PARA REGISTRO, PVC, SOLDÁVEL, DN 50 MM X 1 1/2 , INSTALADO EM RESERVAÇÃO DE ÁGUA DE EDIFICAÇÃO QUE POSSUA RESERVATÓRIO DE FIBRA/FIBROCIMENTO   FORNECIMENTO E INSTALAÇÃO. AF_06/2016</v>
          </cell>
          <cell r="C4036" t="str">
            <v>UN</v>
          </cell>
          <cell r="D4036">
            <v>9.5500000000000007</v>
          </cell>
        </row>
        <row r="4037">
          <cell r="A4037">
            <v>94663</v>
          </cell>
          <cell r="B4037" t="str">
            <v>LUVA, PVC, SOLDÁVEL, DN 50 MM, INSTALADO EM RESERVAÇÃO DE ÁGUA DE EDIFICAÇÃO QUE POSSUA RESERVATÓRIO DE FIBRA/FIBROCIMENTO   FORNECIMENTO E INSTALAÇÃO. AF_06/2016</v>
          </cell>
          <cell r="C4037" t="str">
            <v>UN</v>
          </cell>
          <cell r="D4037">
            <v>9.67</v>
          </cell>
        </row>
        <row r="4038">
          <cell r="A4038">
            <v>94664</v>
          </cell>
          <cell r="B4038" t="str">
            <v>ADAPTADOR CURTO COM BOLSA E ROSCA PARA REGISTRO, PVC, SOLDÁVEL, DN 60 MM X 2 , INSTALADO EM RESERVAÇÃO DE ÁGUA DE EDIFICAÇÃO QUE POSSUA RESERVATÓRIO DE FIBRA/FIBROCIMENTO   FORNECIMENTO E INSTALAÇÃO. AF_06/2016</v>
          </cell>
          <cell r="C4038" t="str">
            <v>UN</v>
          </cell>
          <cell r="D4038">
            <v>20.18</v>
          </cell>
        </row>
        <row r="4039">
          <cell r="A4039">
            <v>94665</v>
          </cell>
          <cell r="B4039" t="str">
            <v>LUVA, PVC, SOLDÁVEL, DN 60 MM, INSTALADO EM RESERVAÇÃO DE ÁGUA DE EDIFICAÇÃO QUE POSSUA RESERVATÓRIO DE FIBRA/FIBROCIMENTO   FORNECIMENTO E INSTALAÇÃO. AF_06/2016</v>
          </cell>
          <cell r="C4039" t="str">
            <v>UN</v>
          </cell>
          <cell r="D4039">
            <v>20.170000000000002</v>
          </cell>
        </row>
        <row r="4040">
          <cell r="A4040">
            <v>94666</v>
          </cell>
          <cell r="B4040" t="str">
            <v>ADAPTADOR CURTO COM BOLSA E ROSCA PARA REGISTRO, PVC, SOLDÁVEL, DN 75 MM X 2 1/2 , INSTALADO EM RESERVAÇÃO DE ÁGUA DE EDIFICAÇÃO QUE POSSUA RESERVATÓRIO DE FIBRA/FIBROCIMENTO   FORNECIMENTO E INSTALAÇÃO. AF_06/2016</v>
          </cell>
          <cell r="C4040" t="str">
            <v>UN</v>
          </cell>
          <cell r="D4040">
            <v>23.83</v>
          </cell>
        </row>
        <row r="4041">
          <cell r="A4041">
            <v>94667</v>
          </cell>
          <cell r="B4041" t="str">
            <v>LUVA, PVC, SOLDÁVEL, DN 75 MM, INSTALADO EM RESERVAÇÃO DE ÁGUA DE EDIFICAÇÃO QUE POSSUA RESERVATÓRIO DE FIBRA/FIBROCIMENTO   FORNECIMENTO E INSTALAÇÃO. AF_06/2016</v>
          </cell>
          <cell r="C4041" t="str">
            <v>UN</v>
          </cell>
          <cell r="D4041">
            <v>26.11</v>
          </cell>
        </row>
        <row r="4042">
          <cell r="A4042">
            <v>94668</v>
          </cell>
          <cell r="B4042" t="str">
            <v>ADAPTADOR CURTO COM BOLSA E ROSCA PARA REGISTRO, PVC, SOLDÁVEL, DN 85 MM X 3 , INSTALADO EM RESERVAÇÃO DE ÁGUA DE EDIFICAÇÃO QUE POSSUA RESERVATÓRIO DE FIBRA/FIBROCIMENTO   FORNECIMENTO E INSTALAÇÃO. AF_06/2016</v>
          </cell>
          <cell r="C4042" t="str">
            <v>UN</v>
          </cell>
          <cell r="D4042">
            <v>41.16</v>
          </cell>
        </row>
        <row r="4043">
          <cell r="A4043">
            <v>94669</v>
          </cell>
          <cell r="B4043" t="str">
            <v>LUVA, PVC, SOLDÁVEL, DN 85 MM, INSTALADO EM RESERVAÇÃO DE ÁGUA DE EDIFICAÇÃO QUE POSSUA RESERVATÓRIO DE FIBRA/FIBROCIMENTO   FORNECIMENTO E INSTALAÇÃO. AF_06/2016</v>
          </cell>
          <cell r="C4043" t="str">
            <v>UN</v>
          </cell>
          <cell r="D4043">
            <v>53.93</v>
          </cell>
        </row>
        <row r="4044">
          <cell r="A4044">
            <v>94670</v>
          </cell>
          <cell r="B4044" t="str">
            <v>ADAPTADOR CURTO COM BOLSA E ROSCA PARA REGISTRO, PVC, SOLDÁVEL, DN 110 MM X 4 , INSTALADO EM RESERVAÇÃO DE ÁGUA DE EDIFICAÇÃO QUE POSSUA RESERVATÓRIO DE FIBRA/FIBROCIMENTO   FORNECIMENTO E INSTALAÇÃO. AF_06/2016</v>
          </cell>
          <cell r="C4044" t="str">
            <v>UN</v>
          </cell>
          <cell r="D4044">
            <v>52.53</v>
          </cell>
        </row>
        <row r="4045">
          <cell r="A4045">
            <v>94671</v>
          </cell>
          <cell r="B4045" t="str">
            <v>LUVA, PVC, SOLDÁVEL, DN 110 MM, INSTALADO EM RESERVAÇÃO DE ÁGUA DE EDIFICAÇÃO QUE POSSUA RESERVATÓRIO DE FIBRA/FIBROCIMENTO   FORNECIMENTO E INSTALAÇÃO. AF_06/2016</v>
          </cell>
          <cell r="C4045" t="str">
            <v>UN</v>
          </cell>
          <cell r="D4045">
            <v>73.83</v>
          </cell>
        </row>
        <row r="4046">
          <cell r="A4046">
            <v>94672</v>
          </cell>
          <cell r="B4046" t="str">
            <v>JOELHO 90 GRAUS COM BUCHA DE LATÃO, PVC, SOLDÁVEL, DN  25 MM, X 3/4 INSTALADO EM RESERVAÇÃO DE ÁGUA DE EDIFICAÇÃO QUE POSSUA RESERVATÓRIO DE FIBRA/FIBROCIMENTO   FORNECIMENTO E INSTALAÇÃO. AF_06/2016</v>
          </cell>
          <cell r="C4046" t="str">
            <v>UN</v>
          </cell>
          <cell r="D4046">
            <v>7.96</v>
          </cell>
        </row>
        <row r="4047">
          <cell r="A4047">
            <v>94673</v>
          </cell>
          <cell r="B4047" t="str">
            <v>CURVA 90 GRAUS, PVC, SOLDÁVEL, DN  25 MM, INSTALADO EM RESERVAÇÃO DE ÁGUA DE EDIFICAÇÃO QUE POSSUA RESERVATÓRIO DE FIBRA/FIBROCIMENTO   FORNECIMENTO E INSTALAÇÃO. AF_06/2016</v>
          </cell>
          <cell r="C4047" t="str">
            <v>UN</v>
          </cell>
          <cell r="D4047">
            <v>7.79</v>
          </cell>
        </row>
        <row r="4048">
          <cell r="A4048">
            <v>94674</v>
          </cell>
          <cell r="B4048" t="str">
            <v>JOELHO 90 GRAUS, PVC, SOLDÁVEL, DN 32 MM INSTALADO EM RESERVAÇÃO DE ÁGUA DE EDIFICAÇÃO QUE POSSUA RESERVATÓRIO DE FIBRA/FIBROCIMENTO   FORNECIMENTO E INSTALAÇÃO. AF_06/2016</v>
          </cell>
          <cell r="C4048" t="str">
            <v>UN</v>
          </cell>
          <cell r="D4048">
            <v>7.19</v>
          </cell>
        </row>
        <row r="4049">
          <cell r="A4049">
            <v>94675</v>
          </cell>
          <cell r="B4049" t="str">
            <v>CURVA 90 GRAUS, PVC, SOLDÁVEL, DN 32 MM, INSTALADO EM RESERVAÇÃO DE ÁGUA DE EDIFICAÇÃO QUE POSSUA RESERVATÓRIO DE FIBRA/FIBROCIMENTO   FORNECIMENTO E INSTALAÇÃO. AF_06/2016</v>
          </cell>
          <cell r="C4049" t="str">
            <v>UN</v>
          </cell>
          <cell r="D4049">
            <v>10.41</v>
          </cell>
        </row>
        <row r="4050">
          <cell r="A4050">
            <v>94676</v>
          </cell>
          <cell r="B4050" t="str">
            <v>JOELHO 90 GRAUS, PVC, SOLDÁVEL, DN 40 MM INSTALADO EM RESERVAÇÃO DE ÁGUA DE EDIFICAÇÃO QUE POSSUA RESERVATÓRIO DE FIBRA/FIBROCIMENTO   FORNECIMENTO E INSTALAÇÃO. AF_06/2016</v>
          </cell>
          <cell r="C4050" t="str">
            <v>UN</v>
          </cell>
          <cell r="D4050">
            <v>12.13</v>
          </cell>
        </row>
        <row r="4051">
          <cell r="A4051">
            <v>94677</v>
          </cell>
          <cell r="B4051" t="str">
            <v>CURVA 90 GRAUS, PVC, SOLDÁVEL, DN 40 MM, INSTALADO EM RESERVAÇÃO DE ÁGUA DE EDIFICAÇÃO QUE POSSUA RESERVATÓRIO DE FIBRA/FIBROCIMENTO   FORNECIMENTO E INSTALAÇÃO. AF_06/2016</v>
          </cell>
          <cell r="C4051" t="str">
            <v>UN</v>
          </cell>
          <cell r="D4051">
            <v>16.98</v>
          </cell>
        </row>
        <row r="4052">
          <cell r="A4052">
            <v>94678</v>
          </cell>
          <cell r="B4052" t="str">
            <v>JOELHO 90 GRAUS, PVC, SOLDÁVEL, DN 50 MM INSTALADO EM RESERVAÇÃO DE ÁGUA DE EDIFICAÇÃO QUE POSSUA RESERVATÓRIO DE FIBRA/FIBROCIMENTO   FORNECIMENTO E INSTALAÇÃO. AF_06/2016</v>
          </cell>
          <cell r="C4052" t="str">
            <v>UN</v>
          </cell>
          <cell r="D4052">
            <v>12.42</v>
          </cell>
        </row>
        <row r="4053">
          <cell r="A4053">
            <v>94679</v>
          </cell>
          <cell r="B4053" t="str">
            <v>CURVA 90 GRAUS, PVC, SOLDÁVEL, DN 50 MM, INSTALADO EM RESERVAÇÃO DE ÁGUA DE EDIFICAÇÃO QUE POSSUA RESERVATÓRIO DE FIBRA/FIBROCIMENTO   FORNECIMENTO E INSTALAÇÃO. AF_06/2016</v>
          </cell>
          <cell r="C4053" t="str">
            <v>UN</v>
          </cell>
          <cell r="D4053">
            <v>18.8</v>
          </cell>
        </row>
        <row r="4054">
          <cell r="A4054">
            <v>94680</v>
          </cell>
          <cell r="B4054" t="str">
            <v>JOELHO 90 GRAUS, PVC, SOLDÁVEL, DN 60 MM INSTALADO EM RESERVAÇÃO DE ÁGUA DE EDIFICAÇÃO QUE POSSUA RESERVATÓRIO DE FIBRA/FIBROCIMENTO   FORNECIMENTO E INSTALAÇÃO. AF_06/2016</v>
          </cell>
          <cell r="C4054" t="str">
            <v>UN</v>
          </cell>
          <cell r="D4054">
            <v>31.8</v>
          </cell>
        </row>
        <row r="4055">
          <cell r="A4055">
            <v>94681</v>
          </cell>
          <cell r="B4055" t="str">
            <v>CURVA 90 GRAUS, PVC, SOLDÁVEL, DN 60 MM, INSTALADO EM RESERVAÇÃO DE ÁGUA DE EDIFICAÇÃO QUE POSSUA RESERVATÓRIO DE FIBRA/FIBROCIMENTO   FORNECIMENTO E INSTALAÇÃO. AF_06/2016</v>
          </cell>
          <cell r="C4055" t="str">
            <v>UN</v>
          </cell>
          <cell r="D4055">
            <v>40.54</v>
          </cell>
        </row>
        <row r="4056">
          <cell r="A4056">
            <v>94682</v>
          </cell>
          <cell r="B4056" t="str">
            <v>JOELHO 90 GRAUS, PVC, SOLDÁVEL, DN 75 MM INSTALADO EM RESERVAÇÃO DE ÁGUA DE EDIFICAÇÃO QUE POSSUA RESERVATÓRIO DE FIBRA/FIBROCIMENTO   FORNECIMENTO E INSTALAÇÃO. AF_06/2016</v>
          </cell>
          <cell r="C4056" t="str">
            <v>UN</v>
          </cell>
          <cell r="D4056">
            <v>76.77</v>
          </cell>
        </row>
        <row r="4057">
          <cell r="A4057">
            <v>94683</v>
          </cell>
          <cell r="B4057" t="str">
            <v>CURVA 90 GRAUS, PVC, SOLDÁVEL, DN 75 MM, INSTALADO EM RESERVAÇÃO DE ÁGUA DE EDIFICAÇÃO QUE POSSUA RESERVATÓRIO DE FIBRA/FIBROCIMENTO   FORNECIMENTO E INSTALAÇÃO. AF_06/2016</v>
          </cell>
          <cell r="C4057" t="str">
            <v>UN</v>
          </cell>
          <cell r="D4057">
            <v>51.11</v>
          </cell>
        </row>
        <row r="4058">
          <cell r="A4058">
            <v>94684</v>
          </cell>
          <cell r="B4058" t="str">
            <v>JOELHO 90 GRAUS, PVC, SOLDÁVEL, DN 85 MM INSTALADO EM RESERVAÇÃO DE ÁGUA DE EDIFICAÇÃO QUE POSSUA RESERVATÓRIO DE FIBRA/FIBROCIMENTO   FORNECIMENTO E INSTALAÇÃO. AF_06/2016</v>
          </cell>
          <cell r="C4058" t="str">
            <v>UN</v>
          </cell>
          <cell r="D4058">
            <v>100.42</v>
          </cell>
        </row>
        <row r="4059">
          <cell r="A4059">
            <v>94685</v>
          </cell>
          <cell r="B4059" t="str">
            <v>CURVA 90 GRAUS, PVC, SOLDÁVEL, DN 85 MM, INSTALADO EM RESERVAÇÃO DE ÁGUA DE EDIFICAÇÃO QUE POSSUA RESERVATÓRIO DE FIBRA/FIBROCIMENTO   FORNECIMENTO E INSTALAÇÃO. AF_06/2016</v>
          </cell>
          <cell r="C4059" t="str">
            <v>UN</v>
          </cell>
          <cell r="D4059">
            <v>79.05</v>
          </cell>
        </row>
        <row r="4060">
          <cell r="A4060">
            <v>94686</v>
          </cell>
          <cell r="B4060" t="str">
            <v>JOELHO 90 GRAUS, PVC, SOLDÁVEL, DN 110 MM INSTALADO EM RESERVAÇÃO DE ÁGUA DE EDIFICAÇÃO QUE POSSUA RESERVATÓRIO DE FIBRA/FIBROCIMENTO   FORNECIMENTO E INSTALAÇÃO. AF_06/2016</v>
          </cell>
          <cell r="C4060" t="str">
            <v>UN</v>
          </cell>
          <cell r="D4060">
            <v>180.94</v>
          </cell>
        </row>
        <row r="4061">
          <cell r="A4061">
            <v>94687</v>
          </cell>
          <cell r="B4061" t="str">
            <v>CURVA 90 GRAUS, PVC, SOLDÁVEL, DN 110 MM, INSTALADO EM RESERVAÇÃO DE ÁGUA DE EDIFICAÇÃO QUE POSSUA RESERVATÓRIO DE FIBRA/FIBROCIMENTO   FORNECIMENTO E INSTALAÇÃO. AF_06/2016</v>
          </cell>
          <cell r="C4061" t="str">
            <v>UN</v>
          </cell>
          <cell r="D4061">
            <v>148.74</v>
          </cell>
        </row>
        <row r="4062">
          <cell r="A4062">
            <v>94688</v>
          </cell>
          <cell r="B4062" t="str">
            <v>TÊ, PVC, SOLDÁVEL, DN  25 MM INSTALADO EM RESERVAÇÃO DE ÁGUA DE EDIFICAÇÃO QUE POSSUA RESERVATÓRIO DE FIBRA/FIBROCIMENTO   FORNECIMENTO E INSTALAÇÃO. AF_06/2016</v>
          </cell>
          <cell r="C4062" t="str">
            <v>UN</v>
          </cell>
          <cell r="D4062">
            <v>8.6199999999999992</v>
          </cell>
        </row>
        <row r="4063">
          <cell r="A4063">
            <v>94689</v>
          </cell>
          <cell r="B4063" t="str">
            <v>TÊ COM BUCHA DE LATÃO NA BOLSA CENTRAL, PVC, SOLDÁVEL, DN  25 MM X 3/4 , INSTALADO EM RESERVAÇÃO DE ÁGUA DE EDIFICAÇÃO QUE POSSUA RESERVATÓRIO DE FIBRA/FIBROCIMENTO   FORNECIMENTO E INSTALAÇÃO. AF_06/2016</v>
          </cell>
          <cell r="C4063" t="str">
            <v>UN</v>
          </cell>
          <cell r="D4063">
            <v>10.93</v>
          </cell>
        </row>
        <row r="4064">
          <cell r="A4064">
            <v>94690</v>
          </cell>
          <cell r="B4064" t="str">
            <v>TÊ, PVC, SOLDÁVEL, DN 32 MM INSTALADO EM RESERVAÇÃO DE ÁGUA DE EDIFICAÇÃO QUE POSSUA RESERVATÓRIO DE FIBRA/FIBROCIMENTO   FORNECIMENTO E INSTALAÇÃO. AF_06/2016</v>
          </cell>
          <cell r="C4064" t="str">
            <v>UN</v>
          </cell>
          <cell r="D4064">
            <v>10.56</v>
          </cell>
        </row>
        <row r="4065">
          <cell r="A4065">
            <v>94691</v>
          </cell>
          <cell r="B4065" t="str">
            <v>TÊ DE REDUÇÃO, PVC, SOLDÁVEL, DN 32 MM X  25 MM, INSTALADO EM RESERVAÇÃO DE ÁGUA DE EDIFICAÇÃO QUE POSSUA RESERVATÓRIO DE FIBRA/FIBROCIMENTO   FORNECIMENTO E INSTALAÇÃO. AF_06/2016</v>
          </cell>
          <cell r="C4065" t="str">
            <v>UN</v>
          </cell>
          <cell r="D4065">
            <v>11.9</v>
          </cell>
        </row>
        <row r="4066">
          <cell r="A4066">
            <v>94692</v>
          </cell>
          <cell r="B4066" t="str">
            <v>TÊ, PVC, SOLDÁVEL, DN 40 MM INSTALADO EM RESERVAÇÃO DE ÁGUA DE EDIFICAÇÃO QUE POSSUA RESERVATÓRIO DE FIBRA/FIBROCIMENTO   FORNECIMENTO E INSTALAÇÃO. AF_06/2016</v>
          </cell>
          <cell r="C4066" t="str">
            <v>UN</v>
          </cell>
          <cell r="D4066">
            <v>18.02</v>
          </cell>
        </row>
        <row r="4067">
          <cell r="A4067">
            <v>94693</v>
          </cell>
          <cell r="B4067" t="str">
            <v>TÊ DE REDUÇÃO, PVC, SOLDÁVEL, DN 40 MM X 32 MM, INSTALADO EM RESERVAÇÃO DE ÁGUA DE EDIFICAÇÃO QUE POSSUA RESERVATÓRIO DE FIBRA/FIBROCIMENTO   FORNECIMENTO E INSTALAÇÃO. AF_06/2016</v>
          </cell>
          <cell r="C4067" t="str">
            <v>UN</v>
          </cell>
          <cell r="D4067">
            <v>18.690000000000001</v>
          </cell>
        </row>
        <row r="4068">
          <cell r="A4068">
            <v>94694</v>
          </cell>
          <cell r="B4068" t="str">
            <v>TÊ, PVC, SOLDÁVEL, DN 50 MM INSTALADO EM RESERVAÇÃO DE ÁGUA DE EDIFICAÇÃO QUE POSSUA RESERVATÓRIO DE FIBRA/FIBROCIMENTO   FORNECIMENTO E INSTALAÇÃO. AF_06/2016</v>
          </cell>
          <cell r="C4068" t="str">
            <v>UN</v>
          </cell>
          <cell r="D4068">
            <v>18.73</v>
          </cell>
        </row>
        <row r="4069">
          <cell r="A4069">
            <v>94695</v>
          </cell>
          <cell r="B4069" t="str">
            <v>TÊ DE REDUÇÃO, PVC, SOLDÁVEL, DN 50 MM X 40 MM, INSTALADO EM RESERVAÇÃO DE ÁGUA DE EDIFICAÇÃO QUE POSSUA RESERVATÓRIO DE FIBRA/FIBROCIMENTO   FORNECIMENTO E INSTALAÇÃO. AF_06/2016</v>
          </cell>
          <cell r="C4069" t="str">
            <v>UN</v>
          </cell>
          <cell r="D4069">
            <v>23.95</v>
          </cell>
        </row>
        <row r="4070">
          <cell r="A4070">
            <v>94696</v>
          </cell>
          <cell r="B4070" t="str">
            <v>TÊ, PVC, SOLDÁVEL, DN 60 MM INSTALADO EM RESERVAÇÃO DE ÁGUA DE EDIFICAÇÃO QUE POSSUA RESERVATÓRIO DE FIBRA/FIBROCIMENTO   FORNECIMENTO E INSTALAÇÃO. AF_06/2016</v>
          </cell>
          <cell r="C4070" t="str">
            <v>UN</v>
          </cell>
          <cell r="D4070">
            <v>41.82</v>
          </cell>
        </row>
        <row r="4071">
          <cell r="A4071">
            <v>94697</v>
          </cell>
          <cell r="B4071" t="str">
            <v>TÊ, PVC, SOLDÁVEL, DN 75 MM INSTALADO EM RESERVAÇÃO DE ÁGUA DE EDIFICAÇÃO QUE POSSUA RESERVATÓRIO DE FIBRA/FIBROCIMENTO   FORNECIMENTO E INSTALAÇÃO. AF_06/2016</v>
          </cell>
          <cell r="C4071" t="str">
            <v>UN</v>
          </cell>
          <cell r="D4071">
            <v>62.01</v>
          </cell>
        </row>
        <row r="4072">
          <cell r="A4072">
            <v>94698</v>
          </cell>
          <cell r="B4072" t="str">
            <v>TÊ DE REDUÇÃO, PVC, SOLDÁVEL, DN 75 MM X 50 MM, INSTALADO EM RESERVAÇÃO DE ÁGUA DE EDIFICAÇÃO QUE POSSUA RESERVATÓRIO DE FIBRA/FIBROCIMENTO   FORNECIMENTO E INSTALAÇÃO. AF_06/2016</v>
          </cell>
          <cell r="C4072" t="str">
            <v>UN</v>
          </cell>
          <cell r="D4072">
            <v>54.91</v>
          </cell>
        </row>
        <row r="4073">
          <cell r="A4073">
            <v>94699</v>
          </cell>
          <cell r="B4073" t="str">
            <v>TÊ, PVC, SOLDÁVEL, DN 85 MM INSTALADO EM RESERVAÇÃO DE ÁGUA DE EDIFICAÇÃO QUE POSSUA RESERVATÓRIO DE FIBRA/FIBROCIMENTO   FORNECIMENTO E INSTALAÇÃO. AF_06/2016</v>
          </cell>
          <cell r="C4073" t="str">
            <v>UN</v>
          </cell>
          <cell r="D4073">
            <v>105.08</v>
          </cell>
        </row>
        <row r="4074">
          <cell r="A4074">
            <v>94700</v>
          </cell>
          <cell r="B4074" t="str">
            <v>TÊ DE REDUÇÃO, PVC, SOLDÁVEL, DN 85 MM X 60 MM, INSTALADO EM RESERVAÇÃO DE ÁGUA DE EDIFICAÇÃO QUE POSSUA RESERVATÓRIO DE FIBRA/FIBROCIMENTO   FORNECIMENTO E INSTALAÇÃO. AF_06/2016</v>
          </cell>
          <cell r="C4074" t="str">
            <v>UN</v>
          </cell>
          <cell r="D4074">
            <v>90.55</v>
          </cell>
        </row>
        <row r="4075">
          <cell r="A4075">
            <v>94701</v>
          </cell>
          <cell r="B4075" t="str">
            <v>TÊ, PVC, SOLDÁVEL, DN 110 MM INSTALADO EM RESERVAÇÃO DE ÁGUA DE EDIFICAÇÃO QUE POSSUA RESERVATÓRIO DE FIBRA/FIBROCIMENTO   FORNECIMENTO E INSTALAÇÃO. AF_06/2016</v>
          </cell>
          <cell r="C4075" t="str">
            <v>UN</v>
          </cell>
          <cell r="D4075">
            <v>151.18</v>
          </cell>
        </row>
        <row r="4076">
          <cell r="A4076">
            <v>94702</v>
          </cell>
          <cell r="B4076" t="str">
            <v>TÊ DE REDUÇÃO, PVC, SOLDÁVEL, DN 110 MM X 60 MM, INSTALADO EM RESERVAÇÃO DE ÁGUA DE EDIFICAÇÃO QUE POSSUA RESERVATÓRIO DE FIBRA/FIBROCIMENTO   FORNECIMENTO E INSTALAÇÃO. AF_06/2016</v>
          </cell>
          <cell r="C4076" t="str">
            <v>UN</v>
          </cell>
          <cell r="D4076">
            <v>143.74</v>
          </cell>
        </row>
        <row r="4077">
          <cell r="A4077">
            <v>94703</v>
          </cell>
          <cell r="B4077" t="str">
            <v>ADAPTADOR COM FLANGE E ANEL DE VEDAÇÃO, PVC, SOLDÁVEL, DN  25 MM X 3/4 , INSTALADO EM RESERVAÇÃO DE ÁGUA DE EDIFICAÇÃO QUE POSSUA RESERVATÓRIO DE FIBRA/FIBROCIMENTO   FORNECIMENTO E INSTALAÇÃO. AF_06/2016</v>
          </cell>
          <cell r="C4077" t="str">
            <v>UN</v>
          </cell>
          <cell r="D4077">
            <v>13.95</v>
          </cell>
        </row>
        <row r="4078">
          <cell r="A4078">
            <v>94704</v>
          </cell>
          <cell r="B4078" t="str">
            <v>ADAPTADOR COM FLANGE E ANEL DE VEDAÇÃO, PVC, SOLDÁVEL, DN 32 MM X 1 , INSTALADO EM RESERVAÇÃO DE ÁGUA DE EDIFICAÇÃO QUE POSSUA RESERVATÓRIO DE FIBRA/FIBROCIMENTO   FORNECIMENTO E INSTALAÇÃO. AF_06/2016</v>
          </cell>
          <cell r="C4078" t="str">
            <v>UN</v>
          </cell>
          <cell r="D4078">
            <v>16.18</v>
          </cell>
        </row>
        <row r="4079">
          <cell r="A4079">
            <v>94705</v>
          </cell>
          <cell r="B4079" t="str">
            <v>ADAPTADOR COM FLANGE E ANEL DE VEDAÇÃO, PVC, SOLDÁVEL, DN 40 MM X 1 1/4 , INSTALADO EM RESERVAÇÃO DE ÁGUA DE EDIFICAÇÃO QUE POSSUA RESERVATÓRIO DE FIBRA/FIBROCIMENTO   FORNECIMENTO E INSTALAÇÃO. AF_06/2016</v>
          </cell>
          <cell r="C4079" t="str">
            <v>UN</v>
          </cell>
          <cell r="D4079">
            <v>19.559999999999999</v>
          </cell>
        </row>
        <row r="4080">
          <cell r="A4080">
            <v>94706</v>
          </cell>
          <cell r="B4080" t="str">
            <v>ADAPTADOR COM FLANGE E ANEL DE VEDAÇÃO, PVC, SOLDÁVEL, DN 50 MM X 1 1/2 , INSTALADO EM RESERVAÇÃO DE ÁGUA DE EDIFICAÇÃO QUE POSSUA RESERVATÓRIO DE FIBRA/FIBROCIMENTO   FORNECIMENTO E INSTALAÇÃO. AF_06/2016</v>
          </cell>
          <cell r="C4080" t="str">
            <v>UN</v>
          </cell>
          <cell r="D4080">
            <v>29.35</v>
          </cell>
        </row>
        <row r="4081">
          <cell r="A4081">
            <v>94707</v>
          </cell>
          <cell r="B4081" t="str">
            <v>ADAPTADOR COM FLANGE E ANEL DE VEDAÇÃO, PVC, SOLDÁVEL, DN 60 MM X 2 , INSTALADO EM RESERVAÇÃO DE ÁGUA DE EDIFICAÇÃO QUE POSSUA RESERVATÓRIO DE FIBRA/FIBROCIMENTO   FORNECIMENTO E INSTALAÇÃO. AF_06/2016</v>
          </cell>
          <cell r="C4081" t="str">
            <v>UN</v>
          </cell>
          <cell r="D4081">
            <v>35.619999999999997</v>
          </cell>
        </row>
        <row r="4082">
          <cell r="A4082">
            <v>94708</v>
          </cell>
          <cell r="B4082" t="str">
            <v>ADAPTADOR COM FLANGES LIVRES, PVC, SOLDÁVEL, DN  25 MM X 3/4 , INSTALADO EM RESERVAÇÃO DE ÁGUA DE EDIFICAÇÃO QUE POSSUA RESERVATÓRIO DE FIBRA/FIBROCIMENTO   FORNECIMENTO E INSTALAÇÃO. AF_06/2016</v>
          </cell>
          <cell r="C4082" t="str">
            <v>UN</v>
          </cell>
          <cell r="D4082">
            <v>18.34</v>
          </cell>
        </row>
        <row r="4083">
          <cell r="A4083">
            <v>94709</v>
          </cell>
          <cell r="B4083" t="str">
            <v>ADAPTADOR COM FLANGES LIVRES, PVC, SOLDÁVEL, DN 32 MM X 1 , INSTALADO EM RESERVAÇÃO DE ÁGUA DE EDIFICAÇÃO QUE POSSUA RESERVATÓRIO DE FIBRA/FIBROCIMENTO   FORNECIMENTO E INSTALAÇÃO. AF_06/2016</v>
          </cell>
          <cell r="C4083" t="str">
            <v>UN</v>
          </cell>
          <cell r="D4083">
            <v>22.79</v>
          </cell>
        </row>
        <row r="4084">
          <cell r="A4084">
            <v>94710</v>
          </cell>
          <cell r="B4084" t="str">
            <v>ADAPTADOR COM FLANGES LIVRES, PVC, SOLDÁVEL, DN 40 MM X 1 1/4 , INSTALADO EM RESERVAÇÃO DE ÁGUA DE EDIFICAÇÃO QUE POSSUA RESERVATÓRIO DE FIBRA/FIBROCIMENTO   FORNECIMENTO E INSTALAÇÃO. AF_06/2016</v>
          </cell>
          <cell r="C4084" t="str">
            <v>UN</v>
          </cell>
          <cell r="D4084">
            <v>33.83</v>
          </cell>
        </row>
        <row r="4085">
          <cell r="A4085">
            <v>94711</v>
          </cell>
          <cell r="B4085" t="str">
            <v>ADAPTADOR COM FLANGES LIVRES, PVC, SOLDÁVEL, DN 50 MM X 1 1/2 , INSTALADO EM RESERVAÇÃO DE ÁGUA DE EDIFICAÇÃO QUE POSSUA RESERVATÓRIO DE FIBRA/FIBROCIMENTO   FORNECIMENTO E INSTALAÇÃO. AF_06/2016</v>
          </cell>
          <cell r="C4085" t="str">
            <v>UN</v>
          </cell>
          <cell r="D4085">
            <v>42.08</v>
          </cell>
        </row>
        <row r="4086">
          <cell r="A4086">
            <v>94712</v>
          </cell>
          <cell r="B4086" t="str">
            <v>ADAPTADOR COM FLANGES LIVRES, PVC, SOLDÁVEL, DN 60 MM X 2 , INSTALADO EM RESERVAÇÃO DE ÁGUA DE EDIFICAÇÃO QUE POSSUA RESERVATÓRIO DE FIBRA/FIBROCIMENTO   FORNECIMENTO E INSTALAÇÃO. AF_06/2016</v>
          </cell>
          <cell r="C4086" t="str">
            <v>UN</v>
          </cell>
          <cell r="D4086">
            <v>54.75</v>
          </cell>
        </row>
        <row r="4087">
          <cell r="A4087">
            <v>94713</v>
          </cell>
          <cell r="B4087" t="str">
            <v>ADAPTADOR COM FLANGES LIVRES, PVC, SOLDÁVEL, DN 75 MM X 2 1/2 , INSTALADO EM RESERVAÇÃO DE ÁGUA DE EDIFICAÇÃO QUE POSSUA RESERVATÓRIO DE FIBRA/FIBROCIMENTO   FORNECIMENTO E INSTALAÇÃO. AF_06/2016</v>
          </cell>
          <cell r="C4087" t="str">
            <v>UN</v>
          </cell>
          <cell r="D4087">
            <v>135.16999999999999</v>
          </cell>
        </row>
        <row r="4088">
          <cell r="A4088">
            <v>94714</v>
          </cell>
          <cell r="B4088" t="str">
            <v>ADAPTADOR COM FLANGES LIVRES, PVC, SOLDÁVEL, DN 85 MM X 3 , INSTALADO EM RESERVAÇÃO DE ÁGUA DE EDIFICAÇÃO QUE POSSUA RESERVATÓRIO DE FIBRA/FIBROCIMENTO   FORNECIMENTO E INSTALAÇÃO. AF_06/2016</v>
          </cell>
          <cell r="C4088" t="str">
            <v>UN</v>
          </cell>
          <cell r="D4088">
            <v>181.54</v>
          </cell>
        </row>
        <row r="4089">
          <cell r="A4089">
            <v>94715</v>
          </cell>
          <cell r="B4089" t="str">
            <v>ADAPTADOR COM FLANGES LIVRES, PVC, SOLDÁVEL, DN 110 MM X 4 , INSTALADO EM RESERVAÇÃO DE ÁGUA DE EDIFICAÇÃO QUE POSSUA RESERVATÓRIO DE FIBRA/FIBROCIMENTO   FORNECIMENTO E INSTALAÇÃO. AF_06/2016</v>
          </cell>
          <cell r="C4089" t="str">
            <v>UN</v>
          </cell>
          <cell r="D4089">
            <v>248.79</v>
          </cell>
        </row>
        <row r="4090">
          <cell r="A4090">
            <v>94724</v>
          </cell>
          <cell r="B4090" t="str">
            <v>CONECTOR, CPVC, SOLDÁVEL, DN 22 MM X 3/4, INSTALADO EM RESERVAÇÃO DE ÁGUA DE EDIFICAÇÃO QUE POSSUA RESERVATÓRIO DE FIBRA/FIBROCIMENTO  FORNECIMENTO E INSTALAÇÃO. AF_06/2016</v>
          </cell>
          <cell r="C4090" t="str">
            <v>UN</v>
          </cell>
          <cell r="D4090">
            <v>28.16</v>
          </cell>
        </row>
        <row r="4091">
          <cell r="A4091">
            <v>94725</v>
          </cell>
          <cell r="B4091" t="str">
            <v>LUVA, CPVC, SOLDÁVEL, DN 22 MM, INSTALADO EM RESERVAÇÃO DE ÁGUA DE EDIFICAÇÃO QUE POSSUA RESERVATÓRIO DE FIBRA/FIBROCIMENTO  FORNECIMENTO E INSTALAÇÃO. AF_06/2016</v>
          </cell>
          <cell r="C4091" t="str">
            <v>UN</v>
          </cell>
          <cell r="D4091">
            <v>6.06</v>
          </cell>
        </row>
        <row r="4092">
          <cell r="A4092">
            <v>94726</v>
          </cell>
          <cell r="B4092" t="str">
            <v>CONECTOR, CPVC, SOLDÁVEL, DN 28 MM X 1, INSTALADO EM RESERVAÇÃO DE ÁGUA DE EDIFICAÇÃO QUE POSSUA RESERVATÓRIO DE FIBRA/FIBROCIMENTO  FORNECIMENTO E INSTALAÇÃO. AF_06/2016</v>
          </cell>
          <cell r="C4092" t="str">
            <v>UN</v>
          </cell>
          <cell r="D4092">
            <v>43.97</v>
          </cell>
        </row>
        <row r="4093">
          <cell r="A4093">
            <v>94727</v>
          </cell>
          <cell r="B4093" t="str">
            <v>LUVA, CPVC, SOLDÁVEL, DN 28 MM, INSTALADO EM RESERVAÇÃO DE ÁGUA DE EDIFICAÇÃO QUE POSSUA RESERVATÓRIO DE FIBRA/FIBROCIMENTO  FORNECIMENTO E INSTALAÇÃO. AF_06/2016</v>
          </cell>
          <cell r="C4093" t="str">
            <v>UN</v>
          </cell>
          <cell r="D4093">
            <v>8.99</v>
          </cell>
        </row>
        <row r="4094">
          <cell r="A4094">
            <v>94728</v>
          </cell>
          <cell r="B4094" t="str">
            <v>CONECTOR, CPVC, SOLDÁVEL, DN 35 MM X 1 1/4, INSTALADO EM RESERVAÇÃO DE ÁGUA DE EDIFICAÇÃO QUE POSSUA RESERVATÓRIO DE FIBRA/FIBROCIMENTO  FORNECIMENTO E INSTALAÇÃO. AF_06/2016</v>
          </cell>
          <cell r="C4094" t="str">
            <v>UN</v>
          </cell>
          <cell r="D4094">
            <v>168.54</v>
          </cell>
        </row>
        <row r="4095">
          <cell r="A4095">
            <v>94729</v>
          </cell>
          <cell r="B4095" t="str">
            <v>LUVA, CPVC, SOLDÁVEL, DN 35 MM, INSTALADO EM RESERVAÇÃO DE ÁGUA DE EDIFICAÇÃO QUE POSSUA RESERVATÓRIO DE FIBRA/FIBROCIMENTO  FORNECIMENTO E INSTALAÇÃO. AF_06/2016</v>
          </cell>
          <cell r="C4095" t="str">
            <v>UN</v>
          </cell>
          <cell r="D4095">
            <v>16.239999999999998</v>
          </cell>
        </row>
        <row r="4096">
          <cell r="A4096">
            <v>94730</v>
          </cell>
          <cell r="B4096" t="str">
            <v>CONECTOR, CPVC, SOLDÁVEL, DN 42 MM X 1 1/2, INSTALADO EM RESERVAÇÃO DE ÁGUA DE EDIFICAÇÃO QUE POSSUA RESERVATÓRIO DE FIBRA/FIBROCIMENTO  FORNECIMENTO E INSTALAÇÃO. AF_06/2016</v>
          </cell>
          <cell r="C4096" t="str">
            <v>UN</v>
          </cell>
          <cell r="D4096">
            <v>205</v>
          </cell>
        </row>
        <row r="4097">
          <cell r="A4097">
            <v>94731</v>
          </cell>
          <cell r="B4097" t="str">
            <v>LUVA, CPVC, SOLDÁVEL, DN 42 MM, INSTALADO EM RESERVAÇÃO DE ÁGUA DE EDIFICAÇÃO QUE POSSUA RESERVATÓRIO DE FIBRA/FIBROCIMENTO  FORNECIMENTO E INSTALAÇÃO. AF_06/2016</v>
          </cell>
          <cell r="C4097" t="str">
            <v>UN</v>
          </cell>
          <cell r="D4097">
            <v>20.68</v>
          </cell>
        </row>
        <row r="4098">
          <cell r="A4098">
            <v>94733</v>
          </cell>
          <cell r="B4098" t="str">
            <v>LUVA, CPVC, SOLDÁVEL, DN 54 MM, INSTALADO EM RESERVAÇÃO DE ÁGUA DE EDIFICAÇÃO QUE POSSUA RESERVATÓRIO DE FIBRA/FIBROCIMENTO  FORNECIMENTO E INSTALAÇÃO. AF_06/2016</v>
          </cell>
          <cell r="C4098" t="str">
            <v>UN</v>
          </cell>
          <cell r="D4098">
            <v>40.380000000000003</v>
          </cell>
        </row>
        <row r="4099">
          <cell r="A4099">
            <v>94737</v>
          </cell>
          <cell r="B4099" t="str">
            <v>LUVA, CPVC, SOLDÁVEL, DN 89 MM, INSTALADO EM RESERVAÇÃO DE ÁGUA DE EDIFICAÇÃO QUE POSSUA RESERVATÓRIO DE FIBRA/FIBROCIMENTO  FORNECIMENTO E INSTALAÇÃO. AF_06/2016</v>
          </cell>
          <cell r="C4099" t="str">
            <v>UN</v>
          </cell>
          <cell r="D4099">
            <v>173.37</v>
          </cell>
        </row>
        <row r="4100">
          <cell r="A4100">
            <v>94740</v>
          </cell>
          <cell r="B4100" t="str">
            <v>JOELHO 90 GRAUS, CPVC, SOLDÁVEL, DN 22 MM, INSTALADO EM RESERVAÇÃO DE ÁGUA DE EDIFICAÇÃO QUE POSSUA RESERVATÓRIO DE FIBRA/FIBROCIMENTO  FORNECIMENTO E INSTALAÇÃO. AF_06/2016</v>
          </cell>
          <cell r="C4100" t="str">
            <v>UN</v>
          </cell>
          <cell r="D4100">
            <v>9.66</v>
          </cell>
        </row>
        <row r="4101">
          <cell r="A4101">
            <v>94741</v>
          </cell>
          <cell r="B4101" t="str">
            <v>CURVA 90 GRAUS, CPVC, SOLDÁVEL, DN 22 MM, INSTALADO EM RESERVAÇÃO DE ÁGUA DE EDIFICAÇÃO QUE POSSUA RESERVATÓRIO DE FIBRA/FIBROCIMENTO  FORNECIMENTO E INSTALAÇÃO. AF_06/2016</v>
          </cell>
          <cell r="C4101" t="str">
            <v>UN</v>
          </cell>
          <cell r="D4101">
            <v>12.33</v>
          </cell>
        </row>
        <row r="4102">
          <cell r="A4102">
            <v>94742</v>
          </cell>
          <cell r="B4102" t="str">
            <v>JOELHO 90 GRAUS, CPVC, SOLDÁVEL, DN 28 MM, INSTALADO EM RESERVAÇÃO DE ÁGUA DE EDIFICAÇÃO QUE POSSUA RESERVATÓRIO DE FIBRA/FIBROCIMENTO  FORNECIMENTO E INSTALAÇÃO. AF_06/2016</v>
          </cell>
          <cell r="C4102" t="str">
            <v>UN</v>
          </cell>
          <cell r="D4102">
            <v>15.32</v>
          </cell>
        </row>
        <row r="4103">
          <cell r="A4103">
            <v>94743</v>
          </cell>
          <cell r="B4103" t="str">
            <v>CURVA 90 GRAUS, CPVC, SOLDÁVEL, DN 28 MM, INSTALADO EM RESERVAÇÃO DE ÁGUA DE EDIFICAÇÃO QUE POSSUA RESERVATÓRIO DE FIBRA/FIBROCIMENTO  FORNECIMENTO E INSTALAÇÃO. AF_06/2016</v>
          </cell>
          <cell r="C4103" t="str">
            <v>UN</v>
          </cell>
          <cell r="D4103">
            <v>17</v>
          </cell>
        </row>
        <row r="4104">
          <cell r="A4104">
            <v>94744</v>
          </cell>
          <cell r="B4104" t="str">
            <v>JOELHO 90 GRAUS, CPVC, SOLDÁVEL, DN 35 MM, INSTALADO EM RESERVAÇÃO DE ÁGUA DE EDIFICAÇÃO QUE POSSUA RESERVATÓRIO DE FIBRA/FIBROCIMENTO  FORNECIMENTO E INSTALAÇÃO. AF_06/2016</v>
          </cell>
          <cell r="C4104" t="str">
            <v>UN</v>
          </cell>
          <cell r="D4104">
            <v>24.79</v>
          </cell>
        </row>
        <row r="4105">
          <cell r="A4105">
            <v>94746</v>
          </cell>
          <cell r="B4105" t="str">
            <v>JOELHO 90 GRAUS, CPVC, SOLDÁVEL, DN 42 MM, INSTALADO EM RESERVAÇÃO DE ÁGUA DE EDIFICAÇÃO QUE POSSUA RESERVATÓRIO DE FIBRA/FIBROCIMENTO  FORNECIMENTO E INSTALAÇÃO. AF_06/2016</v>
          </cell>
          <cell r="C4105" t="str">
            <v>UN</v>
          </cell>
          <cell r="D4105">
            <v>36.04</v>
          </cell>
        </row>
        <row r="4106">
          <cell r="A4106">
            <v>94748</v>
          </cell>
          <cell r="B4106" t="str">
            <v>JOELHO 90 GRAUS, CPVC, SOLDÁVEL, DN 54 MM, INSTALADO EM RESERVAÇÃO DE ÁGUA DE EDIFICAÇÃO QUE POSSUA RESERVATÓRIO DE FIBRA/FIBROCIMENTO  FORNECIMENTO E INSTALAÇÃO. AF_06/2016</v>
          </cell>
          <cell r="C4106" t="str">
            <v>UN</v>
          </cell>
          <cell r="D4106">
            <v>74.87</v>
          </cell>
        </row>
        <row r="4107">
          <cell r="A4107">
            <v>94750</v>
          </cell>
          <cell r="B4107" t="str">
            <v>JOELHO 90 GRAUS, CPVC, SOLDÁVEL, DN 73 MM, INSTALADO EM RESERVAÇÃO DE ÁGUA DE EDIFICAÇÃO QUE POSSUA RESERVATÓRIO DE FIBRA/FIBROCIMENTO  FORNECIMENTO E INSTALAÇÃO. AF_06/2016</v>
          </cell>
          <cell r="C4107" t="str">
            <v>UN</v>
          </cell>
          <cell r="D4107">
            <v>181.33</v>
          </cell>
        </row>
        <row r="4108">
          <cell r="A4108">
            <v>94752</v>
          </cell>
          <cell r="B4108" t="str">
            <v>JOELHO 90 GRAUS, CPVC, SOLDÁVEL, DN 89 MM, INSTALADO EM RESERVAÇÃO DE ÁGUA DE EDIFICAÇÃO QUE POSSUA RESERVATÓRIO DE FIBRA/FIBROCIMENTO  FORNECIMENTO E INSTALAÇÃO. AF_06/2016</v>
          </cell>
          <cell r="C4108" t="str">
            <v>UN</v>
          </cell>
          <cell r="D4108">
            <v>218.92</v>
          </cell>
        </row>
        <row r="4109">
          <cell r="A4109">
            <v>94756</v>
          </cell>
          <cell r="B4109" t="str">
            <v>TE, CPVC, SOLDÁVEL, DN 22 MM, INSTALADO EM RESERVAÇÃO DE ÁGUA DE EDIFICAÇÃO QUE POSSUA RESERVATÓRIO DE FIBRA/FIBROCIMENTO  FORNECIMENTO E INSTALAÇÃO. AF_06/2016</v>
          </cell>
          <cell r="C4109" t="str">
            <v>UN</v>
          </cell>
          <cell r="D4109">
            <v>12.12</v>
          </cell>
        </row>
        <row r="4110">
          <cell r="A4110">
            <v>94757</v>
          </cell>
          <cell r="B4110" t="str">
            <v>TE, CPVC, SOLDÁVEL, DN 28 MM, INSTALADO EM RESERVAÇÃO DE ÁGUA DE EDIFICAÇÃO QUE POSSUA RESERVATÓRIO DE FIBRA/FIBROCIMENTO  FORNECIMENTO E INSTALAÇÃO. AF_06/2016</v>
          </cell>
          <cell r="C4110" t="str">
            <v>UN</v>
          </cell>
          <cell r="D4110">
            <v>17.170000000000002</v>
          </cell>
        </row>
        <row r="4111">
          <cell r="A4111">
            <v>94758</v>
          </cell>
          <cell r="B4111" t="str">
            <v>TE, CPVC, SOLDÁVEL, DN 35 MM, INSTALADO EM RESERVAÇÃO DE ÁGUA DE EDIFICAÇÃO QUE POSSUA RESERVATÓRIO DE FIBRA/FIBROCIMENTO  FORNECIMENTO E INSTALAÇÃO. AF_06/2016</v>
          </cell>
          <cell r="C4111" t="str">
            <v>UN</v>
          </cell>
          <cell r="D4111">
            <v>45.95</v>
          </cell>
        </row>
        <row r="4112">
          <cell r="A4112">
            <v>94759</v>
          </cell>
          <cell r="B4112" t="str">
            <v>TE, CPVC, SOLDÁVEL, DN 42 MM, INSTALADO EM RESERVAÇÃO DE ÁGUA DE EDIFICAÇÃO QUE POSSUA RESERVATÓRIO DE FIBRA/FIBROCIMENTO  FORNECIMENTO E INSTALAÇÃO. AF_06/2016</v>
          </cell>
          <cell r="C4112" t="str">
            <v>UN</v>
          </cell>
          <cell r="D4112">
            <v>57.18</v>
          </cell>
        </row>
        <row r="4113">
          <cell r="A4113">
            <v>94760</v>
          </cell>
          <cell r="B4113" t="str">
            <v>TE, CPVC, SOLDÁVEL, DN 54 MM, INSTALADO EM RESERVAÇÃO DE ÁGUA DE EDIFICAÇÃO QUE POSSUA RESERVATÓRIO DE FIBRA/FIBROCIMENTO  FORNECIMENTO E INSTALAÇÃO. AF_06/2016</v>
          </cell>
          <cell r="C4113" t="str">
            <v>UN</v>
          </cell>
          <cell r="D4113">
            <v>93.73</v>
          </cell>
        </row>
        <row r="4114">
          <cell r="A4114">
            <v>94761</v>
          </cell>
          <cell r="B4114" t="str">
            <v>TE, CPVC, SOLDÁVEL, DN 73 MM, INSTALADO EM RESERVAÇÃO DE ÁGUA DE EDIFICAÇÃO QUE POSSUA RESERVATÓRIO DE FIBRA/FIBROCIMENTO  FORNECIMENTO E INSTALAÇÃO. AF_06/2016</v>
          </cell>
          <cell r="C4114" t="str">
            <v>UN</v>
          </cell>
          <cell r="D4114">
            <v>206.25</v>
          </cell>
        </row>
        <row r="4115">
          <cell r="A4115">
            <v>94762</v>
          </cell>
          <cell r="B4115" t="str">
            <v>TE, CPVC, SOLDÁVEL, DN 89 MM, INSTALADO EM RESERVAÇÃO DE ÁGUA DE EDIFICAÇÃO QUE POSSUA RESERVATÓRIO DE FIBRA/FIBROCIMENTO  FORNECIMENTO E INSTALAÇÃO. AF_06/2016</v>
          </cell>
          <cell r="C4115" t="str">
            <v>UN</v>
          </cell>
          <cell r="D4115">
            <v>261.2</v>
          </cell>
        </row>
        <row r="4116">
          <cell r="A4116">
            <v>94783</v>
          </cell>
          <cell r="B4116" t="str">
            <v>ADAPTADOR COM FLANGE E ANEL DE VEDAÇÃO, PVC, SOLDÁVEL, DN  20 MM X 1/2 , INSTALADO EM RESERVAÇÃO DE ÁGUA DE EDIFICAÇÃO QUE POSSUA RESERVATÓRIO DE FIBRA/FIBROCIMENTO   FORNECIMENTO E INSTALAÇÃO. AF_06/2016</v>
          </cell>
          <cell r="C4116" t="str">
            <v>UN</v>
          </cell>
          <cell r="D4116">
            <v>12.98</v>
          </cell>
        </row>
        <row r="4117">
          <cell r="A4117">
            <v>94785</v>
          </cell>
          <cell r="B4117" t="str">
            <v>ADAPTADOR COM FLANGES LIVRES, PVC, SOLDÁVEL LONGO, DN 32 MM X 1 , INSTALADO EM RESERVAÇÃO DE ÁGUA DE EDIFICAÇÃO QUE POSSUA RESERVATÓRIO DE FIBRA/FIBROCIMENTO   FORNECIMENTO E INSTALAÇÃO. AF_06/2016</v>
          </cell>
          <cell r="C4117" t="str">
            <v>UN</v>
          </cell>
          <cell r="D4117">
            <v>23.11</v>
          </cell>
        </row>
        <row r="4118">
          <cell r="A4118">
            <v>94786</v>
          </cell>
          <cell r="B4118" t="str">
            <v>ADAPTADOR COM FLANGES LIVRES, PVC, SOLDÁVEL LONGO, DN 40 MM X 1 1/4 , INSTALADO EM RESERVAÇÃO DE ÁGUA DE EDIFICAÇÃO QUE POSSUA RESERVATÓRIO DE FIBRA/FIBROCIMENTO   FORNECIMENTO E INSTALAÇÃO. AF_06/2016</v>
          </cell>
          <cell r="C4118" t="str">
            <v>UN</v>
          </cell>
          <cell r="D4118">
            <v>29.41</v>
          </cell>
        </row>
        <row r="4119">
          <cell r="A4119">
            <v>94787</v>
          </cell>
          <cell r="B4119" t="str">
            <v>ADAPTADOR COM FLANGES LIVRES, PVC, SOLDÁVEL LONGO, DN 50 MM X 1 1/2 , INSTALADO EM RESERVAÇÃO DE ÁGUA DE EDIFICAÇÃO QUE POSSUA RESERVATÓRIO DE FIBRA/FIBROCIMENTO   FORNECIMENTO E INSTALAÇÃO. AF_06/2016</v>
          </cell>
          <cell r="C4119" t="str">
            <v>UN</v>
          </cell>
          <cell r="D4119">
            <v>40.409999999999997</v>
          </cell>
        </row>
        <row r="4120">
          <cell r="A4120">
            <v>94788</v>
          </cell>
          <cell r="B4120" t="str">
            <v>ADAPTADOR COM FLANGES LIVRES, PVC, SOLDÁVEL LONGO, DN 60 MM X 2 , INSTALADO EM RESERVAÇÃO DE ÁGUA DE EDIFICAÇÃO QUE POSSUA RESERVATÓRIO DE FIBRA/FIBROCIMENTO   FORNECIMENTO E INSTALAÇÃO. AF_06/2016</v>
          </cell>
          <cell r="C4120" t="str">
            <v>UN</v>
          </cell>
          <cell r="D4120">
            <v>56.26</v>
          </cell>
        </row>
        <row r="4121">
          <cell r="A4121">
            <v>94789</v>
          </cell>
          <cell r="B4121" t="str">
            <v>ADAPTADOR COM FLANGES LIVRES, PVC, SOLDÁVEL LONGO, DN 75 MM X 2 1/2 , INSTALADO EM RESERVAÇÃO DE ÁGUA DE EDIFICAÇÃO QUE POSSUA RESERVATÓRIO DE FIBRA/FIBROCIMENTO   FORNECIMENTO E INSTALAÇÃO. AF_06/2016</v>
          </cell>
          <cell r="C4121" t="str">
            <v>UN</v>
          </cell>
          <cell r="D4121">
            <v>166.25</v>
          </cell>
        </row>
        <row r="4122">
          <cell r="A4122">
            <v>94790</v>
          </cell>
          <cell r="B4122" t="str">
            <v>ADAPTADOR COM FLANGES LIVRES, PVC, SOLDÁVEL LONGO, DN 85 MM X 3 , INSTALADO EM RESERVAÇÃO DE ÁGUA DE EDIFICAÇÃO QUE POSSUA RESERVATÓRIO DE FIBRA/FIBROCIMENTO   FORNECIMENTO E INSTALAÇÃO. AF_06/2016</v>
          </cell>
          <cell r="C4122" t="str">
            <v>UN</v>
          </cell>
          <cell r="D4122">
            <v>191.55</v>
          </cell>
        </row>
        <row r="4123">
          <cell r="A4123">
            <v>94791</v>
          </cell>
          <cell r="B4123" t="str">
            <v>ADAPTADOR COM FLANGES LIVRES, PVC, SOLDÁVEL LONGO, DN 110 MM X 4 , INSTALADO EM RESERVAÇÃO DE ÁGUA DE EDIFICAÇÃO QUE POSSUA RESERVATÓRIO DE FIBRA/FIBROCIMENTO   FORNECIMENTO E INSTALAÇÃO. AF_06/2016</v>
          </cell>
          <cell r="C4123" t="str">
            <v>UN</v>
          </cell>
          <cell r="D4123">
            <v>266.39999999999998</v>
          </cell>
        </row>
        <row r="4124">
          <cell r="A4124">
            <v>94863</v>
          </cell>
          <cell r="B4124" t="str">
            <v>LUVA, CPVC, SOLDÁVEL, DN 73 MM, INSTALADO EM RESERVAÇÃO DE ÁGUA DE EDIFICAÇÃO QUE POSSUA RESERVATÓRIO DE FIBRA/FIBROCIMENTO  FORNECIMENTO E INSTALAÇÃO. AF_06/2016</v>
          </cell>
          <cell r="C4124" t="str">
            <v>UN</v>
          </cell>
          <cell r="D4124">
            <v>149.08000000000001</v>
          </cell>
        </row>
        <row r="4125">
          <cell r="A4125">
            <v>95141</v>
          </cell>
          <cell r="B4125" t="str">
            <v>ADAPTADOR COM FLANGES LIVRES, PVC, SOLDÁVEL LONGO, DN  25 MM X 3/4 , INSTALADO EM RESERVAÇÃO DE ÁGUA DE EDIFICAÇÃO QUE POSSUA RESERVATÓRIO DE FIBRA/FIBROCIMENTO    FORNECIMENTO E INSTALAÇÃO. AF_06/2016</v>
          </cell>
          <cell r="C4125" t="str">
            <v>UN</v>
          </cell>
          <cell r="D4125">
            <v>21.74</v>
          </cell>
        </row>
        <row r="4126">
          <cell r="A4126">
            <v>95237</v>
          </cell>
          <cell r="B4126" t="str">
            <v>LUVA COM BUCHA DE LATÃO, PVC, SOLDÁVEL, DN 32MM X 1 , INSTALADO EM RAMAL DE DISTRIBUIÇÃO DE ÁGUA   FORNECIMENTO E INSTALAÇÃO. AF_12/2014</v>
          </cell>
          <cell r="C4126" t="str">
            <v>UN</v>
          </cell>
          <cell r="D4126">
            <v>16.12</v>
          </cell>
        </row>
        <row r="4127">
          <cell r="A4127">
            <v>95693</v>
          </cell>
          <cell r="B4127" t="str">
            <v>LUVA SIMPLES, PVC, SÉRIE NORMAL, ESGOTO PREDIAL, DN 150 MM, JUNTA ELÁSTICA, FORNECIDO E INSTALADO EM SUBCOLETOR AÉREO DE ESGOTO SANITÁRIO. AF_12/2014</v>
          </cell>
          <cell r="C4127" t="str">
            <v>UN</v>
          </cell>
          <cell r="D4127">
            <v>36.17</v>
          </cell>
        </row>
        <row r="4128">
          <cell r="A4128">
            <v>95694</v>
          </cell>
          <cell r="B4128" t="str">
            <v>CURVA 90 GRAUS, PVC, SERIE R, ÁGUA PLUVIAL, DN 100 MM, JUNTA ELÁSTICA, FORNECIDO E INSTALADO EM RAMAL DE ENCAMINHAMENTO. AF_12/2014</v>
          </cell>
          <cell r="C4128" t="str">
            <v>UN</v>
          </cell>
          <cell r="D4128">
            <v>41.79</v>
          </cell>
        </row>
        <row r="4129">
          <cell r="A4129">
            <v>95695</v>
          </cell>
          <cell r="B4129" t="str">
            <v>CURVA 90 GRAUS, PVC, SERIE R, ÁGUA PLUVIAL, DN 100 MM, JUNTA ELÁSTICA, FORNECIDO E INSTALADO EM CONDUTORES VERTICAIS DE ÁGUAS PLUVIAIS. AF_12/2014</v>
          </cell>
          <cell r="C4129" t="str">
            <v>UN</v>
          </cell>
          <cell r="D4129">
            <v>40.340000000000003</v>
          </cell>
        </row>
        <row r="4130">
          <cell r="A4130">
            <v>95696</v>
          </cell>
          <cell r="B4130" t="str">
            <v>SPRINKLER TIPO PENDENTE, 68 °C, UNIÃO POR ROSCA DN 15 (1/2") - FORNECIMENTO E INSTALAÇÃO. AF_12/2015</v>
          </cell>
          <cell r="C4130" t="str">
            <v>UN</v>
          </cell>
          <cell r="D4130">
            <v>28</v>
          </cell>
        </row>
        <row r="4131">
          <cell r="A4131">
            <v>96637</v>
          </cell>
          <cell r="B4131" t="str">
            <v>JOELHO 90 GRAUS, PPR, DN 25 MM, CLASSE PN 25, INSTALADO EM RAMAL OU SUB-RAMAL DE ÁGUA  FORNECIMENTO E INSTALAÇÃO . AF_06/2015</v>
          </cell>
          <cell r="C4131" t="str">
            <v>UN</v>
          </cell>
          <cell r="D4131">
            <v>10.41</v>
          </cell>
        </row>
        <row r="4132">
          <cell r="A4132">
            <v>96638</v>
          </cell>
          <cell r="B4132" t="str">
            <v>JOELHO 45 GRAUS, PPR, DN 25 MM, CLASSE PN 25, INSTALADO EM RAMAL OU SUB-RAMAL DE ÁGUA  FORNECIMENTO E INSTALAÇÃO . AF_06/2015</v>
          </cell>
          <cell r="C4132" t="str">
            <v>UN</v>
          </cell>
          <cell r="D4132">
            <v>10.06</v>
          </cell>
        </row>
        <row r="4133">
          <cell r="A4133">
            <v>96639</v>
          </cell>
          <cell r="B4133" t="str">
            <v>LUVA, PPR, DN 25 MM, CLASSE PN 25, INSTALADO EM RAMAL OU SUB-RAMAL DE ÁGUA  FORNECIMENTO E INSTALAÇÃO . AF_06/2015</v>
          </cell>
          <cell r="C4133" t="str">
            <v>UN</v>
          </cell>
          <cell r="D4133">
            <v>7.23</v>
          </cell>
        </row>
        <row r="4134">
          <cell r="A4134">
            <v>96640</v>
          </cell>
          <cell r="B4134" t="str">
            <v>CONECTOR MACHO, PPR, 25 X 1/2'', CLASSE PN 25, INSTALADO EM RAMAL OU SUB-RAMAL DE ÁGUA   FORNECIMENTO E INSTALAÇÃO . AF_06/2015</v>
          </cell>
          <cell r="C4134" t="str">
            <v>UN</v>
          </cell>
          <cell r="D4134">
            <v>17</v>
          </cell>
        </row>
        <row r="4135">
          <cell r="A4135">
            <v>96641</v>
          </cell>
          <cell r="B4135" t="str">
            <v>CONECTOR FÊMEA, PPR, 25 X 1/2'', CLASSE PN 25, INSTALADO EM RAMAL OU SUB-RAMAL DE ÁGUA   FORNECIMENTO E INSTALAÇÃO . AF_06/2015</v>
          </cell>
          <cell r="C4135" t="str">
            <v>UN</v>
          </cell>
          <cell r="D4135">
            <v>13.51</v>
          </cell>
        </row>
        <row r="4136">
          <cell r="A4136">
            <v>96642</v>
          </cell>
          <cell r="B4136" t="str">
            <v>TÊ NORMAL, PPR, DN 25 MM, CLASSE PN 25, INSTALADO EM RAMAL OU SUB-RAMAL DE ÁGUA  FORNECIMENTO E INSTALAÇÃO . AF_06/2015</v>
          </cell>
          <cell r="C4136" t="str">
            <v>UN</v>
          </cell>
          <cell r="D4136">
            <v>13.8</v>
          </cell>
        </row>
        <row r="4137">
          <cell r="A4137">
            <v>96643</v>
          </cell>
          <cell r="B4137" t="str">
            <v>TÊ MISTURADOR, PPR, 25 X 3/4'' , CLASSE PN 25, INSTALADO EM RAMAL OU SUB-RAMAL DE ÁGUA  FORNECIMENTO E INSTALAÇÃO . AF_06/2015</v>
          </cell>
          <cell r="C4137" t="str">
            <v>UN</v>
          </cell>
          <cell r="D4137">
            <v>34.270000000000003</v>
          </cell>
        </row>
        <row r="4138">
          <cell r="A4138">
            <v>96650</v>
          </cell>
          <cell r="B4138" t="str">
            <v>JOELHO 90 GRAUS, PPR, DN 25 MM, CLASSE PN 25, INSTALADO EM RAMAL DE DISTRIBUIÇÃO  FORNECIMENTO E INSTALAÇÃO . AF_06/2015</v>
          </cell>
          <cell r="C4138" t="str">
            <v>UN</v>
          </cell>
          <cell r="D4138">
            <v>7.67</v>
          </cell>
        </row>
        <row r="4139">
          <cell r="A4139">
            <v>96651</v>
          </cell>
          <cell r="B4139" t="str">
            <v>JOELHO 45 GRAUS, PPR, DN 25 MM, CLASSE PN 25, INSTALADO EM RAMAL DE DISTRIBUIÇÃO DE ÁGUA  FORNECIMENTO E INSTALAÇÃO . AF_06/2015</v>
          </cell>
          <cell r="C4139" t="str">
            <v>UN</v>
          </cell>
          <cell r="D4139">
            <v>7.32</v>
          </cell>
        </row>
        <row r="4140">
          <cell r="A4140">
            <v>96652</v>
          </cell>
          <cell r="B4140" t="str">
            <v>JOELHO 90 GRAUS, PPR, DN 32 MM, CLASSE PN 25, INSTALADO EM RAMAL DE DISTRIBUIÇÃO  FORNECIMENTO E INSTALAÇÃO . AF_06/2015</v>
          </cell>
          <cell r="C4140" t="str">
            <v>UN</v>
          </cell>
          <cell r="D4140">
            <v>14.74</v>
          </cell>
        </row>
        <row r="4141">
          <cell r="A4141">
            <v>96653</v>
          </cell>
          <cell r="B4141" t="str">
            <v>JOELHO 45 GRAUS, PPR, DN 32 MM, CLASSE PN 25, INSTALADO EM RAMAL DE DISTRIBUIÇÃO DE ÁGUA  FORNECIMENTO E INSTALAÇÃO . AF_06/2015</v>
          </cell>
          <cell r="C4141" t="str">
            <v>UN</v>
          </cell>
          <cell r="D4141">
            <v>14.7</v>
          </cell>
        </row>
        <row r="4142">
          <cell r="A4142">
            <v>96654</v>
          </cell>
          <cell r="B4142" t="str">
            <v>JOELHO 90 GRAUS, PPR, DN 40 MM, CLASSE PN 25, INSTALADO EM RAMAL DE DISTRIBUIÇÃO  FORNECIMENTO E INSTALAÇÃO . AF_06/2015</v>
          </cell>
          <cell r="C4142" t="str">
            <v>UN</v>
          </cell>
          <cell r="D4142">
            <v>24.3</v>
          </cell>
        </row>
        <row r="4143">
          <cell r="A4143">
            <v>96655</v>
          </cell>
          <cell r="B4143" t="str">
            <v>JOELHO 45 GRAUS, PPR, DN 40 MM, CLASSE PN 25, INSTALADO EM RAMAL DE DISTRIBUIÇÃO DE ÁGUA  FORNECIMENTO E INSTALAÇÃO . AF_06/2015</v>
          </cell>
          <cell r="C4143" t="str">
            <v>UN</v>
          </cell>
          <cell r="D4143">
            <v>23.92</v>
          </cell>
        </row>
        <row r="4144">
          <cell r="A4144">
            <v>96656</v>
          </cell>
          <cell r="B4144" t="str">
            <v>LUVA, PPR, DN 25 MM, CLASSE PN 25, INSTALADO EM RAMAL DE DISTRIBUIÇÃO DE ÁGUA  FORNECIMENTO E INSTALAÇÃO . AF_06/2015</v>
          </cell>
          <cell r="C4144" t="str">
            <v>UN</v>
          </cell>
          <cell r="D4144">
            <v>5.42</v>
          </cell>
        </row>
        <row r="4145">
          <cell r="A4145">
            <v>96657</v>
          </cell>
          <cell r="B4145" t="str">
            <v>CONECTOR MACHO, PPR, 25 X 1/2, CLASSE PN 25, INSTALADO EM RAMAL DE DISTRIBUIÇÃO DE ÁGUA  FORNECIMENTO E INSTALAÇÃO . AF_06/2015</v>
          </cell>
          <cell r="C4145" t="str">
            <v>UN</v>
          </cell>
          <cell r="D4145">
            <v>15.19</v>
          </cell>
        </row>
        <row r="4146">
          <cell r="A4146">
            <v>96658</v>
          </cell>
          <cell r="B4146" t="str">
            <v>CONECTOR FÊMEA, PPR, 25 X 1/2'', CLASSE PN 25, INSTALADO EM RAMAL DE DISTRIBUIÇÃO DE ÁGUA   FORNECIMENTO E INSTALAÇÃO . AF_06/2015</v>
          </cell>
          <cell r="C4146" t="str">
            <v>UN</v>
          </cell>
          <cell r="D4146">
            <v>11.7</v>
          </cell>
        </row>
        <row r="4147">
          <cell r="A4147">
            <v>96659</v>
          </cell>
          <cell r="B4147" t="str">
            <v>LUVA, PPR, DN 32 MM, CLASSE PN 25, INSTALADO EM RAMAL DE DISTRIBUIÇÃO DE ÁGUA  FORNECIMENTO E INSTALAÇÃO. AF_06/2015</v>
          </cell>
          <cell r="C4147" t="str">
            <v>UN</v>
          </cell>
          <cell r="D4147">
            <v>9.9600000000000009</v>
          </cell>
        </row>
        <row r="4148">
          <cell r="A4148">
            <v>96660</v>
          </cell>
          <cell r="B4148" t="str">
            <v>CONECTOR MACHO, PPR, 32 X 3/4'', CLASSE PN 25, INSTALADO EM RAMAL DE DISTRIBUIÇÃO DE ÁGUA   FORNECIMENTO E INSTALAÇÃO. AF_06/2015</v>
          </cell>
          <cell r="C4148" t="str">
            <v>UN</v>
          </cell>
          <cell r="D4148">
            <v>26.25</v>
          </cell>
        </row>
        <row r="4149">
          <cell r="A4149">
            <v>96661</v>
          </cell>
          <cell r="B4149" t="str">
            <v>CONECTOR FÊMEA, PPR, 32 X 3/4'', CLASSE PN 25, INSTALADO EM RAMAL DE DISTRIBUIÇÃO DE ÁGUA   FORNECIMENTO E INSTALAÇÃO . AF_06/2015</v>
          </cell>
          <cell r="C4149" t="str">
            <v>UN</v>
          </cell>
          <cell r="D4149">
            <v>20.89</v>
          </cell>
        </row>
        <row r="4150">
          <cell r="A4150">
            <v>96662</v>
          </cell>
          <cell r="B4150" t="str">
            <v>BUCHA DE REDUÇÃO, PPR, 32 X 25, CLASSE PN 25, INSTALADO EM RAMAL DE DISTRIBUIÇÃO DE ÁGUA  FORNECIMENTO E INSTALAÇÃO . AF_06/2015</v>
          </cell>
          <cell r="C4150" t="str">
            <v>UN</v>
          </cell>
          <cell r="D4150">
            <v>10.14</v>
          </cell>
        </row>
        <row r="4151">
          <cell r="A4151">
            <v>96663</v>
          </cell>
          <cell r="B4151" t="str">
            <v>LUVA, PPR, DN 40 MM, CLASSE PN 25, INSTALADO EM RAMAL DE DISTRIBUIÇÃO DE ÁGUA  FORNECIMENTO E INSTALAÇÃO. AF_06/2015</v>
          </cell>
          <cell r="C4151" t="str">
            <v>UN</v>
          </cell>
          <cell r="D4151">
            <v>17.75</v>
          </cell>
        </row>
        <row r="4152">
          <cell r="A4152">
            <v>96664</v>
          </cell>
          <cell r="B4152" t="str">
            <v>BUCHA DE REDUÇÃO, PPR, 40 X 25, CLASSE PN 25, INSTALADO EM RAMAL DE DISTRIBUIÇÃO DE ÁGUA  FORNECIMENTO E INSTALAÇÃO . AF_06/2015</v>
          </cell>
          <cell r="C4152" t="str">
            <v>UN</v>
          </cell>
          <cell r="D4152">
            <v>18.899999999999999</v>
          </cell>
        </row>
        <row r="4153">
          <cell r="A4153">
            <v>96665</v>
          </cell>
          <cell r="B4153" t="str">
            <v>TÊ NORMAL, PPR, DN 25 MM, CLASSE PN 25, INSTALADO EM RAMAL DE DISTRIBUIÇÃO DE ÁGUA  FORNECIMENTO E INSTALAÇÃO . AF_06/2015</v>
          </cell>
          <cell r="C4153" t="str">
            <v>UN</v>
          </cell>
          <cell r="D4153">
            <v>10.11</v>
          </cell>
        </row>
        <row r="4154">
          <cell r="A4154">
            <v>96666</v>
          </cell>
          <cell r="B4154" t="str">
            <v>TÊ NORMAL, PPR, DN 32 MM, CLASSE PN 25, INSTALADO EM RAMAL DE DISTRIBUIÇÃO DE ÁGUA  FORNECIMENTO E INSTALAÇÃO . AF_06/2015</v>
          </cell>
          <cell r="C4154" t="str">
            <v>UN</v>
          </cell>
          <cell r="D4154">
            <v>19.739999999999998</v>
          </cell>
        </row>
        <row r="4155">
          <cell r="A4155">
            <v>96667</v>
          </cell>
          <cell r="B4155" t="str">
            <v>TÊ NORMAL, PPR, DN 40 MM, CLASSE PN 25, INSTALADO EM RAMAL DE DISTRIBUIÇÃO DE ÁGUA  FORNECIMENTO E INSTALAÇÃO . AF_06/2015</v>
          </cell>
          <cell r="C4155" t="str">
            <v>UN</v>
          </cell>
          <cell r="D4155">
            <v>34</v>
          </cell>
        </row>
        <row r="4156">
          <cell r="A4156">
            <v>96684</v>
          </cell>
          <cell r="B4156" t="str">
            <v>JOELHO 90 GRAUS, PPR, DN 25 MM, CLASSE PN 25, INSTALADO EM PRUMADA DE ÁGUA  FORNECIMENTO E INSTALAÇÃO . AF_06/2015</v>
          </cell>
          <cell r="C4156" t="str">
            <v>UN</v>
          </cell>
          <cell r="D4156">
            <v>3.55</v>
          </cell>
        </row>
        <row r="4157">
          <cell r="A4157">
            <v>96685</v>
          </cell>
          <cell r="B4157" t="str">
            <v>JOELHO 45 GRAUS, PPR, DN 25 MM, CLASSE PN 25, INSTALADO EM PRUMADA DE ÁGUA  FORNECIMENTO E INSTALAÇÃO . AF_06/2015</v>
          </cell>
          <cell r="C4157" t="str">
            <v>UN</v>
          </cell>
          <cell r="D4157">
            <v>3.2</v>
          </cell>
        </row>
        <row r="4158">
          <cell r="A4158">
            <v>96686</v>
          </cell>
          <cell r="B4158" t="str">
            <v>JOELHO 90 GRAUS, PPR, DN 32 MM, CLASSE PN 25, INSTALADO EM PRUMADA DE ÁGUA  FORNECIMENTO E INSTALAÇÃO . AF_06/2015</v>
          </cell>
          <cell r="C4158" t="str">
            <v>UN</v>
          </cell>
          <cell r="D4158">
            <v>5.32</v>
          </cell>
        </row>
        <row r="4159">
          <cell r="A4159">
            <v>96687</v>
          </cell>
          <cell r="B4159" t="str">
            <v>JOELHO 45 GRAUS, PPR, DN 32 MM, CLASSE PN 25, INSTALADO EM PRUMADA DE ÁGUA  FORNECIMENTO E INSTALAÇÃO . AF_06/2015</v>
          </cell>
          <cell r="C4159" t="str">
            <v>UN</v>
          </cell>
          <cell r="D4159">
            <v>5.28</v>
          </cell>
        </row>
        <row r="4160">
          <cell r="A4160">
            <v>96688</v>
          </cell>
          <cell r="B4160" t="str">
            <v>JOELHO 90 GRAUS, PPR, DN 40 MM, CLASSE PN 25, INSTALADO EM PRUMADA DE ÁGUA  FORNECIMENTO E INSTALAÇÃO . AF_06/2015</v>
          </cell>
          <cell r="C4160" t="str">
            <v>UN</v>
          </cell>
          <cell r="D4160">
            <v>9.06</v>
          </cell>
        </row>
        <row r="4161">
          <cell r="A4161">
            <v>96689</v>
          </cell>
          <cell r="B4161" t="str">
            <v>JOELHO 45 GRAUS, PPR, DN 40 MM, CLASSE PN 25, INSTALADO EM PRUMADA DE ÁGUA  FORNECIMENTO E INSTALAÇÃO . AF_06/2015</v>
          </cell>
          <cell r="C4161" t="str">
            <v>UN</v>
          </cell>
          <cell r="D4161">
            <v>8.68</v>
          </cell>
        </row>
        <row r="4162">
          <cell r="A4162">
            <v>96690</v>
          </cell>
          <cell r="B4162" t="str">
            <v>JOELHO 90 GRAUS, PPR, DN 50 MM, CLASSE PN 25, INSTALADO EM PRUMADA DE ÁGUA  FORNECIMENTO E INSTALAÇÃO . AF_06/2015</v>
          </cell>
          <cell r="C4162" t="str">
            <v>UN</v>
          </cell>
          <cell r="D4162">
            <v>16.670000000000002</v>
          </cell>
        </row>
        <row r="4163">
          <cell r="A4163">
            <v>96691</v>
          </cell>
          <cell r="B4163" t="str">
            <v>JOELHO 45 GRAUS, PPR, DN 50 MM, CLASSE PN 25, INSTALADO EM PRUMADA DE ÁGUA  FORNECIMENTO E INSTALAÇÃO . AF_06/2015</v>
          </cell>
          <cell r="C4163" t="str">
            <v>UN</v>
          </cell>
          <cell r="D4163">
            <v>17.190000000000001</v>
          </cell>
        </row>
        <row r="4164">
          <cell r="A4164">
            <v>96692</v>
          </cell>
          <cell r="B4164" t="str">
            <v>JOELHO 90 GRAUS, PPR, DN 63 MM, CLASSE PN 25, INSTALADO EM PRUMADA DE ÁGUA  FORNECIMENTO E INSTALAÇÃO . AF_06/2015</v>
          </cell>
          <cell r="C4164" t="str">
            <v>UN</v>
          </cell>
          <cell r="D4164">
            <v>25.23</v>
          </cell>
        </row>
        <row r="4165">
          <cell r="A4165">
            <v>96693</v>
          </cell>
          <cell r="B4165" t="str">
            <v>JOELHO 45 GRAUS, PPR, DN 63 MM, CLASSE PN 25, INSTALADO EM PRUMADA DE ÁGUA  FORNECIMENTO E INSTALAÇÃO . AF_06/2015</v>
          </cell>
          <cell r="C4165" t="str">
            <v>UN</v>
          </cell>
          <cell r="D4165">
            <v>23.95</v>
          </cell>
        </row>
        <row r="4166">
          <cell r="A4166">
            <v>96694</v>
          </cell>
          <cell r="B4166" t="str">
            <v>JOELHO 90 GRAUS, PPR, DN 75 MM, CLASSE PN 25, INSTALADO EM PRUMADA DE ÁGUA  FORNECIMENTO E INSTALAÇÃO . AF_06/2015</v>
          </cell>
          <cell r="C4166" t="str">
            <v>UN</v>
          </cell>
          <cell r="D4166">
            <v>54.6</v>
          </cell>
        </row>
        <row r="4167">
          <cell r="A4167">
            <v>96695</v>
          </cell>
          <cell r="B4167" t="str">
            <v>JOELHO 45 GRAUS, PPR, DN 75 MM, CLASSE PN 25, INSTALADO EM PRUMADA DE ÁGUA  FORNECIMENTO E INSTALAÇÃO . AF_06/2015</v>
          </cell>
          <cell r="C4167" t="str">
            <v>UN</v>
          </cell>
          <cell r="D4167">
            <v>53.1</v>
          </cell>
        </row>
        <row r="4168">
          <cell r="A4168">
            <v>96696</v>
          </cell>
          <cell r="B4168" t="str">
            <v>JOELHO 90 GRAUS, PPR, DN 90 MM, CLASSE PN 25, INSTALADO EM PRUMADA DE ÁGUA  FORNECIMENTO E INSTALAÇÃO . AF_06/2015</v>
          </cell>
          <cell r="C4168" t="str">
            <v>UN</v>
          </cell>
          <cell r="D4168">
            <v>82.09</v>
          </cell>
        </row>
        <row r="4169">
          <cell r="A4169">
            <v>96697</v>
          </cell>
          <cell r="B4169" t="str">
            <v>JOELHO 90 GRAUS, PPR, DN 110 MM, CLASSE PN 25, INSTALADO EM PRUMADA DE ÁGUA  FORNECIMENTO E INSTALAÇÃO . AF_06/2015</v>
          </cell>
          <cell r="C4169" t="str">
            <v>UN</v>
          </cell>
          <cell r="D4169">
            <v>122.79</v>
          </cell>
        </row>
        <row r="4170">
          <cell r="A4170">
            <v>96698</v>
          </cell>
          <cell r="B4170" t="str">
            <v>LUVA, PPR, DN 25 MM, CLASSE PN 25, INSTALADO EM PRUMADA DE ÁGUA  FORNECIMENTO E INSTALAÇÃO . AF_06/2015</v>
          </cell>
          <cell r="C4170" t="str">
            <v>UN</v>
          </cell>
          <cell r="D4170">
            <v>2.68</v>
          </cell>
        </row>
        <row r="4171">
          <cell r="A4171">
            <v>96699</v>
          </cell>
          <cell r="B4171" t="str">
            <v>CONECTOR MACHO, PPR, 25 X 1/2'', CLASSE PN 25, INSTALADO EM PRUMADA DE ÁGUA   FORNECIMENTO E INSTALAÇÃO . AF_06/2015</v>
          </cell>
          <cell r="C4171" t="str">
            <v>UN</v>
          </cell>
          <cell r="D4171">
            <v>12.45</v>
          </cell>
        </row>
        <row r="4172">
          <cell r="A4172">
            <v>96700</v>
          </cell>
          <cell r="B4172" t="str">
            <v>CONECTOR FÊMEA, PPR, 25 X 1/2'', CLASSE PN 25, INSTALADO EM PRUMADA DE ÁGUA   FORNECIMENTO E INSTALAÇÃO . AF_06/2015</v>
          </cell>
          <cell r="C4172" t="str">
            <v>UN</v>
          </cell>
          <cell r="D4172">
            <v>8.9600000000000009</v>
          </cell>
        </row>
        <row r="4173">
          <cell r="A4173">
            <v>96701</v>
          </cell>
          <cell r="B4173" t="str">
            <v>LUVA, PPR, DN 32 MM, CLASSE PN 25, INSTALADO EM PRUMADA DE ÁGUA  FORNECIMENTO E INSTALAÇÃO. AF_06/2015</v>
          </cell>
          <cell r="C4173" t="str">
            <v>UN</v>
          </cell>
          <cell r="D4173">
            <v>3.67</v>
          </cell>
        </row>
        <row r="4174">
          <cell r="A4174">
            <v>96702</v>
          </cell>
          <cell r="B4174" t="str">
            <v>BUCHA DE REDUÇÃO, PPR, 32 X 25, CLASSE PN 25, INSTALADO EM PRUMADA DE ÁGUA  FORNECIMENTO E INSTALAÇÃO . AF_06/2015</v>
          </cell>
          <cell r="C4174" t="str">
            <v>UN</v>
          </cell>
          <cell r="D4174">
            <v>3.85</v>
          </cell>
        </row>
        <row r="4175">
          <cell r="A4175">
            <v>96703</v>
          </cell>
          <cell r="B4175" t="str">
            <v>LUVA, PPR, DN 40 MM, CLASSE PN 25, INSTALADO EM PRUMADA DE ÁGUA  FORNECIMENTO E INSTALAÇÃO. AF_06/2015</v>
          </cell>
          <cell r="C4175" t="str">
            <v>UN</v>
          </cell>
          <cell r="D4175">
            <v>7.57</v>
          </cell>
        </row>
        <row r="4176">
          <cell r="A4176">
            <v>96704</v>
          </cell>
          <cell r="B4176" t="str">
            <v>BUCHA DE REDUÇÃO, PPR, 40 X 25, CLASSE PN 25, INSTALADO EM PRUMADA DE ÁGUA  FORNECIMENTO E INSTALAÇÃO . AF_06/2015</v>
          </cell>
          <cell r="C4176" t="str">
            <v>UN</v>
          </cell>
          <cell r="D4176">
            <v>8.7200000000000006</v>
          </cell>
        </row>
        <row r="4177">
          <cell r="A4177">
            <v>96705</v>
          </cell>
          <cell r="B4177" t="str">
            <v>LUVA, PPR, DN 50 MM, CLASSE PN 25, INSTALADO EM PRUMADA DE ÁGUA  FORNECIMENTO E INSTALAÇÃO. AF_06/2015</v>
          </cell>
          <cell r="C4177" t="str">
            <v>UN</v>
          </cell>
          <cell r="D4177">
            <v>11.4</v>
          </cell>
        </row>
        <row r="4178">
          <cell r="A4178">
            <v>96706</v>
          </cell>
          <cell r="B4178" t="str">
            <v>LUVA, PPR, DN 63 MM, CLASSE PN 25, INSTALADO EM PRUMADA DE ÁGUA  FORNECIMENTO E INSTALAÇÃO. AF_06/2015</v>
          </cell>
          <cell r="C4178" t="str">
            <v>UN</v>
          </cell>
          <cell r="D4178">
            <v>17.14</v>
          </cell>
        </row>
        <row r="4179">
          <cell r="A4179">
            <v>96707</v>
          </cell>
          <cell r="B4179" t="str">
            <v>LUVA, PPR, DN 75 MM, CLASSE PN 25, INSTALADO EM PRUMADA DE ÁGUA  FORNECIMENTO E INSTALAÇÃO. AF_06/2015</v>
          </cell>
          <cell r="C4179" t="str">
            <v>UN</v>
          </cell>
          <cell r="D4179">
            <v>35.130000000000003</v>
          </cell>
        </row>
        <row r="4180">
          <cell r="A4180">
            <v>96708</v>
          </cell>
          <cell r="B4180" t="str">
            <v>LUVA, PPR, DN 90 MM, CLASSE PN 25, INSTALADO EM PRUMADA DE ÁGUA  FORNECIMENTO E INSTALAÇÃO. AF_06/2015</v>
          </cell>
          <cell r="C4180" t="str">
            <v>UN</v>
          </cell>
          <cell r="D4180">
            <v>55.25</v>
          </cell>
        </row>
        <row r="4181">
          <cell r="A4181">
            <v>96709</v>
          </cell>
          <cell r="B4181" t="str">
            <v>LUVA, PPR, DN 110 MM, CLASSE PN 25, INSTALADO EM PRUMADA DE ÁGUA  FORNECIMENTO E INSTALAÇÃO. AF_06/2015</v>
          </cell>
          <cell r="C4181" t="str">
            <v>UN</v>
          </cell>
          <cell r="D4181">
            <v>87.13</v>
          </cell>
        </row>
        <row r="4182">
          <cell r="A4182">
            <v>96710</v>
          </cell>
          <cell r="B4182" t="str">
            <v>TÊ NORMAL, PPR, DN 25 MM, CLASSE PN 25, INSTALADO EM PRUMADA DE ÁGUA  FORNECIMENTO E INSTALAÇÃO . AF_06/2015</v>
          </cell>
          <cell r="C4182" t="str">
            <v>UN</v>
          </cell>
          <cell r="D4182">
            <v>4.66</v>
          </cell>
        </row>
        <row r="4183">
          <cell r="A4183">
            <v>96711</v>
          </cell>
          <cell r="B4183" t="str">
            <v>TÊ NORMAL, PPR, DN 32 MM, CLASSE PN 25, INSTALADO EM PRUMADA DE ÁGUA  FORNECIMENTO E INSTALAÇÃO . AF_06/2015</v>
          </cell>
          <cell r="C4183" t="str">
            <v>UN</v>
          </cell>
          <cell r="D4183">
            <v>7.21</v>
          </cell>
        </row>
        <row r="4184">
          <cell r="A4184">
            <v>96712</v>
          </cell>
          <cell r="B4184" t="str">
            <v>TÊ NORMAL, PPR, DN 40 MM, CLASSE PN 25, INSTALADO EM PRUMADA DE ÁGUA  FORNECIMENTO E INSTALAÇÃO . AF_06/2015</v>
          </cell>
          <cell r="C4184" t="str">
            <v>UN</v>
          </cell>
          <cell r="D4184">
            <v>13.63</v>
          </cell>
        </row>
        <row r="4185">
          <cell r="A4185">
            <v>96713</v>
          </cell>
          <cell r="B4185" t="str">
            <v>TÊ NORMAL, PPR, DN 50 MM, CLASSE PN 25, INSTALADO EM PRUMADA DE ÁGUA  FORNECIMENTO E INSTALAÇÃO . AF_06/2015</v>
          </cell>
          <cell r="C4185" t="str">
            <v>UN</v>
          </cell>
          <cell r="D4185">
            <v>18.989999999999998</v>
          </cell>
        </row>
        <row r="4186">
          <cell r="A4186">
            <v>96714</v>
          </cell>
          <cell r="B4186" t="str">
            <v>TÊ NORMAL, PPR, DN 63 MM, CLASSE PN 25, INSTALADO EM PRUMADA DE ÁGUA  FORNECIMENTO E INSTALAÇÃO . AF_06/2015</v>
          </cell>
          <cell r="C4186" t="str">
            <v>UN</v>
          </cell>
          <cell r="D4186">
            <v>31.9</v>
          </cell>
        </row>
        <row r="4187">
          <cell r="A4187">
            <v>96715</v>
          </cell>
          <cell r="B4187" t="str">
            <v>TÊ NORMAL, PPR, DN 75 MM, CLASSE PN 25, INSTALADO EM PRUMADA DE ÁGUA  FORNECIMENTO E INSTALAÇÃO . AF_06/2015</v>
          </cell>
          <cell r="C4187" t="str">
            <v>UN</v>
          </cell>
          <cell r="D4187">
            <v>59.17</v>
          </cell>
        </row>
        <row r="4188">
          <cell r="A4188">
            <v>96716</v>
          </cell>
          <cell r="B4188" t="str">
            <v>TÊ NORMAL, PPR, DN 90 MM, CLASSE PN 25, INSTALADO EM PRUMADA DE ÁGUA  FORNECIMENTO E INSTALAÇÃO . AF_06/2015</v>
          </cell>
          <cell r="C4188" t="str">
            <v>UN</v>
          </cell>
          <cell r="D4188">
            <v>88.7</v>
          </cell>
        </row>
        <row r="4189">
          <cell r="A4189">
            <v>96717</v>
          </cell>
          <cell r="B4189" t="str">
            <v>TÊ NORMAL, PPR, DN 110 MM, CLASSE PN 25, INSTALADO EM PRUMADA DE ÁGUA  FORNECIMENTO E INSTALAÇÃO . AF_06/2015</v>
          </cell>
          <cell r="C4189" t="str">
            <v>UN</v>
          </cell>
          <cell r="D4189">
            <v>139.4</v>
          </cell>
        </row>
        <row r="4190">
          <cell r="A4190">
            <v>96736</v>
          </cell>
          <cell r="B4190" t="str">
            <v>LUVA, PPR, DN 20 MM, CLASSE PN 25, INSTALADO EM RESERVAÇÃO DE ÁGUA DE EDIFICAÇÃO QUE POSSUA RESERVATÓRIO DE FIBRA/FIBROCIMENTO  FORNECIMENTO E INSTALAÇÃO. AF_06/2016</v>
          </cell>
          <cell r="C4190" t="str">
            <v>UN</v>
          </cell>
          <cell r="D4190">
            <v>4.13</v>
          </cell>
        </row>
        <row r="4191">
          <cell r="A4191">
            <v>96737</v>
          </cell>
          <cell r="B4191" t="str">
            <v>LUVA, PPR, DN 25 MM, CLASSE PN 25, INSTALADO EM RESERVAÇÃO DE ÁGUA DE EDIFICAÇÃO QUE POSSUA RESERVATÓRIO DE FIBRA/FIBROCIMENTO  FORNECIMENTO E INSTALAÇÃO. AF_06/2016</v>
          </cell>
          <cell r="C4191" t="str">
            <v>UN</v>
          </cell>
          <cell r="D4191">
            <v>4.67</v>
          </cell>
        </row>
        <row r="4192">
          <cell r="A4192">
            <v>96738</v>
          </cell>
          <cell r="B4192" t="str">
            <v>CONECTOR MACHO, PPR, 25 X 1/2'', CLASSE PN 25,  INSTALADO EM RESERVAÇÃO DE ÁGUA DE EDIFICAÇÃO QUE POSSUA RESERVATÓRIO DE FIBRA/FIBROCIMENTO   FORNECIMENTO E INSTALAÇÃO. AF_06/2016</v>
          </cell>
          <cell r="C4192" t="str">
            <v>UN</v>
          </cell>
          <cell r="D4192">
            <v>14.44</v>
          </cell>
        </row>
        <row r="4193">
          <cell r="A4193">
            <v>96739</v>
          </cell>
          <cell r="B4193" t="str">
            <v>LUVA, PPR, DN 32 MM, CLASSE PN 25, INSTALADO EM RESERVAÇÃO DE ÁGUA DE EDIFICAÇÃO QUE POSSUA RESERVATÓRIO DE FIBRA/FIBROCIMENTO  FORNECIMENTO E INSTALAÇÃO. AF_06/2016</v>
          </cell>
          <cell r="C4193" t="str">
            <v>UN</v>
          </cell>
          <cell r="D4193">
            <v>6.02</v>
          </cell>
        </row>
        <row r="4194">
          <cell r="A4194">
            <v>96740</v>
          </cell>
          <cell r="B4194" t="str">
            <v>CONECTOR MACHO, PPR, 32 X 3/4'', CLASSE PN 25,  INSTALADO EM RESERVAÇÃO DE ÁGUA DE EDIFICAÇÃO QUE POSSUA RESERVATÓRIO DE FIBRA/FIBROCIMENTO   FORNECIMENTO E INSTALAÇÃO. AF_06/2016</v>
          </cell>
          <cell r="C4194" t="str">
            <v>UN</v>
          </cell>
          <cell r="D4194">
            <v>22.31</v>
          </cell>
        </row>
        <row r="4195">
          <cell r="A4195">
            <v>96741</v>
          </cell>
          <cell r="B4195" t="str">
            <v>LUVA, PPR, DN 40 MM, CLASSE PN 25, INSTALADO EM RESERVAÇÃO DE ÁGUA DE EDIFICAÇÃO QUE POSSUA RESERVATÓRIO DE FIBRA/FIBROCIMENTO  FORNECIMENTO E INSTALAÇÃO. AF_06/2016</v>
          </cell>
          <cell r="C4195" t="str">
            <v>UN</v>
          </cell>
          <cell r="D4195">
            <v>9.19</v>
          </cell>
        </row>
        <row r="4196">
          <cell r="A4196">
            <v>96742</v>
          </cell>
          <cell r="B4196" t="str">
            <v>LUVA, PPR, DN 50 MM, CLASSE PN 25, INSTALADO EM RESERVAÇÃO DE ÁGUA DE EDIFICAÇÃO QUE POSSUA RESERVATÓRIO DE FIBRA/FIBROCIMENTO  FORNECIMENTO E INSTALAÇÃO. AF_06/2016</v>
          </cell>
          <cell r="C4196" t="str">
            <v>UN</v>
          </cell>
          <cell r="D4196">
            <v>13.97</v>
          </cell>
        </row>
        <row r="4197">
          <cell r="A4197">
            <v>96743</v>
          </cell>
          <cell r="B4197" t="str">
            <v>LUVA, PPR, DN 63 MM, CLASSE PN 25, INSTALADO EM RESERVAÇÃO DE ÁGUA DE EDIFICAÇÃO QUE POSSUA RESERVATÓRIO DE FIBRA/FIBROCIMENTO  FORNECIMENTO E INSTALAÇÃO. AF_06/2016</v>
          </cell>
          <cell r="C4197" t="str">
            <v>UN</v>
          </cell>
          <cell r="D4197">
            <v>17.829999999999998</v>
          </cell>
        </row>
        <row r="4198">
          <cell r="A4198">
            <v>96744</v>
          </cell>
          <cell r="B4198" t="str">
            <v>LUVA, PPR, DN 75 MM, CLASSE PN 25, INSTALADO EM RESERVAÇÃO DE ÁGUA DE EDIFICAÇÃO QUE POSSUA RESERVATÓRIO DE FIBRA/FIBROCIMENTO  FORNECIMENTO E INSTALAÇÃO. AF_06/2016</v>
          </cell>
          <cell r="C4198" t="str">
            <v>UN</v>
          </cell>
          <cell r="D4198">
            <v>37.65</v>
          </cell>
        </row>
        <row r="4199">
          <cell r="A4199">
            <v>96745</v>
          </cell>
          <cell r="B4199" t="str">
            <v>LUVA, PPR, DN 90 MM, CLASSE PN 25, INSTALADO EM RESERVAÇÃO DE ÁGUA DE EDIFICAÇÃO QUE POSSUA RESERVATÓRIO DE FIBRA/FIBROCIMENTO  FORNECIMENTO E INSTALAÇÃO. AF_06/2016</v>
          </cell>
          <cell r="C4199" t="str">
            <v>UN</v>
          </cell>
          <cell r="D4199">
            <v>54.63</v>
          </cell>
        </row>
        <row r="4200">
          <cell r="A4200">
            <v>96746</v>
          </cell>
          <cell r="B4200" t="str">
            <v>LUVA, PPR, DN 110 MM, CLASSE PN 25, INSTALADO EM RESERVAÇÃO DE ÁGUA DE EDIFICAÇÃO QUE POSSUA RESERVATÓRIO DE FIBRA/FIBROCIMENTO  FORNECIMENTO E INSTALAÇÃO. AF_06/2016</v>
          </cell>
          <cell r="C4200" t="str">
            <v>UN</v>
          </cell>
          <cell r="D4200">
            <v>87.09</v>
          </cell>
        </row>
        <row r="4201">
          <cell r="A4201">
            <v>96747</v>
          </cell>
          <cell r="B4201" t="str">
            <v>JOELHO 90 GRAUS, PPR, DN 20 MM, CLASSE PN 25,  INSTALADO EM RESERVAÇÃO DE ÁGUA DE EDIFICAÇÃO QUE POSSUA RESERVATÓRIO DE FIBRA/FIBROCIMENTO  FORNECIMENTO E INSTALAÇÃO. AF_06/2016</v>
          </cell>
          <cell r="C4201" t="str">
            <v>UN</v>
          </cell>
          <cell r="D4201">
            <v>5.88</v>
          </cell>
        </row>
        <row r="4202">
          <cell r="A4202">
            <v>96748</v>
          </cell>
          <cell r="B4202" t="str">
            <v>JOELHO 90 GRAUS, PPR, DN 25 MM, CLASSE PN 25,  INSTALADO EM RESERVAÇÃO DE ÁGUA DE EDIFICAÇÃO QUE POSSUA RESERVATÓRIO DE FIBRA/FIBROCIMENTO  FORNECIMENTO E INSTALAÇÃO. AF_06/2016</v>
          </cell>
          <cell r="C4202" t="str">
            <v>UN</v>
          </cell>
          <cell r="D4202">
            <v>6.55</v>
          </cell>
        </row>
        <row r="4203">
          <cell r="A4203">
            <v>96749</v>
          </cell>
          <cell r="B4203" t="str">
            <v>JOELHO 90 GRAUS, PPR, DN 32 MM, CLASSE PN 25,  INSTALADO EM RESERVAÇÃO DE ÁGUA DE EDIFICAÇÃO QUE POSSUA RESERVATÓRIO DE FIBRA/FIBROCIMENTO  FORNECIMENTO E INSTALAÇÃO. AF_06/2016</v>
          </cell>
          <cell r="C4203" t="str">
            <v>UN</v>
          </cell>
          <cell r="D4203">
            <v>8.86</v>
          </cell>
        </row>
        <row r="4204">
          <cell r="A4204">
            <v>96750</v>
          </cell>
          <cell r="B4204" t="str">
            <v>JOELHO 90 GRAUS, PPR, DN 40 MM, CLASSE PN 25,  INSTALADO EM RESERVAÇÃO DE ÁGUA DE EDIFICAÇÃO QUE POSSUA RESERVATÓRIO DE FIBRA/FIBROCIMENTO  FORNECIMENTO E INSTALAÇÃO. AF_06/2016</v>
          </cell>
          <cell r="C4204" t="str">
            <v>UN</v>
          </cell>
          <cell r="D4204">
            <v>11.48</v>
          </cell>
        </row>
        <row r="4205">
          <cell r="A4205">
            <v>96751</v>
          </cell>
          <cell r="B4205" t="str">
            <v>JOELHO 90 GRAUS, PPR, DN 50 MM, CLASSE PN 25,  INSTALADO EM RESERVAÇÃO DE ÁGUA DE EDIFICAÇÃO QUE POSSUA RESERVATÓRIO DE FIBRA/FIBROCIMENTO  FORNECIMENTO E INSTALAÇÃO. AF_06/2016</v>
          </cell>
          <cell r="C4205" t="str">
            <v>UN</v>
          </cell>
          <cell r="D4205">
            <v>20.5</v>
          </cell>
        </row>
        <row r="4206">
          <cell r="A4206">
            <v>96752</v>
          </cell>
          <cell r="B4206" t="str">
            <v>JOELHO 90 GRAUS, PPR, DN 63 MM, CLASSE PN 25,  INSTALADO EM RESERVAÇÃO DE ÁGUA DE EDIFICAÇÃO QUE POSSUA RESERVATÓRIO DE FIBRA/FIBROCIMENTO  FORNECIMENTO E INSTALAÇÃO. AF_06/2016</v>
          </cell>
          <cell r="C4206" t="str">
            <v>UN</v>
          </cell>
          <cell r="D4206">
            <v>26.24</v>
          </cell>
        </row>
        <row r="4207">
          <cell r="A4207">
            <v>96753</v>
          </cell>
          <cell r="B4207" t="str">
            <v>JOELHO 90 GRAUS, PPR, DN 75 MM, CLASSE PN 25,  INSTALADO EM RESERVAÇÃO DE ÁGUA DE EDIFICAÇÃO QUE POSSUA RESERVATÓRIO DE FIBRA/FIBROCIMENTO  FORNECIMENTO E INSTALAÇÃO. AF_06/2016</v>
          </cell>
          <cell r="C4207" t="str">
            <v>UN</v>
          </cell>
          <cell r="D4207">
            <v>58.39</v>
          </cell>
        </row>
        <row r="4208">
          <cell r="A4208">
            <v>96754</v>
          </cell>
          <cell r="B4208" t="str">
            <v>JOELHO 90 GRAUS, PPR, DN 90 MM, CLASSE PN 25,  INSTALADO EM RESERVAÇÃO DE ÁGUA DE EDIFICAÇÃO QUE POSSUA RESERVATÓRIO DE FIBRA/FIBROCIMENTO  FORNECIMENTO E INSTALAÇÃO. AF_06/2016</v>
          </cell>
          <cell r="C4208" t="str">
            <v>UN</v>
          </cell>
          <cell r="D4208">
            <v>81.150000000000006</v>
          </cell>
        </row>
        <row r="4209">
          <cell r="A4209">
            <v>96755</v>
          </cell>
          <cell r="B4209" t="str">
            <v>JOELHO 90 GRAUS, PPR, DN 110 MM, CLASSE PN 25,  INSTALADO EM RESERVAÇÃO DE ÁGUA DE EDIFICAÇÃO QUE POSSUA RESERVATÓRIO DE FIBRA/FIBROCIMENTO  FORNECIMENTO E INSTALAÇÃO. AF_06/2016</v>
          </cell>
          <cell r="C4209" t="str">
            <v>UN</v>
          </cell>
          <cell r="D4209">
            <v>122.75</v>
          </cell>
        </row>
        <row r="4210">
          <cell r="A4210">
            <v>96756</v>
          </cell>
          <cell r="B4210" t="str">
            <v>TÊ MISTURADOR, PPR, DN 20 MM, CLASSE PN 25,  INSTALADO EM RESERVAÇÃO DE ÁGUA DE EDIFICAÇÃO QUE POSSUA RESERVATÓRIO DE FIBRA/FIBROCIMENTO  FORNECIMENTO E INSTALAÇÃO. AF_06/2016</v>
          </cell>
          <cell r="C4210" t="str">
            <v>UN</v>
          </cell>
          <cell r="D4210">
            <v>10.39</v>
          </cell>
        </row>
        <row r="4211">
          <cell r="A4211">
            <v>96757</v>
          </cell>
          <cell r="B4211" t="str">
            <v>TÊ MISTURADOR, PPR, DN 25 MM, CLASSE PN 25,  INSTALADO EM RESERVAÇÃO DE ÁGUA DE EDIFICAÇÃO QUE POSSUA RESERVATÓRIO DE FIBRA/FIBROCIMENTO  FORNECIMENTO E INSTALAÇÃO. AF_06/2016</v>
          </cell>
          <cell r="C4211" t="str">
            <v>UN</v>
          </cell>
          <cell r="D4211">
            <v>10.029999999999999</v>
          </cell>
        </row>
        <row r="4212">
          <cell r="A4212">
            <v>96758</v>
          </cell>
          <cell r="B4212" t="str">
            <v>TÊ, PPR, DN 32 MM, CLASSE PN 25,  INSTALADO EM RESERVAÇÃO DE ÁGUA DE EDIFICAÇÃO QUE POSSUA RESERVATÓRIO DE FIBRA/FIBROCIMENTO  FORNECIMENTO E INSTALAÇÃO. AF_06/2016</v>
          </cell>
          <cell r="C4212" t="str">
            <v>UN</v>
          </cell>
          <cell r="D4212">
            <v>11.9</v>
          </cell>
        </row>
        <row r="4213">
          <cell r="A4213">
            <v>96759</v>
          </cell>
          <cell r="B4213" t="str">
            <v>TÊ, PPR, DN 40 MM, CLASSE PN 25,  INSTALADO EM RESERVAÇÃO DE ÁGUA DE EDIFICAÇÃO QUE POSSUA RESERVATÓRIO DE FIBRA/FIBROCIMENTO  FORNECIMENTO E INSTALAÇÃO. AF_06/2016</v>
          </cell>
          <cell r="C4213" t="str">
            <v>UN</v>
          </cell>
          <cell r="D4213">
            <v>16.88</v>
          </cell>
        </row>
        <row r="4214">
          <cell r="A4214">
            <v>96760</v>
          </cell>
          <cell r="B4214" t="str">
            <v>TÊ, PPR, DN 50 MM, CLASSE PN 25,  INSTALADO EM RESERVAÇÃO DE ÁGUA DE EDIFICAÇÃO QUE POSSUA RESERVATÓRIO DE FIBRA/FIBROCIMENTO  FORNECIMENTO E INSTALAÇÃO. AF_06/2016</v>
          </cell>
          <cell r="C4214" t="str">
            <v>UN</v>
          </cell>
          <cell r="D4214">
            <v>24.09</v>
          </cell>
        </row>
        <row r="4215">
          <cell r="A4215">
            <v>96761</v>
          </cell>
          <cell r="B4215" t="str">
            <v>TÊ, PPR, DN 63 MM, CLASSE PN 25,  INSTALADO EM RESERVAÇÃO DE ÁGUA DE EDIFICAÇÃO QUE POSSUA RESERVATÓRIO DE FIBRA/FIBROCIMENTO  FORNECIMENTO E INSTALAÇÃO. AF_06/2016</v>
          </cell>
          <cell r="C4215" t="str">
            <v>UN</v>
          </cell>
          <cell r="D4215">
            <v>33.270000000000003</v>
          </cell>
        </row>
        <row r="4216">
          <cell r="A4216">
            <v>96762</v>
          </cell>
          <cell r="B4216" t="str">
            <v>TÊ, PPR, DN 75 MM, CLASSE PN 25,  INSTALADO EM RESERVAÇÃO DE ÁGUA DE EDIFICAÇÃO QUE POSSUA RESERVATÓRIO DE FIBRA/FIBROCIMENTO  FORNECIMENTO E INSTALAÇÃO. AF_06/2016</v>
          </cell>
          <cell r="C4216" t="str">
            <v>UN</v>
          </cell>
          <cell r="D4216">
            <v>64.19</v>
          </cell>
        </row>
        <row r="4217">
          <cell r="A4217">
            <v>96763</v>
          </cell>
          <cell r="B4217" t="str">
            <v>TÊ, PPR, DN 90 MM, CLASSE PN 25,  INSTALADO EM RESERVAÇÃO DE ÁGUA DE EDIFICAÇÃO QUE POSSUA RESERVATÓRIO DE FIBRA/FIBROCIMENTO  FORNECIMENTO E INSTALAÇÃO. AF_06/2016</v>
          </cell>
          <cell r="C4217" t="str">
            <v>UN</v>
          </cell>
          <cell r="D4217">
            <v>87.43</v>
          </cell>
        </row>
        <row r="4218">
          <cell r="A4218">
            <v>96764</v>
          </cell>
          <cell r="B4218" t="str">
            <v>TÊ, PPR, DN 110 MM, CLASSE PN 25,  INSTALADO EM RESERVAÇÃO DE ÁGUA DE EDIFICAÇÃO QUE POSSUA RESERVATÓRIO DE FIBRA/FIBROCIMENTO  FORNECIMENTO E INSTALAÇÃO. AF_06/2016</v>
          </cell>
          <cell r="C4218" t="str">
            <v>UN</v>
          </cell>
          <cell r="D4218">
            <v>139.32</v>
          </cell>
        </row>
        <row r="4219">
          <cell r="A4219">
            <v>96802</v>
          </cell>
          <cell r="B4219" t="str">
            <v>KIT CHASSI PEX, PRÉ-FABRICADO, PARA CHUVEIRO COM REGISTROS DE PRESSÃO E CONEXÕES POR CRIMPAGEM  FORNECIMENTO E INSTALAÇÃO. AF_06/2015</v>
          </cell>
          <cell r="C4219" t="str">
            <v>UN</v>
          </cell>
          <cell r="D4219">
            <v>194.74</v>
          </cell>
        </row>
        <row r="4220">
          <cell r="A4220">
            <v>96803</v>
          </cell>
          <cell r="B4220" t="str">
            <v>KIT CHASSI PEX, PRÉ-FABRICADO, PARA COZINHA COM CUBA SIMPLES E CONEXÕES POR CRIMPAGEM  FORNECIMENTO E INSTALAÇÃO. AF_06/2015</v>
          </cell>
          <cell r="C4220" t="str">
            <v>UN</v>
          </cell>
          <cell r="D4220">
            <v>100.3</v>
          </cell>
        </row>
        <row r="4221">
          <cell r="A4221">
            <v>96804</v>
          </cell>
          <cell r="B4221" t="str">
            <v>KIT CHASSI PEX, PRÉ-FABRICADO, PARA ÁREA DE SERVIÇO COM TANQUE E MÁQUINA DE LAVAR ROUPA, E CONEXÕES POR CRIMPAGEM  FORNECIMENTO E INSTALAÇÃO. AF_06/2015</v>
          </cell>
          <cell r="C4221" t="str">
            <v>UN</v>
          </cell>
          <cell r="D4221">
            <v>180.36</v>
          </cell>
        </row>
        <row r="4222">
          <cell r="A4222">
            <v>96805</v>
          </cell>
          <cell r="B4222" t="str">
            <v>KIT CHASSI PEX, PRÉ-FABRICADO, PARA CHUVEIRO COM REGISTROS DE PRESSÃO E CONEXÕES POR ANEL DESLIZANTE  FORNECIMENTO E INSTALAÇÃO. AF_06/2015</v>
          </cell>
          <cell r="C4222" t="str">
            <v>UN</v>
          </cell>
          <cell r="D4222">
            <v>201.66</v>
          </cell>
        </row>
        <row r="4223">
          <cell r="A4223">
            <v>96806</v>
          </cell>
          <cell r="B4223" t="str">
            <v>KIT CHASSI PEX, PRÉ-FABRICADO, PARA COZINHA COM CUBA SIMPLES E CONEXÕES POR ANEL DESLIZANTE  FORNECIMENTO E INSTALAÇÃO. AF_06/2015</v>
          </cell>
          <cell r="C4223" t="str">
            <v>UN</v>
          </cell>
          <cell r="D4223">
            <v>98.51</v>
          </cell>
        </row>
        <row r="4224">
          <cell r="A4224">
            <v>96807</v>
          </cell>
          <cell r="B4224" t="str">
            <v>KIT CHASSI PEX, PRÉ-FABRICADO, PARA ÁREA DE SERVIÇO COM TANQUE E MÁQUINA DE LAVAR ROUPA, E CONEXÕES POR ANEL DESLIZANTE  FORNECIMENTO E INSTALAÇÃO. AF_06/2015</v>
          </cell>
          <cell r="C4224" t="str">
            <v>UN</v>
          </cell>
          <cell r="D4224">
            <v>164.77</v>
          </cell>
        </row>
        <row r="4225">
          <cell r="A4225">
            <v>96808</v>
          </cell>
          <cell r="B4225" t="str">
            <v>UNIÃO METÁLICA PARA INSTALAÇÕES EM PEX, DN 16 MM, FIXAÇÃO DAS CONEXÕES POR ANEL DESLIZANTE  FORNECIMENTO E INSTALAÇÃO . AF_06/2015</v>
          </cell>
          <cell r="C4225" t="str">
            <v>UN</v>
          </cell>
          <cell r="D4225">
            <v>9.49</v>
          </cell>
        </row>
        <row r="4226">
          <cell r="A4226">
            <v>96809</v>
          </cell>
          <cell r="B4226" t="str">
            <v>CONEXÃO FIXA, ROSCA FÊMEA, METÁLICA, PARA INSTALAÇÕES EM PEX, DN 16 MM X 1/2", COM ANEL DESLIZANTE. FORNECIMENTO E INSTALAÇÃO. AF_06/2015</v>
          </cell>
          <cell r="C4226" t="str">
            <v>UN</v>
          </cell>
          <cell r="D4226">
            <v>10.8</v>
          </cell>
        </row>
        <row r="4227">
          <cell r="A4227">
            <v>96810</v>
          </cell>
          <cell r="B4227" t="str">
            <v>CONEXÃO MÓVEL, ROSCA FÊMEA, METÁLICA, PARA INSTALAÇÕES EM PEX, DN 16 MM X 3/4", COM ANEL DESLIZANTE. FORNECIMENTO E INSTALAÇÃO. AF_06/2015</v>
          </cell>
          <cell r="C4227" t="str">
            <v>UN</v>
          </cell>
          <cell r="D4227">
            <v>11.68</v>
          </cell>
        </row>
        <row r="4228">
          <cell r="A4228">
            <v>96811</v>
          </cell>
          <cell r="B4228" t="str">
            <v>UNIÃO METÁLICA PARA INSTALAÇÕES EM PEX, DN 20 MM, FIXAÇÃO DAS CONEXÕES POR ANEL DESLIZANTE  FORNECIMENTO E INSTALAÇÃO . AF_06/2015</v>
          </cell>
          <cell r="C4228" t="str">
            <v>UN</v>
          </cell>
          <cell r="D4228">
            <v>12.61</v>
          </cell>
        </row>
        <row r="4229">
          <cell r="A4229">
            <v>96812</v>
          </cell>
          <cell r="B4229" t="str">
            <v>CONEXÃO FIXA, ROSCA FÊMEA, METÁLICA, PARA INSTALAÇÕES EM PEX, DN 20 MM X 1/2", COM ANEL DESLIZANTE. FORNECIMENTO E INSTALAÇÃO. AF_06/2015</v>
          </cell>
          <cell r="C4229" t="str">
            <v>UN</v>
          </cell>
          <cell r="D4229">
            <v>12.14</v>
          </cell>
        </row>
        <row r="4230">
          <cell r="A4230">
            <v>96813</v>
          </cell>
          <cell r="B4230" t="str">
            <v>CONEXÃO FIXA, ROSCA FÊMEA, METÁLICA, PARA INSTALAÇÕES EM PEX, DN 20 MM X 3/4", COM ANEL DESLIZANTE. FORNECIMENTO E INSTALAÇÃO. AF_06/2015</v>
          </cell>
          <cell r="C4230" t="str">
            <v>UN</v>
          </cell>
          <cell r="D4230">
            <v>13.9</v>
          </cell>
        </row>
        <row r="4231">
          <cell r="A4231">
            <v>96814</v>
          </cell>
          <cell r="B4231" t="str">
            <v>UNIÃO DE REDUÇÃO, METÁLICA, PARA INSTALAÇÕES EM PEX, DN 20 X 16 MM, CONEXÃO POR ANEL DESLIZANTE  FORNECIMENTO E INSTALAÇÃO. AF_06/2015</v>
          </cell>
          <cell r="C4231" t="str">
            <v>UN</v>
          </cell>
          <cell r="D4231">
            <v>11.84</v>
          </cell>
        </row>
        <row r="4232">
          <cell r="A4232">
            <v>96815</v>
          </cell>
          <cell r="B4232" t="str">
            <v>UNIÃO METÁLICA PARA INSTALAÇÕES EM PEX, DN 25 MM, FIXAÇÃO DAS CONEXÕES POR ANEL DESLIZANTE   FORNECIMENTO E INSTALAÇÃO. AF_06/2015</v>
          </cell>
          <cell r="C4232" t="str">
            <v>UN</v>
          </cell>
          <cell r="D4232">
            <v>19.670000000000002</v>
          </cell>
        </row>
        <row r="4233">
          <cell r="A4233">
            <v>96816</v>
          </cell>
          <cell r="B4233" t="str">
            <v>CONEXÃO FIXA, ROSCA FÊMEA, METÁLICA, PARA INSTALAÇÕES EM PEX, DN 25 MM X 3/4", COM ANEL DESLIZANTE. FORNECIMENTO E INSTALAÇÃO. AF_06/2015</v>
          </cell>
          <cell r="C4233" t="str">
            <v>UN</v>
          </cell>
          <cell r="D4233">
            <v>16.32</v>
          </cell>
        </row>
        <row r="4234">
          <cell r="A4234">
            <v>96817</v>
          </cell>
          <cell r="B4234" t="str">
            <v>CONEXÃO FIXA, ROSCA FÊMEA, METÁLICA, PARA INSTALAÇÕES EM PEX, DN 25 MM X 1", COM ANEL DESLIZANTE. FORNECIMENTO E INSTALAÇÃO. AF_06/2015</v>
          </cell>
          <cell r="C4234" t="str">
            <v>UN</v>
          </cell>
          <cell r="D4234">
            <v>18.46</v>
          </cell>
        </row>
        <row r="4235">
          <cell r="A4235">
            <v>96818</v>
          </cell>
          <cell r="B4235" t="str">
            <v>UNIÃO DE REDUÇÃO, METÁLICA, PEX, DN 25 X 16 MM, CONEXÃO POR ANEL DESLIZANTE  FORNECIMENTO E INSTALAÇÃO. AF_06/2015</v>
          </cell>
          <cell r="C4235" t="str">
            <v>UN</v>
          </cell>
          <cell r="D4235">
            <v>17.239999999999998</v>
          </cell>
        </row>
        <row r="4236">
          <cell r="A4236">
            <v>96819</v>
          </cell>
          <cell r="B4236" t="str">
            <v>UNIÃO DE REDUÇÃO, METÁLICA, PEX, DN 25 X 20 MM, CONEXÃO POR ANEL DESLIZANTE  FORNECIMENTO E INSTALAÇÃO. AF_06/2015</v>
          </cell>
          <cell r="C4236" t="str">
            <v>UN</v>
          </cell>
          <cell r="D4236">
            <v>17.239999999999998</v>
          </cell>
        </row>
        <row r="4237">
          <cell r="A4237">
            <v>96820</v>
          </cell>
          <cell r="B4237" t="str">
            <v>UNIÃO METÁLICA PARA INSTALAÇÕES EM PEX, DN 32 MM, FIXAÇÃO DAS CONEXÕES POR ANEL DESLIZANTE   FORNECIMENTO E INSTALAÇÃO. AF_06/2015</v>
          </cell>
          <cell r="C4237" t="str">
            <v>UN</v>
          </cell>
          <cell r="D4237">
            <v>30.91</v>
          </cell>
        </row>
        <row r="4238">
          <cell r="A4238">
            <v>96821</v>
          </cell>
          <cell r="B4238" t="str">
            <v>CONEXÃO FIXA, ROSCA FÊMEA, METÁLICA, PARA INSTALAÇÕES EM PEX, DN 32 MM X 1", COM ANEL DESLIZANTE  FORNECIMENTO E INSTALAÇÃO. AF_06/2015</v>
          </cell>
          <cell r="C4238" t="str">
            <v>UN</v>
          </cell>
          <cell r="D4238">
            <v>26.48</v>
          </cell>
        </row>
        <row r="4239">
          <cell r="A4239">
            <v>96822</v>
          </cell>
          <cell r="B4239" t="str">
            <v>UNIÃO DE REDUÇÃO, METÁLICA, PEX, DN 32 X 25 MM, CONEXÃO POR ANEL DESLIZANTE  FORNECIMENTO E INSTALAÇÃO. AF_06/2015</v>
          </cell>
          <cell r="C4239" t="str">
            <v>UN</v>
          </cell>
          <cell r="D4239">
            <v>26.82</v>
          </cell>
        </row>
        <row r="4240">
          <cell r="A4240">
            <v>96823</v>
          </cell>
          <cell r="B4240" t="str">
            <v>LUVA PARA INSTALAÇÕES EM PEX, DN 16 MM, CONEXÃO POR CRIMPAGEM  FORNECIMENTO E INSTALAÇÃO . AF_06/2015</v>
          </cell>
          <cell r="C4240" t="str">
            <v>UN</v>
          </cell>
          <cell r="D4240">
            <v>11.08</v>
          </cell>
        </row>
        <row r="4241">
          <cell r="A4241">
            <v>96824</v>
          </cell>
          <cell r="B4241" t="str">
            <v>CONEXÃO FIXA, ROSCA FÊMEA, PARA INSTALAÇÕES EM PEX, DN 16MM X 1/2", CONEXÃO POR CRIMPAGEM  FORNECIMENTO E INSTALAÇÃO. AF_06/2015</v>
          </cell>
          <cell r="C4241" t="str">
            <v>UN</v>
          </cell>
          <cell r="D4241">
            <v>12.45</v>
          </cell>
        </row>
        <row r="4242">
          <cell r="A4242">
            <v>96825</v>
          </cell>
          <cell r="B4242" t="str">
            <v>CONEXÃO FIXA, ROSCA FÊMEA, PARA INSTALAÇÕES EM PEX, DN 16MM X 3/4", CONEXÃO POR CRIMPAGEM  FORNECIMENTO E INSTALAÇÃO. AF_06/2015</v>
          </cell>
          <cell r="C4242" t="str">
            <v>UN</v>
          </cell>
          <cell r="D4242">
            <v>16.71</v>
          </cell>
        </row>
        <row r="4243">
          <cell r="A4243">
            <v>96826</v>
          </cell>
          <cell r="B4243" t="str">
            <v>LUVA PARA INSTALAÇÕES EM PEX, DN 20 MM, CONEXÃO POR CRIMPAGEM   FORNECIMENTO E INSTALAÇÃO. AF_06/2015</v>
          </cell>
          <cell r="C4243" t="str">
            <v>UN</v>
          </cell>
          <cell r="D4243">
            <v>15.27</v>
          </cell>
        </row>
        <row r="4244">
          <cell r="A4244">
            <v>96827</v>
          </cell>
          <cell r="B4244" t="str">
            <v>CONEXÃO FIXA, ROSCA FÊMEA, PARA INSTALAÇÕES EM PEX, DN 20MM X 1/2", CONEXÃO POR CRIMPAGEM  FORNECIMENTO E INSTALAÇÃO. AF_06/2015</v>
          </cell>
          <cell r="C4244" t="str">
            <v>UN</v>
          </cell>
          <cell r="D4244">
            <v>15.83</v>
          </cell>
        </row>
        <row r="4245">
          <cell r="A4245">
            <v>96828</v>
          </cell>
          <cell r="B4245" t="str">
            <v>CONEXÃO FIXA, ROSCA FÊMEA, PARA INSTALAÇÕES EM PEX, DN 20MM X 3/4", CONEXÃO POR CRIMPAGEM  FORNECIMENTO E INSTALAÇÃO. AF_06/2015</v>
          </cell>
          <cell r="C4245" t="str">
            <v>UN</v>
          </cell>
          <cell r="D4245">
            <v>19.739999999999998</v>
          </cell>
        </row>
        <row r="4246">
          <cell r="A4246">
            <v>96829</v>
          </cell>
          <cell r="B4246" t="str">
            <v>LUVA DE REDUÇÃO PARA INSTALAÇÕES EM PEX, DN 20 X 16 MM, CONEXÃO POR CRIMPAGEM  FORNECIMENTO E INSTALAÇÃO. AF_06/2015</v>
          </cell>
          <cell r="C4246" t="str">
            <v>UN</v>
          </cell>
          <cell r="D4246">
            <v>15.25</v>
          </cell>
        </row>
        <row r="4247">
          <cell r="A4247">
            <v>96830</v>
          </cell>
          <cell r="B4247" t="str">
            <v>LUVA PARA INSTALAÇÕES EM PEX, DN 25 MM, CONEXÃO POR CRIMPAGEM   FORNECIMENTO E INSTALAÇÃO. AF_06/2015</v>
          </cell>
          <cell r="C4247" t="str">
            <v>UN</v>
          </cell>
          <cell r="D4247">
            <v>22.04</v>
          </cell>
        </row>
        <row r="4248">
          <cell r="A4248">
            <v>96831</v>
          </cell>
          <cell r="B4248" t="str">
            <v>CONEXÃO FIXA, ROSCA FÊMEA, PARA INSTALAÇÕES EM PEX, DN 25MM X 1/2", CONEXÃO POR CRIMPAGEM  FORNECIMENTO E INSTALAÇÃO. AF_06/2015</v>
          </cell>
          <cell r="C4248" t="str">
            <v>UN</v>
          </cell>
          <cell r="D4248">
            <v>18.09</v>
          </cell>
        </row>
        <row r="4249">
          <cell r="A4249">
            <v>96832</v>
          </cell>
          <cell r="B4249" t="str">
            <v>CONEXÃO FIXA, ROSCA FÊMEA, PARA INSTALAÇÕES EM PEX, DN 25MM X 3/4", CONEXÃO POR CRIMPAGEM  FORNECIMENTO E INSTALAÇÃO. AF_06/2015</v>
          </cell>
          <cell r="C4249" t="str">
            <v>UN</v>
          </cell>
          <cell r="D4249">
            <v>20.81</v>
          </cell>
        </row>
        <row r="4250">
          <cell r="A4250">
            <v>96833</v>
          </cell>
          <cell r="B4250" t="str">
            <v>LUVA DE REDUÇÃO PARA INSTALAÇÕES EM PEX, DN 25 X 16 MM, CONEXÃO POR CRIMPAGEM  FORNECIMENTO E INSTALAÇÃO. AF_06/2015</v>
          </cell>
          <cell r="C4250" t="str">
            <v>UN</v>
          </cell>
          <cell r="D4250">
            <v>19.53</v>
          </cell>
        </row>
        <row r="4251">
          <cell r="A4251">
            <v>96834</v>
          </cell>
          <cell r="B4251" t="str">
            <v>LUVA PARA INSTALAÇÕES EM PEX, DN 32 MM, CONEXÃO POR CRIMPAGEM  FORNECIMENTO E INSTALAÇÃO . AF_06/2015</v>
          </cell>
          <cell r="C4251" t="str">
            <v>UN</v>
          </cell>
          <cell r="D4251">
            <v>32</v>
          </cell>
        </row>
        <row r="4252">
          <cell r="A4252">
            <v>96835</v>
          </cell>
          <cell r="B4252" t="str">
            <v>CONEXÃO FIXA, ROSCA FÊMEA, PARA INSTALAÇÕES EM PEX, DN 32 MM X 3/4", CONEXÃO POR CRIMPAGEM  FORNECIMENTO E INSTALAÇÃO. AF_06/2015</v>
          </cell>
          <cell r="C4252" t="str">
            <v>UN</v>
          </cell>
          <cell r="D4252">
            <v>27.77</v>
          </cell>
        </row>
        <row r="4253">
          <cell r="A4253">
            <v>96836</v>
          </cell>
          <cell r="B4253" t="str">
            <v>LUVA DE REDUÇÃO PARA INSTALAÇÕES EM PEX, DN 32 X 25 MM, CONEXÃO POR CRIMPAGEM  FORNECIMENTO E INSTALAÇÃO. AF_06/2015</v>
          </cell>
          <cell r="C4253" t="str">
            <v>UN</v>
          </cell>
          <cell r="D4253">
            <v>29.53</v>
          </cell>
        </row>
        <row r="4254">
          <cell r="A4254">
            <v>96837</v>
          </cell>
          <cell r="B4254" t="str">
            <v>JOELHO 90 GRAUS, METÁLICO, PARA INSTALAÇÕES EM PEX, DN 16 MM, CONEXÃO POR ANEL DESLIZANTE   FORNECIMENTO E INSTALAÇÃO. AF_06/2015</v>
          </cell>
          <cell r="C4254" t="str">
            <v>UN</v>
          </cell>
          <cell r="D4254">
            <v>16.45</v>
          </cell>
        </row>
        <row r="4255">
          <cell r="A4255">
            <v>96838</v>
          </cell>
          <cell r="B4255" t="str">
            <v>JOELHO 90 GRAUS, ROSCA FÊMEA TERMINAL, METÁLICO, PARA INSTALAÇÕES EM PEX, DN 16MM X 1/2", CONEXÃO POR ANEL DESLIZANTE  FORNECIMENTO E INSTALAÇÃO. AF_06/2015</v>
          </cell>
          <cell r="C4255" t="str">
            <v>UN</v>
          </cell>
          <cell r="D4255">
            <v>15.19</v>
          </cell>
        </row>
        <row r="4256">
          <cell r="A4256">
            <v>96839</v>
          </cell>
          <cell r="B4256" t="str">
            <v>JOELHO, ROSCA FÊMEA, COM BASE FIXA, METÁLICO, PARA INSTALAÇÕES EM PEX, DN 16MM X 1/2", CONEXÃO POR ANEL DESLIZANTE  FORNECIMENTO E INSTALAÇÃO. AF_06/2015</v>
          </cell>
          <cell r="C4256" t="str">
            <v>UN</v>
          </cell>
          <cell r="D4256">
            <v>14.97</v>
          </cell>
        </row>
        <row r="4257">
          <cell r="A4257">
            <v>96840</v>
          </cell>
          <cell r="B4257" t="str">
            <v>JOELHO 90 GRAUS, METÁLICO, PARA INSTALAÇÕES EM PEX, DN 20 MM, CONEXÃO POR ANEL DESLIZANTE  FORNECIMENTO E INSTALAÇÃO . AF_06/2015</v>
          </cell>
          <cell r="C4257" t="str">
            <v>UN</v>
          </cell>
          <cell r="D4257">
            <v>19.239999999999998</v>
          </cell>
        </row>
        <row r="4258">
          <cell r="A4258">
            <v>96841</v>
          </cell>
          <cell r="B4258" t="str">
            <v>JOELHO 90 GRAUS, ROSCA FÊMEA TERMINAL, METÁLICO, PARA INSTALAÇÕES EM PEX, DN 20 MM X 1/2", CONEXÃO POR ANEL DESLIZANTE  FORNECIMENTO E INSTALAÇÃO. AF_06/2015</v>
          </cell>
          <cell r="C4258" t="str">
            <v>UN</v>
          </cell>
          <cell r="D4258">
            <v>16.97</v>
          </cell>
        </row>
        <row r="4259">
          <cell r="A4259">
            <v>96842</v>
          </cell>
          <cell r="B4259" t="str">
            <v>JOELHO 90 GRAUS, ROSCA FÊMEA TERMINAL, METÁLICO, PARA INSTALAÇÕES EM PEX, DN 20 MM X 3/4", CONEXÃO POR ANEL DESLIZANTE  FORNECIMENTO E INSTALAÇÃO. AF_06/2015</v>
          </cell>
          <cell r="C4259" t="str">
            <v>UN</v>
          </cell>
          <cell r="D4259">
            <v>21.32</v>
          </cell>
        </row>
        <row r="4260">
          <cell r="A4260">
            <v>96843</v>
          </cell>
          <cell r="B4260" t="str">
            <v>JOELHO ROSCA FÊMEA, COM BASE FIXA, METÁLICO, PARA INSTALAÇÕES EM PEX, DN 20MM X 1/2", CONEXÃO POR ANEL DESLIZANTE  FORNECIMENTO E INSTALAÇÃO. AF_06/2015</v>
          </cell>
          <cell r="C4260" t="str">
            <v>UN</v>
          </cell>
          <cell r="D4260">
            <v>20.54</v>
          </cell>
        </row>
        <row r="4261">
          <cell r="A4261">
            <v>96844</v>
          </cell>
          <cell r="B4261" t="str">
            <v>JOELHO ROSCA FÊMEA, MÓVEL, METÁLICO, PARA INSTALAÇÕES EM PEX, DN 20MM X 3/4", CONEXÃO POR ANEL DESLIZANTE  FORNECIMENTO E INSTALAÇÃO. AF_06/2015</v>
          </cell>
          <cell r="C4261" t="str">
            <v>UN</v>
          </cell>
          <cell r="D4261">
            <v>27.64</v>
          </cell>
        </row>
        <row r="4262">
          <cell r="A4262">
            <v>96845</v>
          </cell>
          <cell r="B4262" t="str">
            <v>JOELHO 90 GRAUS, METÁLICO, PARA INSTALAÇÕES EM PEX, DN 25 MM, CONEXÃO POR ANEL DESLIZANTE   FORNECIMENTO E INSTALAÇÃO. AF_06/2015</v>
          </cell>
          <cell r="C4262" t="str">
            <v>UN</v>
          </cell>
          <cell r="D4262">
            <v>29.72</v>
          </cell>
        </row>
        <row r="4263">
          <cell r="A4263">
            <v>96846</v>
          </cell>
          <cell r="B4263" t="str">
            <v>JOELHO 90 GRAUS, ROSCA FÊMEA TERMINAL, METÁLICO, PARA INSTALAÇÕES EM PEX, DN 25 MM X 3/4", CONEXÃO POR ANEL DESLIZANTE  FORNECIMENTO E INSTALAÇÃO. AF_06/2015</v>
          </cell>
          <cell r="C4263" t="str">
            <v>UN</v>
          </cell>
          <cell r="D4263">
            <v>23.65</v>
          </cell>
        </row>
        <row r="4264">
          <cell r="A4264">
            <v>96847</v>
          </cell>
          <cell r="B4264" t="str">
            <v>JOELHO ROSCA FÊMEA, COM BASE FIXA, METÁLICO, PARA INSTALAÇÕES EM PEX, DN 25MM X 3/4", CONEXÃO POR ANEL DESLIZANTE  FORNECIMENTO E INSTALAÇÃO. AF_06/2015</v>
          </cell>
          <cell r="C4264" t="str">
            <v>UN</v>
          </cell>
          <cell r="D4264">
            <v>25.88</v>
          </cell>
        </row>
        <row r="4265">
          <cell r="A4265">
            <v>96848</v>
          </cell>
          <cell r="B4265" t="str">
            <v>JOELHO 90 GRAUS, METÁLICO, PARA INSTALAÇÕES EM PEX, DN 32 MM, CONEXÃO POR ANEL DESLIZANTE  FORNECIMENTO E INSTALAÇÃO . AF_06/2015</v>
          </cell>
          <cell r="C4265" t="str">
            <v>UN</v>
          </cell>
          <cell r="D4265">
            <v>38.450000000000003</v>
          </cell>
        </row>
        <row r="4266">
          <cell r="A4266">
            <v>96849</v>
          </cell>
          <cell r="B4266" t="str">
            <v>JOELHO 90 GRAUS, PARA INSTALAÇÕES EM PEX, DN 16 MM, CONEXÃO POR CRIMPAGEM   FORNECIMENTO E INSTALAÇÃO. AF_06/2015</v>
          </cell>
          <cell r="C4266" t="str">
            <v>UN</v>
          </cell>
          <cell r="D4266">
            <v>14.07</v>
          </cell>
        </row>
        <row r="4267">
          <cell r="A4267">
            <v>96850</v>
          </cell>
          <cell r="B4267" t="str">
            <v>JOELHO 90 GRAUS, ROSCA FÊMEA TERMINAL, PARA INSTALAÇÕES EM PEX, DN 16MM X 1/2", CONEXÃO POR CRIMPAGEM  FORNECIMENTO E INSTALAÇÃO. AF_06/2015</v>
          </cell>
          <cell r="C4267" t="str">
            <v>UN</v>
          </cell>
          <cell r="D4267">
            <v>16.34</v>
          </cell>
        </row>
        <row r="4268">
          <cell r="A4268">
            <v>96851</v>
          </cell>
          <cell r="B4268" t="str">
            <v>JOELHO 90 GRAUS, ROSCA FÊMEA TERMINAL, PARA INSTALAÇÕES EM PEX, DN 16MM X 3/4", CONEXÃO POR CRIMPAGEM  FORNECIMENTO E INSTALAÇÃO. AF_06/2015</v>
          </cell>
          <cell r="C4268" t="str">
            <v>UN</v>
          </cell>
          <cell r="D4268">
            <v>21.42</v>
          </cell>
        </row>
        <row r="4269">
          <cell r="A4269">
            <v>96852</v>
          </cell>
          <cell r="B4269" t="str">
            <v>JOELHO 90 GRAUS, PARA INSTALAÇÕES EM PEX, DN 20 MM, CONEXÃO POR CRIMPAGEM   FORNECIMENTO E INSTALAÇÃO. AF_06/2015</v>
          </cell>
          <cell r="C4269" t="str">
            <v>UN</v>
          </cell>
          <cell r="D4269">
            <v>18.63</v>
          </cell>
        </row>
        <row r="4270">
          <cell r="A4270">
            <v>96853</v>
          </cell>
          <cell r="B4270" t="str">
            <v>JOELHO 90 GRAUS, ROSCA FÊMEA TERMINAL, PARA INSTALAÇÕES EM PEX, DN 20MM X 1/2", CONEXÃO POR CRIMPAGEM  FORNECIMENTO E INSTALAÇÃO. AF_06/2015</v>
          </cell>
          <cell r="C4270" t="str">
            <v>UN</v>
          </cell>
          <cell r="D4270">
            <v>20.85</v>
          </cell>
        </row>
        <row r="4271">
          <cell r="A4271">
            <v>96854</v>
          </cell>
          <cell r="B4271" t="str">
            <v>JOELHO 90 GRAUS, ROSCA FÊMEA TERMINAL, PARA INSTALAÇÕES EM PEX, DN 20MM X 3/4", CONEXÃO POR CRIMPAGEM  FORNECIMENTO E INSTALAÇÃO. AF_06/2015</v>
          </cell>
          <cell r="C4271" t="str">
            <v>UN</v>
          </cell>
          <cell r="D4271">
            <v>24.78</v>
          </cell>
        </row>
        <row r="4272">
          <cell r="A4272">
            <v>96855</v>
          </cell>
          <cell r="B4272" t="str">
            <v>JOELHO 90 GRAUS, PARA INSTALAÇÕES EM PEX, DN 25 MM, CONEXÃO POR CRIMPAGEM   FORNECIMENTO E INSTALAÇÃO. AF_06/2015</v>
          </cell>
          <cell r="C4272" t="str">
            <v>UN</v>
          </cell>
          <cell r="D4272">
            <v>23.09</v>
          </cell>
        </row>
        <row r="4273">
          <cell r="A4273">
            <v>96856</v>
          </cell>
          <cell r="B4273" t="str">
            <v>JOELHO 90 GRAUS, ROSCA FÊMEA TERMINAL, PARA INSTALAÇÕES EM PEX, DN 25MM X 1/2", CONEXÃO POR CRIMPAGEM  FORNECIMENTO E INSTALAÇÃO. AF_06/2015</v>
          </cell>
          <cell r="C4273" t="str">
            <v>UN</v>
          </cell>
          <cell r="D4273">
            <v>23.41</v>
          </cell>
        </row>
        <row r="4274">
          <cell r="A4274">
            <v>96857</v>
          </cell>
          <cell r="B4274" t="str">
            <v>JOELHO 90 GRAUS, ROSCA FÊMEA TERMINAL, PARA INSTALAÇÕES EM PEX, DN 25MM X 1, CONEXÃO POR CRIMPAGEM  FORNECIMENTO E INSTALAÇÃO. AF_06/2015</v>
          </cell>
          <cell r="C4274" t="str">
            <v>UN</v>
          </cell>
          <cell r="D4274">
            <v>36.700000000000003</v>
          </cell>
        </row>
        <row r="4275">
          <cell r="A4275">
            <v>96858</v>
          </cell>
          <cell r="B4275" t="str">
            <v>JOELHO 90 GRAUS, PARA INSTALAÇÕES EM PEX, DN 32 MM, CONEXÃO POR CRIMPAGEM   FORNECIMENTO E INSTALAÇÃO. AF_06/2015</v>
          </cell>
          <cell r="C4275" t="str">
            <v>UN</v>
          </cell>
          <cell r="D4275">
            <v>37.32</v>
          </cell>
        </row>
        <row r="4276">
          <cell r="A4276">
            <v>96859</v>
          </cell>
          <cell r="B4276" t="str">
            <v>JOELHO 90 GRAUS, ROSCA FÊMEA TERMINAL, PARA INSTALAÇÕES EM PEX, DN 32 MM X 1", CONEXÃO POR CRIMPAGEM  FORNECIMENTO E INSTALAÇÃO. AF_06/2015</v>
          </cell>
          <cell r="C4276" t="str">
            <v>UN</v>
          </cell>
          <cell r="D4276">
            <v>45.96</v>
          </cell>
        </row>
        <row r="4277">
          <cell r="A4277">
            <v>96860</v>
          </cell>
          <cell r="B4277" t="str">
            <v>TÊ, METÁLICO, PARA INSTALAÇÕES EM PEX, DN 16 MM, CONEXÃO POR ANEL DESLIZANTE  FORNECIMENTO E INSTALAÇÃO. AF_06/2015</v>
          </cell>
          <cell r="C4277" t="str">
            <v>UN</v>
          </cell>
          <cell r="D4277">
            <v>19.25</v>
          </cell>
        </row>
        <row r="4278">
          <cell r="A4278">
            <v>96861</v>
          </cell>
          <cell r="B4278" t="str">
            <v>TÊ, ROSCA FÊMEA, METÁLICO, PARA INSTALAÇÕES EM PEX, DN 16 MM X ½, CONEXÃO POR ANEL DESLIZANTE   FORNECIMENTO E INSTALAÇÃO. AF_06/2015</v>
          </cell>
          <cell r="C4278" t="str">
            <v>UN</v>
          </cell>
          <cell r="D4278">
            <v>20.68</v>
          </cell>
        </row>
        <row r="4279">
          <cell r="A4279">
            <v>96862</v>
          </cell>
          <cell r="B4279" t="str">
            <v>TÊ, METÁLICO, PARA INSTALAÇÕES EM PEX, DN 20 MM, CONEXÃO POR ANEL DESLIZANTE  FORNECIMENTO E INSTALAÇÃO. AF_06/2015</v>
          </cell>
          <cell r="C4279" t="str">
            <v>UN</v>
          </cell>
          <cell r="D4279">
            <v>23.17</v>
          </cell>
        </row>
        <row r="4280">
          <cell r="A4280">
            <v>96863</v>
          </cell>
          <cell r="B4280" t="str">
            <v>TÊ, ROSCA FÊMEA, METÁLICO, PARA INSTALAÇÕES EM PEX, DN 20 MM X ½, CONEXÃO POR ANEL DESLIZANTE   FORNECIMENTO E INSTALAÇÃO. AF_06/2015</v>
          </cell>
          <cell r="C4280" t="str">
            <v>UN</v>
          </cell>
          <cell r="D4280">
            <v>22.93</v>
          </cell>
        </row>
        <row r="4281">
          <cell r="A4281">
            <v>96864</v>
          </cell>
          <cell r="B4281" t="str">
            <v>TÊ, METÁLICO, PARA INSTALAÇÕES EM PEX, DN 25 MM, CONEXÃO POR ANEL DESLIZANTE  FORNECIMENTO E INSTALAÇÃO. AF_06/2015</v>
          </cell>
          <cell r="C4281" t="str">
            <v>UN</v>
          </cell>
          <cell r="D4281">
            <v>35.770000000000003</v>
          </cell>
        </row>
        <row r="4282">
          <cell r="A4282">
            <v>96865</v>
          </cell>
          <cell r="B4282" t="str">
            <v>TÊ, ROSCA FÊMEA, METÁLICO, PARA INSTALAÇÕES EM PEX, DN 25 MM X 3/4", CONEXÃO POR ANEL DESLIZANTE  FORNECIMENTO E INSTALAÇÃO. AF_06/2015</v>
          </cell>
          <cell r="C4282" t="str">
            <v>UN</v>
          </cell>
          <cell r="D4282">
            <v>35.07</v>
          </cell>
        </row>
        <row r="4283">
          <cell r="A4283">
            <v>96866</v>
          </cell>
          <cell r="B4283" t="str">
            <v>TÊ, METÁLICO, PARA INSTALAÇÕES EM PEX, DN 32 MM, CONEXÃO POR ANEL DESLIZANTE  FORNECIMENTO E INSTALAÇÃO. AF_06/2015</v>
          </cell>
          <cell r="C4283" t="str">
            <v>UN</v>
          </cell>
          <cell r="D4283">
            <v>46.87</v>
          </cell>
        </row>
        <row r="4284">
          <cell r="A4284">
            <v>96867</v>
          </cell>
          <cell r="B4284" t="str">
            <v>TÊ, ROSCA MACHO, METÁLICO, PARA INSTALAÇÕES EM PEX, DN 32 MM X 1", CONEXÃO POR ANEL DESLIZANTE  FORNECIMENTO E INSTALAÇÃO. AF_06/2015</v>
          </cell>
          <cell r="C4284" t="str">
            <v>UN</v>
          </cell>
          <cell r="D4284">
            <v>54.12</v>
          </cell>
        </row>
        <row r="4285">
          <cell r="A4285">
            <v>96868</v>
          </cell>
          <cell r="B4285" t="str">
            <v>TÊ, PARA INSTALAÇÕES EM PEX, DN 16 MM, CONEXÃO POR CRIMPAGEM  FORNECIMENTO E INSTALAÇÃO. AF_06/2015</v>
          </cell>
          <cell r="C4285" t="str">
            <v>UN</v>
          </cell>
          <cell r="D4285">
            <v>21.66</v>
          </cell>
        </row>
        <row r="4286">
          <cell r="A4286">
            <v>96869</v>
          </cell>
          <cell r="B4286" t="str">
            <v>TÊ, PARA INSTALAÇÕES EM PEX, DN 20 MM, CONEXÃO POR CRIMPAGEM  FORNECIMENTO E INSTALAÇÃO. AF_06/2015</v>
          </cell>
          <cell r="C4286" t="str">
            <v>UN</v>
          </cell>
          <cell r="D4286">
            <v>25.86</v>
          </cell>
        </row>
        <row r="4287">
          <cell r="A4287">
            <v>96870</v>
          </cell>
          <cell r="B4287" t="str">
            <v>TÊ, PEX, DN 25 MM, CONEXÃO POR CRIMPAGEM  FORNECIMENTO E INSTALAÇÃO. AF_06/2015</v>
          </cell>
          <cell r="C4287" t="str">
            <v>UN</v>
          </cell>
          <cell r="D4287">
            <v>40.43</v>
          </cell>
        </row>
        <row r="4288">
          <cell r="A4288">
            <v>96871</v>
          </cell>
          <cell r="B4288" t="str">
            <v>TÊ, PARA INSTALAÇÕES EM PEX, DN 32 MM, CONEXÃO POR CRIMPAGEM  FORNECIMENTO E INSTALAÇÃO. AF_06/2015</v>
          </cell>
          <cell r="C4288" t="str">
            <v>UN</v>
          </cell>
          <cell r="D4288">
            <v>58.31</v>
          </cell>
        </row>
        <row r="4289">
          <cell r="A4289">
            <v>96872</v>
          </cell>
          <cell r="B4289" t="str">
            <v>DISTRIBUIDOR 2 SAÍDAS, METÁLICO, PARA INSTALAÇÕES EM PEX, ENTRADA DE 3/4" X 2 SAÍDAS DE 1/2", CONEXÃO POR ANEL DESLIZANTE  FORNECIMENTO E INSTALAÇÃO. AF_06/2015</v>
          </cell>
          <cell r="C4289" t="str">
            <v>UN</v>
          </cell>
          <cell r="D4289">
            <v>56.77</v>
          </cell>
        </row>
        <row r="4290">
          <cell r="A4290">
            <v>96873</v>
          </cell>
          <cell r="B4290" t="str">
            <v>DISTRIBUIDOR 2 SAÍDAS, METÁLICO, PARA INSTALAÇÕES EM PEX, ENTRADA DE 1" X 2 SAÍDAS DE 1/2", CONEXÃO POR ANEL DESLIZANTE  FORNECIMENTO E INSTALAÇÃO. AF_06/2015</v>
          </cell>
          <cell r="C4290" t="str">
            <v>UN</v>
          </cell>
          <cell r="D4290">
            <v>64.760000000000005</v>
          </cell>
        </row>
        <row r="4291">
          <cell r="A4291">
            <v>96874</v>
          </cell>
          <cell r="B4291" t="str">
            <v>DISTRIBUIDOR 3 SAÍDAS, METÁLICO, PARA INSTALAÇÕES EM PEX, ENTRADA DE 3/4" X 3 SAÍDAS DE 1/2", CONEXÃO POR ANEL DESLIZANTE  FORNECIMENTO E INSTALAÇÃO . AF_06/2015</v>
          </cell>
          <cell r="C4291" t="str">
            <v>UN</v>
          </cell>
          <cell r="D4291">
            <v>68.91</v>
          </cell>
        </row>
        <row r="4292">
          <cell r="A4292">
            <v>96875</v>
          </cell>
          <cell r="B4292" t="str">
            <v>DISTRIBUIDOR 3 SAÍDAS, METÁLICO, PARA INSTALAÇÕES EM PEX, ENTRADA DE 1 X 3 SAÍDAS DE 1/2, CONEXÃO POR ANEL DESLIZANTE   FORNECIMENTO E INSTALAÇÃO. AF_06/2015</v>
          </cell>
          <cell r="C4292" t="str">
            <v>UN</v>
          </cell>
          <cell r="D4292">
            <v>81.77</v>
          </cell>
        </row>
        <row r="4293">
          <cell r="A4293">
            <v>96876</v>
          </cell>
          <cell r="B4293" t="str">
            <v>DISTRIBUIDOR 2 SAÍDAS, PARA INSTALAÇÕES EM PEX, ENTRADA DE 32 MM X 2 SAÍDAS DE 16 MM, CONEXÃO POR CRIMPAGEM FORNECIMENTO E INSTALAÇÃO. AF_06/2015</v>
          </cell>
          <cell r="C4293" t="str">
            <v>UN</v>
          </cell>
          <cell r="D4293">
            <v>137.75</v>
          </cell>
        </row>
        <row r="4294">
          <cell r="A4294">
            <v>96877</v>
          </cell>
          <cell r="B4294" t="str">
            <v>DISTRIBUIDOR 2 SAÍDAS, PARA INSTALAÇÕES EM PEX, ENTRADA DE 32 MM X 2 SAÍDAS DE 20 MM, CONEXÃO POR CRIMPAGEM  FORNECIMENTO E INSTALAÇÃO. AF_06/2015</v>
          </cell>
          <cell r="C4294" t="str">
            <v>UN</v>
          </cell>
          <cell r="D4294">
            <v>147.09</v>
          </cell>
        </row>
        <row r="4295">
          <cell r="A4295">
            <v>96878</v>
          </cell>
          <cell r="B4295" t="str">
            <v>DISTRIBUIDOR 2 SAÍDAS, PARA INSTALAÇÕES EM PEX, ENTRADA DE 32 MM X 2 SAÍDAS DE 25 MM, CONEXÃO POR CRIMPAGEM  FORNECIMENTO E INSTALAÇÃO. AF_06/2015</v>
          </cell>
          <cell r="C4295" t="str">
            <v>UN</v>
          </cell>
          <cell r="D4295">
            <v>148.84</v>
          </cell>
        </row>
        <row r="4296">
          <cell r="A4296">
            <v>96879</v>
          </cell>
          <cell r="B4296" t="str">
            <v>DISTRIBUIDOR 3 SAÍDAS, PARA INSTALAÇÕES EM PEX, ENTRADA DE 32 MM X 3 SAÍDAS DE 16 MM, CONEXÃO POR CRIMPAGEM  FORNECIMENTO E INSTALAÇÃO. AF_06/2015</v>
          </cell>
          <cell r="C4296" t="str">
            <v>UN</v>
          </cell>
          <cell r="D4296">
            <v>150.05000000000001</v>
          </cell>
        </row>
        <row r="4297">
          <cell r="A4297">
            <v>96880</v>
          </cell>
          <cell r="B4297" t="str">
            <v>DISTRIBUIDOR 3 SAÍDAS, PARA INSTALAÇÕES EM PEX, ENTRADA DE 32 MM X 3 SAÍDAS DE 20 MM, CONEXÃO POR CRIMPAGEM  FORNECIMENTO E INSTALAÇÃO. AF_06/2015</v>
          </cell>
          <cell r="C4297" t="str">
            <v>UN</v>
          </cell>
          <cell r="D4297">
            <v>170.96</v>
          </cell>
        </row>
        <row r="4298">
          <cell r="A4298">
            <v>96881</v>
          </cell>
          <cell r="B4298" t="str">
            <v>DISTRIBUIDOR 3 SAÍDAS, PARA INSTALAÇÕES EM PEX, ENTRADA DE 32 MM X 3 SAÍDAS DE 25 MM, CONEXÃO POR CRIMPAGEM  FORNECIMENTO E INSTALAÇÃO. AF_06/2015</v>
          </cell>
          <cell r="C4298" t="str">
            <v>UN</v>
          </cell>
          <cell r="D4298">
            <v>180.44</v>
          </cell>
        </row>
        <row r="4299">
          <cell r="A4299">
            <v>97425</v>
          </cell>
          <cell r="B4299" t="str">
            <v>FLANGE EM AÇO, DN 15 MM X 1/2'', INSTALADO EM RESERVAÇÃO DE ÁGUA DE EDIFICAÇÃO QUE POSSUA RESERVATÓRIO DE FIBRA/FIBROCIMENTO - FORNECIMENTO E INSTALAÇÃO. AF_06/2016</v>
          </cell>
          <cell r="C4299" t="str">
            <v>UN</v>
          </cell>
          <cell r="D4299">
            <v>18.13</v>
          </cell>
        </row>
        <row r="4300">
          <cell r="A4300">
            <v>97426</v>
          </cell>
          <cell r="B4300" t="str">
            <v>FLANGE EM AÇO, DN 20 MM X 3/4'', INSTALADO EM RESERVAÇÃO DE ÁGUA DE EDIFICAÇÃO QUE POSSUA RESERVATÓRIO DE FIBRA/FIBROCIMENTO - FORNECIMENTO E INSTALAÇÃO. AF_06/2016</v>
          </cell>
          <cell r="C4300" t="str">
            <v>UN</v>
          </cell>
          <cell r="D4300">
            <v>21.23</v>
          </cell>
        </row>
        <row r="4301">
          <cell r="A4301">
            <v>97427</v>
          </cell>
          <cell r="B4301" t="str">
            <v>FLANGE EM AÇO, DN 25 MM X 1'', INSTALADO EM RESERVAÇÃO DE ÁGUA DE EDIFICAÇÃO QUE POSSUA RESERVATÓRIO DE FIBRA/FIBROCIMENTO - FORNECIMENTO E INSTALAÇÃO. AF_06/2016</v>
          </cell>
          <cell r="C4301" t="str">
            <v>UN</v>
          </cell>
          <cell r="D4301">
            <v>23.56</v>
          </cell>
        </row>
        <row r="4302">
          <cell r="A4302">
            <v>97428</v>
          </cell>
          <cell r="B4302" t="str">
            <v>FLANGE EM AÇO, DN 32 MM X 1 1/4'', INSTALADO EM RESERVAÇÃO DE ÁGUA DE EDIFICAÇÃO QUE POSSUA RESERVATÓRIO DE FIBRA/FIBROCIMENTO - FORNECIMENTO E INSTALAÇÃO. AF_06/2016</v>
          </cell>
          <cell r="C4302" t="str">
            <v>UN</v>
          </cell>
          <cell r="D4302">
            <v>28.99</v>
          </cell>
        </row>
        <row r="4303">
          <cell r="A4303">
            <v>97429</v>
          </cell>
          <cell r="B4303" t="str">
            <v>FLANGE EM AÇO, DN 40 MM X 1 1/2'', INSTALADO EM RESERVAÇÃO DE ÁGUA DE EDIFICAÇÃO QUE POSSUA RESERVATÓRIO DE FIBRA/FIBROCIMENTO - FORNECIMENTO E INSTALAÇÃO. AF_06/2016</v>
          </cell>
          <cell r="C4303" t="str">
            <v>UN</v>
          </cell>
          <cell r="D4303">
            <v>33.99</v>
          </cell>
        </row>
        <row r="4304">
          <cell r="A4304">
            <v>97430</v>
          </cell>
          <cell r="B4304" t="str">
            <v>ACOPLAMENTO RÍGIDO EM AÇO, CONEXÃO RANHURADA, DN 50 (2"), INSTALADO EM PRUMADAS - FORNECIMENTO E INSTALAÇÃO. AF_12/2015</v>
          </cell>
          <cell r="C4304" t="str">
            <v>UN</v>
          </cell>
          <cell r="D4304">
            <v>26.66</v>
          </cell>
        </row>
        <row r="4305">
          <cell r="A4305">
            <v>97431</v>
          </cell>
          <cell r="B4305" t="str">
            <v>ACOPLAMENTO RÍGIDO EM AÇO, CONEXÃO RANHURADA, DN 65 (2 1/2"), INSTALADO EM PRUMADAS - FORNECIMENTO E INSTALAÇÃO. AF_12/2015</v>
          </cell>
          <cell r="C4305" t="str">
            <v>UN</v>
          </cell>
          <cell r="D4305">
            <v>29.84</v>
          </cell>
        </row>
        <row r="4306">
          <cell r="A4306">
            <v>97432</v>
          </cell>
          <cell r="B4306" t="str">
            <v>ACOPLAMENTO RÍGIDO EM AÇO, CONEXÃO RANHURADA, DN 80 (3"), INSTALADO EM PRUMADAS - FORNECIMENTO E INSTALAÇÃO. AF_12/2015</v>
          </cell>
          <cell r="C4306" t="str">
            <v>UN</v>
          </cell>
          <cell r="D4306">
            <v>33.71</v>
          </cell>
        </row>
        <row r="4307">
          <cell r="A4307">
            <v>97433</v>
          </cell>
          <cell r="B4307" t="str">
            <v>CURVA 45 GRAUS, EM AÇO, CONEXÃO RANHURADA, DN 50 (2), INSTALADO EM PRUMADAS - FORNECIMENTO E INSTALAÇÃO. AF_12/2015</v>
          </cell>
          <cell r="C4307" t="str">
            <v>UN</v>
          </cell>
          <cell r="D4307">
            <v>58.76</v>
          </cell>
        </row>
        <row r="4308">
          <cell r="A4308">
            <v>97434</v>
          </cell>
          <cell r="B4308" t="str">
            <v>CURVA 90 GRAUS, EM AÇO, CONEXÃO RANHURADA, DN 50 (2"), INSTALADO EM PRUMADAS - FORNECIMENTO E INSTALAÇÃO. AF_12/2015</v>
          </cell>
          <cell r="C4308" t="str">
            <v>UN</v>
          </cell>
          <cell r="D4308">
            <v>59.78</v>
          </cell>
        </row>
        <row r="4309">
          <cell r="A4309">
            <v>97435</v>
          </cell>
          <cell r="B4309" t="str">
            <v>CURVA 45 GRAUS, EM AÇO, CONEXÃO RANHURADA, DN 65 (2 1/2"), INSTALADO EM PRUMADAS - FORNECIMENTO E INSTALAÇÃO. AF_12/2015</v>
          </cell>
          <cell r="C4309" t="str">
            <v>UN</v>
          </cell>
          <cell r="D4309">
            <v>68.66</v>
          </cell>
        </row>
        <row r="4310">
          <cell r="A4310">
            <v>97436</v>
          </cell>
          <cell r="B4310" t="str">
            <v>CURVA 90 GRAUS, EM AÇO, CONEXÃO RANHURADA, DN 65 (2 1/2), INSTALADO EM PRUMADAS - FORNECIMENTO E INSTALAÇÃO. AF_12/2015</v>
          </cell>
          <cell r="C4310" t="str">
            <v>UN</v>
          </cell>
          <cell r="D4310">
            <v>70.63</v>
          </cell>
        </row>
        <row r="4311">
          <cell r="A4311">
            <v>97437</v>
          </cell>
          <cell r="B4311" t="str">
            <v>CURVA 45 GRAUS, EM AÇO, CONEXÃO RANHURADA, DN 80 (3"), INSTALADO EM PRUMADAS - FORNECIMENTO E INSTALAÇÃO. AF_12/2015</v>
          </cell>
          <cell r="C4311" t="str">
            <v>UN</v>
          </cell>
          <cell r="D4311">
            <v>78.58</v>
          </cell>
        </row>
        <row r="4312">
          <cell r="A4312">
            <v>97438</v>
          </cell>
          <cell r="B4312" t="str">
            <v>CURVA 90 GRAUS, EM AÇO, CONEXÃO RANHURADA, DN 80 (3"), INSTALADO EM PRUMADAS - FORNECIMENTO E INSTALAÇÃO. AF_12/2015</v>
          </cell>
          <cell r="C4312" t="str">
            <v>UN</v>
          </cell>
          <cell r="D4312">
            <v>80.69</v>
          </cell>
        </row>
        <row r="4313">
          <cell r="A4313">
            <v>97439</v>
          </cell>
          <cell r="B4313" t="str">
            <v>TÊ, EM AÇO, CONEXÃO RANHURADA, DN 50 (2"), INSTALADO EM PRUMADAS - FORNECIMENTO E INSTALAÇÃO. AF_12/2015</v>
          </cell>
          <cell r="C4313" t="str">
            <v>UN</v>
          </cell>
          <cell r="D4313">
            <v>88.16</v>
          </cell>
        </row>
        <row r="4314">
          <cell r="A4314">
            <v>97440</v>
          </cell>
          <cell r="B4314" t="str">
            <v>TÊ, EM AÇO, CONEXÃO RANHURADA, DN 65 (2 1/2"), INSTALADO EM PRUMADAS - FORNECIMENTO E INSTALAÇÃO. AF_12/2015</v>
          </cell>
          <cell r="C4314" t="str">
            <v>UN</v>
          </cell>
          <cell r="D4314">
            <v>105.48</v>
          </cell>
        </row>
        <row r="4315">
          <cell r="A4315">
            <v>97442</v>
          </cell>
          <cell r="B4315" t="str">
            <v>TÊ, EM AÇO, CONEXÃO RANHURADA, DN 80 (3"), INSTALADO EM PRUMADAS - FORNECIMENTO E INSTALAÇÃO. AF_12/2015</v>
          </cell>
          <cell r="C4315" t="str">
            <v>UN</v>
          </cell>
          <cell r="D4315">
            <v>116.59</v>
          </cell>
        </row>
        <row r="4316">
          <cell r="A4316">
            <v>97443</v>
          </cell>
          <cell r="B4316" t="str">
            <v>LUVA, EM AÇO, CONEXÃO SOLDADA, DN 50 (2"), INSTALADO EM PRUMADAS - FORNECIMENTO E INSTALAÇÃO. AF_12/2015</v>
          </cell>
          <cell r="C4316" t="str">
            <v>UN</v>
          </cell>
          <cell r="D4316">
            <v>63.13</v>
          </cell>
        </row>
        <row r="4317">
          <cell r="A4317">
            <v>97444</v>
          </cell>
          <cell r="B4317" t="str">
            <v>LUVA COM REDUÇÃO, EM AÇO, CONEXÃO SOLDADA, DN 50 X 40 MM (2 X 1 1/2), INSTALADO EM PRUMADAS - FORNECIMENTO E INSTALAÇÃO. AF_12/2015</v>
          </cell>
          <cell r="C4317" t="str">
            <v>UN</v>
          </cell>
          <cell r="D4317">
            <v>72.69</v>
          </cell>
        </row>
        <row r="4318">
          <cell r="A4318">
            <v>97446</v>
          </cell>
          <cell r="B4318" t="str">
            <v>LUVA, EM AÇO, CONEXÃO SOLDADA, DN 65 (2 1/2"), INSTALADO EM PRUMADAS - FORNECIMENTO E INSTALAÇÃO. AF_12/2015</v>
          </cell>
          <cell r="C4318" t="str">
            <v>UN</v>
          </cell>
          <cell r="D4318">
            <v>119.94</v>
          </cell>
        </row>
        <row r="4319">
          <cell r="A4319">
            <v>97447</v>
          </cell>
          <cell r="B4319" t="str">
            <v>LUVA COM REDUÇÃO, EM AÇO, CONEXÃO SOLDADA, DN 65 X 50 MM (2 1/2" X 2"), INSTALADO EM PRUMADAS - FORNECIMENTO E INSTALAÇÃO. AF_12/2015</v>
          </cell>
          <cell r="C4319" t="str">
            <v>UN</v>
          </cell>
          <cell r="D4319">
            <v>119.94</v>
          </cell>
        </row>
        <row r="4320">
          <cell r="A4320">
            <v>97449</v>
          </cell>
          <cell r="B4320" t="str">
            <v>LUVA, EM AÇO, CONEXÃO SOLDADA, DN 80 (3), INSTALADO EM PRUMADAS - FORNECIMENTO E INSTALAÇÃO. AF_12/2015</v>
          </cell>
          <cell r="C4320" t="str">
            <v>UN</v>
          </cell>
          <cell r="D4320">
            <v>128.01</v>
          </cell>
        </row>
        <row r="4321">
          <cell r="A4321">
            <v>97450</v>
          </cell>
          <cell r="B4321" t="str">
            <v>LUVA COM REDUÇÃO, EM AÇO, CONEXÃO SOLDADA, DN 80 X 65 MM (3" X 2 1/2"), INSTALADO EM PRUMADAS - FORNECIMENTO E INSTALAÇÃO. AF_12/2015</v>
          </cell>
          <cell r="C4321" t="str">
            <v>UN</v>
          </cell>
          <cell r="D4321">
            <v>154.04</v>
          </cell>
        </row>
        <row r="4322">
          <cell r="A4322">
            <v>97452</v>
          </cell>
          <cell r="B4322" t="str">
            <v>CURVA 45 GRAUS, EM AÇO, CONEXÃO SOLDADA, DN 50 (2), INSTALADO EM PRUMADAS - FORNECIMENTO E INSTALAÇÃO. AF_12/2015</v>
          </cell>
          <cell r="C4322" t="str">
            <v>UN</v>
          </cell>
          <cell r="D4322">
            <v>102.59</v>
          </cell>
        </row>
        <row r="4323">
          <cell r="A4323">
            <v>97453</v>
          </cell>
          <cell r="B4323" t="str">
            <v>CURVA 90 GRAUS, EM AÇO, CONEXÃO SOLDADA, DN 50 (2), INSTALADO EM PRUMADAS - FORNECIMENTO E INSTALAÇÃO. AF_12/2015</v>
          </cell>
          <cell r="C4323" t="str">
            <v>UN</v>
          </cell>
          <cell r="D4323">
            <v>108.04</v>
          </cell>
        </row>
        <row r="4324">
          <cell r="A4324">
            <v>97454</v>
          </cell>
          <cell r="B4324" t="str">
            <v>CURVA 45 GRAUS, EM AÇO, CONEXÃO SOLDADA, DN 65 (2 1/2), INSTALADO EM PRUMADAS - FORNECIMENTO E INSTALAÇÃO. AF_12/2015</v>
          </cell>
          <cell r="C4324" t="str">
            <v>UN</v>
          </cell>
          <cell r="D4324">
            <v>166.26</v>
          </cell>
        </row>
        <row r="4325">
          <cell r="A4325">
            <v>97455</v>
          </cell>
          <cell r="B4325" t="str">
            <v>CURVA 90 GRAUS, EM AÇO, CONEXÃO SOLDADA, DN 65 (2 1/2), INSTALADO EM PRUMADAS - FORNECIMENTO E INSTALAÇÃO. AF_12/2015</v>
          </cell>
          <cell r="C4325" t="str">
            <v>UN</v>
          </cell>
          <cell r="D4325">
            <v>174.99</v>
          </cell>
        </row>
        <row r="4326">
          <cell r="A4326">
            <v>97456</v>
          </cell>
          <cell r="B4326" t="str">
            <v>CURVA 45 GRAUS, EM AÇO, CONEXÃO SOLDADA, DN 80 (3), INSTALADO EM PRUMADAS - FORNECIMENTO E INSTALAÇÃO. AF_12/2015</v>
          </cell>
          <cell r="C4326" t="str">
            <v>UN</v>
          </cell>
          <cell r="D4326">
            <v>358.71</v>
          </cell>
        </row>
        <row r="4327">
          <cell r="A4327">
            <v>97457</v>
          </cell>
          <cell r="B4327" t="str">
            <v>CURVA 90 GRAUS, EM AÇO, CONEXÃO SOLDADA, DN 80 (3), INSTALADO EM PRUMADAS - FORNECIMENTO E INSTALAÇÃO. AF_12/2015</v>
          </cell>
          <cell r="C4327" t="str">
            <v>UN</v>
          </cell>
          <cell r="D4327">
            <v>319.56</v>
          </cell>
        </row>
        <row r="4328">
          <cell r="A4328">
            <v>97458</v>
          </cell>
          <cell r="B4328" t="str">
            <v>TÊ, EM AÇO, CONEXÃO SOLDADA, DN 50 (2"), INSTALADO EM PRUMADAS - FORNECIMENTO E INSTALAÇÃO. AF_12/2015</v>
          </cell>
          <cell r="C4328" t="str">
            <v>UN</v>
          </cell>
          <cell r="D4328">
            <v>158.68</v>
          </cell>
        </row>
        <row r="4329">
          <cell r="A4329">
            <v>97459</v>
          </cell>
          <cell r="B4329" t="str">
            <v>TÊ, EM AÇO, CONEXÃO SOLDADA, DN 65 (2 1/2"), INSTALADO EM PRUMADAS - FORNECIMENTO E INSTALAÇÃO. AF_12/2015</v>
          </cell>
          <cell r="C4329" t="str">
            <v>UN</v>
          </cell>
          <cell r="D4329">
            <v>260.86</v>
          </cell>
        </row>
        <row r="4330">
          <cell r="A4330">
            <v>97460</v>
          </cell>
          <cell r="B4330" t="str">
            <v>TÊ, EM AÇO, CONEXÃO SOLDADA, DN 80 (3"), INSTALADO EM PRUMADAS - FORNECIMENTO E INSTALAÇÃO. AF_12/2015</v>
          </cell>
          <cell r="C4330" t="str">
            <v>UN</v>
          </cell>
          <cell r="D4330">
            <v>391.87</v>
          </cell>
        </row>
        <row r="4331">
          <cell r="A4331">
            <v>97461</v>
          </cell>
          <cell r="B4331" t="str">
            <v>LUVA, EM AÇO, CONEXÃO SOLDADA, DN 25 (1), INSTALADO EM REDE DE ALIMENTAÇÃO PARA HIDRANTE - FORNECIMENTO E INSTALAÇÃO. AF_12/2015</v>
          </cell>
          <cell r="C4331" t="str">
            <v>UN</v>
          </cell>
          <cell r="D4331">
            <v>19.68</v>
          </cell>
        </row>
        <row r="4332">
          <cell r="A4332">
            <v>97462</v>
          </cell>
          <cell r="B4332" t="str">
            <v>LUVA COM REDUÇÃO, EM AÇO, CONEXÃO SOLDADA, DN 25 X 20 MM (1 X 3/4), INSTALADO EM REDE DE ALIMENTAÇÃO PARA HIDRANTE - FORNECIMENTO E INSTALAÇÃO. AF_12/2015</v>
          </cell>
          <cell r="C4332" t="str">
            <v>UN</v>
          </cell>
          <cell r="D4332">
            <v>16.88</v>
          </cell>
        </row>
        <row r="4333">
          <cell r="A4333">
            <v>97464</v>
          </cell>
          <cell r="B4333" t="str">
            <v>LUVA, EM AÇO, CONEXÃO SOLDADA, DN 32 (1 1/4), INSTALADO EM REDE DE ALIMENTAÇÃO PARA HIDRANTE - FORNECIMENTO E INSTALAÇÃO. AF_12/2015</v>
          </cell>
          <cell r="C4333" t="str">
            <v>UN</v>
          </cell>
          <cell r="D4333">
            <v>27.88</v>
          </cell>
        </row>
        <row r="4334">
          <cell r="A4334">
            <v>97465</v>
          </cell>
          <cell r="B4334" t="str">
            <v>LUVA COM REDUÇÃO, EM AÇO, CONEXÃO SOLDADA, DN 32 X 25 MM (1 1/4  X 1), INSTALADO EM REDE DE ALIMENTAÇÃO PARA HIDRANTE - FORNECIMENTO E INSTALAÇÃO. AF_12/2015</v>
          </cell>
          <cell r="C4334" t="str">
            <v>UN</v>
          </cell>
          <cell r="D4334">
            <v>32.61</v>
          </cell>
        </row>
        <row r="4335">
          <cell r="A4335">
            <v>97467</v>
          </cell>
          <cell r="B4335" t="str">
            <v>LUVA, EM AÇO, CONEXÃO SOLDADA, DN 40 (1 1/2), INSTALADO EM REDE DE ALIMENTAÇÃO PARA HIDRANTE - FORNECIMENTO E INSTALAÇÃO. AF_12/2015</v>
          </cell>
          <cell r="C4335" t="str">
            <v>UN</v>
          </cell>
          <cell r="D4335">
            <v>35.340000000000003</v>
          </cell>
        </row>
        <row r="4336">
          <cell r="A4336">
            <v>97468</v>
          </cell>
          <cell r="B4336" t="str">
            <v>LUVA COM REDUÇÃO, EM AÇO, CONEXÃO SOLDADA, DN 40  X 32 MM (1 1/2 X 1 1/4), INSTALADO EM REDE DE ALIMENTAÇÃO PARA HIDRANTE - FORNECIMENTO E INSTALAÇÃO. AF_12/2015</v>
          </cell>
          <cell r="C4336" t="str">
            <v>UN</v>
          </cell>
          <cell r="D4336">
            <v>41.38</v>
          </cell>
        </row>
        <row r="4337">
          <cell r="A4337">
            <v>97470</v>
          </cell>
          <cell r="B4337" t="str">
            <v>LUVA, EM AÇO, CONEXÃO SOLDADA, DN 50 (2), INSTALADO EM REDE DE ALIMENTAÇÃO PARA HIDRANTE - FORNECIMENTO E INSTALAÇÃO. AF_12/2015</v>
          </cell>
          <cell r="C4337" t="str">
            <v>UN</v>
          </cell>
          <cell r="D4337">
            <v>51.2</v>
          </cell>
        </row>
        <row r="4338">
          <cell r="A4338">
            <v>97471</v>
          </cell>
          <cell r="B4338" t="str">
            <v>LUVA COM REDUÇÃO, EM AÇO, CONEXÃO SOLDADA, DN 50 X 40 MM (2 X 1 1/2), INSTALADO EM REDE DE ALIMENTAÇÃO PARA HIDRANTE - FORNECIMENTO E INSTALAÇÃO. AF_12/2015</v>
          </cell>
          <cell r="C4338" t="str">
            <v>UN</v>
          </cell>
          <cell r="D4338">
            <v>60.76</v>
          </cell>
        </row>
        <row r="4339">
          <cell r="A4339">
            <v>97474</v>
          </cell>
          <cell r="B4339" t="str">
            <v>LUVA, EM AÇO, CONEXÃO SOLDADA, DN 65 (2 1/2), INSTALADO EM REDE DE ALIMENTAÇÃO PARA HIDRANTE - FORNECIMENTO E INSTALAÇÃO. AF_12/2015</v>
          </cell>
          <cell r="C4339" t="str">
            <v>UN</v>
          </cell>
          <cell r="D4339">
            <v>90.73</v>
          </cell>
        </row>
        <row r="4340">
          <cell r="A4340">
            <v>97475</v>
          </cell>
          <cell r="B4340" t="str">
            <v>LUVA COM REDUÇÃO, EM AÇO, CONEXÃO SOLDADA, DN 65 X 50 MM (2 1/2 X 2), INSTALADO EM REDE DE ALIMENTAÇÃO PARA HIDRANTE - FORNECIMENTO E INSTALAÇÃO. AF_12/2015</v>
          </cell>
          <cell r="C4340" t="str">
            <v>UN</v>
          </cell>
          <cell r="D4340">
            <v>110.05</v>
          </cell>
        </row>
        <row r="4341">
          <cell r="A4341">
            <v>97477</v>
          </cell>
          <cell r="B4341" t="str">
            <v>LUVA, EM AÇO, CONEXÃO SOLDADA, DN 80 (3), INSTALADO EM REDE DE ALIMENTAÇÃO PARA HIDRANTE - FORNECIMENTO E INSTALAÇÃO. AF_12/2015</v>
          </cell>
          <cell r="C4341" t="str">
            <v>UN</v>
          </cell>
          <cell r="D4341">
            <v>120.16</v>
          </cell>
        </row>
        <row r="4342">
          <cell r="A4342">
            <v>97478</v>
          </cell>
          <cell r="B4342" t="str">
            <v>LUVA COM REDUÇÃO, EM AÇO, CONEXÃO SOLDADA, DN 80 X 65 MM (3 X 2 1/2), INSTALADO EM REDE DE ALIMENTAÇÃO PARA HIDRANTE - FORNECIMENTO E INSTALAÇÃO. AF_12/2015</v>
          </cell>
          <cell r="C4342" t="str">
            <v>UN</v>
          </cell>
          <cell r="D4342">
            <v>146.19</v>
          </cell>
        </row>
        <row r="4343">
          <cell r="A4343">
            <v>97479</v>
          </cell>
          <cell r="B4343" t="str">
            <v>CURVA 45 GRAUS, EM AÇO, CONEXÃO SOLDADA, DN 25 (1), INSTALADO EM REDE DE ALIMENTAÇÃO PARA HIDRANTE - FORNECIMENTO E INSTALAÇÃO. AF_12/2015</v>
          </cell>
          <cell r="C4343" t="str">
            <v>UN</v>
          </cell>
          <cell r="D4343">
            <v>31.46</v>
          </cell>
        </row>
        <row r="4344">
          <cell r="A4344">
            <v>97480</v>
          </cell>
          <cell r="B4344" t="str">
            <v>CURVA 90 GRAUS, EM AÇO, CONEXÃO SOLDADA, DN 25 (1), INSTALADO EM REDE DE ALIMENTAÇÃO PARA HIDRANTE - FORNECIMENTO E INSTALAÇÃO. AF_12/2015</v>
          </cell>
          <cell r="C4344" t="str">
            <v>UN</v>
          </cell>
          <cell r="D4344">
            <v>31.46</v>
          </cell>
        </row>
        <row r="4345">
          <cell r="A4345">
            <v>97481</v>
          </cell>
          <cell r="B4345" t="str">
            <v>CURVA 45 GRAUS, EM AÇO, CONEXÃO SOLDADA, DN 32 (1 1/4), INSTALADO EM REDE DE ALIMENTAÇÃO PARA HIDRANTE - FORNECIMENTO E INSTALAÇÃO. AF_12/2015</v>
          </cell>
          <cell r="C4345" t="str">
            <v>UN</v>
          </cell>
          <cell r="D4345">
            <v>44.88</v>
          </cell>
        </row>
        <row r="4346">
          <cell r="A4346">
            <v>97482</v>
          </cell>
          <cell r="B4346" t="str">
            <v>CURVA 90 GRAUS, EM AÇO, CONEXÃO SOLDADA, DN 32 (1 1/4), INSTALADO EM REDE DE ALIMENTAÇÃO PARA HIDRANTE - FORNECIMENTO E INSTALAÇÃO. AF_12/2015</v>
          </cell>
          <cell r="C4346" t="str">
            <v>UN</v>
          </cell>
          <cell r="D4346">
            <v>44.88</v>
          </cell>
        </row>
        <row r="4347">
          <cell r="A4347">
            <v>97483</v>
          </cell>
          <cell r="B4347" t="str">
            <v>CURVA 45 GRAUS, EM AÇO, CONEXÃO SOLDADA, DN 40 (1 1/2"), INSTALADO EM REDE DE ALIMENTAÇÃO PARA HIDRANTE - FORNECIMENTO E INSTALAÇÃO. AF_12/2015</v>
          </cell>
          <cell r="C4347" t="str">
            <v>UN</v>
          </cell>
          <cell r="D4347">
            <v>62.06</v>
          </cell>
        </row>
        <row r="4348">
          <cell r="A4348">
            <v>97484</v>
          </cell>
          <cell r="B4348" t="str">
            <v>CURVA 90 GRAUS, EM AÇO, CONEXÃO SOLDADA, DN 40 (1 1/2"), INSTALADO EM REDE DE ALIMENTAÇÃO PARA HIDRANTE - FORNECIMENTO E INSTALAÇÃO. AF_12/2015</v>
          </cell>
          <cell r="C4348" t="str">
            <v>UN</v>
          </cell>
          <cell r="D4348">
            <v>62.06</v>
          </cell>
        </row>
        <row r="4349">
          <cell r="A4349">
            <v>97485</v>
          </cell>
          <cell r="B4349" t="str">
            <v>CURVA 45 GRAUS, EM AÇO, CONEXÃO SOLDADA, DN 50 (2"), INSTALADO EM REDE DE ALIMENTAÇÃO PARA HIDRANTE - FORNECIMENTO E INSTALAÇÃO. AF_12/2015</v>
          </cell>
          <cell r="C4349" t="str">
            <v>UN</v>
          </cell>
          <cell r="D4349">
            <v>84.74</v>
          </cell>
        </row>
        <row r="4350">
          <cell r="A4350">
            <v>97486</v>
          </cell>
          <cell r="B4350" t="str">
            <v>CURVA 90 GRAUS, EM AÇO, CONEXÃO SOLDADA, DN 50 (2"), INSTALADO EM REDE DE ALIMENTAÇÃO PARA HIDRANTE - FORNECIMENTO E INSTALAÇÃO. AF_12/2015</v>
          </cell>
          <cell r="C4350" t="str">
            <v>UN</v>
          </cell>
          <cell r="D4350">
            <v>90.19</v>
          </cell>
        </row>
        <row r="4351">
          <cell r="A4351">
            <v>97487</v>
          </cell>
          <cell r="B4351" t="str">
            <v>CURVA 45 GRAUS, EM AÇO, CONEXÃO SOLDADA, DN 65 (2 1/2"), INSTALADO EM REDE DE ALIMENTAÇÃO PARA HIDRANTE - FORNECIMENTO E INSTALAÇÃO. AF_12/2015</v>
          </cell>
          <cell r="C4351" t="str">
            <v>UN</v>
          </cell>
          <cell r="D4351">
            <v>151.46</v>
          </cell>
        </row>
        <row r="4352">
          <cell r="A4352">
            <v>97488</v>
          </cell>
          <cell r="B4352" t="str">
            <v>CURVA 90 GRAUS, EM AÇO, CONEXÃO SOLDADA, DN 65 (2 1/2"), INSTALADO EM REDE DE ALIMENTAÇÃO PARA HIDRANTE - FORNECIMENTO E INSTALAÇÃO. AF_12/2015</v>
          </cell>
          <cell r="C4352" t="str">
            <v>UN</v>
          </cell>
          <cell r="D4352">
            <v>160.19</v>
          </cell>
        </row>
        <row r="4353">
          <cell r="A4353">
            <v>97489</v>
          </cell>
          <cell r="B4353" t="str">
            <v>CURVA 45 GRAUS, EM AÇO, CONEXÃO SOLDADA, DN 80 (3"), INSTALADO EM REDE DE ALIMENTAÇÃO PARA HIDRANTE - FORNECIMENTO E INSTALAÇÃO. AF_12/2015</v>
          </cell>
          <cell r="C4353" t="str">
            <v>UN</v>
          </cell>
          <cell r="D4353">
            <v>346.89</v>
          </cell>
        </row>
        <row r="4354">
          <cell r="A4354">
            <v>97490</v>
          </cell>
          <cell r="B4354" t="str">
            <v>CURVA 90 GRAUS, EM AÇO, CONEXÃO SOLDADA, DN 80 (3"), INSTALADO EM REDE DE ALIMENTAÇÃO PARA HIDRANTE - FORNECIMENTO E INSTALAÇÃO. AF_12/2015</v>
          </cell>
          <cell r="C4354" t="str">
            <v>UN</v>
          </cell>
          <cell r="D4354">
            <v>307.74</v>
          </cell>
        </row>
        <row r="4355">
          <cell r="A4355">
            <v>97491</v>
          </cell>
          <cell r="B4355" t="str">
            <v>TÊ, EM AÇO, CONEXÃO SOLDADA, DN 25 (1"), INSTALADO EM REDE DE ALIMENTAÇÃO PARA HIDRANTE - FORNECIMENTO E INSTALAÇÃO. AF_12/2015</v>
          </cell>
          <cell r="C4355" t="str">
            <v>UN</v>
          </cell>
          <cell r="D4355">
            <v>47.69</v>
          </cell>
        </row>
        <row r="4356">
          <cell r="A4356">
            <v>97492</v>
          </cell>
          <cell r="B4356" t="str">
            <v>TÊ, EM AÇO, CONEXÃO SOLDADA, DN 32 (1 1/4"), INSTALADO EM REDE DE ALIMENTAÇÃO PARA HIDRANTE - FORNECIMENTO E INSTALAÇÃO. AF_12/2015</v>
          </cell>
          <cell r="C4356" t="str">
            <v>UN</v>
          </cell>
          <cell r="D4356">
            <v>68.95</v>
          </cell>
        </row>
        <row r="4357">
          <cell r="A4357">
            <v>97493</v>
          </cell>
          <cell r="B4357" t="str">
            <v>TÊ, EM AÇO, CONEXÃO SOLDADA, DN 40 (1 1/2"), INSTALADO EM REDE DE ALIMENTAÇÃO PARA HIDRANTE - FORNECIMENTO E INSTALAÇÃO. AF_12/2015</v>
          </cell>
          <cell r="C4357" t="str">
            <v>UN</v>
          </cell>
          <cell r="D4357">
            <v>88.66</v>
          </cell>
        </row>
        <row r="4358">
          <cell r="A4358">
            <v>97494</v>
          </cell>
          <cell r="B4358" t="str">
            <v>TÊ, EM AÇO, CONEXÃO SOLDADA, DN 50 (2"), INSTALADO EM REDE DE ALIMENTAÇÃO PARA HIDRANTE - FORNECIMENTO E INSTALAÇÃO. AF_12/2015</v>
          </cell>
          <cell r="C4358" t="str">
            <v>UN</v>
          </cell>
          <cell r="D4358">
            <v>134.84</v>
          </cell>
        </row>
        <row r="4359">
          <cell r="A4359">
            <v>97495</v>
          </cell>
          <cell r="B4359" t="str">
            <v>TÊ, EM AÇO, CONEXÃO SOLDADA, DN 65 (2 1/2"), INSTALADO EM REDE DE ALIMENTAÇÃO PARA HIDRANTE - FORNECIMENTO E INSTALAÇÃO. AF_12/2015</v>
          </cell>
          <cell r="C4359" t="str">
            <v>UN</v>
          </cell>
          <cell r="D4359">
            <v>241.08</v>
          </cell>
        </row>
        <row r="4360">
          <cell r="A4360">
            <v>97496</v>
          </cell>
          <cell r="B4360" t="str">
            <v>TÊ, EM AÇO, CONEXÃO SOLDADA, DN 80 (3"), INSTALADO EM REDE DE ALIMENTAÇÃO PARA HIDRANTE - FORNECIMENTO E INSTALAÇÃO. AF_12/2015</v>
          </cell>
          <cell r="C4360" t="str">
            <v>UN</v>
          </cell>
          <cell r="D4360">
            <v>376.16</v>
          </cell>
        </row>
        <row r="4361">
          <cell r="A4361">
            <v>97499</v>
          </cell>
          <cell r="B4361" t="str">
            <v>LUVA, EM AÇO, CONEXÃO SOLDADA, DN 25 (1"), INSTALADO EM REDE DE ALIMENTAÇÃO PARA SPRINKLER - FORNECIMENTO E INSTALAÇÃO. AF_12/2015</v>
          </cell>
          <cell r="C4361" t="str">
            <v>UN</v>
          </cell>
          <cell r="D4361">
            <v>17.75</v>
          </cell>
        </row>
        <row r="4362">
          <cell r="A4362">
            <v>97500</v>
          </cell>
          <cell r="B4362" t="str">
            <v>LUVA COM REDUÇÃO, EM AÇO, CONEXÃO SOLDADA, DN 25 X 20 MM (1" X 3/4"), INSTALADO EM REDE DE ALIMENTAÇÃO PARA SPRINKLER - FORNECIMENTO E INSTALAÇÃO. AF_12/2015</v>
          </cell>
          <cell r="C4362" t="str">
            <v>UN</v>
          </cell>
          <cell r="D4362">
            <v>14.95</v>
          </cell>
        </row>
        <row r="4363">
          <cell r="A4363">
            <v>97502</v>
          </cell>
          <cell r="B4363" t="str">
            <v>LUVA, EM AÇO, CONEXÃO SOLDADA, DN 32 (1 1/4"), INSTALADO EM REDE DE ALIMENTAÇÃO PARA SPRINKLER - FORNECIMENTO E INSTALAÇÃO. AF_12/2015</v>
          </cell>
          <cell r="C4363" t="str">
            <v>UN</v>
          </cell>
          <cell r="D4363">
            <v>24.32</v>
          </cell>
        </row>
        <row r="4364">
          <cell r="A4364">
            <v>97503</v>
          </cell>
          <cell r="B4364" t="str">
            <v>LUVA COM REDUÇÃO, EM AÇO, CONEXÃO SOLDADA, DN 32 X 25 MM (1 1/4"  X 1"), INSTALADO EM REDE DE ALIMENTAÇÃO PARA SPRINKLER - FORNECIMENTO E INSTALAÇÃO. AF_12/2015</v>
          </cell>
          <cell r="C4364" t="str">
            <v>UN</v>
          </cell>
          <cell r="D4364">
            <v>29.23</v>
          </cell>
        </row>
        <row r="4365">
          <cell r="A4365">
            <v>97505</v>
          </cell>
          <cell r="B4365" t="str">
            <v>LUVA, EM AÇO, CONEXÃO SOLDADA, DN 40 (1 1/2"), INSTALADO EM REDE DE ALIMENTAÇÃO PARA SPRINKLER - FORNECIMENTO E INSTALAÇÃO. AF_12/2015</v>
          </cell>
          <cell r="C4365" t="str">
            <v>UN</v>
          </cell>
          <cell r="D4365">
            <v>30.31</v>
          </cell>
        </row>
        <row r="4366">
          <cell r="A4366">
            <v>97506</v>
          </cell>
          <cell r="B4366" t="str">
            <v>LUVA COM REDUÇÃO, EM AÇO, CONEXÃO SOLDADA, DN 40  X 32 MM (1 1/2" X 1 1/4"), INSTALADO EM REDE DE ALIMENTAÇÃO PARA SPRINKLER - FORNECIMENTO E INSTALAÇÃO. AF_12/2015</v>
          </cell>
          <cell r="C4366" t="str">
            <v>UN</v>
          </cell>
          <cell r="D4366">
            <v>36.35</v>
          </cell>
        </row>
        <row r="4367">
          <cell r="A4367">
            <v>97508</v>
          </cell>
          <cell r="B4367" t="str">
            <v>LUVA, EM AÇO, CONEXÃO SOLDADA, DN 50 (2"), INSTALADO EM REDE DE ALIMENTAÇÃO PARA SPRINKLER - FORNECIMENTO E INSTALAÇÃO. AF_12/2015</v>
          </cell>
          <cell r="C4367" t="str">
            <v>UN</v>
          </cell>
          <cell r="D4367">
            <v>44.08</v>
          </cell>
        </row>
        <row r="4368">
          <cell r="A4368">
            <v>97509</v>
          </cell>
          <cell r="B4368" t="str">
            <v>LUVA COM REDUÇÃO, EM AÇO, CONEXÃO SOLDADA, DN 50 X 40 MM (2" X 1 1/2"), INSTALADO EM REDE DE ALIMENTAÇÃO PARA SPRINKLER - FORNECIMENTO E INSTALAÇÃO. AF_12/2015</v>
          </cell>
          <cell r="C4368" t="str">
            <v>UN</v>
          </cell>
          <cell r="D4368">
            <v>53.64</v>
          </cell>
        </row>
        <row r="4369">
          <cell r="A4369">
            <v>97511</v>
          </cell>
          <cell r="B4369" t="str">
            <v>LUVA, EM AÇO, CONEXÃO SOLDADA, DN 65 (2 1/2"), INSTALADO EM REDE DE ALIMENTAÇÃO PARA SPRINKLER - FORNECIMENTO E INSTALAÇÃO. AF_12/2015</v>
          </cell>
          <cell r="C4369" t="str">
            <v>UN</v>
          </cell>
          <cell r="D4369">
            <v>80.5</v>
          </cell>
        </row>
        <row r="4370">
          <cell r="A4370">
            <v>97512</v>
          </cell>
          <cell r="B4370" t="str">
            <v>LUVA COM REDUÇÃO, EM AÇO, CONEXÃO SOLDADA, DN 65 X 50 MM (2 1/2" X 2"), INSTALADO EM REDE DE ALIMENTAÇÃO PARA SPRINKLER - FORNECIMENTO E INSTALAÇÃO. AF_12/2015</v>
          </cell>
          <cell r="C4370" t="str">
            <v>UN</v>
          </cell>
          <cell r="D4370">
            <v>99.82</v>
          </cell>
        </row>
        <row r="4371">
          <cell r="A4371">
            <v>97514</v>
          </cell>
          <cell r="B4371" t="str">
            <v>LUVA, EM AÇO, CONEXÃO SOLDADA, DN 80 (3"), INSTALADO EM REDE DE ALIMENTAÇÃO PARA SPRINKLER - FORNECIMENTO E INSTALAÇÃO. AF_12/2015</v>
          </cell>
          <cell r="C4371" t="str">
            <v>UN</v>
          </cell>
          <cell r="D4371">
            <v>106.69</v>
          </cell>
        </row>
        <row r="4372">
          <cell r="A4372">
            <v>97515</v>
          </cell>
          <cell r="B4372" t="str">
            <v>LUVA COM REDUÇÃO, EM AÇO, CONEXÃO SOLDADA, DN 80 X 65 MM (3" X 2 1/2"), INSTALADO EM REDE DE ALIMENTAÇÃO PARA SPRINKLER - FORNECIMENTO E INSTALAÇÃO. AF_12/2015</v>
          </cell>
          <cell r="C4372" t="str">
            <v>UN</v>
          </cell>
          <cell r="D4372">
            <v>132.72</v>
          </cell>
        </row>
        <row r="4373">
          <cell r="A4373">
            <v>97517</v>
          </cell>
          <cell r="B4373" t="str">
            <v>CURVA 45 GRAUS, EM AÇO, CONEXÃO SOLDADA, DN 25 (1"), INSTALADO EM REDE DE ALIMENTAÇÃO PARA SPRINKLER - FORNECIMENTO E INSTALAÇÃO. AF_12/2015</v>
          </cell>
          <cell r="C4373" t="str">
            <v>UN</v>
          </cell>
          <cell r="D4373">
            <v>28.57</v>
          </cell>
        </row>
        <row r="4374">
          <cell r="A4374">
            <v>97518</v>
          </cell>
          <cell r="B4374" t="str">
            <v>CURVA 90 GRAUS, EM AÇO, CONEXÃO SOLDADA, DN 25 (1"), INSTALADO EM REDE DE ALIMENTAÇÃO PARA SPRINKLER - FORNECIMENTO E INSTALAÇÃO. AF_12/2015</v>
          </cell>
          <cell r="C4374" t="str">
            <v>UN</v>
          </cell>
          <cell r="D4374">
            <v>28.57</v>
          </cell>
        </row>
        <row r="4375">
          <cell r="A4375">
            <v>97519</v>
          </cell>
          <cell r="B4375" t="str">
            <v>CURVA 45 GRAUS, EM AÇO, CONEXÃO SOLDADA, DN 32 (1 1/4"), INSTALADO EM REDE DE ALIMENTAÇÃO PARA SPRINKLER - FORNECIMENTO E INSTALAÇÃO. AF_12/2015</v>
          </cell>
          <cell r="C4375" t="str">
            <v>UN</v>
          </cell>
          <cell r="D4375">
            <v>39.799999999999997</v>
          </cell>
        </row>
        <row r="4376">
          <cell r="A4376">
            <v>97520</v>
          </cell>
          <cell r="B4376" t="str">
            <v>CURVA 90 GRAUS, EM AÇO, CONEXÃO SOLDADA, DN 32 (1 1/4"), INSTALADO EM REDE DE ALIMENTAÇÃO PARA SPRINKLER - FORNECIMENTO E INSTALAÇÃO. AF_12/2015</v>
          </cell>
          <cell r="C4376" t="str">
            <v>UN</v>
          </cell>
          <cell r="D4376">
            <v>39.799999999999997</v>
          </cell>
        </row>
        <row r="4377">
          <cell r="A4377">
            <v>97521</v>
          </cell>
          <cell r="B4377" t="str">
            <v>CURVA 45 GRAUS, EM AÇO, CONEXÃO SOLDADA, DN 40 (1 1/2"), INSTALADO EM REDE DE ALIMENTAÇÃO PARA SPRINKLER - FORNECIMENTO E INSTALAÇÃO. AF_12/2015</v>
          </cell>
          <cell r="C4377" t="str">
            <v>UN</v>
          </cell>
          <cell r="D4377">
            <v>54.5</v>
          </cell>
        </row>
        <row r="4378">
          <cell r="A4378">
            <v>97522</v>
          </cell>
          <cell r="B4378" t="str">
            <v>CURVA 90 GRAUS, EM AÇO, CONEXÃO SOLDADA, DN 40 (1 1/2"), INSTALADO EM REDE DE ALIMENTAÇÃO PARA SPRINKLER - FORNECIMENTO E INSTALAÇÃO. AF_12/2015</v>
          </cell>
          <cell r="C4378" t="str">
            <v>UN</v>
          </cell>
          <cell r="D4378">
            <v>54.5</v>
          </cell>
        </row>
        <row r="4379">
          <cell r="A4379">
            <v>97523</v>
          </cell>
          <cell r="B4379" t="str">
            <v>CURVA 45 GRAUS, EM AÇO, CONEXÃO SOLDADA, DN 50 (2"), INSTALADO EM REDE DE ALIMENTAÇÃO PARA SPRINKLER - FORNECIMENTO E INSTALAÇÃO. AF_12/2015</v>
          </cell>
          <cell r="C4379" t="str">
            <v>UN</v>
          </cell>
          <cell r="D4379">
            <v>74.05</v>
          </cell>
        </row>
        <row r="4380">
          <cell r="A4380">
            <v>97524</v>
          </cell>
          <cell r="B4380" t="str">
            <v>CURVA 90 GRAUS, EM AÇO, CONEXÃO SOLDADA, DN 50 (2"), INSTALADO EM REDE DE ALIMENTAÇÃO PARA SPRINKLER - FORNECIMENTO E INSTALAÇÃO. AF_12/2015</v>
          </cell>
          <cell r="C4380" t="str">
            <v>UN</v>
          </cell>
          <cell r="D4380">
            <v>79.5</v>
          </cell>
        </row>
        <row r="4381">
          <cell r="A4381">
            <v>97525</v>
          </cell>
          <cell r="B4381" t="str">
            <v>CURVA 45 GRAUS, EM AÇO, CONEXÃO SOLDADA, DN 65 (2 1/2"), INSTALADO EM REDE DE ALIMENTAÇÃO PARA SPRINKLER - FORNECIMENTO E INSTALAÇÃO. AF_12/2015</v>
          </cell>
          <cell r="C4381" t="str">
            <v>UN</v>
          </cell>
          <cell r="D4381">
            <v>136.03</v>
          </cell>
        </row>
        <row r="4382">
          <cell r="A4382">
            <v>97526</v>
          </cell>
          <cell r="B4382" t="str">
            <v>CURVA 90 GRAUS, EM AÇO, CONEXÃO SOLDADA, DN 65 (2 1/2"), INSTALADO EM REDE DE ALIMENTAÇÃO PARA SPRINKLER - FORNECIMENTO E INSTALAÇÃO. AF_12/2015</v>
          </cell>
          <cell r="C4382" t="str">
            <v>UN</v>
          </cell>
          <cell r="D4382">
            <v>144.76</v>
          </cell>
        </row>
        <row r="4383">
          <cell r="A4383">
            <v>97527</v>
          </cell>
          <cell r="B4383" t="str">
            <v>CURVA 45 GRAUS, EM AÇO, CONEXÃO SOLDADA, DN 80 (3"), INSTALADO EM REDE DE ALIMENTAÇÃO PARA SPRINKLER - FORNECIMENTO E INSTALAÇÃO. AF_12/2015</v>
          </cell>
          <cell r="C4383" t="str">
            <v>UN</v>
          </cell>
          <cell r="D4383">
            <v>326.77999999999997</v>
          </cell>
        </row>
        <row r="4384">
          <cell r="A4384">
            <v>97528</v>
          </cell>
          <cell r="B4384" t="str">
            <v>CURVA 90 GRAUS, EM AÇO, CONEXÃO SOLDADA, DN 80 (3"), INSTALADO EM REDE DE ALIMENTAÇÃO PARA SPRINKLER - FORNECIMENTO E INSTALAÇÃO. AF_12/2015</v>
          </cell>
          <cell r="C4384" t="str">
            <v>UN</v>
          </cell>
          <cell r="D4384">
            <v>287.63</v>
          </cell>
        </row>
        <row r="4385">
          <cell r="A4385">
            <v>97529</v>
          </cell>
          <cell r="B4385" t="str">
            <v>TÊ, EM AÇO, CONEXÃO SOLDADA, DN 25 (1"), INSTALADO EM REDE DE ALIMENTAÇÃO PARA SPRINKLER - FORNECIMENTO E INSTALAÇÃO. AF_12/2015</v>
          </cell>
          <cell r="C4385" t="str">
            <v>UN</v>
          </cell>
          <cell r="D4385">
            <v>43.91</v>
          </cell>
        </row>
        <row r="4386">
          <cell r="A4386">
            <v>97530</v>
          </cell>
          <cell r="B4386" t="str">
            <v>TÊ, EM AÇO, CONEXÃO SOLDADA, DN 32 (1 1/4"), INSTALADO EM REDE DE ALIMENTAÇÃO PARA SPRINKLER - FORNECIMENTO E INSTALAÇÃO. AF_12/2015</v>
          </cell>
          <cell r="C4386" t="str">
            <v>UN</v>
          </cell>
          <cell r="D4386">
            <v>62.17</v>
          </cell>
        </row>
        <row r="4387">
          <cell r="A4387">
            <v>97531</v>
          </cell>
          <cell r="B4387" t="str">
            <v>TÊ, EM AÇO, CONEXÃO SOLDADA, DN 40 (1 1/2"), INSTALADO EM REDE DE ALIMENTAÇÃO PARA SPRINKLER - FORNECIMENTO E INSTALAÇÃO. AF_12/2015</v>
          </cell>
          <cell r="C4387" t="str">
            <v>UN</v>
          </cell>
          <cell r="D4387">
            <v>78.540000000000006</v>
          </cell>
        </row>
        <row r="4388">
          <cell r="A4388">
            <v>97532</v>
          </cell>
          <cell r="B4388" t="str">
            <v>TÊ, EM AÇO, CONEXÃO SOLDADA, DN 50 (2"), INSTALADO EM REDE DE ALIMENTAÇÃO PARA SPRINKLER - FORNECIMENTO E INSTALAÇÃO. AF_12/2015</v>
          </cell>
          <cell r="C4388" t="str">
            <v>UN</v>
          </cell>
          <cell r="D4388">
            <v>120.59</v>
          </cell>
        </row>
        <row r="4389">
          <cell r="A4389">
            <v>97533</v>
          </cell>
          <cell r="B4389" t="str">
            <v>TÊ, EM AÇO, CONEXÃO SOLDADA, DN 65 (2 1/2"), INSTALADO EM REDE DE ALIMENTAÇÃO PARA SPRINKLER - FORNECIMENTO E INSTALAÇÃO. AF_12/2015</v>
          </cell>
          <cell r="C4389" t="str">
            <v>UN</v>
          </cell>
          <cell r="D4389">
            <v>223.55</v>
          </cell>
        </row>
        <row r="4390">
          <cell r="A4390">
            <v>97534</v>
          </cell>
          <cell r="B4390" t="str">
            <v>TÊ, EM AÇO, CONEXÃO SOLDADA, DN 80 (3"), INSTALADO EM REDE DE ALIMENTAÇÃO PARA SPRINKLER - FORNECIMENTO E INSTALAÇÃO. AF_12/2015</v>
          </cell>
          <cell r="C4390" t="str">
            <v>UN</v>
          </cell>
          <cell r="D4390">
            <v>349.31</v>
          </cell>
        </row>
        <row r="4391">
          <cell r="A4391">
            <v>97537</v>
          </cell>
          <cell r="B4391" t="str">
            <v>LUVA, EM AÇO, CONEXÃO SOLDADA, DN 15 (1/2"), INSTALADO EM RAMAIS E SUB-RAMAIS DE GÁS - FORNECIMENTO E INSTALAÇÃO. AF_12/2015</v>
          </cell>
          <cell r="C4391" t="str">
            <v>UN</v>
          </cell>
          <cell r="D4391">
            <v>13.84</v>
          </cell>
        </row>
        <row r="4392">
          <cell r="A4392">
            <v>97540</v>
          </cell>
          <cell r="B4392" t="str">
            <v>LUVA, EM AÇO, CONEXÃO SOLDADA, DN 20 (3/4"), INSTALADO EM RAMAIS E SUB-RAMAIS DE GÁS - FORNECIMENTO E INSTALAÇÃO. AF_12/2015</v>
          </cell>
          <cell r="C4392" t="str">
            <v>UN</v>
          </cell>
          <cell r="D4392">
            <v>19.39</v>
          </cell>
        </row>
        <row r="4393">
          <cell r="A4393">
            <v>97541</v>
          </cell>
          <cell r="B4393" t="str">
            <v>LUVA COM REDUÇÃO, EM AÇO, CONEXÃO SOLDADA, DN 20 X 15 MM (3/4 " X 1/2"), INSTALADO EM RAMAIS E SUB-RAMAIS DE GÁS - FORNECIMENTO E INSTALAÇÃO. AF_12/2015</v>
          </cell>
          <cell r="C4393" t="str">
            <v>UN</v>
          </cell>
          <cell r="D4393">
            <v>17.059999999999999</v>
          </cell>
        </row>
        <row r="4394">
          <cell r="A4394">
            <v>97543</v>
          </cell>
          <cell r="B4394" t="str">
            <v>LUVA, EM AÇO, CONEXÃO SOLDADA, DN 25 (1"), INSTALADO EM RAMAIS E SUB-RAMAIS DE GÁS - FORNECIMENTO E INSTALAÇÃO. AF_12/2015</v>
          </cell>
          <cell r="C4394" t="str">
            <v>UN</v>
          </cell>
          <cell r="D4394">
            <v>32.729999999999997</v>
          </cell>
        </row>
        <row r="4395">
          <cell r="A4395">
            <v>97544</v>
          </cell>
          <cell r="B4395" t="str">
            <v>LUVA COM REDUÇÃO, EM AÇO, CONEXÃO SOLDADA, DN 25 X 20 MM (1" X 3/4"), INSTALADO EM RAMAIS E SUB-RAMAIS DE GÁS - FORNECIMENTO E INSTALAÇÃO. AF_12/2015</v>
          </cell>
          <cell r="C4395" t="str">
            <v>UN</v>
          </cell>
          <cell r="D4395">
            <v>29.93</v>
          </cell>
        </row>
        <row r="4396">
          <cell r="A4396">
            <v>97546</v>
          </cell>
          <cell r="B4396" t="str">
            <v>CURVA 45 GRAUS, EM AÇO, CONEXÃO SOLDADA, DN 15 (1/2"), INSTALADO EM RAMAIS E SUB-RAMAIS DE GÁS - FORNECIMENTO E INSTALAÇÃO. AF_12/2015</v>
          </cell>
          <cell r="C4396" t="str">
            <v>UN</v>
          </cell>
          <cell r="D4396">
            <v>19.61</v>
          </cell>
        </row>
        <row r="4397">
          <cell r="A4397">
            <v>97547</v>
          </cell>
          <cell r="B4397" t="str">
            <v>CURVA 90 GRAUS, EM AÇO, CONEXÃO SOLDADA, DN 15 (1/2"), INSTALADO EM RAMAIS E SUB-RAMAIS DE GÁS - FORNECIMENTO E INSTALAÇÃO. AF_12/2015</v>
          </cell>
          <cell r="C4397" t="str">
            <v>UN</v>
          </cell>
          <cell r="D4397">
            <v>19.61</v>
          </cell>
        </row>
        <row r="4398">
          <cell r="A4398">
            <v>97548</v>
          </cell>
          <cell r="B4398" t="str">
            <v>CURVA 45 GRAUS, EM AÇO, CONEXÃO SOLDADA, DN 20 (3/4"), INSTALADO EM RAMAIS E SUB-RAMAIS DE GÁS - FORNECIMENTO E INSTALAÇÃO. AF_12/2015</v>
          </cell>
          <cell r="C4398" t="str">
            <v>UN</v>
          </cell>
          <cell r="D4398">
            <v>29.8</v>
          </cell>
        </row>
        <row r="4399">
          <cell r="A4399">
            <v>97549</v>
          </cell>
          <cell r="B4399" t="str">
            <v>CURVA 90 GRAUS, EM AÇO, CONEXÃO SOLDADA, DN 20 (3/4"), INSTALADO EM RAMAIS E SUB-RAMAIS DE GÁS - FORNECIMENTO E INSTALAÇÃO. AF_12/2015</v>
          </cell>
          <cell r="C4399" t="str">
            <v>UN</v>
          </cell>
          <cell r="D4399">
            <v>29.8</v>
          </cell>
        </row>
        <row r="4400">
          <cell r="A4400">
            <v>97550</v>
          </cell>
          <cell r="B4400" t="str">
            <v>CURVA 45 GRAUS, EM AÇO, CONEXÃO SOLDADA, DN 25 (1"), INSTALADO EM RAMAIS E SUB-RAMAIS DE GÁS - FORNECIMENTO E INSTALAÇÃO. AF_12/2015</v>
          </cell>
          <cell r="C4400" t="str">
            <v>UN</v>
          </cell>
          <cell r="D4400">
            <v>51.06</v>
          </cell>
        </row>
        <row r="4401">
          <cell r="A4401">
            <v>97551</v>
          </cell>
          <cell r="B4401" t="str">
            <v>CURVA 90 GRAUS, EM AÇO, CONEXÃO SOLDADA, DN 25 (1"), INSTALADO EM RAMAIS E SUB-RAMAIS DE GÁS - FORNECIMENTO E INSTALAÇÃO. AF_12/2015</v>
          </cell>
          <cell r="C4401" t="str">
            <v>UN</v>
          </cell>
          <cell r="D4401">
            <v>51.06</v>
          </cell>
        </row>
        <row r="4402">
          <cell r="A4402">
            <v>97552</v>
          </cell>
          <cell r="B4402" t="str">
            <v>TÊ, EM AÇO, CONEXÃO SOLDADA, DN 15 (1/2"), INSTALADO EM RAMAIS E SUB-RAMAIS DE GÁS - FORNECIMENTO E INSTALAÇÃO. AF_12/2015</v>
          </cell>
          <cell r="C4402" t="str">
            <v>UN</v>
          </cell>
          <cell r="D4402">
            <v>28.16</v>
          </cell>
        </row>
        <row r="4403">
          <cell r="A4403">
            <v>97553</v>
          </cell>
          <cell r="B4403" t="str">
            <v>TÊ, EM AÇO, CONEXÃO SOLDADA, DN 20 (3/4"), INSTALADO EM RAMAIS E SUB-RAMAIS DE GÁS - FORNECIMENTO E INSTALAÇÃO. AF_12/2015</v>
          </cell>
          <cell r="C4403" t="str">
            <v>UN</v>
          </cell>
          <cell r="D4403">
            <v>41.76</v>
          </cell>
        </row>
        <row r="4404">
          <cell r="A4404">
            <v>97554</v>
          </cell>
          <cell r="B4404" t="str">
            <v>TÊ, EM AÇO, CONEXÃO SOLDADA, DN 25 (1"), INSTALADO EM RAMAIS E SUB-RAMAIS DE GÁS - FORNECIMENTO E INSTALAÇÃO. AF_12/2015</v>
          </cell>
          <cell r="C4404" t="str">
            <v>UN</v>
          </cell>
          <cell r="D4404">
            <v>73.92</v>
          </cell>
        </row>
        <row r="4405">
          <cell r="A4405">
            <v>98602</v>
          </cell>
          <cell r="B4405" t="str">
            <v>CONECTOR EM BRONZE/LATÃO, DN 22 MM X 1/2", SEM ANEL DE SOLDA, BOLSA X ROSCA F, INSTALADO EM PRUMADA  FORNECIMENTO E INSTALAÇÃO. AF_01/2016</v>
          </cell>
          <cell r="C4405" t="str">
            <v>UN</v>
          </cell>
          <cell r="D4405">
            <v>11.36</v>
          </cell>
        </row>
        <row r="4406">
          <cell r="A4406">
            <v>6171</v>
          </cell>
          <cell r="B4406" t="str">
            <v>TAMPA DE CONCRETO ARMADO 60X60X5CM PARA CAIXA</v>
          </cell>
          <cell r="C4406" t="str">
            <v>UN</v>
          </cell>
          <cell r="D4406">
            <v>23.7</v>
          </cell>
        </row>
        <row r="4407">
          <cell r="A4407" t="str">
            <v>74166/1</v>
          </cell>
          <cell r="B4407" t="str">
            <v>CAIXA DE INSPEÇÃO EM CONCRETO PRÉ-MOLDADO DN 60CM COM TAMPA H= 60CM - FORNECIMENTO E INSTALACAO</v>
          </cell>
          <cell r="C4407" t="str">
            <v>UN</v>
          </cell>
          <cell r="D4407">
            <v>221.21</v>
          </cell>
        </row>
        <row r="4408">
          <cell r="A4408" t="str">
            <v>74166/2</v>
          </cell>
          <cell r="B4408" t="str">
            <v>CAIXA DE INSPECAO EM ANEL DE CONCRETO PRE MOLDADO, COM 950MM DE ALTURA TOTAL. ANEIS COM ESP=50MM, DIAM.=600MM. EXCLUSIVE TAMPAO E ESCAVACAO - FORNECIMENTO E INSTALACAO</v>
          </cell>
          <cell r="C4408" t="str">
            <v>UN</v>
          </cell>
          <cell r="D4408">
            <v>299.88</v>
          </cell>
        </row>
        <row r="4409">
          <cell r="A4409">
            <v>88503</v>
          </cell>
          <cell r="B4409" t="str">
            <v>CAIXA D´ÁGUA EM POLIETILENO, 1000 LITROS, COM ACESSÓRIOS</v>
          </cell>
          <cell r="C4409" t="str">
            <v>UN</v>
          </cell>
          <cell r="D4409">
            <v>651.45000000000005</v>
          </cell>
        </row>
        <row r="4410">
          <cell r="A4410">
            <v>88504</v>
          </cell>
          <cell r="B4410" t="str">
            <v>CAIXA D´AGUA EM POLIETILENO, 500 LITROS, COM ACESSÓRIOS</v>
          </cell>
          <cell r="C4410" t="str">
            <v>UN</v>
          </cell>
          <cell r="D4410">
            <v>534.57000000000005</v>
          </cell>
        </row>
        <row r="4411">
          <cell r="A4411">
            <v>97900</v>
          </cell>
          <cell r="B4411" t="str">
            <v>CAIXA ENTERRADA HIDRÁULICA RETANGULAR EM ALVENARIA COM TIJOLOS CERÂMICOS MACIÇOS, DIMENSÕES INTERNAS: 0,3X0,3X0,3 M PARA REDE DE ESGOTO. AF_05/2018</v>
          </cell>
          <cell r="C4411" t="str">
            <v>UN</v>
          </cell>
          <cell r="D4411">
            <v>141.05000000000001</v>
          </cell>
        </row>
        <row r="4412">
          <cell r="A4412">
            <v>97901</v>
          </cell>
          <cell r="B4412" t="str">
            <v>CAIXA ENTERRADA HIDRÁULICA RETANGULAR EM ALVENARIA COM TIJOLOS CERÂMICOS MACIÇOS, DIMENSÕES INTERNAS: 0,4X0,4X0,4 M PARA REDE DE ESGOTO. AF_05/2018</v>
          </cell>
          <cell r="C4412" t="str">
            <v>UN</v>
          </cell>
          <cell r="D4412">
            <v>224.04</v>
          </cell>
        </row>
        <row r="4413">
          <cell r="A4413">
            <v>97902</v>
          </cell>
          <cell r="B4413" t="str">
            <v>CAIXA ENTERRADA HIDRÁULICA RETANGULAR EM ALVENARIA COM TIJOLOS CERÂMICOS MACIÇOS, DIMENSÕES INTERNAS: 0,6X0,6X0,6 M PARA REDE DE ESGOTO. AF_05/2018</v>
          </cell>
          <cell r="C4413" t="str">
            <v>UN</v>
          </cell>
          <cell r="D4413">
            <v>441.83</v>
          </cell>
        </row>
        <row r="4414">
          <cell r="A4414">
            <v>97903</v>
          </cell>
          <cell r="B4414" t="str">
            <v>CAIXA ENTERRADA HIDRÁULICA RETANGULAR EM ALVENARIA COM TIJOLOS CERÂMICOS MACIÇOS, DIMENSÕES INTERNAS: 0,8X0,8X0,6 M PARA REDE DE ESGOTO. AF_05/2018</v>
          </cell>
          <cell r="C4414" t="str">
            <v>UN</v>
          </cell>
          <cell r="D4414">
            <v>608.92999999999995</v>
          </cell>
        </row>
        <row r="4415">
          <cell r="A4415">
            <v>97904</v>
          </cell>
          <cell r="B4415" t="str">
            <v>CAIXA ENTERRADA HIDRÁULICA RETANGULAR EM ALVENARIA COM TIJOLOS CERÂMICOS MACIÇOS, DIMENSÕES INTERNAS: 1X1X0,6 M PARA REDE DE ESGOTO. AF_05/2018</v>
          </cell>
          <cell r="C4415" t="str">
            <v>UN</v>
          </cell>
          <cell r="D4415">
            <v>717.63</v>
          </cell>
        </row>
        <row r="4416">
          <cell r="A4416">
            <v>97905</v>
          </cell>
          <cell r="B4416" t="str">
            <v>CAIXA ENTERRADA HIDRÁULICA RETANGULAR, EM ALVENARIA COM BLOCOS DE CONCRETO, DIMENSÕES INTERNAS: 0,4X0,4X0,4 M PARA REDE DE ESGOTO. AF_05/2018</v>
          </cell>
          <cell r="C4416" t="str">
            <v>UN</v>
          </cell>
          <cell r="D4416">
            <v>178.95</v>
          </cell>
        </row>
        <row r="4417">
          <cell r="A4417">
            <v>97906</v>
          </cell>
          <cell r="B4417" t="str">
            <v>CAIXA ENTERRADA HIDRÁULICA RETANGULAR, EM ALVENARIA COM BLOCOS DE CONCRETO, DIMENSÕES INTERNAS: 0,6X0,6X0,6 M PARA REDE DE ESGOTO. AF_05/2018</v>
          </cell>
          <cell r="C4417" t="str">
            <v>UN</v>
          </cell>
          <cell r="D4417">
            <v>333.95</v>
          </cell>
        </row>
        <row r="4418">
          <cell r="A4418">
            <v>97907</v>
          </cell>
          <cell r="B4418" t="str">
            <v>CAIXA ENTERRADA HIDRÁULICA RETANGULAR, EM ALVENARIA COM BLOCOS DE CONCRETO, DIMENSÕES INTERNAS: 0,8X0,8X0,6 M PARA REDE DE ESGOTO. AF_05/2018</v>
          </cell>
          <cell r="C4418" t="str">
            <v>UN</v>
          </cell>
          <cell r="D4418">
            <v>471.26</v>
          </cell>
        </row>
        <row r="4419">
          <cell r="A4419">
            <v>97908</v>
          </cell>
          <cell r="B4419" t="str">
            <v>CAIXA ENTERRADA HIDRÁULICA RETANGULAR, EM ALVENARIA COM BLOCOS DE CONCRETO, DIMENSÕES INTERNAS: 1X1X0,6 M PARA REDE DE ESGOTO. AF_05/2018</v>
          </cell>
          <cell r="C4419" t="str">
            <v>UN</v>
          </cell>
          <cell r="D4419">
            <v>554.76</v>
          </cell>
        </row>
        <row r="4420">
          <cell r="A4420">
            <v>98102</v>
          </cell>
          <cell r="B4420" t="str">
            <v>CAIXA DE GORDURA SIMPLES, CIRCULAR, EM CONCRETO PRÉ-MOLDADO, DIÂMETRO INTERNO = 0,4 M, ALTURA INTERNA = 0,4 M. AF_05/2018</v>
          </cell>
          <cell r="C4420" t="str">
            <v>UN</v>
          </cell>
          <cell r="D4420">
            <v>77.73</v>
          </cell>
        </row>
        <row r="4421">
          <cell r="A4421">
            <v>98103</v>
          </cell>
          <cell r="B4421" t="str">
            <v>CAIXA DE GORDURA DUPLA, CIRCULAR, EM CONCRETO PRÉ-MOLDADO, DIÂMETRO INTERNO = 0,6 M, ALTURA INTERNA = 0,6 M. AF_05/2018</v>
          </cell>
          <cell r="C4421" t="str">
            <v>UN</v>
          </cell>
          <cell r="D4421">
            <v>163.36000000000001</v>
          </cell>
        </row>
        <row r="4422">
          <cell r="A4422">
            <v>98104</v>
          </cell>
          <cell r="B4422" t="str">
            <v>CAIXA DE GORDURA SIMPLES (CAPACIDADE: 36L), RETANGULAR, EM ALVENARIA COM TIJOLOS CERÂMICOS MACIÇOS, DIMENSÕES INTERNAS = 0,2X0,4 M, ALTURA INTERNA = 0,8 M. AF_05/2018</v>
          </cell>
          <cell r="C4422" t="str">
            <v>UN</v>
          </cell>
          <cell r="D4422">
            <v>298.83</v>
          </cell>
        </row>
        <row r="4423">
          <cell r="A4423">
            <v>98105</v>
          </cell>
          <cell r="B4423" t="str">
            <v>CAIXA DE GORDURA DUPLA (CAPACIDADE: 126 L), RETANGULAR, EM ALVENARIA COM TIJOLOS CERÂMICOS MACIÇOS, DIMENSÕES INTERNAS = 0,4X0,7 M, ALTURA INTERNA = 0,8 M. AF_05/2018</v>
          </cell>
          <cell r="C4423" t="str">
            <v>UN</v>
          </cell>
          <cell r="D4423">
            <v>516.85</v>
          </cell>
        </row>
        <row r="4424">
          <cell r="A4424">
            <v>98106</v>
          </cell>
          <cell r="B4424" t="str">
            <v>CAIXA DE GORDURA ESPECIAL (CAPACIDADE: 312 L - PARA ATÉ 146 PESSOAS SERVIDAS NO PICO), RETANGULAR, EM ALVENARIA COM TIJOLOS CERÂMICOS MACIÇOS, DIMENSÕES INTERNAS = 0,4X1,2 M, ALTURA INTERNA = 1 M. AF_05/2018</v>
          </cell>
          <cell r="C4424" t="str">
            <v>UN</v>
          </cell>
          <cell r="D4424">
            <v>855.59</v>
          </cell>
        </row>
        <row r="4425">
          <cell r="A4425">
            <v>98107</v>
          </cell>
          <cell r="B4425" t="str">
            <v>CAIXA DE GORDURA SIMPLES (CAPACIDADE: 36 L), RETANGULAR, EM ALVENARIA COM BLOCOS DE CONCRETO, DIMENSÕES INTERNAS = 0,2X0,4 M, ALTURA INTERNA = 0,8 M. AF_05/2018</v>
          </cell>
          <cell r="C4425" t="str">
            <v>UN</v>
          </cell>
          <cell r="D4425">
            <v>214.87</v>
          </cell>
        </row>
        <row r="4426">
          <cell r="A4426">
            <v>98108</v>
          </cell>
          <cell r="B4426" t="str">
            <v>CAIXA DE GORDURA DUPLA (CAPACIDADE: 126 L), RETANGULAR, EM ALVENARIA COM BLOCOS DE CONCRETO, DIMENSÕES INTERNAS = 0,4X0,7 M, ALTURA INTERNA = 0,8 M. AF_05/2018</v>
          </cell>
          <cell r="C4426" t="str">
            <v>UN</v>
          </cell>
          <cell r="D4426">
            <v>381.53</v>
          </cell>
        </row>
        <row r="4427">
          <cell r="A4427">
            <v>99250</v>
          </cell>
          <cell r="B4427" t="str">
            <v>CAIXA ENTERRADA HIDRÁULICA RETANGULAR EM ALVENARIA COM TIJOLOS CERÂMICOS MACIÇOS, DIMENSÕES INTERNAS: 0,3X0,3X0,3 M PARA REDE DE DRENAGEM. AF_05/2018</v>
          </cell>
          <cell r="C4427" t="str">
            <v>UN</v>
          </cell>
          <cell r="D4427">
            <v>138.24</v>
          </cell>
        </row>
        <row r="4428">
          <cell r="A4428">
            <v>99251</v>
          </cell>
          <cell r="B4428" t="str">
            <v>CAIXA ENTERRADA HIDRÁULICA RETANGULAR EM ALVENARIA COM TIJOLOS CERÂMICOS MACIÇOS, DIMENSÕES INTERNAS: 0,4X0,4X0,4 M PARA REDE DE DRENAGEM. AF_05/2018</v>
          </cell>
          <cell r="C4428" t="str">
            <v>UN</v>
          </cell>
          <cell r="D4428">
            <v>219.22</v>
          </cell>
        </row>
        <row r="4429">
          <cell r="A4429">
            <v>99253</v>
          </cell>
          <cell r="B4429" t="str">
            <v>CAIXA ENTERRADA HIDRÁULICA RETANGULAR EM ALVENARIA COM TIJOLOS CERÂMICOS MACIÇOS, DIMENSÕES INTERNAS: 0,6X0,6X0,6 M PARA REDE DE DRENAGEM. AF_05/2018</v>
          </cell>
          <cell r="C4429" t="str">
            <v>UN</v>
          </cell>
          <cell r="D4429">
            <v>431.01</v>
          </cell>
        </row>
        <row r="4430">
          <cell r="A4430">
            <v>99255</v>
          </cell>
          <cell r="B4430" t="str">
            <v>CAIXA ENTERRADA HIDRÁULICA RETANGULAR EM ALVENARIA COM TIJOLOS CERÂMICOS MACIÇOS, DIMENSÕES INTERNAS: 0,8X0,8X0,6 M PARA REDE DE DRENAGEM. AF_05/2018</v>
          </cell>
          <cell r="C4430" t="str">
            <v>UN</v>
          </cell>
          <cell r="D4430">
            <v>594.09</v>
          </cell>
        </row>
        <row r="4431">
          <cell r="A4431">
            <v>99257</v>
          </cell>
          <cell r="B4431" t="str">
            <v>CAIXA ENTERRADA HIDRÁULICA RETANGULAR EM ALVENARIA COM TIJOLOS CERÂMICOS MACIÇOS, DIMENSÕES INTERNAS: 1X1X0,6 M PARA REDE DE DRENAGEM. AF_05/2018</v>
          </cell>
          <cell r="C4431" t="str">
            <v>UN</v>
          </cell>
          <cell r="D4431">
            <v>698.45</v>
          </cell>
        </row>
        <row r="4432">
          <cell r="A4432">
            <v>99258</v>
          </cell>
          <cell r="B4432" t="str">
            <v>CAIXA ENTERRADA HIDRÁULICA RETANGULAR, EM ALVENARIA COM BLOCOS DE CONCRETO, DIMENSÕES INTERNAS: 0,4X0,4X0,4 M PARA REDE DE DRENAGEM. AF_05/2018</v>
          </cell>
          <cell r="C4432" t="str">
            <v>UN</v>
          </cell>
          <cell r="D4432">
            <v>174.97</v>
          </cell>
        </row>
        <row r="4433">
          <cell r="A4433">
            <v>99260</v>
          </cell>
          <cell r="B4433" t="str">
            <v>CAIXA ENTERRADA HIDRÁULICA RETANGULAR, EM ALVENARIA COM BLOCOS DE CONCRETO, DIMENSÕES INTERNAS: 0,6X0,6X0,6 M PARA REDE DE DRENAGEM. AF_05/2018</v>
          </cell>
          <cell r="C4433" t="str">
            <v>UN</v>
          </cell>
          <cell r="D4433">
            <v>327.13</v>
          </cell>
        </row>
        <row r="4434">
          <cell r="A4434">
            <v>99262</v>
          </cell>
          <cell r="B4434" t="str">
            <v>CAIXA ENTERRADA HIDRÁULICA RETANGULAR, EM ALVENARIA COM BLOCOS DE CONCRETO, DIMENSÕES INTERNAS: 0,8X0,8X0,6 M PARA REDE DE DRENAGEM. AF_05/2018</v>
          </cell>
          <cell r="C4434" t="str">
            <v>UN</v>
          </cell>
          <cell r="D4434">
            <v>461.54</v>
          </cell>
        </row>
        <row r="4435">
          <cell r="A4435">
            <v>99264</v>
          </cell>
          <cell r="B4435" t="str">
            <v>CAIXA ENTERRADA HIDRÁULICA RETANGULAR, EM ALVENARIA COM BLOCOS DE CONCRETO, DIMENSÕES INTERNAS: 1X1X0,6 M PARA REDE DE DRENAGEM. AF_05/2018</v>
          </cell>
          <cell r="C4435" t="str">
            <v>UN</v>
          </cell>
          <cell r="D4435">
            <v>541.62</v>
          </cell>
        </row>
        <row r="4436">
          <cell r="A4436">
            <v>89482</v>
          </cell>
          <cell r="B4436" t="str">
            <v>CAIXA SIFONADA, PVC, DN 100 X 100 X 50 MM, FORNECIDA E INSTALADA EM RAMAIS DE ENCAMINHAMENTO DE ÁGUA PLUVIAL. AF_12/2014</v>
          </cell>
          <cell r="C4436" t="str">
            <v>UN</v>
          </cell>
          <cell r="D4436">
            <v>20.72</v>
          </cell>
        </row>
        <row r="4437">
          <cell r="A4437">
            <v>89491</v>
          </cell>
          <cell r="B4437" t="str">
            <v>CAIXA SIFONADA, PVC, DN 150 X 185 X 75 MM, FORNECIDA E INSTALADA EM RAMAIS DE ENCAMINHAMENTO DE ÁGUA PLUVIAL. AF_12/2014</v>
          </cell>
          <cell r="C4437" t="str">
            <v>UN</v>
          </cell>
          <cell r="D4437">
            <v>49.8</v>
          </cell>
        </row>
        <row r="4438">
          <cell r="A4438">
            <v>89495</v>
          </cell>
          <cell r="B4438" t="str">
            <v>RALO SIFONADO, PVC, DN 100 X 40 MM, JUNTA SOLDÁVEL, FORNECIDO E INSTALADO EM RAMAIS DE ENCAMINHAMENTO DE ÁGUA PLUVIAL. AF_12/2014</v>
          </cell>
          <cell r="C4438" t="str">
            <v>UN</v>
          </cell>
          <cell r="D4438">
            <v>7.98</v>
          </cell>
        </row>
        <row r="4439">
          <cell r="A4439">
            <v>89707</v>
          </cell>
          <cell r="B4439" t="str">
            <v>CAIXA SIFONADA, PVC, DN 100 X 100 X 50 MM, JUNTA ELÁSTICA, FORNECIDA E INSTALADA EM RAMAL DE DESCARGA OU EM RAMAL DE ESGOTO SANITÁRIO. AF_12/2014</v>
          </cell>
          <cell r="C4439" t="str">
            <v>UN</v>
          </cell>
          <cell r="D4439">
            <v>25.12</v>
          </cell>
        </row>
        <row r="4440">
          <cell r="A4440">
            <v>89708</v>
          </cell>
          <cell r="B4440" t="str">
            <v>CAIXA SIFONADA, PVC, DN 150 X 185 X 75 MM, JUNTA ELÁSTICA, FORNECIDA E INSTALADA EM RAMAL DE DESCARGA OU EM RAMAL DE ESGOTO SANITÁRIO. AF_12/2014</v>
          </cell>
          <cell r="C4440" t="str">
            <v>UN</v>
          </cell>
          <cell r="D4440">
            <v>55.62</v>
          </cell>
        </row>
        <row r="4441">
          <cell r="A4441">
            <v>89709</v>
          </cell>
          <cell r="B4441" t="str">
            <v>RALO SIFONADO, PVC, DN 100 X 40 MM, JUNTA SOLDÁVEL, FORNECIDO E INSTALADO EM RAMAL DE DESCARGA OU EM RAMAL DE ESGOTO SANITÁRIO. AF_12/2014</v>
          </cell>
          <cell r="C4441" t="str">
            <v>UN</v>
          </cell>
          <cell r="D4441">
            <v>9.24</v>
          </cell>
        </row>
        <row r="4442">
          <cell r="A4442">
            <v>89710</v>
          </cell>
          <cell r="B4442" t="str">
            <v>RALO SECO, PVC, DN 100 X 40 MM, JUNTA SOLDÁVEL, FORNECIDO E INSTALADO EM RAMAL DE DESCARGA OU EM RAMAL DE ESGOTO SANITÁRIO. AF_12/2014</v>
          </cell>
          <cell r="C4442" t="str">
            <v>UN</v>
          </cell>
          <cell r="D4442">
            <v>9.06</v>
          </cell>
        </row>
        <row r="4443">
          <cell r="A4443">
            <v>72739</v>
          </cell>
          <cell r="B4443" t="str">
            <v>VASO SANITARIO INFANTIL SIFONADO, PARA VALVULA DE DESCARGA, EM LOUCA BRANCA, COM ACESSORIOS, INCLUSIVE ASSENTO PLASTICO, BOLSA DE BORRACHA PARA LIGACAO, TUBO PVC LIGACAO - FORNECIMENTO E INSTALACAO</v>
          </cell>
          <cell r="C4443" t="str">
            <v>UN</v>
          </cell>
          <cell r="D4443">
            <v>443.68</v>
          </cell>
        </row>
        <row r="4444">
          <cell r="A4444" t="str">
            <v>74234/1</v>
          </cell>
          <cell r="B4444" t="str">
            <v>MICTORIO SIFONADO DE LOUCA BRANCA COM PERTENCES, COM REGISTRO DE PRESSAO 1/2" COM CANOPLA CROMADA ACABAMENTO SIMPLES E CONJUNTO PARA FIXACAO  - FORNECIMENTO E INSTALACAO</v>
          </cell>
          <cell r="C4444" t="str">
            <v>UN</v>
          </cell>
          <cell r="D4444">
            <v>467.74</v>
          </cell>
        </row>
        <row r="4445">
          <cell r="A4445">
            <v>86872</v>
          </cell>
          <cell r="B4445" t="str">
            <v>TANQUE DE LOUÇA BRANCA COM COLUNA, 30L OU EQUIVALENTE - FORNECIMENTO E INSTALAÇÃO. AF_12/2013</v>
          </cell>
          <cell r="C4445" t="str">
            <v>UN</v>
          </cell>
          <cell r="D4445">
            <v>608.13</v>
          </cell>
        </row>
        <row r="4446">
          <cell r="A4446">
            <v>86874</v>
          </cell>
          <cell r="B4446" t="str">
            <v>TANQUE DE LOUÇA BRANCA SUSPENSO, 18L OU EQUIVALENTE - FORNECIMENTO E INSTALAÇÃO. AF_12/2013</v>
          </cell>
          <cell r="C4446" t="str">
            <v>UN</v>
          </cell>
          <cell r="D4446">
            <v>373.13</v>
          </cell>
        </row>
        <row r="4447">
          <cell r="A4447">
            <v>86875</v>
          </cell>
          <cell r="B4447" t="str">
            <v>TANQUE DE MÁRMORE SINTÉTICO COM COLUNA, 22L OU EQUIVALENTE  FORNECIMENTO E INSTALAÇÃO. AF_12/2013</v>
          </cell>
          <cell r="C4447" t="str">
            <v>UN</v>
          </cell>
          <cell r="D4447">
            <v>341.41</v>
          </cell>
        </row>
        <row r="4448">
          <cell r="A4448">
            <v>86876</v>
          </cell>
          <cell r="B4448" t="str">
            <v>TANQUE DE MÁRMORE SINTÉTICO SUSPENSO, 22L OU EQUIVALENTE - FORNECIMENTO E INSTALAÇÃO. AF_12/2013</v>
          </cell>
          <cell r="C4448" t="str">
            <v>UN</v>
          </cell>
          <cell r="D4448">
            <v>197.64</v>
          </cell>
        </row>
        <row r="4449">
          <cell r="A4449">
            <v>86877</v>
          </cell>
          <cell r="B4449" t="str">
            <v>VÁLVULA EM METAL CROMADO 1.1/2" X 1.1/2" PARA TANQUE OU LAVATÓRIO, COM OU SEM LADRÃO - FORNECIMENTO E INSTALAÇÃO. AF_12/2013</v>
          </cell>
          <cell r="C4449" t="str">
            <v>UN</v>
          </cell>
          <cell r="D4449">
            <v>25.1</v>
          </cell>
        </row>
        <row r="4450">
          <cell r="A4450">
            <v>86878</v>
          </cell>
          <cell r="B4450" t="str">
            <v>VÁLVULA EM METAL CROMADO TIPO AMERICANA 3.1/2" X 1.1/2" PARA PIA - FORNECIMENTO E INSTALAÇÃO. AF_12/2013</v>
          </cell>
          <cell r="C4450" t="str">
            <v>UN</v>
          </cell>
          <cell r="D4450">
            <v>51.26</v>
          </cell>
        </row>
        <row r="4451">
          <cell r="A4451">
            <v>86879</v>
          </cell>
          <cell r="B4451" t="str">
            <v>VÁLVULA EM PLÁSTICO 1" PARA PIA, TANQUE OU LAVATÓRIO, COM OU SEM LADRÃO - FORNECIMENTO E INSTALAÇÃO. AF_12/2013</v>
          </cell>
          <cell r="C4451" t="str">
            <v>UN</v>
          </cell>
          <cell r="D4451">
            <v>6.3</v>
          </cell>
        </row>
        <row r="4452">
          <cell r="A4452">
            <v>86880</v>
          </cell>
          <cell r="B4452" t="str">
            <v>VÁLVULA EM PLÁSTICO CROMADO TIPO AMERICANA 3.1/2" X 1.1/2" SEM ADAPTADOR PARA PIA - FORNECIMENTO E INSTALAÇÃO. AF_12/2013</v>
          </cell>
          <cell r="C4452" t="str">
            <v>UN</v>
          </cell>
          <cell r="D4452">
            <v>18.260000000000002</v>
          </cell>
        </row>
        <row r="4453">
          <cell r="A4453">
            <v>86881</v>
          </cell>
          <cell r="B4453" t="str">
            <v>SIFÃO DO TIPO GARRAFA EM METAL CROMADO 1 X 1.1/2" - FORNECIMENTO E INSTALAÇÃO. AF_12/2013</v>
          </cell>
          <cell r="C4453" t="str">
            <v>UN</v>
          </cell>
          <cell r="D4453">
            <v>144.29</v>
          </cell>
        </row>
        <row r="4454">
          <cell r="A4454">
            <v>86882</v>
          </cell>
          <cell r="B4454" t="str">
            <v>SIFÃO DO TIPO GARRAFA/COPO EM PVC 1.1/4 X 1.1/2" - FORNECIMENTO E INSTALAÇÃO. AF_12/2013</v>
          </cell>
          <cell r="C4454" t="str">
            <v>UN</v>
          </cell>
          <cell r="D4454">
            <v>18.86</v>
          </cell>
        </row>
        <row r="4455">
          <cell r="A4455">
            <v>86883</v>
          </cell>
          <cell r="B4455" t="str">
            <v>SIFÃO DO TIPO FLEXÍVEL EM PVC 1 X 1.1/2 - FORNECIMENTO E INSTALAÇÃO. AF_12/2013</v>
          </cell>
          <cell r="C4455" t="str">
            <v>UN</v>
          </cell>
          <cell r="D4455">
            <v>10.75</v>
          </cell>
        </row>
        <row r="4456">
          <cell r="A4456">
            <v>86884</v>
          </cell>
          <cell r="B4456" t="str">
            <v>ENGATE FLEXÍVEL EM PLÁSTICO BRANCO, 1/2" X 30CM - FORNECIMENTO E INSTALAÇÃO. AF_12/2013</v>
          </cell>
          <cell r="C4456" t="str">
            <v>UN</v>
          </cell>
          <cell r="D4456">
            <v>7.73</v>
          </cell>
        </row>
        <row r="4457">
          <cell r="A4457">
            <v>86885</v>
          </cell>
          <cell r="B4457" t="str">
            <v>ENGATE FLEXÍVEL EM PLÁSTICO BRANCO, 1/2" X 40CM - FORNECIMENTO E INSTALAÇÃO. AF_12/2013</v>
          </cell>
          <cell r="C4457" t="str">
            <v>UN</v>
          </cell>
          <cell r="D4457">
            <v>10.29</v>
          </cell>
        </row>
        <row r="4458">
          <cell r="A4458">
            <v>86886</v>
          </cell>
          <cell r="B4458" t="str">
            <v>ENGATE FLEXÍVEL EM INOX, 1/2 X 30CM - FORNECIMENTO E INSTALAÇÃO. AF_12/2013</v>
          </cell>
          <cell r="C4458" t="str">
            <v>UN</v>
          </cell>
          <cell r="D4458">
            <v>35.380000000000003</v>
          </cell>
        </row>
        <row r="4459">
          <cell r="A4459">
            <v>86887</v>
          </cell>
          <cell r="B4459" t="str">
            <v>ENGATE FLEXÍVEL EM INOX, 1/2 X 40CM - FORNECIMENTO E INSTALAÇÃO. AF_12/2013</v>
          </cell>
          <cell r="C4459" t="str">
            <v>UN</v>
          </cell>
          <cell r="D4459">
            <v>38.35</v>
          </cell>
        </row>
        <row r="4460">
          <cell r="A4460">
            <v>86888</v>
          </cell>
          <cell r="B4460" t="str">
            <v>VASO SANITÁRIO SIFONADO COM CAIXA ACOPLADA LOUÇA BRANCA - FORNECIMENTO E INSTALAÇÃO. AF_12/2013</v>
          </cell>
          <cell r="C4460" t="str">
            <v>UN</v>
          </cell>
          <cell r="D4460">
            <v>358.48</v>
          </cell>
        </row>
        <row r="4461">
          <cell r="A4461">
            <v>86889</v>
          </cell>
          <cell r="B4461" t="str">
            <v>BANCADA DE GRANITO CINZA POLIDO PARA PIA DE COZINHA 1,50 X 0,60 M - FORNECIMENTO E INSTALAÇÃO. AF_12/2013</v>
          </cell>
          <cell r="C4461" t="str">
            <v>UN</v>
          </cell>
          <cell r="D4461">
            <v>573.86</v>
          </cell>
        </row>
        <row r="4462">
          <cell r="A4462">
            <v>86893</v>
          </cell>
          <cell r="B4462" t="str">
            <v>BANCADA DE MÁRMORE BRANCO POLIDO PARA PIA DE COZINHA 1,50 X 0,60 M - FORNECIMENTO E INSTALAÇÃO. AF_12/2013</v>
          </cell>
          <cell r="C4462" t="str">
            <v>UN</v>
          </cell>
          <cell r="D4462">
            <v>455.8</v>
          </cell>
        </row>
        <row r="4463">
          <cell r="A4463">
            <v>86894</v>
          </cell>
          <cell r="B4463" t="str">
            <v>BANCADA DE MÁRMORE SINTÉTICO 120 X 60CM, COM CUBA INTEGRADA - FORNECIMENTO E INSTALAÇÃO. AF_12/2013</v>
          </cell>
          <cell r="C4463" t="str">
            <v>UN</v>
          </cell>
          <cell r="D4463">
            <v>233.17</v>
          </cell>
        </row>
        <row r="4464">
          <cell r="A4464">
            <v>86895</v>
          </cell>
          <cell r="B4464" t="str">
            <v>BANCADA DE GRANITO CINZA POLIDO PARA LAVATÓRIO 0,50 X 0,60 M - FORNECIMENTO E INSTALAÇÃO. AF_12/2013</v>
          </cell>
          <cell r="C4464" t="str">
            <v>UN</v>
          </cell>
          <cell r="D4464">
            <v>284.45999999999998</v>
          </cell>
        </row>
        <row r="4465">
          <cell r="A4465">
            <v>86899</v>
          </cell>
          <cell r="B4465" t="str">
            <v>BANCADA DE MÁRMORE BRANCO POLIDO PARA LAVATÓRIO 0,50 X 0,60 M - FORNECIMENTO E INSTALAÇÃO. AF_12/2013</v>
          </cell>
          <cell r="C4465" t="str">
            <v>UN</v>
          </cell>
          <cell r="D4465">
            <v>240.17</v>
          </cell>
        </row>
        <row r="4466">
          <cell r="A4466">
            <v>86900</v>
          </cell>
          <cell r="B4466" t="str">
            <v>CUBA DE EMBUTIR DE AÇO INOXIDÁVEL MÉDIA - FORNECIMENTO E INSTALAÇÃO. AF_12/2013</v>
          </cell>
          <cell r="C4466" t="str">
            <v>UN</v>
          </cell>
          <cell r="D4466">
            <v>147.57</v>
          </cell>
        </row>
        <row r="4467">
          <cell r="A4467">
            <v>86901</v>
          </cell>
          <cell r="B4467" t="str">
            <v>CUBA DE EMBUTIR OVAL EM LOUÇA BRANCA, 35 X 50CM OU EQUIVALENTE - FORNECIMENTO E INSTALAÇÃO. AF_12/2013</v>
          </cell>
          <cell r="C4467" t="str">
            <v>UN</v>
          </cell>
          <cell r="D4467">
            <v>106.87</v>
          </cell>
        </row>
        <row r="4468">
          <cell r="A4468">
            <v>86902</v>
          </cell>
          <cell r="B4468" t="str">
            <v>LAVATÓRIO LOUÇA BRANCA COM COLUNA, *44 X 35,5* CM, PADRÃO POPULAR - FORNECIMENTO E INSTALAÇÃO. AF_12/2013</v>
          </cell>
          <cell r="C4468" t="str">
            <v>UN</v>
          </cell>
          <cell r="D4468">
            <v>222.25</v>
          </cell>
        </row>
        <row r="4469">
          <cell r="A4469">
            <v>86903</v>
          </cell>
          <cell r="B4469" t="str">
            <v>LAVATÓRIO LOUÇA BRANCA COM COLUNA, 45 X 55CM OU EQUIVALENTE, PADRÃO MÉDIO - FORNECIMENTO E INSTALAÇÃO. AF_12/2013</v>
          </cell>
          <cell r="C4469" t="str">
            <v>UN</v>
          </cell>
          <cell r="D4469">
            <v>287.86</v>
          </cell>
        </row>
        <row r="4470">
          <cell r="A4470">
            <v>86904</v>
          </cell>
          <cell r="B4470" t="str">
            <v>LAVATÓRIO LOUÇA BRANCA SUSPENSO, 29,5 X 39CM OU EQUIVALENTE, PADRÃO POPULAR - FORNECIMENTO E INSTALAÇÃO. AF_12/2013</v>
          </cell>
          <cell r="C4470" t="str">
            <v>UN</v>
          </cell>
          <cell r="D4470">
            <v>110.98</v>
          </cell>
        </row>
        <row r="4471">
          <cell r="A4471">
            <v>86905</v>
          </cell>
          <cell r="B4471" t="str">
            <v>APARELHO MISTURADOR DE MESA PARA LAVATÓRIO, PADRÃO MÉDIO - FORNECIMENTO E INSTALAÇÃO. AF_12/2013</v>
          </cell>
          <cell r="C4471" t="str">
            <v>UN</v>
          </cell>
          <cell r="D4471">
            <v>206.86</v>
          </cell>
        </row>
        <row r="4472">
          <cell r="A4472">
            <v>86906</v>
          </cell>
          <cell r="B4472" t="str">
            <v>TORNEIRA CROMADA DE MESA, 1/2" OU 3/4", PARA LAVATÓRIO, PADRÃO POPULAR - FORNECIMENTO E INSTALAÇÃO. AF_12/2013</v>
          </cell>
          <cell r="C4472" t="str">
            <v>UN</v>
          </cell>
          <cell r="D4472">
            <v>48.37</v>
          </cell>
        </row>
        <row r="4473">
          <cell r="A4473">
            <v>86908</v>
          </cell>
          <cell r="B4473" t="str">
            <v>APARELHO MISTURADOR DE MESA PARA PIA DE COZINHA, PADRÃO MÉDIO - FORNECIMENTO E INSTALAÇÃO. AF_12/2013</v>
          </cell>
          <cell r="C4473" t="str">
            <v>UN</v>
          </cell>
          <cell r="D4473">
            <v>247.72</v>
          </cell>
        </row>
        <row r="4474">
          <cell r="A4474">
            <v>86909</v>
          </cell>
          <cell r="B4474" t="str">
            <v>TORNEIRA CROMADA TUBO MÓVEL, DE MESA, 1/2" OU 3/4", PARA PIA DE COZINHA, PADRÃO ALTO - FORNECIMENTO E INSTALAÇÃO. AF_12/2013</v>
          </cell>
          <cell r="C4474" t="str">
            <v>UN</v>
          </cell>
          <cell r="D4474">
            <v>96.61</v>
          </cell>
        </row>
        <row r="4475">
          <cell r="A4475">
            <v>86910</v>
          </cell>
          <cell r="B4475" t="str">
            <v>TORNEIRA CROMADA TUBO MÓVEL, DE PAREDE, 1/2" OU 3/4", PARA PIA DE COZINHA, PADRÃO MÉDIO - FORNECIMENTO E INSTALAÇÃO. AF_12/2013</v>
          </cell>
          <cell r="C4475" t="str">
            <v>UN</v>
          </cell>
          <cell r="D4475">
            <v>92.44</v>
          </cell>
        </row>
        <row r="4476">
          <cell r="A4476">
            <v>86911</v>
          </cell>
          <cell r="B4476" t="str">
            <v>TORNEIRA CROMADA LONGA, DE PAREDE, 1/2" OU 3/4", PARA PIA DE COZINHA, PADRÃO POPULAR - FORNECIMENTO E INSTALAÇÃO. AF_12/2013</v>
          </cell>
          <cell r="C4476" t="str">
            <v>UN</v>
          </cell>
          <cell r="D4476">
            <v>41.09</v>
          </cell>
        </row>
        <row r="4477">
          <cell r="A4477">
            <v>86912</v>
          </cell>
          <cell r="B4477" t="str">
            <v>TORNEIRA CROMADA LONGA, DE PAREDE, 1/2" OU 3/4", PARA PIA DE COZINHA, PADRÃO MÉDIO - FORNECIMENTO E INSTALAÇÃO. AF_12/2013</v>
          </cell>
          <cell r="C4477" t="str">
            <v>UN</v>
          </cell>
          <cell r="D4477">
            <v>41.09</v>
          </cell>
        </row>
        <row r="4478">
          <cell r="A4478">
            <v>86913</v>
          </cell>
          <cell r="B4478" t="str">
            <v>TORNEIRA CROMADA 1/2" OU 3/4" PARA TANQUE, PADRÃO POPULAR - FORNECIMENTO E INSTALAÇÃO. AF_12/2013</v>
          </cell>
          <cell r="C4478" t="str">
            <v>UN</v>
          </cell>
          <cell r="D4478">
            <v>18.45</v>
          </cell>
        </row>
        <row r="4479">
          <cell r="A4479">
            <v>86914</v>
          </cell>
          <cell r="B4479" t="str">
            <v>TORNEIRA CROMADA 1/2" OU 3/4" PARA TANQUE, PADRÃO MÉDIO - FORNECIMENTO E INSTALAÇÃO. AF_12/2013</v>
          </cell>
          <cell r="C4479" t="str">
            <v>UN</v>
          </cell>
          <cell r="D4479">
            <v>37.39</v>
          </cell>
        </row>
        <row r="4480">
          <cell r="A4480">
            <v>86915</v>
          </cell>
          <cell r="B4480" t="str">
            <v>TORNEIRA CROMADA DE MESA, 1/2" OU 3/4", PARA LAVATÓRIO, PADRÃO MÉDIO - FORNECIMENTO E INSTALAÇÃO. AF_12/2013</v>
          </cell>
          <cell r="C4480" t="str">
            <v>UN</v>
          </cell>
          <cell r="D4480">
            <v>81.319999999999993</v>
          </cell>
        </row>
        <row r="4481">
          <cell r="A4481">
            <v>86916</v>
          </cell>
          <cell r="B4481" t="str">
            <v>TORNEIRA PLÁSTICA 3/4" PARA TANQUE - FORNECIMENTO E INSTALAÇÃO. AF_12/2013</v>
          </cell>
          <cell r="C4481" t="str">
            <v>UN</v>
          </cell>
          <cell r="D4481">
            <v>32.11</v>
          </cell>
        </row>
        <row r="4482">
          <cell r="A4482">
            <v>86919</v>
          </cell>
          <cell r="B4482" t="str">
            <v>TANQUE DE LOUÇA BRANCA COM COLUNA, 30L OU EQUIVALENTE, INCLUSO SIFÃO FLEXÍVEL EM PVC, VÁLVULA METÁLICA E TORNEIRA DE METAL CROMADO PADRÃO MÉDIO - FORNECIMENTO E INSTALAÇÃO. AF_12/2013</v>
          </cell>
          <cell r="C4482" t="str">
            <v>UN</v>
          </cell>
          <cell r="D4482">
            <v>681.37</v>
          </cell>
        </row>
        <row r="4483">
          <cell r="A4483">
            <v>86920</v>
          </cell>
          <cell r="B4483" t="str">
            <v>TANQUE DE LOUÇA BRANCA COM COLUNA, 30L OU EQUIVALENTE, INCLUSO SIFÃO FLEXÍVEL EM PVC, VÁLVULA PLÁSTICA E TORNEIRA DE METAL CROMADO PADRÃO POPULAR - FORNECIMENTO E INSTALAÇÃO. AF_12/2013</v>
          </cell>
          <cell r="C4483" t="str">
            <v>UN</v>
          </cell>
          <cell r="D4483">
            <v>643.63</v>
          </cell>
        </row>
        <row r="4484">
          <cell r="A4484">
            <v>86921</v>
          </cell>
          <cell r="B4484" t="str">
            <v>TANQUE DE LOUÇA BRANCA COM COLUNA, 30L OU EQUIVALENTE, INCLUSO SIFÃO FLEXÍVEL EM PVC, VÁLVULA PLÁSTICA E TORNEIRA DE PLÁSTICO - FORNECIMENTO E INSTALAÇÃO. AF_12/2013</v>
          </cell>
          <cell r="C4484" t="str">
            <v>UN</v>
          </cell>
          <cell r="D4484">
            <v>657.29</v>
          </cell>
        </row>
        <row r="4485">
          <cell r="A4485">
            <v>86922</v>
          </cell>
          <cell r="B4485" t="str">
            <v>TANQUE DE LOUÇA BRANCA SUSPENSO, 18L OU EQUIVALENTE, INCLUSO SIFÃO TIPO GARRAFA EM METAL CROMADO, VÁLVULA METÁLICA E TORNEIRA DE METAL CROMADO PADRÃO MÉDIO - FORNECIMENTO E INSTALAÇÃO. AF_12/2013</v>
          </cell>
          <cell r="C4485" t="str">
            <v>UN</v>
          </cell>
          <cell r="D4485">
            <v>579.91</v>
          </cell>
        </row>
        <row r="4486">
          <cell r="A4486">
            <v>86923</v>
          </cell>
          <cell r="B4486" t="str">
            <v>TANQUE DE LOUÇA BRANCA SUSPENSO, 18L OU EQUIVALENTE, INCLUSO SIFÃO TIPO GARRAFA EM PVC, VÁLVULA PLÁSTICA E TORNEIRA DE METAL CROMADO PADRÃO POPULAR - FORNECIMENTO E INSTALAÇÃO. AF_12/2013</v>
          </cell>
          <cell r="C4486" t="str">
            <v>UN</v>
          </cell>
          <cell r="D4486">
            <v>416.74</v>
          </cell>
        </row>
        <row r="4487">
          <cell r="A4487">
            <v>86924</v>
          </cell>
          <cell r="B4487" t="str">
            <v>TANQUE DE LOUÇA BRANCA SUSPENSO, 18L OU EQUIVALENTE, INCLUSO SIFÃO TIPO GARRAFA EM PVC, VÁLVULA PLÁSTICA E TORNEIRA DE PLÁSTICO - FORNECIMENTO E INSTALAÇÃO. AF_12/2013</v>
          </cell>
          <cell r="C4487" t="str">
            <v>UN</v>
          </cell>
          <cell r="D4487">
            <v>430.4</v>
          </cell>
        </row>
        <row r="4488">
          <cell r="A4488">
            <v>86925</v>
          </cell>
          <cell r="B4488" t="str">
            <v>TANQUE DE MÁRMORE SINTÉTICO COM COLUNA, 22L OU EQUIVALENTE, INCLUSO SIFÃO FLEXÍVEL EM PVC, VÁLVULA PLÁSTICA E TORNEIRA DE METAL CROMADO PADRÃO POPULAR - FORNECIMENTO E INSTALAÇÃO. AF_12/2013</v>
          </cell>
          <cell r="C4488" t="str">
            <v>UN</v>
          </cell>
          <cell r="D4488">
            <v>376.91</v>
          </cell>
        </row>
        <row r="4489">
          <cell r="A4489">
            <v>86926</v>
          </cell>
          <cell r="B4489" t="str">
            <v>TANQUE DE MÁRMORE SINTÉTICO COM COLUNA, 22L OU EQUIVALENTE, INCLUSO SIFÃO FLEXÍVEL EM PVC, VÁLVULA PLÁSTICA E TORNEIRA DE PLÁSTICO - FORNECIMENTO E INSTALAÇÃO. AF_12/2013</v>
          </cell>
          <cell r="C4489" t="str">
            <v>UN</v>
          </cell>
          <cell r="D4489">
            <v>390.57</v>
          </cell>
        </row>
        <row r="4490">
          <cell r="A4490">
            <v>86927</v>
          </cell>
          <cell r="B4490" t="str">
            <v>TANQUE DE MÁRMORE SINTÉTICO SUSPENSO, 22L OU EQUIVALENTE, INCLUSO SIFÃO TIPO GARRAFA EM PVC, VÁLVULA PLÁSTICA E TORNEIRA DE METAL CROMADO PADRÃO POPULAR - FORNECIMENTO E INSTALAÇÃO. AF_12/2013</v>
          </cell>
          <cell r="C4490" t="str">
            <v>UN</v>
          </cell>
          <cell r="D4490">
            <v>241.25</v>
          </cell>
        </row>
        <row r="4491">
          <cell r="A4491">
            <v>86928</v>
          </cell>
          <cell r="B4491" t="str">
            <v>TANQUE DE MÁRMORE SINTÉTICO SUSPENSO, 22L OU EQUIVALENTE, INCLUSO SIFÃO TIPO GARRAFA EM PVC, VÁLVULA PLÁSTICA E TORNEIRA DE PLÁSTICO - FORNECIMENTO E INSTALAÇÃO. AF_12/2013</v>
          </cell>
          <cell r="C4491" t="str">
            <v>UN</v>
          </cell>
          <cell r="D4491">
            <v>254.91</v>
          </cell>
        </row>
        <row r="4492">
          <cell r="A4492">
            <v>86929</v>
          </cell>
          <cell r="B4492" t="str">
            <v>TANQUE DE MÁRMORE SINTÉTICO SUSPENSO, 22L OU EQUIVALENTE, INCLUSO SIFÃO FLEXÍVEL EM PVC, VÁLVULA PLÁSTICA E TORNEIRA DE METAL CROMADO PADRÃO POPULAR - FORNECIMENTO E INSTALAÇÃO. AF_12/2013</v>
          </cell>
          <cell r="C4492" t="str">
            <v>UN</v>
          </cell>
          <cell r="D4492">
            <v>233.14</v>
          </cell>
        </row>
        <row r="4493">
          <cell r="A4493">
            <v>86930</v>
          </cell>
          <cell r="B4493" t="str">
            <v>TANQUE DE MÁRMORE SINTÉTICO SUSPENSO, 22L OU EQUIVALENTE, INCLUSO SIFÃO FLEXÍVEL EM PVC, VÁLVULA PLÁSTICA E TORNEIRA DE PLÁSTICO - FORNECIMENTO E INSTALAÇÃO. AF_12/2013</v>
          </cell>
          <cell r="C4493" t="str">
            <v>UN</v>
          </cell>
          <cell r="D4493">
            <v>246.8</v>
          </cell>
        </row>
        <row r="4494">
          <cell r="A4494">
            <v>86931</v>
          </cell>
          <cell r="B4494" t="str">
            <v>VASO SANITÁRIO SIFONADO COM CAIXA ACOPLADA LOUÇA BRANCA, INCLUSO ENGATE FLEXÍVEL EM PLÁSTICO BRANCO, 1/2  X 40CM - FORNECIMENTO E INSTALAÇÃO. AF_12/2013</v>
          </cell>
          <cell r="C4494" t="str">
            <v>UN</v>
          </cell>
          <cell r="D4494">
            <v>368.77</v>
          </cell>
        </row>
        <row r="4495">
          <cell r="A4495">
            <v>86932</v>
          </cell>
          <cell r="B4495" t="str">
            <v>VASO SANITÁRIO SIFONADO COM CAIXA ACOPLADA LOUÇA BRANCA - PADRÃO MÉDIO, INCLUSO ENGATE FLEXÍVEL EM METAL CROMADO, 1/2 X 40CM - FORNECIMENTO E INSTALAÇÃO. AF_12/2013</v>
          </cell>
          <cell r="C4495" t="str">
            <v>UN</v>
          </cell>
          <cell r="D4495">
            <v>396.83</v>
          </cell>
        </row>
        <row r="4496">
          <cell r="A4496">
            <v>86933</v>
          </cell>
          <cell r="B4496" t="str">
            <v>BANCADA DE MÁRMORE SINTÉTICO 120 X 60CM, COM CUBA INTEGRADA, INCLUSO SIFÃO TIPO GARRAFA EM PVC, VÁLVULA EM PLÁSTICO CROMADO TIPO AMERICANA E TORNEIRA CROMADA LONGA, DE PAREDE, PADRÃO POPULAR - FORNECIMENTO E INSTALAÇÃO. AF_12/2013</v>
          </cell>
          <cell r="C4496" t="str">
            <v>UN</v>
          </cell>
          <cell r="D4496">
            <v>311.38</v>
          </cell>
        </row>
        <row r="4497">
          <cell r="A4497">
            <v>86934</v>
          </cell>
          <cell r="B4497" t="str">
            <v>BANCADA DE MÁRMORE SINTÉTICO 120 X 60CM, COM CUBA INTEGRADA, INCLUSO SIFÃO TIPO FLEXÍVEL EM PVC, VÁLVULA EM PLÁSTICO CROMADO TIPO AMERICANA E TORNEIRA CROMADA LONGA, DE PAREDE, PADRÃO POPULAR - FORNECIMENTO E INSTALAÇÃO. AF_12/2013</v>
          </cell>
          <cell r="C4497" t="str">
            <v>UN</v>
          </cell>
          <cell r="D4497">
            <v>303.27</v>
          </cell>
        </row>
        <row r="4498">
          <cell r="A4498">
            <v>86935</v>
          </cell>
          <cell r="B4498" t="str">
            <v>CUBA DE EMBUTIR DE AÇO INOXIDÁVEL MÉDIA, INCLUSO VÁLVULA TIPO AMERICANA EM METAL CROMADO E SIFÃO FLEXÍVEL EM PVC - FORNECIMENTO E INSTALAÇÃO. AF_12/2013</v>
          </cell>
          <cell r="C4498" t="str">
            <v>UN</v>
          </cell>
          <cell r="D4498">
            <v>209.58</v>
          </cell>
        </row>
        <row r="4499">
          <cell r="A4499">
            <v>86936</v>
          </cell>
          <cell r="B4499" t="str">
            <v>CUBA DE EMBUTIR DE AÇO INOXIDÁVEL MÉDIA, INCLUSO VÁLVULA TIPO AMERICANA E SIFÃO TIPO GARRAFA EM METAL CROMADO - FORNECIMENTO E INSTALAÇÃO. AF_12/2013</v>
          </cell>
          <cell r="C4499" t="str">
            <v>UN</v>
          </cell>
          <cell r="D4499">
            <v>343.12</v>
          </cell>
        </row>
        <row r="4500">
          <cell r="A4500">
            <v>86937</v>
          </cell>
          <cell r="B4500" t="str">
            <v>CUBA DE EMBUTIR OVAL EM LOUÇA BRANCA, 35 X 50CM OU EQUIVALENTE, INCLUSO VÁLVULA EM METAL CROMADO E SIFÃO FLEXÍVEL EM PVC - FORNECIMENTO E INSTALAÇÃO. AF_12/2013</v>
          </cell>
          <cell r="C4500" t="str">
            <v>UN</v>
          </cell>
          <cell r="D4500">
            <v>142.72</v>
          </cell>
        </row>
        <row r="4501">
          <cell r="A4501">
            <v>86938</v>
          </cell>
          <cell r="B4501" t="str">
            <v>CUBA DE EMBUTIR OVAL EM LOUÇA BRANCA, 35 X 50CM OU EQUIVALENTE, INCLUSO VÁLVULA E SIFÃO TIPO GARRAFA EM METAL CROMADO - FORNECIMENTO E INSTALAÇÃO. AF_12/2013</v>
          </cell>
          <cell r="C4501" t="str">
            <v>UN</v>
          </cell>
          <cell r="D4501">
            <v>276.26</v>
          </cell>
        </row>
        <row r="4502">
          <cell r="A4502">
            <v>86939</v>
          </cell>
          <cell r="B4502" t="str">
            <v>LAVATÓRIO LOUÇA BRANCA COM COLUNA, *44 X 35,5* CM, PADRÃO POPULAR, INCLUSO SIFÃO FLEXÍVEL EM PVC, VÁLVULA E ENGATE FLEXÍVEL 30CM EM PLÁSTICO E COM TORNEIRA CROMADA PADRÃO POPULAR - FORNECIMENTO E INSTALAÇÃO. AF_12/2013</v>
          </cell>
          <cell r="C4502" t="str">
            <v>UN</v>
          </cell>
          <cell r="D4502">
            <v>295.39999999999998</v>
          </cell>
        </row>
        <row r="4503">
          <cell r="A4503">
            <v>86940</v>
          </cell>
          <cell r="B4503" t="str">
            <v>LAVATÓRIO LOUÇA BRANCA COM COLUNA, 45 X 55CM OU EQUIVALENTE, PADRÃO MÉDIO, INCLUSO SIFÃO TIPO GARRAFA, VÁLVULA E ENGATE FLEXÍVEL DE 40CM EM METAL CROMADO, COM APARELHO MISTURADOR PADRÃO MÉDIO - FORNECIMENTO E INSTALAÇÃO. AF_12/2013</v>
          </cell>
          <cell r="C4503" t="str">
            <v>UN</v>
          </cell>
          <cell r="D4503">
            <v>740.81</v>
          </cell>
        </row>
        <row r="4504">
          <cell r="A4504">
            <v>86941</v>
          </cell>
          <cell r="B4504" t="str">
            <v>LAVATÓRIO LOUÇA BRANCA COM COLUNA, 45 X 55CM OU EQUIVALENTE, PADRÃO MÉDIO, INCLUSO SIFÃO TIPO GARRAFA, VÁLVULA E ENGATE FLEXÍVEL DE 40CM EM METAL CROMADO, COM TORNEIRA CROMADA DE MESA, PADRÃO MÉDIO - FORNECIMENTO E INSTALAÇÃO. AF_12/2013</v>
          </cell>
          <cell r="C4504" t="str">
            <v>UN</v>
          </cell>
          <cell r="D4504">
            <v>576.91999999999996</v>
          </cell>
        </row>
        <row r="4505">
          <cell r="A4505">
            <v>86942</v>
          </cell>
          <cell r="B4505" t="str">
            <v>LAVATÓRIO LOUÇA BRANCA SUSPENSO, 29,5 X 39CM OU EQUIVALENTE, PADRÃO POPULAR, INCLUSO SIFÃO TIPO GARRAFA EM PVC, VÁLVULA E ENGATE FLEXÍVEL 30CM EM PLÁSTICO E TORNEIRA CROMADA DE MESA, PADRÃO POPULAR - FORNECIMENTO E INSTALAÇÃO. AF_12/2013</v>
          </cell>
          <cell r="C4505" t="str">
            <v>UN</v>
          </cell>
          <cell r="D4505">
            <v>192.24</v>
          </cell>
        </row>
        <row r="4506">
          <cell r="A4506">
            <v>86943</v>
          </cell>
          <cell r="B4506" t="str">
            <v>LAVATÓRIO LOUÇA BRANCA SUSPENSO, 29,5 X 39CM OU EQUIVALENTE, PADRÃO POPULAR, INCLUSO SIFÃO FLEXÍVEL EM PVC, VÁLVULA E ENGATE FLEXÍVEL 30CM EM PLÁSTICO E TORNEIRA CROMADA DE MESA, PADRÃO POPULAR - FORNECIMENTO E INSTALAÇÃO. AF_12/2013</v>
          </cell>
          <cell r="C4506" t="str">
            <v>UN</v>
          </cell>
          <cell r="D4506">
            <v>184.13</v>
          </cell>
        </row>
        <row r="4507">
          <cell r="A4507">
            <v>86947</v>
          </cell>
          <cell r="B4507" t="str">
            <v>BANCADA MÁRMORE BRANCO POLIDO 0,50X0,60M, INCLUSO CUBA DE EMBUTIR OVAL EM LOUÇA BRANCA 35 X 50CM, VÁLVULA, SIFÃO TIPO GARRAFA E ENGATE FLEXÍVEL 40CM EM METAL CROMADO E APARELHO MISTURADOR DE MESA, PADRÃO MÉDIO - FORNECIMENTO E INSTALAÇÃO. AF_12/2013</v>
          </cell>
          <cell r="C4507" t="str">
            <v>UN</v>
          </cell>
          <cell r="D4507">
            <v>799.99</v>
          </cell>
        </row>
        <row r="4508">
          <cell r="A4508">
            <v>88571</v>
          </cell>
          <cell r="B4508" t="str">
            <v>SABONETEIRA DE SOBREPOR (FIXADA NA PAREDE), TIPO CONCHA, EM ACO INOXIDAVEL - FORNECIMENTO E INSTALACAO</v>
          </cell>
          <cell r="C4508" t="str">
            <v>UN</v>
          </cell>
          <cell r="D4508">
            <v>54.51</v>
          </cell>
        </row>
        <row r="4509">
          <cell r="A4509">
            <v>93396</v>
          </cell>
          <cell r="B4509" t="str">
            <v>BANCADA GRANITO CINZA POLIDO 0,50 X 0,60M, INCL. CUBA DE EMBUTIR OVAL LOUÇA BRANCA 35 X 50CM, VÁLVULA METAL CROMADO, SIFÃO FLEXÍVEL PVC, ENGATE 30CM FLEXÍVEL PLÁSTICO E TORNEIRA CROMADA DE MESA, PADRÃO POPULAR - FORNEC. E INSTALAÇÃO. AF_12/2013</v>
          </cell>
          <cell r="C4509" t="str">
            <v>UN</v>
          </cell>
          <cell r="D4509">
            <v>483.28</v>
          </cell>
        </row>
        <row r="4510">
          <cell r="A4510">
            <v>93441</v>
          </cell>
          <cell r="B451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0" t="str">
            <v>UN</v>
          </cell>
          <cell r="D4510">
            <v>832.26</v>
          </cell>
        </row>
        <row r="4511">
          <cell r="A4511">
            <v>93442</v>
          </cell>
          <cell r="B451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1" t="str">
            <v>UN</v>
          </cell>
          <cell r="D4511">
            <v>903.26</v>
          </cell>
        </row>
        <row r="4512">
          <cell r="A4512">
            <v>95469</v>
          </cell>
          <cell r="B4512" t="str">
            <v>VASO SANITARIO SIFONADO CONVENCIONAL COM  LOUÇA BRANCA - FORNECIMENTO E INSTALAÇÃO. AF_10/2016</v>
          </cell>
          <cell r="C4512" t="str">
            <v>UN</v>
          </cell>
          <cell r="D4512">
            <v>176.85</v>
          </cell>
        </row>
        <row r="4513">
          <cell r="A4513">
            <v>95470</v>
          </cell>
          <cell r="B4513" t="str">
            <v>VASO SANITARIO SIFONADO CONVENCIONAL COM LOUÇA BRANCA, INCLUSO CONJUNTO DE LIGAÇÃO PARA BACIA SANITÁRIA AJUSTÁVEL - FORNECIMENTO E INSTALAÇÃO. AF_10/2016</v>
          </cell>
          <cell r="C4513" t="str">
            <v>UN</v>
          </cell>
          <cell r="D4513">
            <v>182.51</v>
          </cell>
        </row>
        <row r="4514">
          <cell r="A4514">
            <v>95471</v>
          </cell>
          <cell r="B4514" t="str">
            <v>VASO SANITARIO SIFONADO CONVENCIONAL PARA PCD SEM FURO FRONTAL COM  LOUÇA BRANCA SEM ASSENTO -  FORNECIMENTO E INSTALAÇÃO. AF_10/2016</v>
          </cell>
          <cell r="C4514" t="str">
            <v>UN</v>
          </cell>
          <cell r="D4514">
            <v>610.9</v>
          </cell>
        </row>
        <row r="4515">
          <cell r="A4515">
            <v>95472</v>
          </cell>
          <cell r="B4515" t="str">
            <v>VASO SANITARIO SIFONADO CONVENCIONAL PARA PCD SEM FURO FRONTAL COM LOUÇA BRANCA SEM ASSENTO, INCLUSO CONJUNTO DE LIGAÇÃO PARA BACIA SANITÁRIA AJUSTÁVEL - FORNECIMENTO E INSTALAÇÃO. AF_10/2016</v>
          </cell>
          <cell r="C4515" t="str">
            <v>UN</v>
          </cell>
          <cell r="D4515">
            <v>616.55999999999995</v>
          </cell>
        </row>
        <row r="4516">
          <cell r="A4516">
            <v>95542</v>
          </cell>
          <cell r="B4516" t="str">
            <v>PORTA TOALHA ROSTO EM METAL CROMADO, TIPO ARGOLA, INCLUSO FIXAÇÃO. AF_10/2016</v>
          </cell>
          <cell r="C4516" t="str">
            <v>UN</v>
          </cell>
          <cell r="D4516">
            <v>32.21</v>
          </cell>
        </row>
        <row r="4517">
          <cell r="A4517">
            <v>95543</v>
          </cell>
          <cell r="B4517" t="str">
            <v>PORTA TOALHA BANHO EM METAL CROMADO, TIPO BARRA, INCLUSO FIXAÇÃO. AF_10/2016</v>
          </cell>
          <cell r="C4517" t="str">
            <v>UN</v>
          </cell>
          <cell r="D4517">
            <v>51.78</v>
          </cell>
        </row>
        <row r="4518">
          <cell r="A4518">
            <v>95544</v>
          </cell>
          <cell r="B4518" t="str">
            <v>PAPELEIRA DE PAREDE EM METAL CROMADO SEM TAMPA, INCLUSO FIXAÇÃO. AF_10/2016</v>
          </cell>
          <cell r="C4518" t="str">
            <v>UN</v>
          </cell>
          <cell r="D4518">
            <v>41.04</v>
          </cell>
        </row>
        <row r="4519">
          <cell r="A4519">
            <v>95545</v>
          </cell>
          <cell r="B4519" t="str">
            <v>SABONETEIRA DE PAREDE EM METAL CROMADO, INCLUSO FIXAÇÃO. AF_10/2016</v>
          </cell>
          <cell r="C4519" t="str">
            <v>UN</v>
          </cell>
          <cell r="D4519">
            <v>40.1</v>
          </cell>
        </row>
        <row r="4520">
          <cell r="A4520">
            <v>95546</v>
          </cell>
          <cell r="B4520" t="str">
            <v>KIT DE ACESSORIOS PARA BANHEIRO EM METAL CROMADO, 5 PECAS, INCLUSO FIXAÇÃO. AF_10/2016</v>
          </cell>
          <cell r="C4520" t="str">
            <v>UN</v>
          </cell>
          <cell r="D4520">
            <v>117.99</v>
          </cell>
        </row>
        <row r="4521">
          <cell r="A4521">
            <v>95547</v>
          </cell>
          <cell r="B4521" t="str">
            <v>SABONETEIRA PLASTICA TIPO DISPENSER PARA SABONETE LIQUIDO COM RESERVATORIO 800 A 1500 ML, INCLUSO FIXAÇÃO. AF_10/2016</v>
          </cell>
          <cell r="C4521" t="str">
            <v>UN</v>
          </cell>
          <cell r="D4521">
            <v>51.2</v>
          </cell>
        </row>
        <row r="4522">
          <cell r="A4522">
            <v>6087</v>
          </cell>
          <cell r="B4522" t="str">
            <v>TAMPA EM CONCRETO ARMADO 60X60X5CM P/CX INSPECAO/FOSSA SEPTICA</v>
          </cell>
          <cell r="C4522" t="str">
            <v>UN</v>
          </cell>
          <cell r="D4522">
            <v>23.69</v>
          </cell>
        </row>
        <row r="4523">
          <cell r="A4523">
            <v>98052</v>
          </cell>
          <cell r="B4523" t="str">
            <v>TANQUE SÉPTICO CIRCULAR, EM CONCRETO PRÉ-MOLDADO, DIÂMETRO INTERNO = 1,10 M, ALTURA INTERNA = 2,50 M, VOLUME ÚTIL: 2138,2 L (PARA 5 CONTRIBUINTES). AF_05/2018</v>
          </cell>
          <cell r="C4523" t="str">
            <v>UN</v>
          </cell>
          <cell r="D4523">
            <v>1247.6600000000001</v>
          </cell>
        </row>
        <row r="4524">
          <cell r="A4524">
            <v>98053</v>
          </cell>
          <cell r="B4524" t="str">
            <v>TANQUE SÉPTICO CIRCULAR, EM CONCRETO PRÉ-MOLDADO, DIÂMETRO INTERNO = 1,40 M, ALTURA INTERNA = 2,50 M, VOLUME ÚTIL: 3463,6 L (PARA 13 CONTRIBUINTES). AF_05/2018</v>
          </cell>
          <cell r="C4524" t="str">
            <v>UN</v>
          </cell>
          <cell r="D4524">
            <v>1842.08</v>
          </cell>
        </row>
        <row r="4525">
          <cell r="A4525">
            <v>98054</v>
          </cell>
          <cell r="B4525" t="str">
            <v>TANQUE SÉPTICO CIRCULAR, EM CONCRETO PRÉ-MOLDADO, DIÂMETRO INTERNO = 1,88 M, ALTURA INTERNA = 2,50 M, VOLUME ÚTIL: 6245,8 L (PARA 32 CONTRIBUINTES). AF_05/2018</v>
          </cell>
          <cell r="C4525" t="str">
            <v>UN</v>
          </cell>
          <cell r="D4525">
            <v>2730.02</v>
          </cell>
        </row>
        <row r="4526">
          <cell r="A4526">
            <v>98055</v>
          </cell>
          <cell r="B4526" t="str">
            <v>TANQUE SÉPTICO CIRCULAR, EM CONCRETO PRÉ-MOLDADO, DIÂMETRO INTERNO = 2,38 M, ALTURA INTERNA = 2,50 M, VOLUME ÚTIL: 10009,8 L (PARA 69 CONTRIBUINTES). AF_05/2018</v>
          </cell>
          <cell r="C4526" t="str">
            <v>UN</v>
          </cell>
          <cell r="D4526">
            <v>3616.37</v>
          </cell>
        </row>
        <row r="4527">
          <cell r="A4527">
            <v>98056</v>
          </cell>
          <cell r="B4527" t="str">
            <v>TANQUE SÉPTICO CIRCULAR, EM CONCRETO PRÉ-MOLDADO, DIÂMETRO INTERNO = 2,38 M, ALTURA INTERNA = 3,0 M, VOLUME ÚTIL: 12234,2 L (PARA 86 CONTRIBUINTES). AF_05/2018</v>
          </cell>
          <cell r="C4527" t="str">
            <v>UN</v>
          </cell>
          <cell r="D4527">
            <v>4196.18</v>
          </cell>
        </row>
        <row r="4528">
          <cell r="A4528">
            <v>98057</v>
          </cell>
          <cell r="B4528" t="str">
            <v>TANQUE SÉPTICO CIRCULAR, EM CONCRETO PRÉ-MOLDADO, DIÂMETRO INTERNO = 2,88 M, ALTURA INTERNA = 2,50 M, VOLUME ÚTIL: 14657,4 L (PARA 105 CONTRIBUINTES). AF_05/2018</v>
          </cell>
          <cell r="C4528" t="str">
            <v>UN</v>
          </cell>
          <cell r="D4528">
            <v>5564.66</v>
          </cell>
        </row>
        <row r="4529">
          <cell r="A4529">
            <v>98066</v>
          </cell>
          <cell r="B4529" t="str">
            <v>TANQUE SÉPTICO RETANGULAR, EM ALVENARIA COM TIJOLOS CERÂMICOS MACIÇOS, DIMENSÕES INTERNAS: 1,0 X 2,0 X 1,4 M, VOLUME ÚTIL: 2000 L (PARA 5 CONTRIBUINTES). AF_05/2018</v>
          </cell>
          <cell r="C4529" t="str">
            <v>UN</v>
          </cell>
          <cell r="D4529">
            <v>3760.48</v>
          </cell>
        </row>
        <row r="4530">
          <cell r="A4530">
            <v>98067</v>
          </cell>
          <cell r="B4530" t="str">
            <v>TANQUE SÉPTICO RETANGULAR, EM ALVENARIA COM TIJOLOS CERÂMICOS MACIÇOS, DIMENSÕES INTERNAS: 1,2 X 2,4 X 1,6 M, VOLUME ÚTIL: 3456 L (PARA 13 CONTRIBUINTES). AF_05/2018</v>
          </cell>
          <cell r="C4530" t="str">
            <v>UN</v>
          </cell>
          <cell r="D4530">
            <v>5029.2</v>
          </cell>
        </row>
        <row r="4531">
          <cell r="A4531">
            <v>98068</v>
          </cell>
          <cell r="B4531" t="str">
            <v>TANQUE SÉPTICO RETANGULAR, EM ALVENARIA COM TIJOLOS CERÂMICOS MACIÇOS, DIMENSÕES INTERNAS: 1,4 X 3,2 X 1,8 M, VOLUME ÚTIL: 6272 L (PARA 32 CONTRIBUINTES). AF_05/2018</v>
          </cell>
          <cell r="C4531" t="str">
            <v>UN</v>
          </cell>
          <cell r="D4531">
            <v>7115.29</v>
          </cell>
        </row>
        <row r="4532">
          <cell r="A4532">
            <v>98069</v>
          </cell>
          <cell r="B4532" t="str">
            <v>TANQUE SÉPTICO RETANGULAR, EM ALVENARIA COM TIJOLOS CERÂMICOS MACIÇOS, DIMENSÕES INTERNAS: 1,6 X 4,4 X 1,8 M, VOLUME ÚTIL: 9856 L (PARA 68 CONTRIBUINTES). AF_05/2018</v>
          </cell>
          <cell r="C4532" t="str">
            <v>UN</v>
          </cell>
          <cell r="D4532">
            <v>9527.57</v>
          </cell>
        </row>
        <row r="4533">
          <cell r="A4533">
            <v>98070</v>
          </cell>
          <cell r="B4533" t="str">
            <v>TANQUE SÉPTICO RETANGULAR, EM ALVENARIA COM TIJOLOS CERÂMICOS MACIÇOS, DIMENSÕES INTERNAS: 1,6 X 4,8 X 2,0 M, VOLUME ÚTIL: 12288 L (PARA 86 CONTRIBUINTES). AF_05/2018</v>
          </cell>
          <cell r="C4533" t="str">
            <v>UN</v>
          </cell>
          <cell r="D4533">
            <v>10932.47</v>
          </cell>
        </row>
        <row r="4534">
          <cell r="A4534">
            <v>98071</v>
          </cell>
          <cell r="B4534" t="str">
            <v>TANQUE SÉPTICO RETANGULAR, EM ALVENARIA COM TIJOLOS CERÂMICOS MACIÇOS, DIMENSÕES INTERNAS: 1,6 X 4,6 X 2,4 M, VOLUME ÚTIL: 14720 L (PARA 105 CONTRIBUINTES). AF_05/2018</v>
          </cell>
          <cell r="C4534" t="str">
            <v>UN</v>
          </cell>
          <cell r="D4534">
            <v>12027.82</v>
          </cell>
        </row>
        <row r="4535">
          <cell r="A4535">
            <v>98072</v>
          </cell>
          <cell r="B4535" t="str">
            <v>FILTRO ANAERÓBIO RETANGULAR, EM ALVENARIA COM TIJOLOS CERÂMICOS MACIÇOS, DIMENSÕES INTERNAS: 0,8 X 1,2 X 1,67 M, VOLUME ÚTIL: 1152 L (PARA 5 CONTRIBUINTES). AF_05/2018</v>
          </cell>
          <cell r="C4535" t="str">
            <v>UN</v>
          </cell>
          <cell r="D4535">
            <v>3125.15</v>
          </cell>
        </row>
        <row r="4536">
          <cell r="A4536">
            <v>98073</v>
          </cell>
          <cell r="B4536" t="str">
            <v>FILTRO ANAERÓBIO RETANGULAR, EM ALVENARIA COM TIJOLOS CERÂMICOS MACIÇOS, DIMENSÕES INTERNAS: 1,2 X 1,8 X 1,67 M, VOLUME ÚTIL: 2592 L (PARA 13 CONTRIBUINTES). AF_05/2018</v>
          </cell>
          <cell r="C4536" t="str">
            <v>UN</v>
          </cell>
          <cell r="D4536">
            <v>4868.08</v>
          </cell>
        </row>
        <row r="4537">
          <cell r="A4537">
            <v>98074</v>
          </cell>
          <cell r="B4537" t="str">
            <v>FILTRO ANAERÓBIO RETANGULAR, EM ALVENARIA COM TIJOLOS CERÂMICOS MACIÇOS, DIMENSÕES INTERNAS: 1,4 X 3,0 X 1,67 M, VOLUME ÚTIL: 5040 L (PARA 32 CONTRIBUINTES). AF_05/2018</v>
          </cell>
          <cell r="C4537" t="str">
            <v>UN</v>
          </cell>
          <cell r="D4537">
            <v>7534.31</v>
          </cell>
        </row>
        <row r="4538">
          <cell r="A4538">
            <v>98075</v>
          </cell>
          <cell r="B4538" t="str">
            <v>FILTRO ANAERÓBIO RETANGULAR, EM ALVENARIA COM TIJOLOS CERÂMICOS MACIÇOS, DIMENSÕES INTERNAS: 1,4 X 4,2 X 1,67 M, VOLUME ÚTIL: 7056 L (PARA 67 CONTRIBUINTES). AF_05/2018</v>
          </cell>
          <cell r="C4538" t="str">
            <v>UN</v>
          </cell>
          <cell r="D4538">
            <v>9784.51</v>
          </cell>
        </row>
        <row r="4539">
          <cell r="A4539">
            <v>98076</v>
          </cell>
          <cell r="B4539" t="str">
            <v>FILTRO ANAERÓBIO RETANGULAR, EM ALVENARIA COM TIJOLOS CERÂMICOS MACIÇOS, DIMENSÕES INTERNAS: 1,6 X 4,6 X 1,67 M, VOLUME ÚTIL: 8832 L (PARA 84 CONTRIBUINTES). AF_05/2018</v>
          </cell>
          <cell r="C4539" t="str">
            <v>UN</v>
          </cell>
          <cell r="D4539">
            <v>11259.58</v>
          </cell>
        </row>
        <row r="4540">
          <cell r="A4540">
            <v>98077</v>
          </cell>
          <cell r="B4540" t="str">
            <v>FILTRO ANAERÓBIO RETANGULAR, EM ALVENARIA COM TIJOLOS CERÂMICOS MACIÇOS, DIMENSÕES INTERNAS: 1,6 X 5,6 X 1,67 M, VOLUME ÚTIL: 10752 L (PARA 103 CONTRIBUINTES). AF_05/2018</v>
          </cell>
          <cell r="C4540" t="str">
            <v>UN</v>
          </cell>
          <cell r="D4540">
            <v>13247.14</v>
          </cell>
        </row>
        <row r="4541">
          <cell r="A4541">
            <v>98078</v>
          </cell>
          <cell r="B4541" t="str">
            <v>SUMIDOURO RETANGULAR, EM ALVENARIA COM TIJOLOS CERÂMICOS MACIÇOS, DIMENSÕES INTERNAS: 0,8 X 1,4 X 3,0 M, ÁREA DE INFILTRAÇÃO: 13,2 M² (PARA 5 CONTRIBUINTES). AF_05/2018</v>
          </cell>
          <cell r="C4541" t="str">
            <v>UN</v>
          </cell>
          <cell r="D4541">
            <v>3225.07</v>
          </cell>
        </row>
        <row r="4542">
          <cell r="A4542">
            <v>98079</v>
          </cell>
          <cell r="B4542" t="str">
            <v>SUMIDOURO RETANGULAR, EM ALVENARIA COM TIJOLOS CERÂMICOS MACIÇOS, DIMENSÕES INTERNAS: 1,0 X 3,0 X 3,0 M, ÁREA DE INFILTRAÇÃO: 25 M² (PARA 10 CONTRIBUINTES). AF_05/2018</v>
          </cell>
          <cell r="C4542" t="str">
            <v>UN</v>
          </cell>
          <cell r="D4542">
            <v>5642.38</v>
          </cell>
        </row>
        <row r="4543">
          <cell r="A4543">
            <v>98080</v>
          </cell>
          <cell r="B4543" t="str">
            <v>SUMIDOURO RETANGULAR, EM ALVENARIA COM TIJOLOS CERÂMICOS MACIÇOS, DIMENSÕES INTERNAS: 1,6 X 3,4 X 3,0 M, ÁREA DE INFILTRAÇÃO: 32,9 M² (PARA 13 CONTRIBUINTES). AF_05/2018</v>
          </cell>
          <cell r="C4543" t="str">
            <v>UN</v>
          </cell>
          <cell r="D4543">
            <v>7243.18</v>
          </cell>
        </row>
        <row r="4544">
          <cell r="A4544">
            <v>98081</v>
          </cell>
          <cell r="B4544" t="str">
            <v>SUMIDOURO RETANGULAR, EM ALVENARIA COM TIJOLOS CERÂMICOS MACIÇOS, DIMENSÕES INTERNAS: 1,6 X 5,8 X 3,0 M, ÁREA DE INFILTRAÇÃO: 50 M² (PARA 20 CONTRIBUINTES). AF_05/2018</v>
          </cell>
          <cell r="C4544" t="str">
            <v>UN</v>
          </cell>
          <cell r="D4544">
            <v>10720.84</v>
          </cell>
        </row>
        <row r="4545">
          <cell r="A4545">
            <v>98082</v>
          </cell>
          <cell r="B4545" t="str">
            <v>TANQUE SÉPTICO RETANGULAR, EM ALVENARIA COM BLOCOS DE CONCRETO, DIMENSÕES INTERNAS: 1,0 X 2,0 X 1,4 M, VOLUME ÚTIL: 2000 L (PARA 5 CONTRIBUINTES). AF_05/2018</v>
          </cell>
          <cell r="C4545" t="str">
            <v>UN</v>
          </cell>
          <cell r="D4545">
            <v>2892.33</v>
          </cell>
        </row>
        <row r="4546">
          <cell r="A4546">
            <v>98083</v>
          </cell>
          <cell r="B4546" t="str">
            <v>TANQUE SÉPTICO RETANGULAR, EM ALVENARIA COM BLOCOS DE CONCRETO, DIMENSÕES INTERNAS: 1,2 X 2,4 X 1,6 M, VOLUME ÚTIL: 3456 L (PARA 13 CONTRIBUINTES). AF_05/2018</v>
          </cell>
          <cell r="C4546" t="str">
            <v>UN</v>
          </cell>
          <cell r="D4546">
            <v>3829.57</v>
          </cell>
        </row>
        <row r="4547">
          <cell r="A4547">
            <v>98084</v>
          </cell>
          <cell r="B4547" t="str">
            <v>TANQUE SÉPTICO RETANGULAR, EM ALVENARIA COM BLOCOS DE CONCRETO, DIMENSÕES INTERNAS: 1,4 X 3,2 X 1,8 M, VOLUME ÚTIL: 6272 L (PARA 32 CONTRIBUINTES). AF_05/2018</v>
          </cell>
          <cell r="C4547" t="str">
            <v>UN</v>
          </cell>
          <cell r="D4547">
            <v>5385.25</v>
          </cell>
        </row>
        <row r="4548">
          <cell r="A4548">
            <v>98085</v>
          </cell>
          <cell r="B4548" t="str">
            <v>TANQUE SÉPTICO RETANGULAR, EM ALVENARIA COM BLOCOS DE CONCRETO, DIMENSÕES INTERNAS: 1,6 X 4,4 X 1,8 M, VOLUME ÚTIL: 9856 L (PARA 68 CONTRIBUINTES). AF_05/2018</v>
          </cell>
          <cell r="C4548" t="str">
            <v>UN</v>
          </cell>
          <cell r="D4548">
            <v>7289.84</v>
          </cell>
        </row>
        <row r="4549">
          <cell r="A4549">
            <v>98086</v>
          </cell>
          <cell r="B4549" t="str">
            <v>TANQUE SÉPTICO RETANGULAR, EM ALVENARIA COM BLOCOS DE CONCRETO, DIMENSÕES INTERNAS: 1,6 X 4,8 X 2,0 M, VOLUME ÚTIL: 12288 L (PARA 86 CONTRIBUINTES). AF_05/2018</v>
          </cell>
          <cell r="C4549" t="str">
            <v>UN</v>
          </cell>
          <cell r="D4549">
            <v>8257.82</v>
          </cell>
        </row>
        <row r="4550">
          <cell r="A4550">
            <v>98087</v>
          </cell>
          <cell r="B4550" t="str">
            <v>TANQUE SÉPTICO RETANGULAR, EM ALVENARIA COM BLOCOS DE CONCRETO, DIMENSÕES INTERNAS: 1,6 X 4,6 X 2,4 M, VOLUME ÚTIL: 14720 L (PARA 105 CONTRIBUINTES). AF_05/2018</v>
          </cell>
          <cell r="C4550" t="str">
            <v>UN</v>
          </cell>
          <cell r="D4550">
            <v>8870.09</v>
          </cell>
        </row>
        <row r="4551">
          <cell r="A4551">
            <v>98088</v>
          </cell>
          <cell r="B4551" t="str">
            <v>FILTRO ANAERÓBIO RETANGULAR, EM ALVENARIA COM BLOCOS DE CONCRETO, DIMENSÕES INTERNAS: 0,8 X 1,2 X 1,67 M, VOLUME ÚTIL: 1152 L (PARA 5 CONTRIBUINTES). AF_05/2018</v>
          </cell>
          <cell r="C4551" t="str">
            <v>UN</v>
          </cell>
          <cell r="D4551">
            <v>2461.75</v>
          </cell>
        </row>
        <row r="4552">
          <cell r="A4552">
            <v>98089</v>
          </cell>
          <cell r="B4552" t="str">
            <v>FILTRO ANAERÓBIO RETANGULAR, EM ALVENARIA COM BLOCOS DE CONCRETO, DIMENSÕES INTERNAS: 1,2 X 1,8 X 1,67 M, VOLUME ÚTIL: 2592 L (PARA 13 CONTRIBUINTES). AF_05/2018</v>
          </cell>
          <cell r="C4552" t="str">
            <v>UN</v>
          </cell>
          <cell r="D4552">
            <v>3888.72</v>
          </cell>
        </row>
        <row r="4553">
          <cell r="A4553">
            <v>98090</v>
          </cell>
          <cell r="B4553" t="str">
            <v>FILTRO ANAERÓBIO RETANGULAR, EM ALVENARIA COM BLOCOS DE CONCRETO, DIMENSÕES INTERNAS: 1,4 X 3,0 X 1,67 M, VOLUME ÚTIL: 5040 L (PARA 32 CONTRIBUINTES). AF_05/2018</v>
          </cell>
          <cell r="C4553" t="str">
            <v>UN</v>
          </cell>
          <cell r="D4553">
            <v>6100.97</v>
          </cell>
        </row>
        <row r="4554">
          <cell r="A4554">
            <v>98091</v>
          </cell>
          <cell r="B4554" t="str">
            <v>FILTRO ANAERÓBIO RETANGULAR, EM ALVENARIA COM BLOCOS DE CONCRETO, DIMENSÕES INTERNAS: 1,4 X 4,2 X 1,67 M, VOLUME ÚTIL: 7056 L (PARA 67 CONTRIBUINTES). AF_05/2018</v>
          </cell>
          <cell r="C4554" t="str">
            <v>UN</v>
          </cell>
          <cell r="D4554">
            <v>7881.5</v>
          </cell>
        </row>
        <row r="4555">
          <cell r="A4555">
            <v>98092</v>
          </cell>
          <cell r="B4555" t="str">
            <v>FILTRO ANAERÓBIO RETANGULAR, EM ALVENARIA COM BLOCOS DE CONCRETO, DIMENSÕES INTERNAS: 1,6 X 4,6 X 1,67 M, VOLUME ÚTIL: 8832 L (PARA 84 CONTRIBUINTES). AF_05/2018</v>
          </cell>
          <cell r="C4555" t="str">
            <v>UN</v>
          </cell>
          <cell r="D4555">
            <v>9242.35</v>
          </cell>
        </row>
        <row r="4556">
          <cell r="A4556">
            <v>98093</v>
          </cell>
          <cell r="B4556" t="str">
            <v>FILTRO ANAERÓBIO RETANGULAR, EM ALVENARIA COM BLOCOS DE CONCRETO, DIMENSÕES INTERNAS: 1,6 X 5,6 X 1,67 M, VOLUME ÚTIL: 10752 L (PARA 103 CONTRIBUINTES). AF_05/2018</v>
          </cell>
          <cell r="C4556" t="str">
            <v>UN</v>
          </cell>
          <cell r="D4556">
            <v>10906.92</v>
          </cell>
        </row>
        <row r="4557">
          <cell r="A4557">
            <v>98094</v>
          </cell>
          <cell r="B4557" t="str">
            <v>SUMIDOURO RETANGULAR, EM ALVENARIA COM BLOCOS DE CONCRETO, DIMENSÕES INTERNAS: 0,8 X 1,4 X 3,0 M, ÁREA DE INFILTRAÇÃO: 13,2 M² (PARA 5 CONTRIBUINTES). AF_05/2018</v>
          </cell>
          <cell r="C4557" t="str">
            <v>UN</v>
          </cell>
          <cell r="D4557">
            <v>2081.4899999999998</v>
          </cell>
        </row>
        <row r="4558">
          <cell r="A4558">
            <v>98099</v>
          </cell>
          <cell r="B4558" t="str">
            <v>SUMIDOURO RETANGULAR, EM ALVENARIA COM BLOCOS DE CONCRETO, DIMENSÕES INTERNAS: 1,0 X 3,0 X 3,0 M, ÁREA DE INFILTRAÇÃO: 25 M² (PARA 10 CONTRIBUINTES). AF_05/2018</v>
          </cell>
          <cell r="C4558" t="str">
            <v>UN</v>
          </cell>
          <cell r="D4558">
            <v>3576</v>
          </cell>
        </row>
        <row r="4559">
          <cell r="A4559">
            <v>98100</v>
          </cell>
          <cell r="B4559" t="str">
            <v>SUMIDOURO RETANGULAR, EM ALVENARIA COM BLOCOS DE CONCRETO, DIMENSÕES INTERNAS: 1,6 X 3,4 X 3,0 M, ÁREA DE INFILTRAÇÃO: 32,9 M² (PARA 13 CONTRIBUINTES). AF_05/2018</v>
          </cell>
          <cell r="C4559" t="str">
            <v>UN</v>
          </cell>
          <cell r="D4559">
            <v>4664.09</v>
          </cell>
        </row>
        <row r="4560">
          <cell r="A4560">
            <v>98101</v>
          </cell>
          <cell r="B4560" t="str">
            <v>SUMIDOURO RETANGULAR, EM ALVENARIA COM BLOCOS DE CONCRETO, DIMENSÕES INTERNAS: 1,6 X 5,8 X 3,0 M, ÁREA DE INFILTRAÇÃO: 50 M² (PARA 20 CONTRIBUINTES). AF_05/2018</v>
          </cell>
          <cell r="C4560" t="str">
            <v>UN</v>
          </cell>
          <cell r="D4560">
            <v>6898.86</v>
          </cell>
        </row>
        <row r="4561">
          <cell r="A4561">
            <v>98109</v>
          </cell>
          <cell r="B4561" t="str">
            <v>CAIXA DE GORDURA ESPECIAL (CAPACIDADE: 312 L - PARA ATÉ 146 PESSOAS SERVIDAS NO PICO), RETANGULAR, EM ALVENARIA COM BLOCOS DE CONCRETO, DIMENSÕES INTERNAS = 0,4X1,2 M, ALTURA INTERNA = 1 M. AF_05/2018</v>
          </cell>
          <cell r="C4561" t="str">
            <v>UN</v>
          </cell>
          <cell r="D4561">
            <v>622.08000000000004</v>
          </cell>
        </row>
        <row r="4562">
          <cell r="A4562">
            <v>98110</v>
          </cell>
          <cell r="B4562" t="str">
            <v>CAIXA DE GORDURA PEQUENA (CAPACIDADE: 19 L), CIRCULAR, EM PVC, DIÂMETRO INTERNO= 0,3 M. AF_05/2018</v>
          </cell>
          <cell r="C4562" t="str">
            <v>UN</v>
          </cell>
          <cell r="D4562">
            <v>396.12</v>
          </cell>
        </row>
        <row r="4563">
          <cell r="A4563">
            <v>98111</v>
          </cell>
          <cell r="B4563" t="str">
            <v>CAIXA DE INSPEÇÃO PARA ATERRAMENTO, CIRCULAR, EM POLIETILENO, DIÂMETRO INTERNO = 0,3 M. AF_05/2018</v>
          </cell>
          <cell r="C4563" t="str">
            <v>UN</v>
          </cell>
          <cell r="D4563">
            <v>20.79</v>
          </cell>
        </row>
        <row r="4564">
          <cell r="A4564">
            <v>98114</v>
          </cell>
          <cell r="B4564" t="str">
            <v>TAMPA CIRCULAR PARA ESGOTO E DRENAGEM, EM FERRO FUNDIDO, DIÂMETRO INTERNO = 0,6 M. AF_05/2018</v>
          </cell>
          <cell r="C4564" t="str">
            <v>UN</v>
          </cell>
          <cell r="D4564">
            <v>378.74</v>
          </cell>
        </row>
        <row r="4565">
          <cell r="A4565">
            <v>98115</v>
          </cell>
          <cell r="B4565" t="str">
            <v>TAMPA CIRCULAR PARA ESGOTO E DRENAGEM, EM CONCRETO PRÉ-MOLDADO, DIÂMETRO INTERNO = 0,6 M. AF_05/2018</v>
          </cell>
          <cell r="C4565" t="str">
            <v>UN</v>
          </cell>
          <cell r="D4565">
            <v>88.51</v>
          </cell>
        </row>
        <row r="4566">
          <cell r="A4566">
            <v>89957</v>
          </cell>
          <cell r="B4566" t="str">
            <v>PONTO DE CONSUMO TERMINAL DE ÁGUA FRIA (SUBRAMAL) COM TUBULAÇÃO DE PVC, DN 25 MM, INSTALADO EM RAMAL DE ÁGUA, INCLUSOS RASGO E CHUMBAMENTO EM ALVENARIA. AF_12/2014</v>
          </cell>
          <cell r="C4566" t="str">
            <v>UN</v>
          </cell>
          <cell r="D4566">
            <v>106</v>
          </cell>
        </row>
        <row r="4567">
          <cell r="A4567">
            <v>89959</v>
          </cell>
          <cell r="B4567" t="str">
            <v>PONTO DE CONSUMO TERMINAL DE ÁGUA QUENTE (SUBRAMAL) COM TUBULAÇÃO DE CPVC, DN 22 MM, INSTALADO EM RAMAL DE ÁGUA, INCLUSOS RASGO E CHUMBAMENTO EM ALVENARIA. AF_12/2014</v>
          </cell>
          <cell r="C4567" t="str">
            <v>UN</v>
          </cell>
          <cell r="D4567">
            <v>182.95</v>
          </cell>
        </row>
        <row r="4568">
          <cell r="A4568" t="str">
            <v>74093/1</v>
          </cell>
          <cell r="B4568" t="str">
            <v>VALVULA PE COM CRIVO BRONZE 1.1/4" - FORNECIMENTO E INSTALACAO</v>
          </cell>
          <cell r="C4568" t="str">
            <v>UN</v>
          </cell>
          <cell r="D4568">
            <v>71.430000000000007</v>
          </cell>
        </row>
        <row r="4569">
          <cell r="A4569" t="str">
            <v>74169/1</v>
          </cell>
          <cell r="B4569" t="str">
            <v>REGISTRO/VALVULA GLOBO ANGULAR 45 GRAUS EM LATAO PARA HIDRANTES DE INCÊNDIO PREDIAL DN 2.1/2, COM VOLANTE, CLASSE DE PRESSAO DE ATE 200 PSI - FORNECIMENTO E INSTALACAO</v>
          </cell>
          <cell r="C4569" t="str">
            <v>UN</v>
          </cell>
          <cell r="D4569">
            <v>170.32</v>
          </cell>
        </row>
        <row r="4570">
          <cell r="A4570">
            <v>89349</v>
          </cell>
          <cell r="B4570" t="str">
            <v>REGISTRO DE PRESSÃO BRUTO, LATÃO, ROSCÁVEL, 1/2", FORNECIDO E INSTALADO EM RAMAL DE ÁGUA. AF_12/2014</v>
          </cell>
          <cell r="C4570" t="str">
            <v>UN</v>
          </cell>
          <cell r="D4570">
            <v>21.42</v>
          </cell>
        </row>
        <row r="4571">
          <cell r="A4571">
            <v>89351</v>
          </cell>
          <cell r="B4571" t="str">
            <v>REGISTRO DE PRESSÃO BRUTO, LATÃO,  ROSCÁVEL, 3/4, FORNECIDO E INSTALADO EM RAMAL DE ÁGUA. AF_12/2014</v>
          </cell>
          <cell r="C4571" t="str">
            <v>UN</v>
          </cell>
          <cell r="D4571">
            <v>24.14</v>
          </cell>
        </row>
        <row r="4572">
          <cell r="A4572">
            <v>89352</v>
          </cell>
          <cell r="B4572" t="str">
            <v>REGISTRO DE GAVETA BRUTO, LATÃO, ROSCÁVEL, 1/2", FORNECIDO E INSTALADO EM RAMAL DE ÁGUA. AF_12/2014</v>
          </cell>
          <cell r="C4572" t="str">
            <v>UN</v>
          </cell>
          <cell r="D4572">
            <v>27.18</v>
          </cell>
        </row>
        <row r="4573">
          <cell r="A4573">
            <v>89353</v>
          </cell>
          <cell r="B4573" t="str">
            <v>REGISTRO DE GAVETA BRUTO, LATÃO, ROSCÁVEL, 3/4", FORNECIDO E INSTALADO EM RAMAL DE ÁGUA. AF_12/2014</v>
          </cell>
          <cell r="C4573" t="str">
            <v>UN</v>
          </cell>
          <cell r="D4573">
            <v>28.26</v>
          </cell>
        </row>
        <row r="4574">
          <cell r="A4574">
            <v>89354</v>
          </cell>
          <cell r="B4574" t="str">
            <v>MISTURADOR MONOCOMANDO PARA CHUVEIRO, BASE BRUTA E ACABAMENTO CROMADO, FORNECIDO E INSTALADO EM RAMAL DE ÁGUA. AF_12/2014</v>
          </cell>
          <cell r="C4574" t="str">
            <v>UN</v>
          </cell>
          <cell r="D4574">
            <v>234.54</v>
          </cell>
        </row>
        <row r="4575">
          <cell r="A4575">
            <v>89969</v>
          </cell>
          <cell r="B4575" t="str">
            <v>KIT DE REGISTRO DE PRESSÃO BRUTO DE LATÃO ½", INCLUSIVE CONEXÕES,  ROSCÁVEL, INSTALADO EM RAMAL DE ÁGUA FRIA - FORNECIMENTO E INSTALAÇÃO. AF_12/2014</v>
          </cell>
          <cell r="C4575" t="str">
            <v>UN</v>
          </cell>
          <cell r="D4575">
            <v>31.84</v>
          </cell>
        </row>
        <row r="4576">
          <cell r="A4576">
            <v>89970</v>
          </cell>
          <cell r="B4576" t="str">
            <v>KIT DE REGISTRO DE PRESSÃO BRUTO DE LATÃO ¾", INCLUSIVE CONEXÕES, ROSCÁVEL, INSTALADO EM RAMAL DE ÁGUA FRIA - FORNECIMENTO E INSTALAÇÃO. AF_12/2014</v>
          </cell>
          <cell r="C4576" t="str">
            <v>UN</v>
          </cell>
          <cell r="D4576">
            <v>34.979999999999997</v>
          </cell>
        </row>
        <row r="4577">
          <cell r="A4577">
            <v>89971</v>
          </cell>
          <cell r="B4577" t="str">
            <v>KIT DE REGISTRO DE GAVETA BRUTO DE LATÃO ½", INCLUSIVE CONEXÕES, ROSCÁVEL, INSTALADO EM RAMAL DE ÁGUA FRIA - FORNECIMENTO E INSTALAÇÃO. AF_12/2014</v>
          </cell>
          <cell r="C4577" t="str">
            <v>UN</v>
          </cell>
          <cell r="D4577">
            <v>35.92</v>
          </cell>
        </row>
        <row r="4578">
          <cell r="A4578">
            <v>89972</v>
          </cell>
          <cell r="B4578" t="str">
            <v>KIT DE REGISTRO DE GAVETA BRUTO DE LATÃO ¾", INCLUSIVE CONEXÕES, ROSCÁVEL, INSTALADO EM RAMAL DE ÁGUA FRIA - FORNECIMENTO E INSTALAÇÃO. AF_12/2014</v>
          </cell>
          <cell r="C4578" t="str">
            <v>UN</v>
          </cell>
          <cell r="D4578">
            <v>38.6</v>
          </cell>
        </row>
        <row r="4579">
          <cell r="A4579">
            <v>89973</v>
          </cell>
          <cell r="B4579" t="str">
            <v>KIT DE MISTURADOR BASE BRUTA DE LATÃO ¾" MONOCOMANDO PARA CHUVEIRO, INCLUSIVE CONEXÕES, INSTALADO EM RAMAL DE ÁGUA - FORNECIMENTO E INSTALAÇÃO. AF_12/2014</v>
          </cell>
          <cell r="C4579" t="str">
            <v>UN</v>
          </cell>
          <cell r="D4579">
            <v>421.21</v>
          </cell>
        </row>
        <row r="4580">
          <cell r="A4580">
            <v>89974</v>
          </cell>
          <cell r="B4580" t="str">
            <v>KIT DE TÊ MISTURADOR EM CPVC ¾" COM DUPLO COMANDO PARA CHUVEIRO, INCLUSIVE CONEXÕES, INSTALADO EM RAMAL DE ÁGUA - FORNECIMENTO E INSTALAÇÃO. AF_12/2014</v>
          </cell>
          <cell r="C4580" t="str">
            <v>UN</v>
          </cell>
          <cell r="D4580">
            <v>252.08</v>
          </cell>
        </row>
        <row r="4581">
          <cell r="A4581">
            <v>89984</v>
          </cell>
          <cell r="B4581" t="str">
            <v>REGISTRO DE PRESSÃO BRUTO, LATÃO, ROSCÁVEL, 1/2", COM ACABAMENTO E CANOPLA CROMADOS. FORNECIDO E INSTALADO EM RAMAL DE ÁGUA. AF_12/2014</v>
          </cell>
          <cell r="C4581" t="str">
            <v>UN</v>
          </cell>
          <cell r="D4581">
            <v>56.33</v>
          </cell>
        </row>
        <row r="4582">
          <cell r="A4582">
            <v>89985</v>
          </cell>
          <cell r="B4582" t="str">
            <v>REGISTRO DE PRESSÃO BRUTO, LATÃO, ROSCÁVEL, 3/4", COM ACABAMENTO E CANOPLA CROMADOS. FORNECIDO E INSTALADO EM RAMAL DE ÁGUA. AF_12/2014</v>
          </cell>
          <cell r="C4582" t="str">
            <v>UN</v>
          </cell>
          <cell r="D4582">
            <v>57.9</v>
          </cell>
        </row>
        <row r="4583">
          <cell r="A4583">
            <v>89986</v>
          </cell>
          <cell r="B4583" t="str">
            <v>REGISTRO DE GAVETA BRUTO, LATÃO, ROSCÁVEL, 1/2", COM ACABAMENTO E CANOPLA CROMADOS. FORNECIDO E INSTALADO EM RAMAL DE ÁGUA. AF_12/2014</v>
          </cell>
          <cell r="C4583" t="str">
            <v>UN</v>
          </cell>
          <cell r="D4583">
            <v>55.01</v>
          </cell>
        </row>
        <row r="4584">
          <cell r="A4584">
            <v>89987</v>
          </cell>
          <cell r="B4584" t="str">
            <v>REGISTRO DE GAVETA BRUTO, LATÃO, ROSCÁVEL, 3/4", COM ACABAMENTO E CANOPLA CROMADOS. FORNECIDO E INSTALADO EM RAMAL DE ÁGUA. AF_12/2014</v>
          </cell>
          <cell r="C4584" t="str">
            <v>UN</v>
          </cell>
          <cell r="D4584">
            <v>60.79</v>
          </cell>
        </row>
        <row r="4585">
          <cell r="A4585">
            <v>90371</v>
          </cell>
          <cell r="B4585" t="str">
            <v>REGISTRO DE ESFERA, PVC, ROSCÁVEL, 3/4", FORNECIDO E INSTALADO EM RAMAL DE ÁGUA. AF_03/2015</v>
          </cell>
          <cell r="C4585" t="str">
            <v>UN</v>
          </cell>
          <cell r="D4585">
            <v>15.93</v>
          </cell>
        </row>
        <row r="4586">
          <cell r="A4586">
            <v>94489</v>
          </cell>
          <cell r="B4586" t="str">
            <v>REGISTRO DE ESFERA, PVC, SOLDÁVEL, DN  25 MM, INSTALADO EM RESERVAÇÃO DE ÁGUA DE EDIFICAÇÃO QUE POSSUA RESERVATÓRIO DE FIBRA/FIBROCIMENTO   FORNECIMENTO E INSTALAÇÃO. AF_06/2016</v>
          </cell>
          <cell r="C4586" t="str">
            <v>UN</v>
          </cell>
          <cell r="D4586">
            <v>12.59</v>
          </cell>
        </row>
        <row r="4587">
          <cell r="A4587">
            <v>94490</v>
          </cell>
          <cell r="B4587" t="str">
            <v>REGISTRO DE ESFERA, PVC, SOLDÁVEL, DN  32 MM, INSTALADO EM RESERVAÇÃO DE ÁGUA DE EDIFICAÇÃO QUE POSSUA RESERVATÓRIO DE FIBRA/FIBROCIMENTO   FORNECIMENTO E INSTALAÇÃO. AF_06/2016</v>
          </cell>
          <cell r="C4587" t="str">
            <v>UN</v>
          </cell>
          <cell r="D4587">
            <v>21.51</v>
          </cell>
        </row>
        <row r="4588">
          <cell r="A4588">
            <v>94491</v>
          </cell>
          <cell r="B4588" t="str">
            <v>REGISTRO DE ESFERA, PVC, SOLDÁVEL, DN  40 MM, INSTALADO EM RESERVAÇÃO DE ÁGUA DE EDIFICAÇÃO QUE POSSUA RESERVATÓRIO DE FIBRA/FIBROCIMENTO   FORNECIMENTO E INSTALAÇÃO. AF_06/2016</v>
          </cell>
          <cell r="C4588" t="str">
            <v>UN</v>
          </cell>
          <cell r="D4588">
            <v>30.31</v>
          </cell>
        </row>
        <row r="4589">
          <cell r="A4589">
            <v>94492</v>
          </cell>
          <cell r="B4589" t="str">
            <v>REGISTRO DE ESFERA, PVC, SOLDÁVEL, DN  50 MM, INSTALADO EM RESERVAÇÃO DE ÁGUA DE EDIFICAÇÃO QUE POSSUA RESERVATÓRIO DE FIBRA/FIBROCIMENTO   FORNECIMENTO E INSTALAÇÃO. AF_06/2016</v>
          </cell>
          <cell r="C4589" t="str">
            <v>UN</v>
          </cell>
          <cell r="D4589">
            <v>30.91</v>
          </cell>
        </row>
        <row r="4590">
          <cell r="A4590">
            <v>94493</v>
          </cell>
          <cell r="B4590" t="str">
            <v>REGISTRO DE ESFERA, PVC, SOLDÁVEL, DN  60 MM, INSTALADO EM RESERVAÇÃO DE ÁGUA DE EDIFICAÇÃO QUE POSSUA RESERVATÓRIO DE FIBRA/FIBROCIMENTO   FORNECIMENTO E INSTALAÇÃO. AF_06/2016</v>
          </cell>
          <cell r="C4590" t="str">
            <v>UN</v>
          </cell>
          <cell r="D4590">
            <v>56.34</v>
          </cell>
        </row>
        <row r="4591">
          <cell r="A4591">
            <v>94494</v>
          </cell>
          <cell r="B4591" t="str">
            <v>REGISTRO DE GAVETA BRUTO, LATÃO, ROSCÁVEL, 3/4, INSTALADO EM RESERVAÇÃO DE ÁGUA DE EDIFICAÇÃO QUE POSSUA RESERVATÓRIO DE FIBRA/FIBROCIMENTO  FORNECIMENTO E INSTALAÇÃO. AF_06/2016</v>
          </cell>
          <cell r="C4591" t="str">
            <v>UN</v>
          </cell>
          <cell r="D4591">
            <v>48.95</v>
          </cell>
        </row>
        <row r="4592">
          <cell r="A4592">
            <v>94495</v>
          </cell>
          <cell r="B4592" t="str">
            <v>REGISTRO DE GAVETA BRUTO, LATÃO, ROSCÁVEL, 1, INSTALADO EM RESERVAÇÃO DE ÁGUA DE EDIFICAÇÃO QUE POSSUA RESERVATÓRIO DE FIBRA/FIBROCIMENTO  FORNECIMENTO E INSTALAÇÃO. AF_06/2016</v>
          </cell>
          <cell r="C4592" t="str">
            <v>UN</v>
          </cell>
          <cell r="D4592">
            <v>61.02</v>
          </cell>
        </row>
        <row r="4593">
          <cell r="A4593">
            <v>94496</v>
          </cell>
          <cell r="B4593" t="str">
            <v>REGISTRO DE GAVETA BRUTO, LATÃO, ROSCÁVEL, 1 1/4, INSTALADO EM RESERVAÇÃO DE ÁGUA DE EDIFICAÇÃO QUE POSSUA RESERVATÓRIO DE FIBRA/FIBROCIMENTO  FORNECIMENTO E INSTALAÇÃO. AF_06/2016</v>
          </cell>
          <cell r="C4593" t="str">
            <v>UN</v>
          </cell>
          <cell r="D4593">
            <v>73.64</v>
          </cell>
        </row>
        <row r="4594">
          <cell r="A4594">
            <v>94497</v>
          </cell>
          <cell r="B4594" t="str">
            <v>REGISTRO DE GAVETA BRUTO, LATÃO, ROSCÁVEL, 1 1/2, INSTALADO EM RESERVAÇÃO DE ÁGUA DE EDIFICAÇÃO QUE POSSUA RESERVATÓRIO DE FIBRA/FIBROCIMENTO  FORNECIMENTO E INSTALAÇÃO. AF_06/2016</v>
          </cell>
          <cell r="C4594" t="str">
            <v>UN</v>
          </cell>
          <cell r="D4594">
            <v>85.42</v>
          </cell>
        </row>
        <row r="4595">
          <cell r="A4595">
            <v>94498</v>
          </cell>
          <cell r="B4595" t="str">
            <v>REGISTRO DE GAVETA BRUTO, LATÃO, ROSCÁVEL, 2, INSTALADO EM RESERVAÇÃO DE ÁGUA DE EDIFICAÇÃO QUE POSSUA RESERVATÓRIO DE FIBRA/FIBROCIMENTO  FORNECIMENTO E INSTALAÇÃO. AF_06/2016</v>
          </cell>
          <cell r="C4595" t="str">
            <v>UN</v>
          </cell>
          <cell r="D4595">
            <v>109.01</v>
          </cell>
        </row>
        <row r="4596">
          <cell r="A4596">
            <v>94499</v>
          </cell>
          <cell r="B4596" t="str">
            <v>REGISTRO DE GAVETA BRUTO, LATÃO, ROSCÁVEL, 2 1/2, INSTALADO EM RESERVAÇÃO DE ÁGUA DE EDIFICAÇÃO QUE POSSUA RESERVATÓRIO DE FIBRA/FIBROCIMENTO  FORNECIMENTO E INSTALAÇÃO. AF_06/2016</v>
          </cell>
          <cell r="C4596" t="str">
            <v>UN</v>
          </cell>
          <cell r="D4596">
            <v>193.74</v>
          </cell>
        </row>
        <row r="4597">
          <cell r="A4597">
            <v>94500</v>
          </cell>
          <cell r="B4597" t="str">
            <v>REGISTRO DE GAVETA BRUTO, LATÃO, ROSCÁVEL, 3, INSTALADO EM RESERVAÇÃO DE ÁGUA DE EDIFICAÇÃO QUE POSSUA RESERVATÓRIO DE FIBRA/FIBROCIMENTO  FORNECIMENTO E INSTALAÇÃO. AF_06/2016</v>
          </cell>
          <cell r="C4597" t="str">
            <v>UN</v>
          </cell>
          <cell r="D4597">
            <v>229.54</v>
          </cell>
        </row>
        <row r="4598">
          <cell r="A4598">
            <v>94501</v>
          </cell>
          <cell r="B4598" t="str">
            <v>REGISTRO DE GAVETA BRUTO, LATÃO, ROSCÁVEL, 4, INSTALADO EM RESERVAÇÃO DE ÁGUA DE EDIFICAÇÃO QUE POSSUA RESERVATÓRIO DE FIBRA/FIBROCIMENTO  FORNECIMENTO E INSTALAÇÃO. AF_06/2016</v>
          </cell>
          <cell r="C4598" t="str">
            <v>UN</v>
          </cell>
          <cell r="D4598">
            <v>444.21</v>
          </cell>
        </row>
        <row r="4599">
          <cell r="A4599">
            <v>94792</v>
          </cell>
          <cell r="B4599" t="str">
            <v>REGISTRO DE GAVETA BRUTO, LATÃO, ROSCÁVEL, 1, COM ACABAMENTO E CANOPLA CROMADOS, INSTALADO EM RESERVAÇÃO DE ÁGUA DE EDIFICAÇÃO QUE POSSUA RESERVATÓRIO DE FIBRA/FIBROCIMENTO  FORNECIMENTO E INSTALAÇÃO. AF_06/2016</v>
          </cell>
          <cell r="C4599" t="str">
            <v>UN</v>
          </cell>
          <cell r="D4599">
            <v>90.38</v>
          </cell>
        </row>
        <row r="4600">
          <cell r="A4600">
            <v>94793</v>
          </cell>
          <cell r="B4600" t="str">
            <v>REGISTRO DE GAVETA BRUTO, LATÃO, ROSCÁVEL, 1 1/4, COM ACABAMENTO E CANOPLA CROMADOS, INSTALADO EM RESERVAÇÃO DE ÁGUA DE EDIFICAÇÃO QUE POSSUA RESERVATÓRIO DE FIBRA/FIBROCIMENTO  FORNECIMENTO E INSTALAÇÃO. AF_06/2016</v>
          </cell>
          <cell r="C4600" t="str">
            <v>UN</v>
          </cell>
          <cell r="D4600">
            <v>115.37</v>
          </cell>
        </row>
        <row r="4601">
          <cell r="A4601">
            <v>94794</v>
          </cell>
          <cell r="B4601" t="str">
            <v>REGISTRO DE GAVETA BRUTO, LATÃO, ROSCÁVEL, 1 1/2, COM ACABAMENTO E CANOPLA CROMADOS, INSTALADO EM RESERVAÇÃO DE ÁGUA DE EDIFICAÇÃO QUE POSSUA RESERVATÓRIO DE FIBRA/FIBROCIMENTO  FORNECIMENTO E INSTALAÇÃO. AF_06/2016</v>
          </cell>
          <cell r="C4601" t="str">
            <v>UN</v>
          </cell>
          <cell r="D4601">
            <v>119.35</v>
          </cell>
        </row>
        <row r="4602">
          <cell r="A4602">
            <v>94795</v>
          </cell>
          <cell r="B4602" t="str">
            <v>TORNEIRA DE BOIA, ROSCÁVEL, 1/2 , FORNECIDA E INSTALADA EM RESERVAÇÃO DE ÁGUA. AF_06/2016</v>
          </cell>
          <cell r="C4602" t="str">
            <v>UN</v>
          </cell>
          <cell r="D4602">
            <v>21.84</v>
          </cell>
        </row>
        <row r="4603">
          <cell r="A4603">
            <v>94796</v>
          </cell>
          <cell r="B4603" t="str">
            <v>TORNEIRA DE BOIA, ROSCÁVEL, 3/4 , FORNECIDA E INSTALADA EM RESERVAÇÃO DE ÁGUA. AF_06/2016</v>
          </cell>
          <cell r="C4603" t="str">
            <v>UN</v>
          </cell>
          <cell r="D4603">
            <v>25.66</v>
          </cell>
        </row>
        <row r="4604">
          <cell r="A4604">
            <v>94797</v>
          </cell>
          <cell r="B4604" t="str">
            <v>TORNEIRA DE BOIA, ROSCÁVEL, 1, FORNECIDA E INSTALADA EM RESERVAÇÃO DE ÁGUA. AF_06/2016</v>
          </cell>
          <cell r="C4604" t="str">
            <v>UN</v>
          </cell>
          <cell r="D4604">
            <v>38.85</v>
          </cell>
        </row>
        <row r="4605">
          <cell r="A4605">
            <v>94798</v>
          </cell>
          <cell r="B4605" t="str">
            <v>TORNEIRA DE BOIA, ROSCÁVEL, 1 1/4 , FORNECIDA E INSTALADA EM RESERVAÇÃO DE ÁGUA. AF_06/2016</v>
          </cell>
          <cell r="C4605" t="str">
            <v>UN</v>
          </cell>
          <cell r="D4605">
            <v>82.87</v>
          </cell>
        </row>
        <row r="4606">
          <cell r="A4606">
            <v>94799</v>
          </cell>
          <cell r="B4606" t="str">
            <v>TORNEIRA DE BOIA, ROSCÁVEL, 1 1/2 , FORNECIDA E INSTALADA EM RESERVAÇÃO DE ÁGUA. AF_06/2016</v>
          </cell>
          <cell r="C4606" t="str">
            <v>UN</v>
          </cell>
          <cell r="D4606">
            <v>80.84</v>
          </cell>
        </row>
        <row r="4607">
          <cell r="A4607">
            <v>94800</v>
          </cell>
          <cell r="B4607" t="str">
            <v>TORNEIRA DE BOIA, ROSCÁVEL, 2, FORNECIDA E INSTALADA EM RESERVAÇÃO DE ÁGUA. AF_06/2016</v>
          </cell>
          <cell r="C4607" t="str">
            <v>UN</v>
          </cell>
          <cell r="D4607">
            <v>136.83000000000001</v>
          </cell>
        </row>
        <row r="4608">
          <cell r="A4608">
            <v>95248</v>
          </cell>
          <cell r="B4608" t="str">
            <v>VÁLVULA DE ESFERA BRUTA, BRONZE, ROSCÁVEL, 1/2  , INSTALADO EM RESERVAÇÃO DE ÁGUA DE EDIFICAÇÃO QUE POSSUA RESERVATÓRIO DE FIBRA/FIBROCIMENTO - FORNECIMENTO E INSTALAÇÃO. AF_06/2016</v>
          </cell>
          <cell r="C4608" t="str">
            <v>UN</v>
          </cell>
          <cell r="D4608">
            <v>57.74</v>
          </cell>
        </row>
        <row r="4609">
          <cell r="A4609">
            <v>95249</v>
          </cell>
          <cell r="B4609" t="str">
            <v>VÁLVULA DE ESFERA BRUTA, BRONZE, ROSCÁVEL, 3/4'', INSTALADO EM RESERVAÇÃO DE ÁGUA DE EDIFICAÇÃO QUE POSSUA RESERVATÓRIO DE FIBRA/FIBROCIMENTO - FORNECIMENTO E INSTALAÇÃO. AF_06/2016</v>
          </cell>
          <cell r="C4609" t="str">
            <v>UN</v>
          </cell>
          <cell r="D4609">
            <v>62.31</v>
          </cell>
        </row>
        <row r="4610">
          <cell r="A4610">
            <v>95250</v>
          </cell>
          <cell r="B4610" t="str">
            <v>VÁLVULA DE ESFERA BRUTA, BRONZE, ROSCÁVEL, 1'', INSTALADO EM RESERVAÇÃO DE ÁGUA DE EDIFICAÇÃO QUE POSSUA RESERVATÓRIO DE FIBRA/FIBROCIMENTO -   FORNECIMENTO E INSTALAÇÃO. AF_06/2016</v>
          </cell>
          <cell r="C4610" t="str">
            <v>UN</v>
          </cell>
          <cell r="D4610">
            <v>74.28</v>
          </cell>
        </row>
        <row r="4611">
          <cell r="A4611">
            <v>95251</v>
          </cell>
          <cell r="B4611" t="str">
            <v>VÁLVULA DE ESFERA BRUTA, BRONZE, ROSCÁVEL, 1 1/4'', INSTALADO EM RESERVAÇÃO DE ÁGUA DE EDIFICAÇÃO QUE POSSUA RESERVATÓRIO DE FIBRA/FIBROCIMENTO -   FORNECIMENTO E INSTALAÇÃO. AF_06/2016</v>
          </cell>
          <cell r="C4611" t="str">
            <v>UN</v>
          </cell>
          <cell r="D4611">
            <v>97.62</v>
          </cell>
        </row>
        <row r="4612">
          <cell r="A4612">
            <v>95252</v>
          </cell>
          <cell r="B4612" t="str">
            <v>VÁLVULA DE ESFERA BRUTA, BRONZE, ROSCÁVEL, 1 1/2'', INSTALADO EM RESERVAÇÃO DE ÁGUA DE EDIFICAÇÃO QUE POSSUA RESERVATÓRIO DE FIBRA/FIBROCIMENTO -   FORNECIMENTO E INSTALAÇÃO. AF_06/2016</v>
          </cell>
          <cell r="C4612" t="str">
            <v>UN</v>
          </cell>
          <cell r="D4612">
            <v>111.73</v>
          </cell>
        </row>
        <row r="4613">
          <cell r="A4613">
            <v>95253</v>
          </cell>
          <cell r="B4613" t="str">
            <v>VÁLVULA DE ESFERA BRUTA, BRONZE, ROSCÁVEL, 2'', INSTALADO EM RESERVAÇÃO DE ÁGUA DE EDIFICAÇÃO QUE POSSUA RESERVATÓRIO DE FIBRA/FIBROCIMENTO - FORNECIMENTO E INSTALAÇÃO. AF_06/2016</v>
          </cell>
          <cell r="C4613" t="str">
            <v>UN</v>
          </cell>
          <cell r="D4613">
            <v>158.03</v>
          </cell>
        </row>
        <row r="4614">
          <cell r="A4614">
            <v>99619</v>
          </cell>
          <cell r="B4614" t="str">
            <v>VÁLVULA DE RETENÇÃO HORIZONTAL, DE BRONZE, ROSCÁVEL, 3/4" - FORNECIMENTO E INSTALAÇÃO. AF_01/2019</v>
          </cell>
          <cell r="C4614" t="str">
            <v>UN</v>
          </cell>
          <cell r="D4614">
            <v>52.14</v>
          </cell>
        </row>
        <row r="4615">
          <cell r="A4615">
            <v>99620</v>
          </cell>
          <cell r="B4615" t="str">
            <v>VÁLVULA DE RETENÇÃO HORIZONTAL, DE BRONZE, ROSCÁVEL, 1" - FORNECIMENTO E INSTALAÇÃO. AF_01/2019</v>
          </cell>
          <cell r="C4615" t="str">
            <v>UN</v>
          </cell>
          <cell r="D4615">
            <v>88.9</v>
          </cell>
        </row>
        <row r="4616">
          <cell r="A4616">
            <v>99621</v>
          </cell>
          <cell r="B4616" t="str">
            <v>VÁLVULA DE RETENÇÃO HORIZONTAL, DE BRONZE, ROSCÁVEL, 1 1/4" - FORNECIMENTO E INSTALAÇÃO. AF_01/2019</v>
          </cell>
          <cell r="C4616" t="str">
            <v>UN</v>
          </cell>
          <cell r="D4616">
            <v>119.8</v>
          </cell>
        </row>
        <row r="4617">
          <cell r="A4617">
            <v>99622</v>
          </cell>
          <cell r="B4617" t="str">
            <v>VÁLVULA DE RETENÇÃO HORIZONTAL, DE BRONZE, ROSCÁVEL, 1 1/2"  - FORNECIMENTO E INSTALAÇÃO. AF_01/2019</v>
          </cell>
          <cell r="C4617" t="str">
            <v>UN</v>
          </cell>
          <cell r="D4617">
            <v>130.5</v>
          </cell>
        </row>
        <row r="4618">
          <cell r="A4618">
            <v>99623</v>
          </cell>
          <cell r="B4618" t="str">
            <v>VÁLVULA DE RETENÇÃO HORIZONTAL, DE BRONZE, ROSCÁVEL, 2"  - FORNECIMENTO E INSTALAÇÃO. AF_01/2019</v>
          </cell>
          <cell r="C4618" t="str">
            <v>UN</v>
          </cell>
          <cell r="D4618">
            <v>172.64</v>
          </cell>
        </row>
        <row r="4619">
          <cell r="A4619">
            <v>99624</v>
          </cell>
          <cell r="B4619" t="str">
            <v>VÁLVULA DE RETENÇÃO HORIZONTAL, DE BRONZE, ROSCÁVEL, 2 1/2" - FORNECIMENTO E INSTALAÇÃO. AF_01/2019</v>
          </cell>
          <cell r="C4619" t="str">
            <v>UN</v>
          </cell>
          <cell r="D4619">
            <v>233.93</v>
          </cell>
        </row>
        <row r="4620">
          <cell r="A4620">
            <v>99625</v>
          </cell>
          <cell r="B4620" t="str">
            <v>VÁLVULA DE RETENÇÃO HORIZONTAL, DE BRONZE, ROSCÁVEL, 3" - FORNECIMENTO E INSTALAÇÃO. AF_01/2019</v>
          </cell>
          <cell r="C4620" t="str">
            <v>UN</v>
          </cell>
          <cell r="D4620">
            <v>312.95</v>
          </cell>
        </row>
        <row r="4621">
          <cell r="A4621">
            <v>99626</v>
          </cell>
          <cell r="B4621" t="str">
            <v>VÁLVULA DE RETENÇÃO HORIZONTAL, DE BRONZE, ROSCÁVEL, 4" - FORNECIMENTO E INSTALAÇÃO. AF_01/2019</v>
          </cell>
          <cell r="C4621" t="str">
            <v>UN</v>
          </cell>
          <cell r="D4621">
            <v>468.06</v>
          </cell>
        </row>
        <row r="4622">
          <cell r="A4622">
            <v>99627</v>
          </cell>
          <cell r="B4622" t="str">
            <v>VÁLVULA DE RETENÇÃO VERTICAL, DE BRONZE, ROSCÁVEL, 1/2" - FORNECIMENTO E INSTALAÇÃO. AF_01/2019</v>
          </cell>
          <cell r="C4622" t="str">
            <v>UN</v>
          </cell>
          <cell r="D4622">
            <v>55.65</v>
          </cell>
        </row>
        <row r="4623">
          <cell r="A4623">
            <v>99628</v>
          </cell>
          <cell r="B4623" t="str">
            <v>VÁLVULA DE RETENÇÃO VERTICAL, DE BRONZE, ROSCÁVEL, 3/4" - FORNECIMENTO E INSTALAÇÃO. AF_01/2019</v>
          </cell>
          <cell r="C4623" t="str">
            <v>UN</v>
          </cell>
          <cell r="D4623">
            <v>36.090000000000003</v>
          </cell>
        </row>
        <row r="4624">
          <cell r="A4624">
            <v>99629</v>
          </cell>
          <cell r="B4624" t="str">
            <v>VÁLVULA DE RETENÇÃO VERTICAL, DE BRONZE, ROSCÁVEL, 1" - FORNECIMENTO E INSTALAÇÃO. AF_01/2019</v>
          </cell>
          <cell r="C4624" t="str">
            <v>UN</v>
          </cell>
          <cell r="D4624">
            <v>59.43</v>
          </cell>
        </row>
        <row r="4625">
          <cell r="A4625">
            <v>99630</v>
          </cell>
          <cell r="B4625" t="str">
            <v>VÁLVULA DE RETENÇÃO VERTICAL, DE BRONZE, ROSCÁVEL, 1 1/4" - FORNECIMENTO E INSTALAÇÃO. AF_01/2019</v>
          </cell>
          <cell r="C4625" t="str">
            <v>UN</v>
          </cell>
          <cell r="D4625">
            <v>75.78</v>
          </cell>
        </row>
        <row r="4626">
          <cell r="A4626">
            <v>99631</v>
          </cell>
          <cell r="B4626" t="str">
            <v>VÁLVULA DE RETENÇÃO VERTICAL, DE BRONZE, ROSCÁVEL, 1 1/2" - FORNECIMENTO E INSTALAÇÃO. AF_01/2019</v>
          </cell>
          <cell r="C4626" t="str">
            <v>UN</v>
          </cell>
          <cell r="D4626">
            <v>82.93</v>
          </cell>
        </row>
        <row r="4627">
          <cell r="A4627">
            <v>99632</v>
          </cell>
          <cell r="B4627" t="str">
            <v>VÁLVULA DE RETENÇÃO VERTICAL, DE BRONZE, ROSCÁVEL, 2" - FORNECIMENTO E INSTALAÇÃO. AF_01/2019</v>
          </cell>
          <cell r="C4627" t="str">
            <v>UN</v>
          </cell>
          <cell r="D4627">
            <v>109.03</v>
          </cell>
        </row>
        <row r="4628">
          <cell r="A4628">
            <v>99633</v>
          </cell>
          <cell r="B4628" t="str">
            <v>VÁLVULA DE RETENÇÃO VERTICAL, DE BRONZE, ROSCÁVEL, 3" - FORNECIMENTO E INSTALAÇÃO. AF_01/2019</v>
          </cell>
          <cell r="C4628" t="str">
            <v>UN</v>
          </cell>
          <cell r="D4628">
            <v>204.12</v>
          </cell>
        </row>
        <row r="4629">
          <cell r="A4629">
            <v>99634</v>
          </cell>
          <cell r="B4629" t="str">
            <v>VÁLVULA DE RETENÇÃO VERTICAL, DE BRONZE, ROSCÁVEL, 4" - FORNECIMENTO E INSTALAÇÃO. AF_01/2019</v>
          </cell>
          <cell r="C4629" t="str">
            <v>UN</v>
          </cell>
          <cell r="D4629">
            <v>331.12</v>
          </cell>
        </row>
        <row r="4630">
          <cell r="A4630">
            <v>99635</v>
          </cell>
          <cell r="B4630" t="str">
            <v>VÁLVULA DE DESCARGA METÁLICA, BASE 1 1/2 ", ACABAMENTO METALICO CROMADO - FORNECIMENTO E INSTALAÇÃO. AF_01/2019</v>
          </cell>
          <cell r="C4630" t="str">
            <v>UN</v>
          </cell>
          <cell r="D4630">
            <v>191.58</v>
          </cell>
        </row>
        <row r="4631">
          <cell r="A4631">
            <v>95634</v>
          </cell>
          <cell r="B4631" t="str">
            <v>KIT CAVALETE PARA MEDIÇÃO DE ÁGUA - ENTRADA PRINCIPAL, EM PVC SOLDÁVEL DN 20 (½")   FORNECIMENTO E INSTALAÇÃO (EXCLUSIVE HIDRÔMETRO). AF_11/2016</v>
          </cell>
          <cell r="C4631" t="str">
            <v>UN</v>
          </cell>
          <cell r="D4631">
            <v>114.12</v>
          </cell>
        </row>
        <row r="4632">
          <cell r="A4632">
            <v>95635</v>
          </cell>
          <cell r="B4632" t="str">
            <v>KIT CAVALETE PARA MEDIÇÃO DE ÁGUA - ENTRADA PRINCIPAL, EM PVC SOLDÁVEL DN 25 (¾")   FORNECIMENTO E INSTALAÇÃO (EXCLUSIVE HIDRÔMETRO). AF_11/2016</v>
          </cell>
          <cell r="C4632" t="str">
            <v>UN</v>
          </cell>
          <cell r="D4632">
            <v>124.53</v>
          </cell>
        </row>
        <row r="4633">
          <cell r="A4633">
            <v>95637</v>
          </cell>
          <cell r="B4633" t="str">
            <v>KIT CAVALETE PARA MEDIÇÃO DE ÁGUA - ENTRADA PRINCIPAL, EM AÇO GALVANIZADO DN 32 (1 ¼)  FORNECIMENTO E INSTALAÇÃO (EXCLUSIVE HIDRÔMETRO). AF_11/2016</v>
          </cell>
          <cell r="C4633" t="str">
            <v>UN</v>
          </cell>
          <cell r="D4633">
            <v>355.19</v>
          </cell>
        </row>
        <row r="4634">
          <cell r="A4634">
            <v>95638</v>
          </cell>
          <cell r="B4634" t="str">
            <v>KIT CAVALETE PARA MEDIÇÃO DE ÁGUA - ENTRADA PRINCIPAL, EM AÇO GALVANIZADO DN 40 (1 ½)  FORNECIMENTO E INSTALAÇÃO (EXCLUSIVE HIDRÔMETRO). AF_11/2016</v>
          </cell>
          <cell r="C4634" t="str">
            <v>UN</v>
          </cell>
          <cell r="D4634">
            <v>427.21</v>
          </cell>
        </row>
        <row r="4635">
          <cell r="A4635">
            <v>95639</v>
          </cell>
          <cell r="B4635" t="str">
            <v>KIT CAVALETE PARA MEDIÇÃO DE ÁGUA - ENTRADA PRINCIPAL, EM AÇO GALVANIZADO DN 50 (2)  FORNECIMENTO E INSTALAÇÃO (EXCLUSIVE HIDRÔMETRO). AF_11/2016</v>
          </cell>
          <cell r="C4635" t="str">
            <v>UN</v>
          </cell>
          <cell r="D4635">
            <v>526.71</v>
          </cell>
        </row>
        <row r="4636">
          <cell r="A4636">
            <v>95641</v>
          </cell>
          <cell r="B4636" t="str">
            <v>KIT CAVALETE PARA MEDIÇÃO DE ÁGUA - ENTRADA INDIVIDUALIZADA, EM PVC DN 25 (¾), PARA 2 MEDIDORES  FORNECIMENTO E INSTALAÇÃO (EXCLUSIVE HIDRÔMETRO). AF_11/2016</v>
          </cell>
          <cell r="C4636" t="str">
            <v>UN</v>
          </cell>
          <cell r="D4636">
            <v>212.18</v>
          </cell>
        </row>
        <row r="4637">
          <cell r="A4637">
            <v>95642</v>
          </cell>
          <cell r="B4637" t="str">
            <v>KIT CAVALETE PARA MEDIÇÃO DE ÁGUA - ENTRADA INDIVIDUALIZADA, EM PVC DN 25 (¾), PARA 3 MEDIDORES  FORNECIMENTO E INSTALAÇÃO (EXCLUSIVE HIDRÔMETRO). AF_11/2016</v>
          </cell>
          <cell r="C4637" t="str">
            <v>UN</v>
          </cell>
          <cell r="D4637">
            <v>313.69</v>
          </cell>
        </row>
        <row r="4638">
          <cell r="A4638">
            <v>95643</v>
          </cell>
          <cell r="B4638" t="str">
            <v>KIT CAVALETE PARA MEDIÇÃO DE ÁGUA - ENTRADA INDIVIDUALIZADA, EM PVC DN 25 (¾), PARA 4 MEDIDORES  FORNECIMENTO E INSTALAÇÃO (EXCLUSIVE HIDRÔMETRO). AF_11/2016</v>
          </cell>
          <cell r="C4638" t="str">
            <v>UN</v>
          </cell>
          <cell r="D4638">
            <v>410.63</v>
          </cell>
        </row>
        <row r="4639">
          <cell r="A4639">
            <v>95644</v>
          </cell>
          <cell r="B4639" t="str">
            <v>KIT CAVALETE PARA MEDIÇÃO DE ÁGUA - ENTRADA INDIVIDUALIZADA, EM PVC DN 32 (1), PARA 1 MEDIDOR  FORNECIMENTO E INSTALAÇÃO (EXCLUSIVE HIDRÔMETRO). AF_11/2016</v>
          </cell>
          <cell r="C4639" t="str">
            <v>UN</v>
          </cell>
          <cell r="D4639">
            <v>151.9</v>
          </cell>
        </row>
        <row r="4640">
          <cell r="A4640">
            <v>95645</v>
          </cell>
          <cell r="B4640" t="str">
            <v>KIT CAVALETE PARA MEDIÇÃO DE ÁGUA - ENTRADA INDIVIDUALIZADA, EM PVC DN 32 (1), PARA 2 MEDIDORES  FORNECIMENTO E INSTALAÇÃO (EXCLUSIVE HIDRÔMETRO). AF_11/2016</v>
          </cell>
          <cell r="C4640" t="str">
            <v>UN</v>
          </cell>
          <cell r="D4640">
            <v>278.72000000000003</v>
          </cell>
        </row>
        <row r="4641">
          <cell r="A4641">
            <v>95646</v>
          </cell>
          <cell r="B4641" t="str">
            <v>KIT CAVALETE PARA MEDIÇÃO DE ÁGUA - ENTRADA INDIVIDUALIZADA, EM PVC DN 32 (1), PARA 3 MEDIDORES  FORNECIMENTO E INSTALAÇÃO (EXCLUSIVE HIDRÔMETRO). AF_11/2016</v>
          </cell>
          <cell r="C4641" t="str">
            <v>UN</v>
          </cell>
          <cell r="D4641">
            <v>415.13</v>
          </cell>
        </row>
        <row r="4642">
          <cell r="A4642">
            <v>95647</v>
          </cell>
          <cell r="B4642" t="str">
            <v>KIT CAVALETE PARA MEDIÇÃO DE ÁGUA - ENTRADA INDIVIDUALIZADA, EM PVC DN 32 (1), PARA 4 MEDIDORES  FORNECIMENTO E INSTALAÇÃO (EXCLUSIVE HIDRÔMETRO). AF_11/2016</v>
          </cell>
          <cell r="C4642" t="str">
            <v>UN</v>
          </cell>
          <cell r="D4642">
            <v>544.55999999999995</v>
          </cell>
        </row>
        <row r="4643">
          <cell r="A4643">
            <v>95673</v>
          </cell>
          <cell r="B4643" t="str">
            <v>HIDRÔMETRO DN 20 (½), 1,5 M³/H  FORNECIMENTO E INSTALAÇÃO. AF_11/2016</v>
          </cell>
          <cell r="C4643" t="str">
            <v>UN</v>
          </cell>
          <cell r="D4643">
            <v>102.98</v>
          </cell>
        </row>
        <row r="4644">
          <cell r="A4644">
            <v>95674</v>
          </cell>
          <cell r="B4644" t="str">
            <v>HIDRÔMETRO DN 20 (½), 3,0 M³/H  FORNECIMENTO E INSTALAÇÃO. AF_11/2016</v>
          </cell>
          <cell r="C4644" t="str">
            <v>UN</v>
          </cell>
          <cell r="D4644">
            <v>109.32</v>
          </cell>
        </row>
        <row r="4645">
          <cell r="A4645">
            <v>95675</v>
          </cell>
          <cell r="B4645" t="str">
            <v>HIDRÔMETRO DN 25 (¾ ), 5,0 M³/H FORNECIMENTO E INSTALAÇÃO. AF_11/2016</v>
          </cell>
          <cell r="C4645" t="str">
            <v>UN</v>
          </cell>
          <cell r="D4645">
            <v>133.54</v>
          </cell>
        </row>
        <row r="4646">
          <cell r="A4646">
            <v>95676</v>
          </cell>
          <cell r="B4646" t="str">
            <v>CAIXA EM CONCRETO PRÉ-MOLDADO PARA ABRIGO DE HIDRÔMETRO COM DN 20 (½)  FORNECIMENTO E INSTALAÇÃO. AF_11/2016</v>
          </cell>
          <cell r="C4646" t="str">
            <v>UN</v>
          </cell>
          <cell r="D4646">
            <v>86.16</v>
          </cell>
        </row>
        <row r="4647">
          <cell r="A4647">
            <v>97741</v>
          </cell>
          <cell r="B4647" t="str">
            <v>KIT CAVALETE PARA MEDIÇÃO DE ÁGUA - ENTRADA INDIVIDUALIZADA, EM PVC DN 25 (¾), PARA 1 MEDIDOR  FORNECIMENTO E INSTALAÇÃO (EXCLUSIVE HIDRÔMETRO). AF_11/2016</v>
          </cell>
          <cell r="C4647" t="str">
            <v>UN</v>
          </cell>
          <cell r="D4647">
            <v>118.32</v>
          </cell>
        </row>
        <row r="4648">
          <cell r="A4648">
            <v>72285</v>
          </cell>
          <cell r="B4648" t="str">
            <v>CAIXA DE AREIA 40X40X40CM EM ALVENARIA - EXECUÇÃO</v>
          </cell>
          <cell r="C4648" t="str">
            <v>UN</v>
          </cell>
          <cell r="D4648">
            <v>83.54</v>
          </cell>
        </row>
        <row r="4649">
          <cell r="A4649">
            <v>90436</v>
          </cell>
          <cell r="B4649" t="str">
            <v>FURO EM ALVENARIA PARA DIÂMETROS MENORES OU IGUAIS A 40 MM. AF_05/2015</v>
          </cell>
          <cell r="C4649" t="str">
            <v>UN</v>
          </cell>
          <cell r="D4649">
            <v>11.26</v>
          </cell>
        </row>
        <row r="4650">
          <cell r="A4650">
            <v>90437</v>
          </cell>
          <cell r="B4650" t="str">
            <v>FURO EM ALVENARIA PARA DIÂMETROS MAIORES QUE 40 MM E MENORES OU IGUAIS A 75 MM. AF_05/2015</v>
          </cell>
          <cell r="C4650" t="str">
            <v>UN</v>
          </cell>
          <cell r="D4650">
            <v>27.37</v>
          </cell>
        </row>
        <row r="4651">
          <cell r="A4651">
            <v>90438</v>
          </cell>
          <cell r="B4651" t="str">
            <v>FURO EM ALVENARIA PARA DIÂMETROS MAIORES QUE 75 MM. AF_05/2015</v>
          </cell>
          <cell r="C4651" t="str">
            <v>UN</v>
          </cell>
          <cell r="D4651">
            <v>39.22</v>
          </cell>
        </row>
        <row r="4652">
          <cell r="A4652">
            <v>90439</v>
          </cell>
          <cell r="B4652" t="str">
            <v>FURO EM CONCRETO PARA DIÂMETROS MENORES OU IGUAIS A 40 MM. AF_05/2015</v>
          </cell>
          <cell r="C4652" t="str">
            <v>UN</v>
          </cell>
          <cell r="D4652">
            <v>44</v>
          </cell>
        </row>
        <row r="4653">
          <cell r="A4653">
            <v>90440</v>
          </cell>
          <cell r="B4653" t="str">
            <v>FURO EM CONCRETO PARA DIÂMETROS MAIORES QUE 40 MM E MENORES OU IGUAIS A 75 MM. AF_05/2015</v>
          </cell>
          <cell r="C4653" t="str">
            <v>UN</v>
          </cell>
          <cell r="D4653">
            <v>70.45</v>
          </cell>
        </row>
        <row r="4654">
          <cell r="A4654">
            <v>90441</v>
          </cell>
          <cell r="B4654" t="str">
            <v>FURO EM CONCRETO PARA DIÂMETROS MAIORES QUE 75 MM. AF_05/2015</v>
          </cell>
          <cell r="C4654" t="str">
            <v>UN</v>
          </cell>
          <cell r="D4654">
            <v>90.01</v>
          </cell>
        </row>
        <row r="4655">
          <cell r="A4655">
            <v>90443</v>
          </cell>
          <cell r="B4655" t="str">
            <v>RASGO EM ALVENARIA PARA RAMAIS/ DISTRIBUIÇÃO COM DIAMETROS MENORES OU IGUAIS A 40 MM. AF_05/2015</v>
          </cell>
          <cell r="C4655" t="str">
            <v>M</v>
          </cell>
          <cell r="D4655">
            <v>10.24</v>
          </cell>
        </row>
        <row r="4656">
          <cell r="A4656">
            <v>90444</v>
          </cell>
          <cell r="B4656" t="str">
            <v>RASGO EM CONTRAPISO PARA RAMAIS/ DISTRIBUIÇÃO COM DIÂMETROS MENORES OU IGUAIS A 40 MM. AF_05/2015</v>
          </cell>
          <cell r="C4656" t="str">
            <v>M</v>
          </cell>
          <cell r="D4656">
            <v>18.88</v>
          </cell>
        </row>
        <row r="4657">
          <cell r="A4657">
            <v>90445</v>
          </cell>
          <cell r="B4657" t="str">
            <v>RASGO EM CONTRAPISO PARA RAMAIS/ DISTRIBUIÇÃO COM DIÂMETROS MAIORES QUE 40 MM E MENORES OU IGUAIS A 75 MM. AF_05/2015</v>
          </cell>
          <cell r="C4657" t="str">
            <v>M</v>
          </cell>
          <cell r="D4657">
            <v>20.149999999999999</v>
          </cell>
        </row>
        <row r="4658">
          <cell r="A4658">
            <v>90446</v>
          </cell>
          <cell r="B4658" t="str">
            <v>RASGO EM CONTRAPISO PARA RAMAIS/ DISTRIBUIÇÃO COM DIÂMETROS MAIORES QUE 75 MM. AF_05/2015</v>
          </cell>
          <cell r="C4658" t="str">
            <v>M</v>
          </cell>
          <cell r="D4658">
            <v>21.88</v>
          </cell>
        </row>
        <row r="4659">
          <cell r="A4659">
            <v>90447</v>
          </cell>
          <cell r="B4659" t="str">
            <v>RASGO EM ALVENARIA PARA ELETRODUTOS COM DIAMETROS MENORES OU IGUAIS A 40 MM. AF_05/2015</v>
          </cell>
          <cell r="C4659" t="str">
            <v>M</v>
          </cell>
          <cell r="D4659">
            <v>5.08</v>
          </cell>
        </row>
        <row r="4660">
          <cell r="A4660">
            <v>90451</v>
          </cell>
          <cell r="B4660" t="str">
            <v>PASSANTE TIPO PEÇA EM POLIESTIRENO PARA ABERTURA PARA PASSAGEM DE 1 TUBO, FIXADO EM LAJE. AF_05/2015</v>
          </cell>
          <cell r="C4660" t="str">
            <v>UN</v>
          </cell>
          <cell r="D4660">
            <v>3.47</v>
          </cell>
        </row>
        <row r="4661">
          <cell r="A4661">
            <v>90452</v>
          </cell>
          <cell r="B4661" t="str">
            <v>PASSANTE TIPO PEÇA EM POLIESTIRENO PARA ABERTURA PARA PASSAGEM DE MAIS DE 1 TUBO, FIXADO EM LAJE. AF_05/2015</v>
          </cell>
          <cell r="C4661" t="str">
            <v>UN</v>
          </cell>
          <cell r="D4661">
            <v>15.28</v>
          </cell>
        </row>
        <row r="4662">
          <cell r="A4662">
            <v>90453</v>
          </cell>
          <cell r="B4662" t="str">
            <v>PASSANTE TIPO TUBO DE DIÂMETRO MENOR OU IGUAL A 40 MM, FIXADO EM LAJE. AF_05/2015</v>
          </cell>
          <cell r="C4662" t="str">
            <v>UN</v>
          </cell>
          <cell r="D4662">
            <v>1.99</v>
          </cell>
        </row>
        <row r="4663">
          <cell r="A4663">
            <v>90454</v>
          </cell>
          <cell r="B4663" t="str">
            <v>PASSANTE TIPO TUBO DE DIÂMETRO MAIORES QUE 40 MM E MENORES OU IGUAIS A 75 MM, FIXADO EM LAJE. AF_05/2015</v>
          </cell>
          <cell r="C4663" t="str">
            <v>UN</v>
          </cell>
          <cell r="D4663">
            <v>3.45</v>
          </cell>
        </row>
        <row r="4664">
          <cell r="A4664">
            <v>90455</v>
          </cell>
          <cell r="B4664" t="str">
            <v>PASSANTE TIPO TUBO DE DIÂMETRO MAIOR QUE 75 MM, FIXADO EM LAJE. AF_05/2015</v>
          </cell>
          <cell r="C4664" t="str">
            <v>UN</v>
          </cell>
          <cell r="D4664">
            <v>4.66</v>
          </cell>
        </row>
        <row r="4665">
          <cell r="A4665">
            <v>90456</v>
          </cell>
          <cell r="B4665" t="str">
            <v>QUEBRA EM ALVENARIA PARA INSTALAÇÃO DE CAIXA DE TOMADA (4X4 OU 4X2). AF_05/2015</v>
          </cell>
          <cell r="C4665" t="str">
            <v>UN</v>
          </cell>
          <cell r="D4665">
            <v>3.29</v>
          </cell>
        </row>
        <row r="4666">
          <cell r="A4666">
            <v>90457</v>
          </cell>
          <cell r="B4666" t="str">
            <v>QUEBRA EM ALVENARIA PARA INSTALAÇÃO DE QUADRO DISTRIBUIÇÃO PEQUENO (19X25 CM). AF_05/2015</v>
          </cell>
          <cell r="C4666" t="str">
            <v>UN</v>
          </cell>
          <cell r="D4666">
            <v>7.49</v>
          </cell>
        </row>
        <row r="4667">
          <cell r="A4667">
            <v>90458</v>
          </cell>
          <cell r="B4667" t="str">
            <v>QUEBRA EM ALVENARIA PARA INSTALAÇÃO DE QUADRO DISTRIBUIÇÃO GRANDE (76X40 CM). AF_05/2015</v>
          </cell>
          <cell r="C4667" t="str">
            <v>UN</v>
          </cell>
          <cell r="D4667">
            <v>21.27</v>
          </cell>
        </row>
        <row r="4668">
          <cell r="A4668">
            <v>90459</v>
          </cell>
          <cell r="B4668" t="str">
            <v>QUEBRA EM ALVENARIA PARA INSTALAÇÃO DE ABRIGO PARA MANGUEIRAS (90X60 CM). AF_05/2015</v>
          </cell>
          <cell r="C4668" t="str">
            <v>UN</v>
          </cell>
          <cell r="D4668">
            <v>30</v>
          </cell>
        </row>
        <row r="4669">
          <cell r="A4669">
            <v>90460</v>
          </cell>
          <cell r="B4669" t="str">
            <v>PERFILADO DE SEÇÃO 38X76 MM PARA SUPORTE DE ATÉ 3 TUBOS HORIZONTAIS. AF_05/2015</v>
          </cell>
          <cell r="C4669" t="str">
            <v>M</v>
          </cell>
          <cell r="D4669">
            <v>19.21</v>
          </cell>
        </row>
        <row r="4670">
          <cell r="A4670">
            <v>90461</v>
          </cell>
          <cell r="B4670" t="str">
            <v>PERFILADO DE SEÇÃO 38X76 MM PARA SUPORTE DE MAIS DE 3 TUBOS HORIZONTAIS. AF_05/2015</v>
          </cell>
          <cell r="C4670" t="str">
            <v>M</v>
          </cell>
          <cell r="D4670">
            <v>10.76</v>
          </cell>
        </row>
        <row r="4671">
          <cell r="A4671">
            <v>90462</v>
          </cell>
          <cell r="B4671" t="str">
            <v>PERFILADO DE SEÇÃO 38X38 MM PARA SUPORTE DE ATÉ 3 TUBOS VERTICAIS. AF_05/2015</v>
          </cell>
          <cell r="C4671" t="str">
            <v>M</v>
          </cell>
          <cell r="D4671">
            <v>2.35</v>
          </cell>
        </row>
        <row r="4672">
          <cell r="A4672">
            <v>90463</v>
          </cell>
          <cell r="B4672" t="str">
            <v>PERFILADO DE SEÇÃO 38X38 MM PARA SUPORTE DE MAIS DE 3 TUBOS VERTICAIS. AF_05/2015</v>
          </cell>
          <cell r="C4672" t="str">
            <v>M</v>
          </cell>
          <cell r="D4672">
            <v>1.9</v>
          </cell>
        </row>
        <row r="4673">
          <cell r="A4673">
            <v>90466</v>
          </cell>
          <cell r="B4673" t="str">
            <v>CHUMBAMENTO LINEAR EM ALVENARIA PARA RAMAIS/DISTRIBUIÇÃO COM DIÂMETROS MENORES OU IGUAIS A 40 MM. AF_05/2015</v>
          </cell>
          <cell r="C4673" t="str">
            <v>M</v>
          </cell>
          <cell r="D4673">
            <v>10.11</v>
          </cell>
        </row>
        <row r="4674">
          <cell r="A4674">
            <v>90467</v>
          </cell>
          <cell r="B4674" t="str">
            <v>CHUMBAMENTO LINEAR EM ALVENARIA PARA RAMAIS/DISTRIBUIÇÃO COM DIÂMETROS MAIORES QUE 40 MM E MENORES OU IGUAIS A 75 MM. AF_05/2015</v>
          </cell>
          <cell r="C4674" t="str">
            <v>M</v>
          </cell>
          <cell r="D4674">
            <v>15.98</v>
          </cell>
        </row>
        <row r="4675">
          <cell r="A4675">
            <v>90468</v>
          </cell>
          <cell r="B4675" t="str">
            <v>CHUMBAMENTO LINEAR EM CONTRAPISO PARA RAMAIS/DISTRIBUIÇÃO COM DIÂMETROS MENORES OU IGUAIS A 40 MM. AF_05/2015</v>
          </cell>
          <cell r="C4675" t="str">
            <v>M</v>
          </cell>
          <cell r="D4675">
            <v>4.3600000000000003</v>
          </cell>
        </row>
        <row r="4676">
          <cell r="A4676">
            <v>90469</v>
          </cell>
          <cell r="B4676" t="str">
            <v>CHUMBAMENTO LINEAR EM CONTRAPISO PARA RAMAIS/DISTRIBUIÇÃO COM DIÂMETROS MAIORES QUE 40 MM E MENORES OU IGUAIS A 75 MM. AF_05/2015</v>
          </cell>
          <cell r="C4676" t="str">
            <v>M</v>
          </cell>
          <cell r="D4676">
            <v>6.99</v>
          </cell>
        </row>
        <row r="4677">
          <cell r="A4677">
            <v>90470</v>
          </cell>
          <cell r="B4677" t="str">
            <v>CHUMBAMENTO LINEAR EM CONTRAPISO PARA RAMAIS/DISTRIBUIÇÃO COM DIÂMETROS MAIORES QUE 75 MM. AF_05/2015</v>
          </cell>
          <cell r="C4677" t="str">
            <v>M</v>
          </cell>
          <cell r="D4677">
            <v>9.57</v>
          </cell>
        </row>
        <row r="4678">
          <cell r="A4678">
            <v>91166</v>
          </cell>
          <cell r="B4678" t="str">
            <v>FIXAÇÃO DE TUBOS HORIZONTAIS DE PEX DIAMETROS IGUAIS OU INFERIORES A 40 MM COM ABRAÇADEIRA PLÁSTICA 390 MM, FIXADA EM LAJE. AF_05/2015</v>
          </cell>
          <cell r="C4678" t="str">
            <v>M</v>
          </cell>
          <cell r="D4678">
            <v>3.2</v>
          </cell>
        </row>
        <row r="4679">
          <cell r="A4679">
            <v>91167</v>
          </cell>
          <cell r="B4679" t="str">
            <v>FIXAÇÃO DE TUBOS HORIZONTAIS DE PPR DIÂMETROS MENORES OU IGUAIS A 40 MM COM ABRAÇADEIRA METÁLICA RÍGIDA TIPO D 1/2", FIXADA EM PERFILADO EM LAJE. AF_05/2015</v>
          </cell>
          <cell r="C4679" t="str">
            <v>M</v>
          </cell>
          <cell r="D4679">
            <v>9.26</v>
          </cell>
        </row>
        <row r="4680">
          <cell r="A4680">
            <v>91168</v>
          </cell>
          <cell r="B4680" t="str">
            <v>FIXAÇÃO DE TUBOS HORIZONTAIS DE PPR DIÂMETROS MAIORES QUE 40 MM E MENORES OU IGUAIS A 75 MM COM ABRAÇADEIRA METÁLICA RÍGIDA TIPO D 1 1/2", FIXADA EM PERFILADO EM LAJE. AF_05/2015</v>
          </cell>
          <cell r="C4680" t="str">
            <v>M</v>
          </cell>
          <cell r="D4680">
            <v>7.02</v>
          </cell>
        </row>
        <row r="4681">
          <cell r="A4681">
            <v>91169</v>
          </cell>
          <cell r="B4681" t="str">
            <v>FIXAÇÃO DE TUBOS HORIZONTAIS DE PPR DIÂMETROS MAIORES QUE 75 MM COM ABRAÇADEIRA METÁLICA RÍGIDA TIPO D 3", FIXADA EM PERFILADO EM LAJE. AF_05/2015</v>
          </cell>
          <cell r="C4681" t="str">
            <v>M</v>
          </cell>
          <cell r="D4681">
            <v>8.32</v>
          </cell>
        </row>
        <row r="4682">
          <cell r="A4682">
            <v>91170</v>
          </cell>
          <cell r="B4682" t="str">
            <v>FIXAÇÃO DE TUBOS HORIZONTAIS DE PVC, CPVC OU COBRE DIÂMETROS MENORES OU IGUAIS A 40 MM OU ELETROCALHAS ATÉ 150MM DE LARGURA, COM ABRAÇADEIRA METÁLICA RÍGIDA TIPO D 1/2, FIXADA EM PERFILADO EM LAJE. AF_05/2015</v>
          </cell>
          <cell r="C4682" t="str">
            <v>M</v>
          </cell>
          <cell r="D4682">
            <v>2.38</v>
          </cell>
        </row>
        <row r="4683">
          <cell r="A4683">
            <v>91171</v>
          </cell>
          <cell r="B4683" t="str">
            <v>FIXAÇÃO DE TUBOS HORIZONTAIS DE PVC, CPVC OU COBRE DIÂMETROS MAIORES QUE 40 MM E MENORES OU IGUAIS A 75 MM COM ABRAÇADEIRA METÁLICA RÍGIDA TIPO D 1 1/2", FIXADA EM PERFILADO EM LAJE. AF_05/2015</v>
          </cell>
          <cell r="C4683" t="str">
            <v>M</v>
          </cell>
          <cell r="D4683">
            <v>2.98</v>
          </cell>
        </row>
        <row r="4684">
          <cell r="A4684">
            <v>91172</v>
          </cell>
          <cell r="B4684" t="str">
            <v>FIXAÇÃO DE TUBOS HORIZONTAIS DE PVC, CPVC OU COBRE DIÂMETROS MAIORES QUE 75 MM COM ABRAÇADEIRA METÁLICA RÍGIDA TIPO D 3", FIXADA EM PERFILADO EM LAJE. AF_05/2015</v>
          </cell>
          <cell r="C4684" t="str">
            <v>M</v>
          </cell>
          <cell r="D4684">
            <v>4.38</v>
          </cell>
        </row>
        <row r="4685">
          <cell r="A4685">
            <v>91173</v>
          </cell>
          <cell r="B4685" t="str">
            <v>FIXAÇÃO DE TUBOS VERTICAIS DE PPR DIÂMETROS MENORES OU IGUAIS A 40 MM COM ABRAÇADEIRA METÁLICA RÍGIDA TIPO D 1/2", FIXADA EM PERFILADO EM ALVENARIA. AF_05/2015</v>
          </cell>
          <cell r="C4685" t="str">
            <v>M</v>
          </cell>
          <cell r="D4685">
            <v>1.2</v>
          </cell>
        </row>
        <row r="4686">
          <cell r="A4686">
            <v>91174</v>
          </cell>
          <cell r="B4686" t="str">
            <v>FIXAÇÃO DE TUBOS VERTICAIS DE PPR DIÂMETROS MAIORES QUE 40 MM E MENORES OU IGUAIS A 75 MM COM ABRAÇADEIRA METÁLICA RÍGIDA TIPO D 1 1/2", FIXADA EM PERFILADO EM ALVENARIA. AF_05/2015</v>
          </cell>
          <cell r="C4686" t="str">
            <v>M</v>
          </cell>
          <cell r="D4686">
            <v>2.37</v>
          </cell>
        </row>
        <row r="4687">
          <cell r="A4687">
            <v>91175</v>
          </cell>
          <cell r="B4687" t="str">
            <v>FIXAÇÃO DE TUBOS VERTICAIS DE PPR DIÂMETROS MAIORES QUE 75 MM COM ABRAÇADEIRA METÁLICA RÍGIDA TIPO D 3", FIXADA EM PERFILADO EM ALVENARIA. AF_05/2015</v>
          </cell>
          <cell r="C4687" t="str">
            <v>M</v>
          </cell>
          <cell r="D4687">
            <v>3.85</v>
          </cell>
        </row>
        <row r="4688">
          <cell r="A4688">
            <v>91176</v>
          </cell>
          <cell r="B4688" t="str">
            <v>FIXAÇÃO DE TUBOS HORIZONTAIS DE PPR DIÂMETROS MENORES OU IGUAIS A 40 MM COM ABRAÇADEIRA METÁLICA RÍGIDA TIPO  D  1/2" , FIXADA DIRETAMENTE NA LAJE. AF_05/2015</v>
          </cell>
          <cell r="C4688" t="str">
            <v>M</v>
          </cell>
          <cell r="D4688">
            <v>30.86</v>
          </cell>
        </row>
        <row r="4689">
          <cell r="A4689">
            <v>91177</v>
          </cell>
          <cell r="B4689" t="str">
            <v>FIXAÇÃO DE TUBOS HORIZONTAIS DE PPR DIÂMETROS MAIORES QUE 40 MM E MENORES OU IGUAIS A 75 MM COM ABRAÇADEIRA METÁLICA RÍGIDA TIPO  D  1 1/2" , FIXADA DIRETAMENTE NA LAJE. AF_05/2015</v>
          </cell>
          <cell r="C4689" t="str">
            <v>M</v>
          </cell>
          <cell r="D4689">
            <v>14.07</v>
          </cell>
        </row>
        <row r="4690">
          <cell r="A4690">
            <v>91178</v>
          </cell>
          <cell r="B4690" t="str">
            <v>FIXAÇÃO DE TUBOS HORIZONTAIS DE PPR DIÂMETROS MAIORES QUE 75 MM COM ABRAÇADEIRA METÁLICA RÍGIDA TIPO  D  3" , FIXADA DIRETAMENTE NA LAJE. AF_05/2015</v>
          </cell>
          <cell r="C4690" t="str">
            <v>M</v>
          </cell>
          <cell r="D4690">
            <v>14.42</v>
          </cell>
        </row>
        <row r="4691">
          <cell r="A4691">
            <v>91179</v>
          </cell>
          <cell r="B4691" t="str">
            <v>FIXAÇÃO DE TUBOS HORIZONTAIS DE PVC, CPVC OU COBRE DIÂMETROS MENORES OU IGUAIS A 40 MM COM ABRAÇADEIRA METÁLICA RÍGIDA TIPO  D  1/2" , FIXADA DIRETAMENTE NA LAJE. AF_05/2015</v>
          </cell>
          <cell r="C4691" t="str">
            <v>M</v>
          </cell>
          <cell r="D4691">
            <v>7.93</v>
          </cell>
        </row>
        <row r="4692">
          <cell r="A4692">
            <v>91180</v>
          </cell>
          <cell r="B4692" t="str">
            <v>FIXAÇÃO DE TUBOS HORIZONTAIS DE PVC, CPVC OU COBRE DIÂMETROS MAIORES QUE 40 MM E MENORES OU IGUAIS A 75 MM COM ABRAÇADEIRA METÁLICA RÍGIDA TIPO D 1 1/2, FIXADA DIRETAMENTE NA LAJE. AF_05/2015</v>
          </cell>
          <cell r="C4692" t="str">
            <v>M</v>
          </cell>
          <cell r="D4692">
            <v>6.53</v>
          </cell>
        </row>
        <row r="4693">
          <cell r="A4693">
            <v>91181</v>
          </cell>
          <cell r="B4693" t="str">
            <v>FIXAÇÃO DE TUBOS HORIZONTAIS DE PVC, CPVC OU COBRE DIÂMETROS MAIORES QUE 75 MM COM ABRAÇADEIRA METÁLICA RÍGIDA TIPO  D  3" , FIXADA DIRETAMENTE NA LAJE. AF_05/2015</v>
          </cell>
          <cell r="C4693" t="str">
            <v>M</v>
          </cell>
          <cell r="D4693">
            <v>7.03</v>
          </cell>
        </row>
        <row r="4694">
          <cell r="A4694">
            <v>91182</v>
          </cell>
          <cell r="B4694" t="str">
            <v>FIXAÇÃO DE TUBOS HORIZONTAIS DE PPR DIÂMETROS MENORES OU IGUAIS A 40 MM COM ABRAÇADEIRA METÁLICA FLEXÍVEL 18 MM, FIXADA DIRETAMENTE NA LAJE. AF_05/2015</v>
          </cell>
          <cell r="C4694" t="str">
            <v>M</v>
          </cell>
          <cell r="D4694">
            <v>21.71</v>
          </cell>
        </row>
        <row r="4695">
          <cell r="A4695">
            <v>91183</v>
          </cell>
          <cell r="B4695" t="str">
            <v>FIXAÇÃO DE TUBOS HORIZONTAIS DE PPR DIÂMETROS MAIORES QUE 40 MM E MENORES OU IGUAIS A 75 MM COM ABRAÇADEIRA METÁLICA FLEXÍVEL 18 MM, FIXADA DIRETAMENTE NA LAJE. AF_05/2015</v>
          </cell>
          <cell r="C4695" t="str">
            <v>M</v>
          </cell>
          <cell r="D4695">
            <v>10.64</v>
          </cell>
        </row>
        <row r="4696">
          <cell r="A4696">
            <v>91184</v>
          </cell>
          <cell r="B4696" t="str">
            <v>FIXAÇÃO DE TUBOS HORIZONTAIS DE PPR DIÂMETROS MAIORES QUE 75 MM COM ABRAÇADEIRA METÁLICA FLEXÍVEL 18 MM, FIXADA DIRETAMENTE NA LAJE. AF_05/2015</v>
          </cell>
          <cell r="C4696" t="str">
            <v>M</v>
          </cell>
          <cell r="D4696">
            <v>9.91</v>
          </cell>
        </row>
        <row r="4697">
          <cell r="A4697">
            <v>91185</v>
          </cell>
          <cell r="B4697" t="str">
            <v>FIXAÇÃO DE TUBOS HORIZONTAIS DE PVC, CPVC OU COBRE DIÂMETROS MENORES OU IGUAIS A 40 MM COM ABRAÇADEIRA METÁLICA FLEXÍVEL 18 MM, FIXADA DIRETAMENTE NA LAJE. AF_05/2015</v>
          </cell>
          <cell r="C4697" t="str">
            <v>M</v>
          </cell>
          <cell r="D4697">
            <v>5.57</v>
          </cell>
        </row>
        <row r="4698">
          <cell r="A4698">
            <v>91186</v>
          </cell>
          <cell r="B4698" t="str">
            <v>FIXAÇÃO DE TUBOS HORIZONTAIS DE PVC, CPVC OU COBRE DIÂMETROS MAIORES QUE 40 MM E MENORES OU IGUAIS A 75 MM COM ABRAÇADEIRA METÁLICA FLEXÍVEL 18 MM, FIXADA DIRETAMENTE NA LAJE. AF_05/2015</v>
          </cell>
          <cell r="C4698" t="str">
            <v>M</v>
          </cell>
          <cell r="D4698">
            <v>4.54</v>
          </cell>
        </row>
        <row r="4699">
          <cell r="A4699">
            <v>91187</v>
          </cell>
          <cell r="B4699" t="str">
            <v>FIXAÇÃO DE TUBOS HORIZONTAIS DE PVC, CPVC OU COBRE DIÂMETROS MAIORES QUE 75 MM COM ABRAÇADEIRA METÁLICA FLEXÍVEL 18 MM, FIXADA DIRETAMENTE NA LAJE. AF_05/2015</v>
          </cell>
          <cell r="C4699" t="str">
            <v>M</v>
          </cell>
          <cell r="D4699">
            <v>5.23</v>
          </cell>
        </row>
        <row r="4700">
          <cell r="A4700">
            <v>91188</v>
          </cell>
          <cell r="B4700" t="str">
            <v>CHUMBAMENTO PONTUAL DE ABERTURA EM LAJE COM PASSAGEM DE 1 TUBO DE DIAMETRO EQUIVALENTE IGUAL À  50 MM. AF_05/2015</v>
          </cell>
          <cell r="C4700" t="str">
            <v>UN</v>
          </cell>
          <cell r="D4700">
            <v>5.34</v>
          </cell>
        </row>
        <row r="4701">
          <cell r="A4701">
            <v>91189</v>
          </cell>
          <cell r="B4701" t="str">
            <v>CHUMBAMENTO PONTUAL DE ABERTURA EM LAJE COM PASSAGEM DE MAIS DE 1 TUBO DE  DIAMETRO EQUIVALENTE IGUAL À  50 MM. AF_05/2015</v>
          </cell>
          <cell r="C4701" t="str">
            <v>UN</v>
          </cell>
          <cell r="D4701">
            <v>34.799999999999997</v>
          </cell>
        </row>
        <row r="4702">
          <cell r="A4702">
            <v>91190</v>
          </cell>
          <cell r="B4702" t="str">
            <v>CHUMBAMENTO PONTUAL EM PASSAGEM DE TUBO COM DIÂMETRO MENOR OU IGUAL A 40 MM. AF_05/2015</v>
          </cell>
          <cell r="C4702" t="str">
            <v>UN</v>
          </cell>
          <cell r="D4702">
            <v>3.92</v>
          </cell>
        </row>
        <row r="4703">
          <cell r="A4703">
            <v>91191</v>
          </cell>
          <cell r="B4703" t="str">
            <v>CHUMBAMENTO PONTUAL EM PASSAGEM DE TUBO COM DIÂMETROS ENTRE 40 MM E 75 MM. AF_05/2015</v>
          </cell>
          <cell r="C4703" t="str">
            <v>UN</v>
          </cell>
          <cell r="D4703">
            <v>4.16</v>
          </cell>
        </row>
        <row r="4704">
          <cell r="A4704">
            <v>91192</v>
          </cell>
          <cell r="B4704" t="str">
            <v>CHUMBAMENTO PONTUAL EM PASSAGEM DE TUBO COM DIÂMETRO MAIOR QUE 75 MM. AF_05/2015</v>
          </cell>
          <cell r="C4704" t="str">
            <v>UN</v>
          </cell>
          <cell r="D4704">
            <v>4.6100000000000003</v>
          </cell>
        </row>
        <row r="4705">
          <cell r="A4705">
            <v>91222</v>
          </cell>
          <cell r="B4705" t="str">
            <v>RASGO EM ALVENARIA PARA RAMAIS/ DISTRIBUIÇÃO COM DIÂMETROS MAIORES QUE 40 MM E MENORES OU IGUAIS A 75 MM. AF_05/2015</v>
          </cell>
          <cell r="C4705" t="str">
            <v>M</v>
          </cell>
          <cell r="D4705">
            <v>11.02</v>
          </cell>
        </row>
        <row r="4706">
          <cell r="A4706">
            <v>94480</v>
          </cell>
          <cell r="B4706" t="str">
            <v>CONJUNTO HIDRÁULICO PARA INSTALAÇÃO DE BOMBA EM AÇO ROSCÁVEL, DN SUCÇÃO 65 (2½) E DN RECALQUE 50 (2), PARA EDIFICAÇÃO ENTRE 12 E 18 PAVIMENTOS  FORNECIMENTO E INSTALAÇÃO. AF_06/2016</v>
          </cell>
          <cell r="C4706" t="str">
            <v>UN</v>
          </cell>
          <cell r="D4706">
            <v>1571.57</v>
          </cell>
        </row>
        <row r="4707">
          <cell r="A4707">
            <v>94481</v>
          </cell>
          <cell r="B4707" t="str">
            <v>CONJUNTO HIDRÁULICO PARA INSTALAÇÃO DE BOMBA EM AÇO ROSCÁVEL, DN SUCÇÃO 50 (2) E DN RECALQUE 40 (1 1/2), PARA EDIFICAÇÃO ENTRE 8 E 12 PAVIMENTOS  FORNECIMENTO E INSTALAÇÃO. AF_06/2016</v>
          </cell>
          <cell r="C4707" t="str">
            <v>UN</v>
          </cell>
          <cell r="D4707">
            <v>1143.1300000000001</v>
          </cell>
        </row>
        <row r="4708">
          <cell r="A4708">
            <v>94482</v>
          </cell>
          <cell r="B4708" t="str">
            <v>CONJUNTO HIDRÁULICO PARA INSTALAÇÃO DE BOMBA EM AÇO ROSCÁVEL, DN SUCÇÃO 40 (1 1/2) E DN RECALQUE 32 (1 1/4), PARA EDIFICAÇÃO ENTRE 4 E 8 PAVIMENTOS  FORNECIMENTO E INSTALAÇÃO. AF_06/2016</v>
          </cell>
          <cell r="C4708" t="str">
            <v>UN</v>
          </cell>
          <cell r="D4708">
            <v>928.67</v>
          </cell>
        </row>
        <row r="4709">
          <cell r="A4709">
            <v>94483</v>
          </cell>
          <cell r="B4709" t="str">
            <v>CONJUNTO HIDRÁULICO PARA INSTALAÇÃO DE BOMBA EM AÇO ROSCÁVEL, DN SUCÇÃO 32 (1 1/4) E DN RECALQUE 25 (1), PARA EDIFICAÇÃO ATÉ 4 PAVIMENTOS  FORNECIMENTO E INSTALAÇÃO. AF_06/2016</v>
          </cell>
          <cell r="C4709" t="str">
            <v>UN</v>
          </cell>
          <cell r="D4709">
            <v>795.39</v>
          </cell>
        </row>
        <row r="4710">
          <cell r="A4710">
            <v>95541</v>
          </cell>
          <cell r="B4710" t="str">
            <v>FIXAÇÃO UTILIZANDO PARAFUSO E BUCHA DE NYLON, SOMENTE MÃO DE OBRA. AF_10/2016</v>
          </cell>
          <cell r="C4710" t="str">
            <v>UN</v>
          </cell>
          <cell r="D4710">
            <v>3.65</v>
          </cell>
        </row>
        <row r="4711">
          <cell r="A4711">
            <v>95573</v>
          </cell>
          <cell r="B4711" t="str">
            <v>MÃO-FRANCESA EM AÇO, ABAS IGUAIS 40 CM, CAPACIDADE MÍNIMA 70 KG, BRANCO  FORNECIMENTO E INSTALAÇÃO. AF_11/2016</v>
          </cell>
          <cell r="C4711" t="str">
            <v>UN</v>
          </cell>
          <cell r="D4711">
            <v>40.130000000000003</v>
          </cell>
        </row>
        <row r="4712">
          <cell r="A4712">
            <v>95574</v>
          </cell>
          <cell r="B4712" t="str">
            <v>MÃO-FRANCESA EM AÇO, ABAS IGUAIS 30 CM, CAPACIDADE MÍNIMA 60 KG, BRANCO  FORNECIMENTO E INSTALAÇÃO. AF_11/2016</v>
          </cell>
          <cell r="C4712" t="str">
            <v>UN</v>
          </cell>
          <cell r="D4712">
            <v>30.23</v>
          </cell>
        </row>
        <row r="4713">
          <cell r="A4713">
            <v>96559</v>
          </cell>
          <cell r="B4713" t="str">
            <v>PERFILADO DE SEÇÃO 38X76 MM PARA SUPORTE DE DUTO EM CHAPA GALVANIZADA BITOLA 26. AF_07/2017</v>
          </cell>
          <cell r="C4713" t="str">
            <v>M2</v>
          </cell>
          <cell r="D4713">
            <v>54.2</v>
          </cell>
        </row>
        <row r="4714">
          <cell r="A4714">
            <v>96560</v>
          </cell>
          <cell r="B4714" t="str">
            <v>PERFILADO DE SEÇÃO 38X76 MM PARA SUPORTE DE DUTO EM CHAPA GALVANIZADA BITOLA 24. AF_07/2017</v>
          </cell>
          <cell r="C4714" t="str">
            <v>M2</v>
          </cell>
          <cell r="D4714">
            <v>28.7</v>
          </cell>
        </row>
        <row r="4715">
          <cell r="A4715">
            <v>96561</v>
          </cell>
          <cell r="B4715" t="str">
            <v>PERFILADO DE SEÇÃO 38X76 MM PARA SUPORTE DE DUTO EM CHAPA GALVANIZADA BITOLA 22. AF_07/2017</v>
          </cell>
          <cell r="C4715" t="str">
            <v>M2</v>
          </cell>
          <cell r="D4715">
            <v>18.16</v>
          </cell>
        </row>
        <row r="4716">
          <cell r="A4716">
            <v>96562</v>
          </cell>
          <cell r="B4716" t="str">
            <v>PERFILADO DE SEÇÃO 38X76 MM PARA SUPORTE DE ELETROCALHA LISA OU PERFURADA EM AÇO GALVANIZADO, LARGURA 200 OU 400 MM E ALTURA 50 MM. AF_07/2017</v>
          </cell>
          <cell r="C4716" t="str">
            <v>M</v>
          </cell>
          <cell r="D4716">
            <v>28.78</v>
          </cell>
        </row>
        <row r="4717">
          <cell r="A4717">
            <v>96563</v>
          </cell>
          <cell r="B4717" t="str">
            <v>PERFILADO DE SEÇÃO 38X76 MM PARA SUPORTE DE ELETROCALHA LISA OU PERFURADA EM AÇO GALVANIZADO, LARGURA 500 OU 800 MM E ALTURA 50 MM. AF_07/2017</v>
          </cell>
          <cell r="C4717" t="str">
            <v>M</v>
          </cell>
          <cell r="D4717">
            <v>31.75</v>
          </cell>
        </row>
        <row r="4718">
          <cell r="A4718" t="str">
            <v>73826/1</v>
          </cell>
          <cell r="B4718" t="str">
            <v>INSTALACAO DE COMPRESSOR DE AR, POTENCIA &lt;= 5 CV</v>
          </cell>
          <cell r="C4718" t="str">
            <v>UN</v>
          </cell>
          <cell r="D4718">
            <v>403.45</v>
          </cell>
        </row>
        <row r="4719">
          <cell r="A4719" t="str">
            <v>73826/2</v>
          </cell>
          <cell r="B4719" t="str">
            <v>INSTALACAO DE COMPRESSOR DE AR, POTENCIA &gt; 5 E &lt;= 10 CV</v>
          </cell>
          <cell r="C4719" t="str">
            <v>UN</v>
          </cell>
          <cell r="D4719">
            <v>524.48</v>
          </cell>
        </row>
        <row r="4720">
          <cell r="A4720" t="str">
            <v>73834/1</v>
          </cell>
          <cell r="B4720" t="str">
            <v>INSTALACAO DE CONJ.MOTO BOMBA SUBMERSIVEL ATE 10 CV</v>
          </cell>
          <cell r="C4720" t="str">
            <v>UN</v>
          </cell>
          <cell r="D4720">
            <v>171.05</v>
          </cell>
        </row>
        <row r="4721">
          <cell r="A4721" t="str">
            <v>73834/2</v>
          </cell>
          <cell r="B4721" t="str">
            <v>INSTALACAO DE CONJ.MOTO BOMBA SUBMERSIVEL DE 11 A 25 CV</v>
          </cell>
          <cell r="C4721" t="str">
            <v>UN</v>
          </cell>
          <cell r="D4721">
            <v>273.68</v>
          </cell>
        </row>
        <row r="4722">
          <cell r="A4722" t="str">
            <v>73834/3</v>
          </cell>
          <cell r="B4722" t="str">
            <v>INSTALACAO DE CONJ.MOTO BOMBA SUBMERSIVEL DE 26 A 50 CV</v>
          </cell>
          <cell r="C4722" t="str">
            <v>UN</v>
          </cell>
          <cell r="D4722">
            <v>547.36</v>
          </cell>
        </row>
        <row r="4723">
          <cell r="A4723" t="str">
            <v>73834/4</v>
          </cell>
          <cell r="B4723" t="str">
            <v>INSTALACAO DE CONJ.MOTO BOMBA SUBMERSIVEL DE 51 A 100 CV</v>
          </cell>
          <cell r="C4723" t="str">
            <v>UN</v>
          </cell>
          <cell r="D4723">
            <v>821.04</v>
          </cell>
        </row>
        <row r="4724">
          <cell r="A4724" t="str">
            <v>73835/1</v>
          </cell>
          <cell r="B4724" t="str">
            <v>INSTALACAO DE CONJ.MOTO BOMBA VERTICAL POT &lt;= 100 CV</v>
          </cell>
          <cell r="C4724" t="str">
            <v>UN</v>
          </cell>
          <cell r="D4724">
            <v>1048.75</v>
          </cell>
        </row>
        <row r="4725">
          <cell r="A4725" t="str">
            <v>73835/2</v>
          </cell>
          <cell r="B4725" t="str">
            <v>INSTALACAO DE CONJ.MOTO BOMBA VERTICAL 100 &lt; POT &lt;= 200 CV</v>
          </cell>
          <cell r="C4725" t="str">
            <v>UN</v>
          </cell>
          <cell r="D4725">
            <v>1426.3</v>
          </cell>
        </row>
        <row r="4726">
          <cell r="A4726" t="str">
            <v>73835/3</v>
          </cell>
          <cell r="B4726" t="str">
            <v>INSTALACAO DE CONJ.MOTO BOMBA VERTICAL 200 &lt; POT &lt;= 300 CV</v>
          </cell>
          <cell r="C4726" t="str">
            <v>UN</v>
          </cell>
          <cell r="D4726">
            <v>1594.1</v>
          </cell>
        </row>
        <row r="4727">
          <cell r="A4727" t="str">
            <v>73836/1</v>
          </cell>
          <cell r="B4727" t="str">
            <v>INSTALACAO DE CONJ.MOTO BOMBA HORIZONTAL ATE 10 CV</v>
          </cell>
          <cell r="C4727" t="str">
            <v>UN</v>
          </cell>
          <cell r="D4727">
            <v>419.5</v>
          </cell>
        </row>
        <row r="4728">
          <cell r="A4728" t="str">
            <v>73836/2</v>
          </cell>
          <cell r="B4728" t="str">
            <v>INSTALACAO DE CONJ.MOTO BOMBA HORIZONTAL DE 12,5 A 25 CV</v>
          </cell>
          <cell r="C4728" t="str">
            <v>UN</v>
          </cell>
          <cell r="D4728">
            <v>545.35</v>
          </cell>
        </row>
        <row r="4729">
          <cell r="A4729" t="str">
            <v>73836/3</v>
          </cell>
          <cell r="B4729" t="str">
            <v>INSTALACAO DE CONJ.MOTO BOMBA HORIZONTAL DE 30 A 75 CV</v>
          </cell>
          <cell r="C4729" t="str">
            <v>UN</v>
          </cell>
          <cell r="D4729">
            <v>839</v>
          </cell>
        </row>
        <row r="4730">
          <cell r="A4730" t="str">
            <v>73836/4</v>
          </cell>
          <cell r="B4730" t="str">
            <v>INSTALACAO DE CONJ.MOTO BOMBA HORIZONTAL DE 100 A 150 CV</v>
          </cell>
          <cell r="C4730" t="str">
            <v>UN</v>
          </cell>
          <cell r="D4730">
            <v>1342.4</v>
          </cell>
        </row>
        <row r="4731">
          <cell r="A4731" t="str">
            <v>73837/1</v>
          </cell>
          <cell r="B4731" t="str">
            <v>INSTALACAO DE CONJ.MOTO BOMBA SUBMERSO ATE 5 CV</v>
          </cell>
          <cell r="C4731" t="str">
            <v>UN</v>
          </cell>
          <cell r="D4731">
            <v>171.05</v>
          </cell>
        </row>
        <row r="4732">
          <cell r="A4732" t="str">
            <v>73837/2</v>
          </cell>
          <cell r="B4732" t="str">
            <v>INSTALACAO DE CONJ.MOTO BOMBA SUBMERSO DE 6 A 25 CV</v>
          </cell>
          <cell r="C4732" t="str">
            <v>UN</v>
          </cell>
          <cell r="D4732">
            <v>342.1</v>
          </cell>
        </row>
        <row r="4733">
          <cell r="A4733" t="str">
            <v>73837/3</v>
          </cell>
          <cell r="B4733" t="str">
            <v>INSTALACAO DE CONJ.MOTO BOMBA SUBMERSO DE 26 A 50 CV</v>
          </cell>
          <cell r="C4733" t="str">
            <v>UN</v>
          </cell>
          <cell r="D4733">
            <v>684.2</v>
          </cell>
        </row>
        <row r="4734">
          <cell r="A4734">
            <v>73612</v>
          </cell>
          <cell r="B4734" t="str">
            <v>INSTALACAO DE CLORADOR</v>
          </cell>
          <cell r="C4734" t="str">
            <v>UN</v>
          </cell>
          <cell r="D4734">
            <v>331.9</v>
          </cell>
        </row>
        <row r="4735">
          <cell r="A4735">
            <v>73660</v>
          </cell>
          <cell r="B4735" t="str">
            <v>LEITO FILTRANTE - ASSENTAMENTO DE BLOCOS LEOPOLD</v>
          </cell>
          <cell r="C4735" t="str">
            <v>M2</v>
          </cell>
          <cell r="D4735">
            <v>67.459999999999994</v>
          </cell>
        </row>
        <row r="4736">
          <cell r="A4736">
            <v>73693</v>
          </cell>
          <cell r="B4736" t="str">
            <v>LEITO FILTRANTE - COLOCACAO DE LONA PLASTICA</v>
          </cell>
          <cell r="C4736" t="str">
            <v>M2</v>
          </cell>
          <cell r="D4736">
            <v>20.440000000000001</v>
          </cell>
        </row>
        <row r="4737">
          <cell r="A4737">
            <v>73694</v>
          </cell>
          <cell r="B4737" t="str">
            <v>INSTALACAO DE BOMBA DOSADORA</v>
          </cell>
          <cell r="C4737" t="str">
            <v>UN</v>
          </cell>
          <cell r="D4737">
            <v>135.03</v>
          </cell>
        </row>
        <row r="4738">
          <cell r="A4738">
            <v>73695</v>
          </cell>
          <cell r="B4738" t="str">
            <v>INSTALACAO DE AGITADOR</v>
          </cell>
          <cell r="C4738" t="str">
            <v>UN</v>
          </cell>
          <cell r="D4738">
            <v>69.430000000000007</v>
          </cell>
        </row>
        <row r="4739">
          <cell r="A4739" t="str">
            <v>73824/1</v>
          </cell>
          <cell r="B4739" t="str">
            <v>INSTALACAO DE MISTURADOR VERTICAL</v>
          </cell>
          <cell r="C4739" t="str">
            <v>UN</v>
          </cell>
          <cell r="D4739">
            <v>331.9</v>
          </cell>
        </row>
        <row r="4740">
          <cell r="A4740" t="str">
            <v>73825/2</v>
          </cell>
          <cell r="B4740" t="str">
            <v>VERTEDOR TRIANGULAR DE ALUMINIO</v>
          </cell>
          <cell r="C4740" t="str">
            <v>M2</v>
          </cell>
          <cell r="D4740">
            <v>910.99</v>
          </cell>
        </row>
        <row r="4741">
          <cell r="A4741" t="str">
            <v>73873/1</v>
          </cell>
          <cell r="B4741" t="str">
            <v>LEITO FILTRANTE - COLOCACAO E APILOAMENTO DE TERRA NO FILTRO</v>
          </cell>
          <cell r="C4741" t="str">
            <v>M3</v>
          </cell>
          <cell r="D4741">
            <v>76.66</v>
          </cell>
        </row>
        <row r="4742">
          <cell r="A4742" t="str">
            <v>73873/2</v>
          </cell>
          <cell r="B4742" t="str">
            <v>LEITO FILTRANTE - FORN.E ENCHIMENTO C/ BRITA NO. 4</v>
          </cell>
          <cell r="C4742" t="str">
            <v>M3</v>
          </cell>
          <cell r="D4742">
            <v>168.27</v>
          </cell>
        </row>
        <row r="4743">
          <cell r="A4743" t="str">
            <v>73873/3</v>
          </cell>
          <cell r="B4743" t="str">
            <v>LEITO FILTRANTE - COLOCACAO DE AREIA NOS FILTROS</v>
          </cell>
          <cell r="C4743" t="str">
            <v>M3</v>
          </cell>
          <cell r="D4743">
            <v>76.66</v>
          </cell>
        </row>
        <row r="4744">
          <cell r="A4744" t="str">
            <v>73873/4</v>
          </cell>
          <cell r="B4744" t="str">
            <v>LEITO FILTRANTE - COLOCACAO DE PEDREGULHOS NOS FILTROS</v>
          </cell>
          <cell r="C4744" t="str">
            <v>M3</v>
          </cell>
          <cell r="D4744">
            <v>83.96</v>
          </cell>
        </row>
        <row r="4745">
          <cell r="A4745" t="str">
            <v>73873/5</v>
          </cell>
          <cell r="B4745" t="str">
            <v>LEITO FILTRANTE - COLOCACAO DE ANTRACITO NOS FILTROS</v>
          </cell>
          <cell r="C4745" t="str">
            <v>M3</v>
          </cell>
          <cell r="D4745">
            <v>76.66</v>
          </cell>
        </row>
        <row r="4746">
          <cell r="A4746" t="str">
            <v>73827/1</v>
          </cell>
          <cell r="B4746" t="str">
            <v>KIT CAVALETE PVC COM REGISTRO 1/2" - FORNECIMENTO E INSTALAÇÃO</v>
          </cell>
          <cell r="C4746" t="str">
            <v>UN</v>
          </cell>
          <cell r="D4746">
            <v>70.08</v>
          </cell>
        </row>
        <row r="4747">
          <cell r="A4747" t="str">
            <v>74218/1</v>
          </cell>
          <cell r="B4747" t="str">
            <v>KIT CAVALETE PVC COM REGISTRO 3/4" - FORNECIMENTO E INSTALACAO</v>
          </cell>
          <cell r="C4747" t="str">
            <v>UN</v>
          </cell>
          <cell r="D4747">
            <v>67.849999999999994</v>
          </cell>
        </row>
        <row r="4748">
          <cell r="A4748" t="str">
            <v>74253/1</v>
          </cell>
          <cell r="B4748" t="str">
            <v>RAMAL PREDIAL EM TUBO PEAD 20MM - FORNECIMENTO, INSTALAÇÃO, ESCAVAÇÃO E REATERRO</v>
          </cell>
          <cell r="C4748" t="str">
            <v>M</v>
          </cell>
          <cell r="D4748">
            <v>23.39</v>
          </cell>
        </row>
        <row r="4749">
          <cell r="A4749">
            <v>83878</v>
          </cell>
          <cell r="B4749" t="str">
            <v>LIGACAO DA REDE 50MM AO RAMAL PREDIAL 1/2"</v>
          </cell>
          <cell r="C4749" t="str">
            <v>UN</v>
          </cell>
          <cell r="D4749">
            <v>35.97</v>
          </cell>
        </row>
        <row r="4750">
          <cell r="A4750">
            <v>83879</v>
          </cell>
          <cell r="B4750" t="str">
            <v>LIGACAO DA REDE 75MM AO RAMAL PREDIAL 1/2"</v>
          </cell>
          <cell r="C4750" t="str">
            <v>UN</v>
          </cell>
          <cell r="D4750">
            <v>43.11</v>
          </cell>
        </row>
        <row r="4751">
          <cell r="A4751">
            <v>73658</v>
          </cell>
          <cell r="B4751" t="str">
            <v>LIGAÇÃO DOMICILIAR DE ESGOTO DN 100MM, DA CASA ATÉ A CAIXA, COMPOSTO POR 10,0M TUBO DE PVC ESGOTO PREDIAL DN 100MM E CAIXA DE ALVENARIA COM TAMPA DE CONCRETO - FORNECIMENTO E INSTALAÇÃO</v>
          </cell>
          <cell r="C4751" t="str">
            <v>UN</v>
          </cell>
          <cell r="D4751">
            <v>519.54999999999995</v>
          </cell>
        </row>
        <row r="4752">
          <cell r="A4752">
            <v>93350</v>
          </cell>
          <cell r="B475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2" t="str">
            <v>UN</v>
          </cell>
          <cell r="D4752">
            <v>779.76</v>
          </cell>
        </row>
        <row r="4753">
          <cell r="A4753">
            <v>93351</v>
          </cell>
          <cell r="B475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3" t="str">
            <v>UN</v>
          </cell>
          <cell r="D4753">
            <v>635.48</v>
          </cell>
        </row>
        <row r="4754">
          <cell r="A4754">
            <v>93352</v>
          </cell>
          <cell r="B47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4" t="str">
            <v>UN</v>
          </cell>
          <cell r="D4754">
            <v>491.97</v>
          </cell>
        </row>
        <row r="4755">
          <cell r="A4755">
            <v>93353</v>
          </cell>
          <cell r="B47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5" t="str">
            <v>UN</v>
          </cell>
          <cell r="D4755">
            <v>352.16</v>
          </cell>
        </row>
        <row r="4756">
          <cell r="A4756">
            <v>93354</v>
          </cell>
          <cell r="B475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6" t="str">
            <v>UN</v>
          </cell>
          <cell r="D4756">
            <v>494.56</v>
          </cell>
        </row>
        <row r="4757">
          <cell r="A4757">
            <v>93355</v>
          </cell>
          <cell r="B475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7" t="str">
            <v>UN</v>
          </cell>
          <cell r="D4757">
            <v>410.65</v>
          </cell>
        </row>
        <row r="4758">
          <cell r="A4758">
            <v>93356</v>
          </cell>
          <cell r="B475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8" t="str">
            <v>UN</v>
          </cell>
          <cell r="D4758">
            <v>325.83999999999997</v>
          </cell>
        </row>
        <row r="4759">
          <cell r="A4759">
            <v>93357</v>
          </cell>
          <cell r="B475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9" t="str">
            <v>UN</v>
          </cell>
          <cell r="D4759">
            <v>243.08</v>
          </cell>
        </row>
        <row r="4760">
          <cell r="A4760">
            <v>83335</v>
          </cell>
          <cell r="B4760" t="str">
            <v>ESCAVACAO SUBMERSA COM DRAGA DE MANDIBULA</v>
          </cell>
          <cell r="C4760" t="str">
            <v>M3</v>
          </cell>
          <cell r="D4760">
            <v>39.68</v>
          </cell>
        </row>
        <row r="4761">
          <cell r="A4761">
            <v>88548</v>
          </cell>
          <cell r="B4761" t="str">
            <v>DRAGAGEM (C/ ESCAVADEIRA DRAG LINE DE ARRASTE 140HP)</v>
          </cell>
          <cell r="C4761" t="str">
            <v>M3</v>
          </cell>
          <cell r="D4761">
            <v>25.93</v>
          </cell>
        </row>
        <row r="4762">
          <cell r="A4762" t="str">
            <v>73903/1</v>
          </cell>
          <cell r="B4762" t="str">
            <v>LIMPEZA SUPERFICIAL DA CAMADA VEGETAL EM JAZIDA</v>
          </cell>
          <cell r="C4762" t="str">
            <v>M2</v>
          </cell>
          <cell r="D4762">
            <v>0.34</v>
          </cell>
        </row>
        <row r="4763">
          <cell r="A4763" t="str">
            <v>74151/1</v>
          </cell>
          <cell r="B4763" t="str">
            <v>ESCAVACAO E CARGA MATERIAL 1A CATEGORIA, UTILIZANDO TRATOR DE ESTEIRAS DE 110 A 160HP COM LAMINA, PESO OPERACIONAL * 13T  E PA CARREGADEIRA COM 170 HP.</v>
          </cell>
          <cell r="C4763" t="str">
            <v>M3</v>
          </cell>
          <cell r="D4763">
            <v>3.07</v>
          </cell>
        </row>
        <row r="4764">
          <cell r="A4764" t="str">
            <v>74153/1</v>
          </cell>
          <cell r="B4764" t="str">
            <v>ESPALHAMENTO MECANIZADO (COM MOTONIVELADORA 140 HP) MATERIAL 1A. CATEGORIA</v>
          </cell>
          <cell r="C4764" t="str">
            <v>M2</v>
          </cell>
          <cell r="D4764">
            <v>0.2</v>
          </cell>
        </row>
        <row r="4765">
          <cell r="A4765" t="str">
            <v>74154/1</v>
          </cell>
          <cell r="B4765" t="str">
            <v>ESCAVACAO, CARGA E TRANSPORTE DE  MATERIAL DE 1A CATEGORIA COM TRATOR SOBRE ESTEIRAS 347 HP E CACAMBA 6M3,  DMT 50 A 200M</v>
          </cell>
          <cell r="C4765" t="str">
            <v>M3</v>
          </cell>
          <cell r="D4765">
            <v>4.78</v>
          </cell>
        </row>
        <row r="4766">
          <cell r="A4766" t="str">
            <v>74155/1</v>
          </cell>
          <cell r="B4766" t="str">
            <v>ESCAVACAO E TRANSPORTE DE MATERIAL DE  1A CAT DMT 50M COM TRATOR SOBRE  ESTEIRAS 347 HP COM LAMINA E ESCARIFICADOR</v>
          </cell>
          <cell r="C4766" t="str">
            <v>M3</v>
          </cell>
          <cell r="D4766">
            <v>1.52</v>
          </cell>
        </row>
        <row r="4767">
          <cell r="A4767" t="str">
            <v>74155/2</v>
          </cell>
          <cell r="B4767" t="str">
            <v>ESCAVACAO E TRANSPORTE DE MATERIAL DE  2A CAT DMT 50M COM TRATOR SOBRE  ESTEIRAS 347 HP COM LAMINA E ESCARIFICADOR</v>
          </cell>
          <cell r="C4767" t="str">
            <v>M3</v>
          </cell>
          <cell r="D4767">
            <v>2.96</v>
          </cell>
        </row>
        <row r="4768">
          <cell r="A4768" t="str">
            <v>74205/1</v>
          </cell>
          <cell r="B4768" t="str">
            <v>ESCAVACAO MECANICA DE MATERIAL 1A. CATEGORIA, PROVENIENTE DE CORTE DE SUBLEITO (C/TRATOR ESTEIRAS  160HP)</v>
          </cell>
          <cell r="C4768" t="str">
            <v>M3</v>
          </cell>
          <cell r="D4768">
            <v>1.49</v>
          </cell>
        </row>
        <row r="4769">
          <cell r="A4769">
            <v>79472</v>
          </cell>
          <cell r="B4769" t="str">
            <v>REGULARIZACAO DE SUPERFICIES EM TERRA COM MOTONIVELADORA</v>
          </cell>
          <cell r="C4769" t="str">
            <v>M2</v>
          </cell>
          <cell r="D4769">
            <v>0.45</v>
          </cell>
        </row>
        <row r="4770">
          <cell r="A4770">
            <v>79473</v>
          </cell>
          <cell r="B4770" t="str">
            <v>CORTE E ATERRO COMPENSADO</v>
          </cell>
          <cell r="C4770" t="str">
            <v>M3</v>
          </cell>
          <cell r="D4770">
            <v>5.31</v>
          </cell>
        </row>
        <row r="4771">
          <cell r="A4771">
            <v>79480</v>
          </cell>
          <cell r="B4771" t="str">
            <v>ESCAVACAO MECANICA CAMPO ABERTO EM SOLO EXCETO ROCHA ATE 2,00M PROFUNDIDADE</v>
          </cell>
          <cell r="C4771" t="str">
            <v>M3</v>
          </cell>
          <cell r="D4771">
            <v>2.15</v>
          </cell>
        </row>
        <row r="4772">
          <cell r="A4772">
            <v>83336</v>
          </cell>
          <cell r="B4772" t="str">
            <v>ESCAVACAO MECANICA PARA ACERTO DE TALUDES, EM MATERIAL DE 1A CATEGORIA, COM ESCAVADEIRA HIDRAULICA</v>
          </cell>
          <cell r="C4772" t="str">
            <v>M3</v>
          </cell>
          <cell r="D4772">
            <v>4.28</v>
          </cell>
        </row>
        <row r="4773">
          <cell r="A4773">
            <v>83338</v>
          </cell>
          <cell r="B4773" t="str">
            <v>ESCAVACAO MECANICA, A CEU ABERTO, EM MATERIAL DE 1A CATEGORIA, COM ESCAVADEIRA HIDRAULICA, CAPACIDADE DE 0,78 M3</v>
          </cell>
          <cell r="C4773" t="str">
            <v>M3</v>
          </cell>
          <cell r="D4773">
            <v>2.3199999999999998</v>
          </cell>
        </row>
        <row r="4774">
          <cell r="A4774">
            <v>89885</v>
          </cell>
          <cell r="B4774" t="str">
            <v>ESCAVAÇÃO VERTICAL A CÉU ABERTO, INCLUINDO CARGA, DESCARGA E TRANSPORTE, EM SOLO DE 1ª CATEGORIA COM ESCAVADEIRA HIDRÁULICA (CAÇAMBA: 0,8 M³ / 111 HP), FROTA DE 3 CAMINHÕES BASCULANTES DE 14 M³, DMT DE 0,2 KM E VELOCIDADE MÉDIA 4 KM/H. AF_12/2013</v>
          </cell>
          <cell r="C4774" t="str">
            <v>M3</v>
          </cell>
          <cell r="D4774">
            <v>8.08</v>
          </cell>
        </row>
        <row r="4775">
          <cell r="A4775">
            <v>89886</v>
          </cell>
          <cell r="B4775" t="str">
            <v>ESCAVAÇÃO VERTICAL A CÉU ABERTO, INCLUINDO CARGA, DESCARGA E TRANSPORTE, EM SOLO DE 1ª CATEGORIA COM ESCAVADEIRA HIDRÁULICA (CAÇAMBA: 0,8 M³ / 111 HP), FROTA DE 3 CAMINHÕES BASCULANTES DE 14 M³, DMT DE 0,3 KM E VELOCIDADE MÉDIA 5,9 KM/H. AF_12/2013</v>
          </cell>
          <cell r="C4775" t="str">
            <v>M3</v>
          </cell>
          <cell r="D4775">
            <v>8.1199999999999992</v>
          </cell>
        </row>
        <row r="4776">
          <cell r="A4776">
            <v>89887</v>
          </cell>
          <cell r="B4776" t="str">
            <v>ESCAVAÇÃO VERTICAL A CÉU ABERTO, INCLUINDO CARGA, DESCARGA E TRANSPORTE, EM SOLO DE 1ª CATEGORIA COM ESCAVADEIRA HIDRÁULICA (CAÇAMBA: 0,8 M³ / 111 HP), FROTA DE 3 CAMINHÕES BASCULANTES DE 14 M³, DMT DE 0,6 KM E VELOCIDADE MÉDIA 10 KM/H. AF_12/2013</v>
          </cell>
          <cell r="C4776" t="str">
            <v>M3</v>
          </cell>
          <cell r="D4776">
            <v>8.42</v>
          </cell>
        </row>
        <row r="4777">
          <cell r="A4777">
            <v>89888</v>
          </cell>
          <cell r="B4777" t="str">
            <v>ESCAVAÇÃO VERTICAL A CÉU ABERTO, INCLUINDO CARGA, DESCARGA E TRANSPORTE, EM SOLO DE 1ª CATEGORIA COM ESCAVADEIRA HIDRÁULICA (CAÇAMBA: 0,8 M³ / 111 HP), FROTA DE 3 CAMINHÕES BASCULANTES DE 14 M³, DMT DE 0,8 KM E VELOCIDADE MÉDIA 14 KM/H. AF_12/2013</v>
          </cell>
          <cell r="C4777" t="str">
            <v>M3</v>
          </cell>
          <cell r="D4777">
            <v>8.32</v>
          </cell>
        </row>
        <row r="4778">
          <cell r="A4778">
            <v>89889</v>
          </cell>
          <cell r="B4778" t="str">
            <v>ESCAVAÇÃO VERTICAL A CÉU ABERTO, INCLUINDO CARGA, DESCARGA E TRANSPORTE, EM SOLO DE 1ª CATEGORIA COM ESCAVADEIRA HIDRÁULICA (CAÇAMBA: 0,8 M³ / 111 HP), FROTA DE 3 CAMINHÕES BASCULANTES DE 14 M³, DMT DE 1 KM E VELOCIDADE MÉDIA 15 KM/H. AF_12/2013</v>
          </cell>
          <cell r="C4778" t="str">
            <v>M3</v>
          </cell>
          <cell r="D4778">
            <v>8.64</v>
          </cell>
        </row>
        <row r="4779">
          <cell r="A4779">
            <v>89890</v>
          </cell>
          <cell r="B4779" t="str">
            <v>ESCAVAÇÃO VERTICAL A CÉU ABERTO, INCLUINDO CARGA, DESCARGA E TRANSPORTE, EM SOLO DE 1ª CATEGORIA COM ESCAVADEIRA HIDRÁULICA (CAÇAMBA: 0,8 M³ / 111 HP), FROTA DE 4 CAMINHÕES BASCULANTES DE 14 M³, DMT DE 1,5 KM E VELOCIDADE MÉDIA 18 KM/H. AF_12/2013</v>
          </cell>
          <cell r="C4779" t="str">
            <v>M3</v>
          </cell>
          <cell r="D4779">
            <v>12.11</v>
          </cell>
        </row>
        <row r="4780">
          <cell r="A4780">
            <v>89893</v>
          </cell>
          <cell r="B4780" t="str">
            <v>ESCAVAÇÃO VERTICAL A CÉU ABERTO, INCLUINDO CARGA, DESCARGA E TRANSPORTE, EM SOLO DE 1ª CATEGORIA COM ESCAVADEIRA HIDRÁULICA (CAÇAMBA: 0,8 M³ / 111 HP), FROTA DE 5 CAMINHÕES BASCULANTES DE 14 M³, DMT DE 3 KM E VELOCIDADE MÉDIA 20 KM/H. AF_12/2013</v>
          </cell>
          <cell r="C4780" t="str">
            <v>M3</v>
          </cell>
          <cell r="D4780">
            <v>14.94</v>
          </cell>
        </row>
        <row r="4781">
          <cell r="A4781">
            <v>89894</v>
          </cell>
          <cell r="B4781" t="str">
            <v>ESCAVAÇÃO VERTICAL A CÉU ABERTO, INCLUINDO CARGA, DESCARGA E TRANSPORTE, EM SOLO DE 1ª CATEGORIA COM ESCAVADEIRA HIDRÁULICA (CAÇAMBA: 0,8 M³ / 111 HP), FROTA DE 6 CAMINHÕES BASCULANTES DE 14 M³, DMT DE 4 KM E VELOCIDADE MÉDIA 22 KM/H. AF_12/2013</v>
          </cell>
          <cell r="C4781" t="str">
            <v>M3</v>
          </cell>
          <cell r="D4781">
            <v>16.63</v>
          </cell>
        </row>
        <row r="4782">
          <cell r="A4782">
            <v>89895</v>
          </cell>
          <cell r="B4782" t="str">
            <v>ESCAVAÇÃO VERTICAL A CÉU ABERTO, INCLUINDO CARGA, DESCARGA E TRANSPORTE, EM SOLO DE 1ª CATEGORIA COM ESCAVADEIRA HIDRÁULICA (CAÇAMBA: 0,8 M³ / 111 HP), FROTA DE 7 CAMINHÕES BASCULANTES DE 14 M³, DMT DE 6 KM E VELOCIDADE MÉDIA 22 KM/H. AF_12/2013</v>
          </cell>
          <cell r="C4782" t="str">
            <v>M3</v>
          </cell>
          <cell r="D4782">
            <v>20.260000000000002</v>
          </cell>
        </row>
        <row r="4783">
          <cell r="A4783">
            <v>89903</v>
          </cell>
          <cell r="B4783" t="str">
            <v>ESCAVAÇÃO VERTICAL A CÉU ABERTO, INCLUINDO CARGA, DESCARGA E TRANSPORTE, EM SOLO DE 1ª CATEGORIA COM ESCAVADEIRA HIDRÁULICA (CAÇAMBA: 0,8 M³ / 111 HP), FROTA DE 2 CAMINHÕES BASCULANTES DE 18 M³, DMT DE 0,2 KM E VELOCIDADE MÉDIA 4 KM/H. AF_12/2013</v>
          </cell>
          <cell r="C4783" t="str">
            <v>M3</v>
          </cell>
          <cell r="D4783">
            <v>7.15</v>
          </cell>
        </row>
        <row r="4784">
          <cell r="A4784">
            <v>89904</v>
          </cell>
          <cell r="B4784" t="str">
            <v>ESCAVAÇÃO VERTICAL A CÉU ABERTO, INCLUINDO CARGA, DESCARGA E TRANSPORTE, EM SOLO DE 1ª CATEGORIA COM ESCAVADEIRA HIDRÁULICA (CAÇAMBA: 0,8 M³ / 111 HP), FROTA DE 2 CAMINHÕES BASCULANTES DE 18 M³, DMT DE 0,3 KM E VELOCIDADE MÉDIA 5,9KM/H. AF_12/2013</v>
          </cell>
          <cell r="C4784" t="str">
            <v>M3</v>
          </cell>
          <cell r="D4784">
            <v>7.19</v>
          </cell>
        </row>
        <row r="4785">
          <cell r="A4785">
            <v>89905</v>
          </cell>
          <cell r="B4785" t="str">
            <v>ESCAVAÇÃO VERTICAL A CÉU ABERTO, INCLUINDO CARGA, DESCARGA E TRANSPORTE, EM SOLO DE 1ª CATEGORIA COM ESCAVADEIRA HIDRÁULICA (CAÇAMBA: 0,8 M³ / 111 HP), FROTA DE 2 CAMINHÕES BASCULANTES DE 18 M³, DMT DE 0,6 KM E VELOCIDADE MÉDIA 10 KM/H. AF_12/2013</v>
          </cell>
          <cell r="C4785" t="str">
            <v>M3</v>
          </cell>
          <cell r="D4785">
            <v>7.44</v>
          </cell>
        </row>
        <row r="4786">
          <cell r="A4786">
            <v>89906</v>
          </cell>
          <cell r="B4786" t="str">
            <v>ESCAVAÇÃO VERTICAL A CÉU ABERTO, INCLUINDO CARGA, DESCARGA E TRANSPORTE, EM SOLO DE 1ª CATEGORIA COM ESCAVADEIRA HIDRÁULICA (CAÇAMBA: 0,8 M³ / 111 HP), FROTA DE 2 CAMINHÕES BASCULANTES DE 18 M³, DMT DE 0,8 KM E VELOCIDADE MÉDIA 14 KM/H. AF_12/2013</v>
          </cell>
          <cell r="C4786" t="str">
            <v>M3</v>
          </cell>
          <cell r="D4786">
            <v>7.36</v>
          </cell>
        </row>
        <row r="4787">
          <cell r="A4787">
            <v>89907</v>
          </cell>
          <cell r="B4787" t="str">
            <v>ESCAVAÇÃO VERTICAL A CÉU ABERTO, INCLUINDO CARGA, DESCARGA E TRANSPORTE, EM SOLO DE 1ª CATEGORIA COM ESCAVADEIRA HIDRÁULICA (CAÇAMBA: 0,8 M³ / 111 HP), FROTA DE 3 CAMINHÕES BASCULANTES DE 18 M³, DMT DE 1 KM E VELOCIDADE MÉDIA 15 KM/H. AF_12/2013</v>
          </cell>
          <cell r="C4787" t="str">
            <v>M3</v>
          </cell>
          <cell r="D4787">
            <v>8.26</v>
          </cell>
        </row>
        <row r="4788">
          <cell r="A4788">
            <v>89908</v>
          </cell>
          <cell r="B4788" t="str">
            <v>ESCAVAÇÃO VERTICAL A CÉU ABERTO, INCLUINDO CARGA, DESCARGA E TRANSPORTE, EM SOLO DE 1ª CATEGORIA COM ESCAVADEIRA HIDRÁULICA (CAÇAMBA: 0,8 M³ / 111 HP), FROTA DE 4 CAMINHÕES BASCULANTES DE 18 M³, DMT DE 1,5 KM E VELOCIDADE MÉDIA 18 KM/H. AF_12/2013</v>
          </cell>
          <cell r="C4788" t="str">
            <v>M3</v>
          </cell>
          <cell r="D4788">
            <v>11.36</v>
          </cell>
        </row>
        <row r="4789">
          <cell r="A4789">
            <v>89911</v>
          </cell>
          <cell r="B4789" t="str">
            <v>ESCAVAÇÃO VERTICAL A CÉU ABERTO, INCLUINDO CARGA, DESCARGA E TRANSPORTE, EM SOLO DE 1ª CATEGORIA COM ESCAVADEIRA HIDRÁULICA (CAÇAMBA: 0,8 M³ / 111 HP), FROTA DE 5 CAMINHÕES BASCULANTES DE 18 M³, DMT DE 3 KM E VELOCIDADE MÉDIA 20 KM/H. AF_12/2013</v>
          </cell>
          <cell r="C4789" t="str">
            <v>M3</v>
          </cell>
          <cell r="D4789">
            <v>13.91</v>
          </cell>
        </row>
        <row r="4790">
          <cell r="A4790">
            <v>89912</v>
          </cell>
          <cell r="B4790" t="str">
            <v>ESCAVAÇÃO VERTICAL A CÉU ABERTO, INCLUINDO CARGA, DESCARGA E TRANSPORTE, EM SOLO DE 1ª CATEGORIA COM ESCAVADEIRA HIDRÁULICA (CAÇAMBA: 0,8 M³ / 111 HP), FROTA DE 5 CAMINHÕES BASCULANTES DE 18 M³, DMT DE 4 KM E VELOCIDADE MÉDIA 22 KM/H. AF_12/2013</v>
          </cell>
          <cell r="C4790" t="str">
            <v>M3</v>
          </cell>
          <cell r="D4790">
            <v>14.86</v>
          </cell>
        </row>
        <row r="4791">
          <cell r="A4791">
            <v>89913</v>
          </cell>
          <cell r="B4791" t="str">
            <v>ESCAVAÇÃO VERTICAL A CÉU ABERTO, INCLUINDO CARGA, DESCARGA E TRANSPORTE, EM SOLO DE 1ª CATEGORIA COM ESCAVADEIRA HIDRÁULICA (CAÇAMBA: 0,8 M³ / 111 HP), FROTA DE 6 CAMINHÕES BASCULANTES DE 18 M³, DMT DE 6 KM E VELOCIDADE MÉDIA 22 KM/H. AF_12/2013</v>
          </cell>
          <cell r="C4791" t="str">
            <v>M3</v>
          </cell>
          <cell r="D4791">
            <v>18.12</v>
          </cell>
        </row>
        <row r="4792">
          <cell r="A4792">
            <v>89921</v>
          </cell>
          <cell r="B4792" t="str">
            <v>ESCAVAÇÃO VERTICAL A CÉU ABERTO, INCLUINDO CARGA, DESCARGA E TRANSPORTE, EM SOLO DE 1ª CATEGORIA COM ESCAVADEIRA HIDRÁULICA (CAÇAMBA: 1,2 M³ / 155 HP), FROTA DE 3 CAMINHÕES BASCULANTES DE 14 M³, DMT DE 0,2 KM E VELOCIDADE MÉDIA 4 KM/H. AF_12/2013</v>
          </cell>
          <cell r="C4792" t="str">
            <v>M3</v>
          </cell>
          <cell r="D4792">
            <v>6.62</v>
          </cell>
        </row>
        <row r="4793">
          <cell r="A4793">
            <v>89922</v>
          </cell>
          <cell r="B4793" t="str">
            <v>ESCAVAÇÃO VERTICAL A CÉU ABERTO, INCLUINDO CARGA, DESCARGA E TRANSPORTE, EM SOLO DE 1ª CATEGORIA COM ESCAVADEIRA HIDRÁULICA (CAÇAMBA: 1,2 M³ / 155 HP), FROTA DE 3 CAMINHÕES BASCULANTES DE 14 M³, DMT DE 0,3 KM E VELOCIDADE MÉDIA 5,9 KM/H. AF_12/2013</v>
          </cell>
          <cell r="C4793" t="str">
            <v>M3</v>
          </cell>
          <cell r="D4793">
            <v>6.66</v>
          </cell>
        </row>
        <row r="4794">
          <cell r="A4794">
            <v>89923</v>
          </cell>
          <cell r="B4794" t="str">
            <v>ESCAVAÇÃO VERTICAL A CÉU ABERTO, INCLUINDO CARGA, DESCARGA E TRANSPORTE, EM SOLO DE 1ª CATEGORIA COM ESCAVADEIRA HIDRÁULICA (CAÇAMBA: 1,2 M³ / 155 HP), FROTA DE 3 CAMINHÕES BASCULANTES DE 14 M³, DMT DE 0,6 KM E VELOCIDADE MÉDIA 10 KM/H. AF_12/2013</v>
          </cell>
          <cell r="C4794" t="str">
            <v>M3</v>
          </cell>
          <cell r="D4794">
            <v>6.96</v>
          </cell>
        </row>
        <row r="4795">
          <cell r="A4795">
            <v>89924</v>
          </cell>
          <cell r="B4795" t="str">
            <v>ESCAVAÇÃO VERTICAL A CÉU ABERTO, INCLUINDO CARGA, DESCARGA E TRANSPORTE, EM SOLO DE 1ª CATEGORIA COM ESCAVADEIRA HIDRÁULICA (CAÇAMBA: 1,2 M³ / 155 HP), FROTA DE 3 CAMINHÕES BASCULANTES DE 14 M³, DMT DE 0,8 KM E VELOCIDADE MÉDIA 14 KM/H. AF_12/2013</v>
          </cell>
          <cell r="C4795" t="str">
            <v>M3</v>
          </cell>
          <cell r="D4795">
            <v>6.87</v>
          </cell>
        </row>
        <row r="4796">
          <cell r="A4796">
            <v>89925</v>
          </cell>
          <cell r="B4796" t="str">
            <v>ESCAVAÇÃO VERTICAL A CÉU ABERTO, INCLUINDO CARGA, DESCARGA E TRANSPORTE, EM SOLO DE 1ª CATEGORIA COM ESCAVADEIRA HIDRÁULICA (CAÇAMBA: 1,2 M³ / 155 HP), FROTA DE 3 CAMINHÕES BASCULANTES DE 14 M³, DMT DE 1 KM E VELOCIDADE MÉDIA 15 KM/H. AF_12/2013</v>
          </cell>
          <cell r="C4796" t="str">
            <v>M3</v>
          </cell>
          <cell r="D4796">
            <v>7.18</v>
          </cell>
        </row>
        <row r="4797">
          <cell r="A4797">
            <v>89926</v>
          </cell>
          <cell r="B4797" t="str">
            <v>ESCAVAÇÃO VERTICAL A CÉU ABERTO, INCLUINDO CARGA, DESCARGA E TRANSPORTE, EM SOLO DE 1ª CATEGORIA COM ESCAVADEIRA HIDRÁULICA (CAÇAMBA: 1,2 M³ / 155 HP), FROTA DE 5 CAMINHÕES BASCULANTES DE 14 M³, DMT DE 1,5 KM E VELOCIDADE MÉDIA 18 KM/H. AF_12/2013</v>
          </cell>
          <cell r="C4797" t="str">
            <v>M3</v>
          </cell>
          <cell r="D4797">
            <v>10.91</v>
          </cell>
        </row>
        <row r="4798">
          <cell r="A4798">
            <v>89929</v>
          </cell>
          <cell r="B4798" t="str">
            <v>ESCAVAÇÃO VERTICAL A CÉU ABERTO, INCLUINDO CARGA, DESCARGA E TRANSPORTE, EM SOLO DE 1ª CATEGORIA COM ESCAVADEIRA HIDRÁULICA (CAÇAMBA: 1,2 M³ / 155 HP), FROTA DE 7 CAMINHÕES BASCULANTES DE 14 M³, DMT DE 3 KM E VELOCIDADE MÉDIA 20 KM/H. AF_12/2013</v>
          </cell>
          <cell r="C4798" t="str">
            <v>M3</v>
          </cell>
          <cell r="D4798">
            <v>14.03</v>
          </cell>
        </row>
        <row r="4799">
          <cell r="A4799">
            <v>89930</v>
          </cell>
          <cell r="B4799" t="str">
            <v>ESCAVAÇÃO VERTICAL A CÉU ABERTO, INCLUINDO CARGA, DESCARGA E TRANSPORTE, EM SOLO DE 1ª CATEGORIA COM ESCAVADEIRA HIDRÁULICA (CAÇAMBA: 1,2 M³ / 155 HP), FROTA DE 7 CAMINHÕES BASCULANTES DE 14 M³, DMT DE 4 KM E VELOCIDADE MÉDIA 22 KM/H. AF_12/2013</v>
          </cell>
          <cell r="C4799" t="str">
            <v>M3</v>
          </cell>
          <cell r="D4799">
            <v>15.07</v>
          </cell>
        </row>
        <row r="4800">
          <cell r="A4800">
            <v>89931</v>
          </cell>
          <cell r="B4800" t="str">
            <v>ESCAVAÇÃO VERTICAL A CÉU ABERTO, INCLUINDO CARGA, DESCARGA E TRANSPORTE, EM SOLO DE 1ª CATEGORIA COM ESCAVADEIRA HIDRÁULICA (CAÇAMBA: 1,2 M³ / 155 HP), FROTA DE 9 CAMINHÕES BASCULANTES DE 14 M³, DMT DE 6 KM E VELOCIDADE MÉDIA 22 KM/H. AF_12/2013</v>
          </cell>
          <cell r="C4800" t="str">
            <v>M3</v>
          </cell>
          <cell r="D4800">
            <v>18.989999999999998</v>
          </cell>
        </row>
        <row r="4801">
          <cell r="A4801">
            <v>89939</v>
          </cell>
          <cell r="B4801" t="str">
            <v>ESCAVAÇÃO VERTICAL A CÉU ABERTO, INCLUINDO CARGA, DESCARGA E TRANSPORTE, EM SOLO DE 1ª CATEGORIA COM ESCAVADEIRA HIDRÁULICA (CAÇAMBA: 1,2 M³ / 155 HP), FROTA DE 3 CAMINHÕES BASCULANTES DE 18 M³, DMT DE 0,2 KM E VELOCIDADE MÉDIA 4 KM/H. AF_12/2013</v>
          </cell>
          <cell r="C4801" t="str">
            <v>M3</v>
          </cell>
          <cell r="D4801">
            <v>6.22</v>
          </cell>
        </row>
        <row r="4802">
          <cell r="A4802">
            <v>89940</v>
          </cell>
          <cell r="B4802" t="str">
            <v>ESCAVAÇÃO VERTICAL A CÉU ABERTO, INCLUINDO CARGA, DESCARGA E TRANSPORTE, EM SOLO DE 1ª CATEGORIA COM ESCAVADEIRA HIDRÁULICA (CAÇAMBA: 1,2 M³ / 155 HP), FROTA DE 3 CAMINHÕES BASCULANTES DE 18 M³, DMT DE 0,3 KM E VELOCIDADE MÉDIA 5,9 KM/H. AF_12/2013</v>
          </cell>
          <cell r="C4802" t="str">
            <v>M3</v>
          </cell>
          <cell r="D4802">
            <v>6.23</v>
          </cell>
        </row>
        <row r="4803">
          <cell r="A4803">
            <v>89941</v>
          </cell>
          <cell r="B4803" t="str">
            <v>ESCAVAÇÃO VERTICAL A CÉU ABERTO, INCLUINDO CARGA, DESCARGA E TRANSPORTE, EM SOLO DE 1ª CATEGORIA COM ESCAVADEIRA HIDRÁULICA (CAÇAMBA: 1,2 M³ / 155 HP), FROTA DE 3 CAMINHÕES BASCULANTES DE 18 M³, DMT DE 0,6 KM E VELOCIDADE MÉDIA 10 KM/H. AF_12/2013</v>
          </cell>
          <cell r="C4803" t="str">
            <v>M3</v>
          </cell>
          <cell r="D4803">
            <v>6.51</v>
          </cell>
        </row>
        <row r="4804">
          <cell r="A4804">
            <v>89942</v>
          </cell>
          <cell r="B4804" t="str">
            <v>ESCAVAÇÃO VERTICAL A CÉU ABERTO, INCLUINDO CARGA, DESCARGA E TRANSPORTE, EM SOLO DE 1ª CATEGORIA COM ESCAVADEIRA HIDRÁULICA (CAÇAMBA: 1,2 M³ / 155 HP), FROTA DE 3 CAMINHÕES BASCULANTES DE 18 M³, DMT DE 0,8 KM E VELOCIDADE MÉDIA 14 KM/H. AF_12/2013</v>
          </cell>
          <cell r="C4804" t="str">
            <v>M3</v>
          </cell>
          <cell r="D4804">
            <v>6.42</v>
          </cell>
        </row>
        <row r="4805">
          <cell r="A4805">
            <v>89943</v>
          </cell>
          <cell r="B4805" t="str">
            <v>ESCAVAÇÃO VERTICAL A CÉU ABERTO, INCLUINDO CARGA, DESCARGA E TRANSPORTE, EM SOLO DE 1ª CATEGORIA COM ESCAVADEIRA HIDRÁULICA (CAÇAMBA: 1,2 M³ / 155 HP), FROTA DE 3 CAMINHÕES BASCULANTES DE 18 M³, DMT DE 1 KM E VELOCIDADE MÉDIA 15 KM/H. AF_12/2013</v>
          </cell>
          <cell r="C4805" t="str">
            <v>M3</v>
          </cell>
          <cell r="D4805">
            <v>6.7</v>
          </cell>
        </row>
        <row r="4806">
          <cell r="A4806">
            <v>89944</v>
          </cell>
          <cell r="B4806" t="str">
            <v>ESCAVAÇÃO VERTICAL A CÉU ABERTO, INCLUINDO CARGA, DESCARGA E TRANSPORTE, EM SOLO DE 1ª CATEGORIA COM ESCAVADEIRA HIDRÁULICA (CAÇAMBA: 1,2 M³ / 155 HP), FROTA DE 5 CAMINHÕES BASCULANTES DE 18 M³, DMT DE 1,5 KM E VELOCIDADE MÉDIA 18 KM/H. AF_12/2013</v>
          </cell>
          <cell r="C4806" t="str">
            <v>M3</v>
          </cell>
          <cell r="D4806">
            <v>10.039999999999999</v>
          </cell>
        </row>
        <row r="4807">
          <cell r="A4807">
            <v>89947</v>
          </cell>
          <cell r="B4807" t="str">
            <v>ESCAVAÇÃO VERTICAL A CÉU ABERTO, INCLUINDO CARGA, DESCARGA E TRANSPORTE, EM SOLO DE 1ª CATEGORIA COM ESCAVADEIRA HIDRÁULICA (CAÇAMBA: 1,2 M³ / 155 HP), FROTA DE 6 CAMINHÕES BASCULANTES DE 18 M³, DMT DE 3 KM E VELOCIDADE MÉDIA 20 KM/H. AF_12/2013</v>
          </cell>
          <cell r="C4807" t="str">
            <v>M3</v>
          </cell>
          <cell r="D4807">
            <v>12.42</v>
          </cell>
        </row>
        <row r="4808">
          <cell r="A4808">
            <v>89948</v>
          </cell>
          <cell r="B4808" t="str">
            <v>ESCAVAÇÃO VERTICAL A CÉU ABERTO, INCLUINDO CARGA, DESCARGA E TRANSPORTE, EM SOLO DE 1ª CATEGORIA COM ESCAVADEIRA HIDRÁULICA (CAÇAMBA: 1,2 M³ / 155 HP), FROTA DE 7 CAMINHÕES BASCULANTES DE 18 M³, DMT DE 4 KM E VELOCIDADE MÉDIA 22 KM/H. AF_12/2013</v>
          </cell>
          <cell r="C4808" t="str">
            <v>M3</v>
          </cell>
          <cell r="D4808">
            <v>13.76</v>
          </cell>
        </row>
        <row r="4809">
          <cell r="A4809">
            <v>89949</v>
          </cell>
          <cell r="B4809" t="str">
            <v>ESCAVAÇÃO VERTICAL A CÉU ABERTO, INCLUINDO CARGA, DESCARGA E TRANSPORTE, EM SOLO DE 1ª CATEGORIA COM ESCAVADEIRA HIDRÁULICA (CAÇAMBA: 1,2 M³ / 155 HP), FROTA DE 8 CAMINHÕES BASCULANTES DE 18 M³, DMT DE 6 KM E VELOCIDADE MÉDIA 22 KM/H. AF_12/2013</v>
          </cell>
          <cell r="C4809" t="str">
            <v>M3</v>
          </cell>
          <cell r="D4809">
            <v>16.84</v>
          </cell>
        </row>
        <row r="4810">
          <cell r="A4810">
            <v>96520</v>
          </cell>
          <cell r="B4810" t="str">
            <v>ESCAVAÇÃO MECANIZADA PARA BLOCO DE COROAMENTO OU SAPATA, SEM PREVISÃO DE FÔRMA, COM RETROESCAVADEIRA. AF_06/2017</v>
          </cell>
          <cell r="C4810" t="str">
            <v>M3</v>
          </cell>
          <cell r="D4810">
            <v>73.88</v>
          </cell>
        </row>
        <row r="4811">
          <cell r="A4811">
            <v>96521</v>
          </cell>
          <cell r="B4811" t="str">
            <v>ESCAVAÇÃO MECANIZADA PARA BLOCO DE COROAMENTO OU SAPATA, COM PREVISÃO DE FÔRMA, COM RETROESCAVADEIRA. AF_06/2017</v>
          </cell>
          <cell r="C4811" t="str">
            <v>M3</v>
          </cell>
          <cell r="D4811">
            <v>31.3</v>
          </cell>
        </row>
        <row r="4812">
          <cell r="A4812">
            <v>96522</v>
          </cell>
          <cell r="B4812" t="str">
            <v>ESCAVAÇÃO MANUAL PARA BLOCO DE COROAMENTO OU SAPATA, SEM PREVISÃO DE FÔRMA. AF_06/2017</v>
          </cell>
          <cell r="C4812" t="str">
            <v>M3</v>
          </cell>
          <cell r="D4812">
            <v>115.24</v>
          </cell>
        </row>
        <row r="4813">
          <cell r="A4813">
            <v>96523</v>
          </cell>
          <cell r="B4813" t="str">
            <v>ESCAVAÇÃO MANUAL PARA BLOCO DE COROAMENTO OU SAPATA, COM PREVISÃO DE FÔRMA. AF_06/2017</v>
          </cell>
          <cell r="C4813" t="str">
            <v>M3</v>
          </cell>
          <cell r="D4813">
            <v>73.709999999999994</v>
          </cell>
        </row>
        <row r="4814">
          <cell r="A4814">
            <v>96524</v>
          </cell>
          <cell r="B4814" t="str">
            <v>ESCAVAÇÃO MECANIZADA PARA VIGA BALDRAME, SEM PREVISÃO DE FÔRMA, COM MINI-ESCAVADEIRA. AF_06/2017</v>
          </cell>
          <cell r="C4814" t="str">
            <v>M3</v>
          </cell>
          <cell r="D4814">
            <v>134.28</v>
          </cell>
        </row>
        <row r="4815">
          <cell r="A4815">
            <v>96525</v>
          </cell>
          <cell r="B4815" t="str">
            <v>ESCAVAÇÃO MECANIZADA PARA VIGA BALDRAME, COM PREVISÃO DE FÔRMA, COM MINI-ESCAVADEIRA. AF_06/2017</v>
          </cell>
          <cell r="C4815" t="str">
            <v>M3</v>
          </cell>
          <cell r="D4815">
            <v>27.48</v>
          </cell>
        </row>
        <row r="4816">
          <cell r="A4816">
            <v>96526</v>
          </cell>
          <cell r="B4816" t="str">
            <v>ESCAVAÇÃO MANUAL DE VALA PARA VIGA BALDRAME, SEM PREVISÃO DE FÔRMA. AF_06/2017</v>
          </cell>
          <cell r="C4816" t="str">
            <v>M3</v>
          </cell>
          <cell r="D4816">
            <v>232.5</v>
          </cell>
        </row>
        <row r="4817">
          <cell r="A4817">
            <v>96527</v>
          </cell>
          <cell r="B4817" t="str">
            <v>ESCAVAÇÃO MANUAL DE VALA PARA VIGA BALDRAME, COM PREVISÃO DE FÔRMA. AF_06/2017</v>
          </cell>
          <cell r="C4817" t="str">
            <v>M3</v>
          </cell>
          <cell r="D4817">
            <v>96.82</v>
          </cell>
        </row>
        <row r="4818">
          <cell r="A4818">
            <v>96528</v>
          </cell>
          <cell r="B4818" t="str">
            <v>FABRICAÇÃO, MONTAGEM E DESMONTAGEM DE FÔRMA PARA BLOCO DE COROAMENTO, EM MADEIRA SERRADA, E=25 MM, 1 UTILIZAÇÃO. AF_06/2017</v>
          </cell>
          <cell r="C4818" t="str">
            <v>M2</v>
          </cell>
          <cell r="D4818">
            <v>104.01</v>
          </cell>
        </row>
        <row r="4819">
          <cell r="A4819">
            <v>98116</v>
          </cell>
          <cell r="B4819" t="str">
            <v>ESCAVAÇÃO VERTICAL A CÉU ABERTO, INCLUINDO CARGA, DESCARGA E TRANSPORTE, EM SOLO DE 1ª CATEGORIA COM ESCAVADEIRA HIDRÁULICA (CAÇAMBA: 0,8 M³ / 111 HP), FROTA DE 4 CAMINHÕES BASCULANTES DE 14 M³, DMT DE 2 KM E VELOCIDADE MÉDIA 20 KM/H. AF_02/2018</v>
          </cell>
          <cell r="C4819" t="str">
            <v>M3</v>
          </cell>
          <cell r="D4819">
            <v>12.66</v>
          </cell>
        </row>
        <row r="4820">
          <cell r="A4820">
            <v>98117</v>
          </cell>
          <cell r="B4820" t="str">
            <v>ESCAVAÇÃO VERTICAL A CÉU ABERTO, INCLUINDO CARGA, DESCARGA E TRANSPORTE, EM SOLO DE 1ª CATEGORIA COM ESCAVADEIRA HIDRÁULICA (CAÇAMBA: 0,8 M³ / 111 HP), FROTA DE 4 CAMINHÕES BASCULANTES DE 18 M³, DMT DE 2 KM E VELOCIDADE MÉDIA 20 KM/H. AF_02/2018</v>
          </cell>
          <cell r="C4820" t="str">
            <v>M3</v>
          </cell>
          <cell r="D4820">
            <v>11.85</v>
          </cell>
        </row>
        <row r="4821">
          <cell r="A4821">
            <v>98118</v>
          </cell>
          <cell r="B4821" t="str">
            <v>ESCAVAÇÃO VERTICAL A CÉU ABERTO, INCLUINDO CARGA, DESCARGA E TRANSPORTE, EM SOLO DE 1ª CATEGORIA COM ESCAVADEIRA HIDRÁULICA (CAÇAMBA: 1,2 M³ / 155 HP), FROTA DE 6 CAMINHÕES BASCULANTES DE 14 M³, DMT DE 2 KM E VELOCIDADE MÉDIA 20 KM/H. AF_02/2018</v>
          </cell>
          <cell r="C4821" t="str">
            <v>M3</v>
          </cell>
          <cell r="D4821">
            <v>11.92</v>
          </cell>
        </row>
        <row r="4822">
          <cell r="A4822">
            <v>98119</v>
          </cell>
          <cell r="B4822" t="str">
            <v>ESCAVAÇÃO VERTICAL A CÉU ABERTO, INCLUINDO CARGA, DESCARGA E TRANSPORTE, EM SOLO DE 1ª CATEGORIA COM ESCAVADEIRA HIDRÁULICA (CAÇAMBA: 1,2 M³ / 155 HP), FROTA DE 5 CAMINHÕES BASCULANTES DE 18 M³, DMT DE 2 KM E VELOCIDADE MÉDIA 20 KM/H. AF_02/2018</v>
          </cell>
          <cell r="C4822" t="str">
            <v>M3</v>
          </cell>
          <cell r="D4822">
            <v>10.53</v>
          </cell>
        </row>
        <row r="4823">
          <cell r="A4823">
            <v>72915</v>
          </cell>
          <cell r="B4823" t="str">
            <v>ESCAVACAO MECANICA DE VALA EM MATERIAL DE 2A. CATEGORIA ATE 2 M DE PROFUNDIDADE COM UTILIZACAO DE ESCAVADEIRA HIDRAULICA</v>
          </cell>
          <cell r="C4823" t="str">
            <v>M3</v>
          </cell>
          <cell r="D4823">
            <v>10.23</v>
          </cell>
        </row>
        <row r="4824">
          <cell r="A4824">
            <v>72917</v>
          </cell>
          <cell r="B4824" t="str">
            <v>ESCAVACAO MECANICA DE VALA EM MATERIAL 2A. CATEGORIA DE 2,01 ATE 4,00 M DE PROFUNDIDADE COM UTILIZACAO DE ESCAVADEIRA HIDRAULICA</v>
          </cell>
          <cell r="C4824" t="str">
            <v>M3</v>
          </cell>
          <cell r="D4824">
            <v>11.68</v>
          </cell>
        </row>
        <row r="4825">
          <cell r="A4825">
            <v>72918</v>
          </cell>
          <cell r="B4825" t="str">
            <v>ESCAVACAO MECANICA DE VALA EM MATERIAL 2A. CATEGORIA DE 4,01 ATE 6,00 M DE PROFUNDIDADE COM UTILIZACAO DE ESCAVADEIRA HIDRAULICA</v>
          </cell>
          <cell r="C4825" t="str">
            <v>M3</v>
          </cell>
          <cell r="D4825">
            <v>13.63</v>
          </cell>
        </row>
        <row r="4826">
          <cell r="A4826" t="str">
            <v>73965/9</v>
          </cell>
          <cell r="B4826" t="str">
            <v>ESCAVACAO MANUAL DE VALA EM LODO, DE 1,5 ATE 3M, EXCLUINDO ESGOTAMENTO/ESCORAMENTO.</v>
          </cell>
          <cell r="C4826" t="str">
            <v>M3</v>
          </cell>
          <cell r="D4826">
            <v>162.6</v>
          </cell>
        </row>
        <row r="4827">
          <cell r="A4827" t="str">
            <v>79506/2</v>
          </cell>
          <cell r="B4827" t="str">
            <v>ESCAVAÇÃO MANUAL DE VALA/CAVA EM LODO, ENTRE 3 E 4,5M DE PROFUNDIDADE</v>
          </cell>
          <cell r="C4827" t="str">
            <v>M3</v>
          </cell>
          <cell r="D4827">
            <v>243.9</v>
          </cell>
        </row>
        <row r="4828">
          <cell r="A4828">
            <v>83343</v>
          </cell>
          <cell r="B4828" t="str">
            <v>ESCAVACAO MECANICA DE VALAS (SOLO COM AGUA), PROFUNDIDADE MAIOR QUE 4,00 M ATE 6,00 M.</v>
          </cell>
          <cell r="C4828" t="str">
            <v>M3</v>
          </cell>
          <cell r="D4828">
            <v>13.09</v>
          </cell>
        </row>
        <row r="4829">
          <cell r="A4829">
            <v>90082</v>
          </cell>
          <cell r="B4829" t="str">
            <v>ESCAVAÇÃO MECANIZADA DE VALA COM PROF. ATÉ 1,5 M (MÉDIA ENTRE MONTANTE E JUSANTE/UMA COMPOSIÇÃO POR TRECHO), COM ESCAVADEIRA HIDRÁULICA (0,8 M3), LARG. DE 1,5 M A 2,5 M, EM SOLO DE 1A CATEGORIA, EM LOCAIS COM ALTO NÍVEL DE INTERFERÊNCIA. AF_01/2015</v>
          </cell>
          <cell r="C4829" t="str">
            <v>M3</v>
          </cell>
          <cell r="D4829">
            <v>7.81</v>
          </cell>
        </row>
        <row r="4830">
          <cell r="A4830">
            <v>90084</v>
          </cell>
          <cell r="B483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0" t="str">
            <v>M3</v>
          </cell>
          <cell r="D4830">
            <v>7.59</v>
          </cell>
        </row>
        <row r="4831">
          <cell r="A4831">
            <v>90085</v>
          </cell>
          <cell r="B483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1" t="str">
            <v>M3</v>
          </cell>
          <cell r="D4831">
            <v>7.13</v>
          </cell>
        </row>
        <row r="4832">
          <cell r="A4832">
            <v>90086</v>
          </cell>
          <cell r="B483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2" t="str">
            <v>M3</v>
          </cell>
          <cell r="D4832">
            <v>7.22</v>
          </cell>
        </row>
        <row r="4833">
          <cell r="A4833">
            <v>90087</v>
          </cell>
          <cell r="B4833" t="str">
            <v>ESCAVAÇÃO MECANIZADA DE VALA COM PROF. DE 3,0 M ATÉ 4,5 M(MÉDIA ENTRE MONTANTE E JUSANTE/UMA COMPOSIÇÃO POR TRECHO), COM ESCAVADEIRA HIDRÁULICA (1,2 M3/155 HP), LARG. DE 1,5 M A 2,5 M, EM SOLO DE 1A CATEGORIA, EM LOCAIS COM ALTO NÍVEL DE INTERFERÊNCIA. AF_01/2015</v>
          </cell>
          <cell r="C4833" t="str">
            <v>M3</v>
          </cell>
          <cell r="D4833">
            <v>6.33</v>
          </cell>
        </row>
        <row r="4834">
          <cell r="A4834">
            <v>90088</v>
          </cell>
          <cell r="B483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4" t="str">
            <v>M3</v>
          </cell>
          <cell r="D4834">
            <v>6.45</v>
          </cell>
        </row>
        <row r="4835">
          <cell r="A4835">
            <v>90090</v>
          </cell>
          <cell r="B483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5" t="str">
            <v>M3</v>
          </cell>
          <cell r="D4835">
            <v>6.21</v>
          </cell>
        </row>
        <row r="4836">
          <cell r="A4836">
            <v>90091</v>
          </cell>
          <cell r="B4836" t="str">
            <v>ESCAVAÇÃO MECANIZADA DE VALA COM PROF. ATÉ 1,5 M(MÉDIA ENTRE MONTANTE E JUSANTE/UMA COMPOSIÇÃO POR TRECHO), COM ESCAVADEIRA HIDRÁULICA (0,8 M3), LARG. DE 1,5M A 2,5 M, EM SOLO DE 1A CATEGORIA, LOCAIS COM BAIXO NÍVEL DE INTERFERÊNCIA. AF_01/2015</v>
          </cell>
          <cell r="C4836" t="str">
            <v>M3</v>
          </cell>
          <cell r="D4836">
            <v>4.67</v>
          </cell>
        </row>
        <row r="4837">
          <cell r="A4837">
            <v>90092</v>
          </cell>
          <cell r="B483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7" t="str">
            <v>M3</v>
          </cell>
          <cell r="D4837">
            <v>4.5199999999999996</v>
          </cell>
        </row>
        <row r="4838">
          <cell r="A4838">
            <v>90093</v>
          </cell>
          <cell r="B483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8" t="str">
            <v>M3</v>
          </cell>
          <cell r="D4838">
            <v>4.25</v>
          </cell>
        </row>
        <row r="4839">
          <cell r="A4839">
            <v>90094</v>
          </cell>
          <cell r="B483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9" t="str">
            <v>M3</v>
          </cell>
          <cell r="D4839">
            <v>4.3</v>
          </cell>
        </row>
        <row r="4840">
          <cell r="A4840">
            <v>90095</v>
          </cell>
          <cell r="B484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0" t="str">
            <v>M3</v>
          </cell>
          <cell r="D4840">
            <v>3.77</v>
          </cell>
        </row>
        <row r="4841">
          <cell r="A4841">
            <v>90096</v>
          </cell>
          <cell r="B484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1" t="str">
            <v>M3</v>
          </cell>
          <cell r="D4841">
            <v>3.85</v>
          </cell>
        </row>
        <row r="4842">
          <cell r="A4842">
            <v>90098</v>
          </cell>
          <cell r="B484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2" t="str">
            <v>M3</v>
          </cell>
          <cell r="D4842">
            <v>3.69</v>
          </cell>
        </row>
        <row r="4843">
          <cell r="A4843">
            <v>90099</v>
          </cell>
          <cell r="B4843" t="str">
            <v>ESCAVAÇÃO MECANIZADA DE VALA COM PROF. ATÉ 1,5 M (MÉDIA ENTRE MONTANTE E JUSANTE/UMA COMPOSIÇÃO POR TRECHO), COM RETROESCAVADEIRA (0,26 M3/88 HP), LARG. MENOR QUE 0,8 M, EM SOLO DE 1A CATEGORIA, EM LOCAIS COM ALTO NÍVEL DE INTERFERÊNCIA. AF_01/2015</v>
          </cell>
          <cell r="C4843" t="str">
            <v>M3</v>
          </cell>
          <cell r="D4843">
            <v>10.73</v>
          </cell>
        </row>
        <row r="4844">
          <cell r="A4844">
            <v>90100</v>
          </cell>
          <cell r="B4844" t="str">
            <v>ESCAVAÇÃO MECANIZADA DE VALA COM PROF. ATÉ 1,5 M (MÉDIA ENTRE MONTANTE E JUSANTE/UMA COMPOSIÇÃO POR TRECHO), COM RETROESCAVADEIRA (0,26 M3/88 HP), LARG. DE 0,8 M A 1,5 M, EM SOLO DE 1A CATEGORIA, EM LOCAIS COM ALTO NÍVEL DE INTERFERÊNCIA. AF_01/2015</v>
          </cell>
          <cell r="C4844" t="str">
            <v>M3</v>
          </cell>
          <cell r="D4844">
            <v>9.1199999999999992</v>
          </cell>
        </row>
        <row r="4845">
          <cell r="A4845">
            <v>90101</v>
          </cell>
          <cell r="B4845" t="str">
            <v>ESCAVAÇÃO MECANIZADA DE VALA COM PROF. MAIOR QUE 1,5 M ATÉ 3,0 M (MÉDIA ENTRE MONTANTE E JUSANTE/UMA COMPOSIÇÃO POR TRECHO), COM RETROESCAVADEIRA (0,26 M3/88 HP), LARG. MENOR QUE 0,8 M, EM SOLO DE 1A CATEGORIA, EM LOCAIS COM ALTO NÍVEL DE INTERFERÊNCIA.AF_01/2015</v>
          </cell>
          <cell r="C4845" t="str">
            <v>M3</v>
          </cell>
          <cell r="D4845">
            <v>9.01</v>
          </cell>
        </row>
        <row r="4846">
          <cell r="A4846">
            <v>90102</v>
          </cell>
          <cell r="B484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6" t="str">
            <v>M3</v>
          </cell>
          <cell r="D4846">
            <v>8.1999999999999993</v>
          </cell>
        </row>
        <row r="4847">
          <cell r="A4847">
            <v>90105</v>
          </cell>
          <cell r="B484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7" t="str">
            <v>M3</v>
          </cell>
          <cell r="D4847">
            <v>6.41</v>
          </cell>
        </row>
        <row r="4848">
          <cell r="A4848">
            <v>90106</v>
          </cell>
          <cell r="B48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8" t="str">
            <v>M3</v>
          </cell>
          <cell r="D4848">
            <v>5.45</v>
          </cell>
        </row>
        <row r="4849">
          <cell r="A4849">
            <v>90107</v>
          </cell>
          <cell r="B484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9" t="str">
            <v>M3</v>
          </cell>
          <cell r="D4849">
            <v>5.37</v>
          </cell>
        </row>
        <row r="4850">
          <cell r="A4850">
            <v>90108</v>
          </cell>
          <cell r="B485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0" t="str">
            <v>M3</v>
          </cell>
          <cell r="D4850">
            <v>4.8899999999999997</v>
          </cell>
        </row>
        <row r="4851">
          <cell r="A4851">
            <v>93358</v>
          </cell>
          <cell r="B4851" t="str">
            <v>ESCAVAÇÃO MANUAL DE VALA COM PROFUNDIDADE MENOR OU IGUAL A 1,30 M. AF_03/2016</v>
          </cell>
          <cell r="C4851" t="str">
            <v>M3</v>
          </cell>
          <cell r="D4851">
            <v>64.319999999999993</v>
          </cell>
        </row>
        <row r="4852">
          <cell r="A4852">
            <v>79482</v>
          </cell>
          <cell r="B4852" t="str">
            <v>ATERRO COM AREIA COM ADENSAMENTO HIDRAULICO</v>
          </cell>
          <cell r="C4852" t="str">
            <v>M3</v>
          </cell>
          <cell r="D4852">
            <v>65.05</v>
          </cell>
        </row>
        <row r="4853">
          <cell r="A4853">
            <v>94304</v>
          </cell>
          <cell r="B4853" t="str">
            <v>ATERRO MECANIZADO DE VALA COM ESCAVADEIRA HIDRÁULICA (CAPACIDADE DA CAÇAMBA: 0,8 M³ / POTÊNCIA: 111 HP), LARGURA DE 1,5 A 2,5 M, PROFUNDIDADE ATÉ 1,5 M, COM SOLO ARGILO-ARENOSO. AF_05/2016</v>
          </cell>
          <cell r="C4853" t="str">
            <v>M3</v>
          </cell>
          <cell r="D4853">
            <v>24.53</v>
          </cell>
        </row>
        <row r="4854">
          <cell r="A4854">
            <v>94305</v>
          </cell>
          <cell r="B4854" t="str">
            <v>ATERRO MECANIZADO DE VALA COM ESCAVADEIRA HIDRÁULICA (CAPACIDADE DA CAÇAMBA: 0,8 M³ / POTÊNCIA: 111 HP), LARGURA ATÉ 1,5 M, PROFUNDIDADE DE 1,5 A 3,0 M, COM SOLO ARGILO-ARENOSO. AF_05/2016</v>
          </cell>
          <cell r="C4854" t="str">
            <v>M3</v>
          </cell>
          <cell r="D4854">
            <v>22.13</v>
          </cell>
        </row>
        <row r="4855">
          <cell r="A4855">
            <v>94306</v>
          </cell>
          <cell r="B4855" t="str">
            <v>ATERRO MECANIZADO DE VALA COM ESCAVADEIRA HIDRÁULICA (CAPACIDADE DA CAÇAMBA: 0,8 M³ / POTÊNCIA: 111 HP), LARGURA DE 1,5 A 2,5 M, PROFUNDIDADE DE 1,5 A 3,0 M, COM SOLO ARGILO-ARENOSO. AF_05/2016</v>
          </cell>
          <cell r="C4855" t="str">
            <v>M3</v>
          </cell>
          <cell r="D4855">
            <v>19.12</v>
          </cell>
        </row>
        <row r="4856">
          <cell r="A4856">
            <v>94307</v>
          </cell>
          <cell r="B4856" t="str">
            <v>ATERRO MECANIZADO DE VALA COM ESCAVADEIRA HIDRÁULICA (CAPACIDADE DA CAÇAMBA: 0,8 M³ / POTÊNCIA: 111 HP), LARGURA ATÉ 1,5 M, PROFUNDIDADE DE 3,0 A 4,5 M, COM SOLO ARGILO-ARENOSO. AF_05/2016</v>
          </cell>
          <cell r="C4856" t="str">
            <v>M3</v>
          </cell>
          <cell r="D4856">
            <v>19.809999999999999</v>
          </cell>
        </row>
        <row r="4857">
          <cell r="A4857">
            <v>94308</v>
          </cell>
          <cell r="B4857" t="str">
            <v>ATERRO MECANIZADO DE VALA COM ESCAVADEIRA HIDRÁULICA (CAPACIDADE DA CAÇAMBA: 0,8 M³ / POTÊNCIA: 111 HP), LARGURA DE 1,5 A 2,5 M, PROFUNDIDADE DE 3,0 A 4,5 M, COM SOLO ARGILO-ARENOSO. AF_05/2016</v>
          </cell>
          <cell r="C4857" t="str">
            <v>M3</v>
          </cell>
          <cell r="D4857">
            <v>17.920000000000002</v>
          </cell>
        </row>
        <row r="4858">
          <cell r="A4858">
            <v>94309</v>
          </cell>
          <cell r="B4858" t="str">
            <v>ATERRO MECANIZADO DE VALA COM ESCAVADEIRA HIDRÁULICA (CAPACIDADE DA CAÇAMBA: 0,8 M³ / POTÊNCIA: 111 HP), LARGURA ATÉ 1,5 M, PROFUNDIDADE DE 4,5 A 6,0 M, COM SOLO ARGILO-ARENOSO. AF_05/2016</v>
          </cell>
          <cell r="C4858" t="str">
            <v>M3</v>
          </cell>
          <cell r="D4858">
            <v>18.78</v>
          </cell>
        </row>
        <row r="4859">
          <cell r="A4859">
            <v>94310</v>
          </cell>
          <cell r="B4859" t="str">
            <v>ATERRO MECANIZADO DE VALA COM ESCAVADEIRA HIDRÁULICA (CAPACIDADE DA CAÇAMBA: 0,8 M³ / POTÊNCIA: 111 HP), LARGURA DE 1,5 A 2,5 M, PROFUNDIDADE DE 4,5 A 6,0 M, COM SOLO ARGILO-ARENOSO. AF_05/2016</v>
          </cell>
          <cell r="C4859" t="str">
            <v>M3</v>
          </cell>
          <cell r="D4859">
            <v>17.32</v>
          </cell>
        </row>
        <row r="4860">
          <cell r="A4860">
            <v>94315</v>
          </cell>
          <cell r="B4860" t="str">
            <v>ATERRO MECANIZADO DE VALA COM RETROESCAVADEIRA (CAPACIDADE DA CAÇAMBA DA RETRO: 0,26 M³ / POTÊNCIA: 88 HP), LARGURA ATÉ 0,8 M, PROFUNDIDADE ATÉ 1,5 M, COM SOLO ARGILO-ARENOSO. AF_05/2016</v>
          </cell>
          <cell r="C4860" t="str">
            <v>M3</v>
          </cell>
          <cell r="D4860">
            <v>29.25</v>
          </cell>
        </row>
        <row r="4861">
          <cell r="A4861">
            <v>94316</v>
          </cell>
          <cell r="B4861" t="str">
            <v>ATERRO MECANIZADO DE VALA COM RETROESCAVADEIRA (CAPACIDADE DA CAÇAMBA DA RETRO: 0,26 M³ / POTÊNCIA: 88 HP), LARGURA DE 0,8 A 1,5 M, PROFUNDIDADE ATÉ 1,5 M, COM SOLO ARGILO-ARENOSO. AF_05/2016</v>
          </cell>
          <cell r="C4861" t="str">
            <v>M3</v>
          </cell>
          <cell r="D4861">
            <v>23.72</v>
          </cell>
        </row>
        <row r="4862">
          <cell r="A4862">
            <v>94317</v>
          </cell>
          <cell r="B4862" t="str">
            <v>ATERRO MECANIZADO DE VALA COM RETROESCAVADEIRA (CAPACIDADE DA CAÇAMBA DA RETRO: 0,26 M³ / POTÊNCIA: 88 HP), LARGURA ATÉ 0,8 M, PROFUNDIDADE DE 1,5 A 3,0 M, COM SOLO ARGILO-ARENOSO. AF_05/2016</v>
          </cell>
          <cell r="C4862" t="str">
            <v>M3</v>
          </cell>
          <cell r="D4862">
            <v>21.28</v>
          </cell>
        </row>
        <row r="4863">
          <cell r="A4863">
            <v>94318</v>
          </cell>
          <cell r="B4863" t="str">
            <v>ATERRO MECANIZADO DE VALA COM RETROESCAVADEIRA (CAPACIDADE DA CAÇAMBA DA RETRO: 0,26 M³ / POTÊNCIA: 88 HP), LARGURA DE 0,8 A 1,5 M, PROFUNDIDADE DE 1,5 A 3,0 M, COM SOLO ARGILO-ARENOSO. AF_05/2016</v>
          </cell>
          <cell r="C4863" t="str">
            <v>M3</v>
          </cell>
          <cell r="D4863">
            <v>18.12</v>
          </cell>
        </row>
        <row r="4864">
          <cell r="A4864">
            <v>94319</v>
          </cell>
          <cell r="B4864" t="str">
            <v>ATERRO MANUAL DE VALAS COM SOLO ARGILO-ARENOSO E COMPACTAÇÃO MECANIZADA. AF_05/2016</v>
          </cell>
          <cell r="C4864" t="str">
            <v>M3</v>
          </cell>
          <cell r="D4864">
            <v>33.03</v>
          </cell>
        </row>
        <row r="4865">
          <cell r="A4865">
            <v>94327</v>
          </cell>
          <cell r="B4865" t="str">
            <v>ATERRO MECANIZADO DE VALA COM ESCAVADEIRA HIDRÁULICA (CAPACIDADE DA CAÇAMBA: 0,8 M³ / POTÊNCIA: 111 HP), LARGURA DE 1,5 A 2,5 M, PROFUNDIDADE ATÉ 1,5 M, COM AREIA PARA ATERRO. AF_05/2016</v>
          </cell>
          <cell r="C4865" t="str">
            <v>M3</v>
          </cell>
          <cell r="D4865">
            <v>65.819999999999993</v>
          </cell>
        </row>
        <row r="4866">
          <cell r="A4866">
            <v>94328</v>
          </cell>
          <cell r="B4866" t="str">
            <v>ATERRO MECANIZADO DE VALA COM ESCAVADEIRA HIDRÁULICA (CAPACIDADE DA CAÇAMBA: 0,8 M³ / POTÊNCIA: 111 HP), LARGURA ATÉ 1,5 M, PROFUNDIDADE DE 1,5 A 3,0 M, COM AREIA PARA ATERRO. AF_05/2016</v>
          </cell>
          <cell r="C4866" t="str">
            <v>M3</v>
          </cell>
          <cell r="D4866">
            <v>63.42</v>
          </cell>
        </row>
        <row r="4867">
          <cell r="A4867">
            <v>94329</v>
          </cell>
          <cell r="B4867" t="str">
            <v>ATERRO MECANIZADO DE VALA COM ESCAVADEIRA HIDRÁULICA (CAPACIDADE DA CAÇAMBA: 0,8 M³ / POTÊNCIA: 111 HP), LARGURA DE 1,5 A 2,5 M, PROFUNDIDADE DE 1,5 A 3,0 M, COM AREIA PARA ATERRO. AF_05/2016</v>
          </cell>
          <cell r="C4867" t="str">
            <v>M3</v>
          </cell>
          <cell r="D4867">
            <v>60.41</v>
          </cell>
        </row>
        <row r="4868">
          <cell r="A4868">
            <v>94330</v>
          </cell>
          <cell r="B4868" t="str">
            <v>ATERRO MECANIZADO DE VALA COM ESCAVADEIRA HIDRÁULICA (CAPACIDADE DA CAÇAMBA: 0,8 M³ / POTÊNCIA: 111 HP), LARGURA ATÉ 1,5 M, PROFUNDIDADE DE 3,0 A 4,5 M, COM AREIA PARA ATERRO. AF_05/2016</v>
          </cell>
          <cell r="C4868" t="str">
            <v>M3</v>
          </cell>
          <cell r="D4868">
            <v>61.1</v>
          </cell>
        </row>
        <row r="4869">
          <cell r="A4869">
            <v>94331</v>
          </cell>
          <cell r="B4869" t="str">
            <v>ATERRO MECANIZADO DE VALA COM ESCAVADEIRA HIDRÁULICA (CAPACIDADE DA CAÇAMBA: 0,8 M³ / POTÊNCIA: 111 HP), LARGURA DE 1,5 A 2,5 M, PROFUNDIDADE DE 3,0 A 4,5 M, COM AREIA PARA ATERRO. AF_05/2016</v>
          </cell>
          <cell r="C4869" t="str">
            <v>M3</v>
          </cell>
          <cell r="D4869">
            <v>59.21</v>
          </cell>
        </row>
        <row r="4870">
          <cell r="A4870">
            <v>94332</v>
          </cell>
          <cell r="B4870" t="str">
            <v>ATERRO MECANIZADO DE VALA COM ESCAVADEIRA HIDRÁULICA (CAPACIDADE DA CAÇAMBA: 0,8 M³ / POTÊNCIA: 111 HP), LARGURA ATÉ 1,5 M, PROFUNDIDADE DE 4,5 A 6,0 M, COM AREIA PARA ATERRO. AF_05/2016</v>
          </cell>
          <cell r="C4870" t="str">
            <v>M3</v>
          </cell>
          <cell r="D4870">
            <v>60.07</v>
          </cell>
        </row>
        <row r="4871">
          <cell r="A4871">
            <v>94333</v>
          </cell>
          <cell r="B4871" t="str">
            <v>ATERRO MECANIZADO DE VALA COM ESCAVADEIRA HIDRÁULICA (CAPACIDADE DA CAÇAMBA: 0,8 M³ / POTÊNCIA: 111 HP), LARGURA DE 1,5 A 2,5 M, PROFUNDIDADE DE 4,5 A 6,0 M, COM AREIA PARA ATERRO. AF_05/2016</v>
          </cell>
          <cell r="C4871" t="str">
            <v>M3</v>
          </cell>
          <cell r="D4871">
            <v>58.61</v>
          </cell>
        </row>
        <row r="4872">
          <cell r="A4872">
            <v>94338</v>
          </cell>
          <cell r="B4872" t="str">
            <v>ATERRO MECANIZADO DE VALA COM RETROESCAVADEIRA (CAPACIDADE DA CAÇAMBA DA RETRO: 0,26 M³ / POTÊNCIA: 88 HP), LARGURA ATÉ 0,8 M, PROFUNDIDADE ATÉ 1,5 M, COM AREIA PARA ATERRO. AF_05/2016</v>
          </cell>
          <cell r="C4872" t="str">
            <v>M3</v>
          </cell>
          <cell r="D4872">
            <v>70.540000000000006</v>
          </cell>
        </row>
        <row r="4873">
          <cell r="A4873">
            <v>94339</v>
          </cell>
          <cell r="B4873" t="str">
            <v>ATERRO MECANIZADO DE VALA COM RETROESCAVADEIRA (CAPACIDADE DA CAÇAMBA DA RETRO: 0,26 M³ / POTÊNCIA: 88 HP), LARGURA DE 0,8 A 1,5 M, PROFUNDIDADE ATÉ 1,5 M, COM AREIA PARA ATERRO. AF_05/2016</v>
          </cell>
          <cell r="C4873" t="str">
            <v>M3</v>
          </cell>
          <cell r="D4873">
            <v>65.010000000000005</v>
          </cell>
        </row>
        <row r="4874">
          <cell r="A4874">
            <v>94340</v>
          </cell>
          <cell r="B4874" t="str">
            <v>ATERRO MECANIZADO DE VALA COM RETROESCAVADEIRA (CAPACIDADE DA CAÇAMBA DA RETRO: 0,26 M³ / POTÊNCIA: 88 HP), LARGURA ATÉ 0,8 M, PROFUNDIDADE DE 1,5 A 3,0 M, COM AREIA PARA ATERRO. AF_05/2016</v>
          </cell>
          <cell r="C4874" t="str">
            <v>M3</v>
          </cell>
          <cell r="D4874">
            <v>62.57</v>
          </cell>
        </row>
        <row r="4875">
          <cell r="A4875">
            <v>94341</v>
          </cell>
          <cell r="B4875" t="str">
            <v>ATERRO MECANIZADO DE VALA COM RETROESCAVADEIRA (CAPACIDADE DA CAÇAMBA DA RETRO: 0,26 M³ / POTÊNCIA: 88 HP), LARGURA DE 0,8 A 1,5 M, PROFUNDIDADE DE 1,5 A 3,0 M, COM AREIA PARA ATERRO. AF_05/2016</v>
          </cell>
          <cell r="C4875" t="str">
            <v>M3</v>
          </cell>
          <cell r="D4875">
            <v>59.41</v>
          </cell>
        </row>
        <row r="4876">
          <cell r="A4876">
            <v>94342</v>
          </cell>
          <cell r="B4876" t="str">
            <v>ATERRO MANUAL DE VALAS COM AREIA PARA ATERRO E COMPACTAÇÃO MECANIZADA. AF_05/2016</v>
          </cell>
          <cell r="C4876" t="str">
            <v>M3</v>
          </cell>
          <cell r="D4876">
            <v>74.319999999999993</v>
          </cell>
        </row>
        <row r="4877">
          <cell r="A4877">
            <v>96385</v>
          </cell>
          <cell r="B4877" t="str">
            <v>EXECUÇÃO E COMPACTAÇÃO DE ATERRO COM SOLO PREDOMINANTEMENTE ARGILOSO - EXCLUSIVE ESCAVAÇÃO, CARGA E TRANSPORTE E SOLO. AF_09/2017</v>
          </cell>
          <cell r="C4877" t="str">
            <v>M3</v>
          </cell>
          <cell r="D4877">
            <v>5.17</v>
          </cell>
        </row>
        <row r="4878">
          <cell r="A4878">
            <v>96386</v>
          </cell>
          <cell r="B4878" t="str">
            <v>EXECUÇÃO E COMPACTAÇÃO DE ATERRO COM SOLO PREDOMINANTEMENTE ARENOSO - EXCLUSIVE ESCAVAÇÃO, CARGA E TRANSPORTE E SOLO. AF_09/2017</v>
          </cell>
          <cell r="C4878" t="str">
            <v>M3</v>
          </cell>
          <cell r="D4878">
            <v>4.99</v>
          </cell>
        </row>
        <row r="4879">
          <cell r="A4879">
            <v>83346</v>
          </cell>
          <cell r="B4879" t="str">
            <v>UMEDECIMENTO DE MATERIAL PARA FECHAMENTO DE VALAS.</v>
          </cell>
          <cell r="C4879" t="str">
            <v>M3</v>
          </cell>
          <cell r="D4879">
            <v>0.96</v>
          </cell>
        </row>
        <row r="4880">
          <cell r="A4880">
            <v>93360</v>
          </cell>
          <cell r="B4880" t="str">
            <v>REATERRO MECANIZADO DE VALA COM ESCAVADEIRA HIDRÁULICA (CAPACIDADE DA CAÇAMBA: 0,8 M³ / POTÊNCIA: 111 HP), LARGURA DE 1,5 A 2,5 M, PROFUNDIDADE ATÉ 1,5 M, COM SOLO DE 1ª CATEGORIA EM LOCAIS COM ALTO NÍVEL DE INTERFERÊNCIA. AF_04/2016</v>
          </cell>
          <cell r="C4880" t="str">
            <v>M3</v>
          </cell>
          <cell r="D4880">
            <v>13.75</v>
          </cell>
        </row>
        <row r="4881">
          <cell r="A4881">
            <v>93361</v>
          </cell>
          <cell r="B4881" t="str">
            <v>REATERRO MECANIZADO DE VALA COM ESCAVADEIRA HIDRÁULICA (CAPACIDADE DA CAÇAMBA: 0,8 M³ / POTÊNCIA: 111 HP), LARGURA ATÉ 1,5 M, PROFUNDIDADE DE 1,5 A 3,0 M, COM SOLO DE 1ª CATEGORIA EM LOCAIS COM ALTO NÍVEL DE INTERFERÊNCIA. AF_04/2016</v>
          </cell>
          <cell r="C4881" t="str">
            <v>M3</v>
          </cell>
          <cell r="D4881">
            <v>11.44</v>
          </cell>
        </row>
        <row r="4882">
          <cell r="A4882">
            <v>93362</v>
          </cell>
          <cell r="B4882" t="str">
            <v>REATERRO MECANIZADO DE VALA COM ESCAVADEIRA HIDRÁULICA (CAPACIDADE DA CAÇAMBA: 0,8 M³ / POTÊNCIA: 111 HP), LARGURA DE 1,5 A 2,5 M, PROFUNDIDADE DE 1,5 A 3,0 M, COM SOLO DE 1ª CATEGORIA EM LOCAIS COM ALTO NÍVEL DE INTERFERÊNCIA. AF_04/2016</v>
          </cell>
          <cell r="C4882" t="str">
            <v>M3</v>
          </cell>
          <cell r="D4882">
            <v>8.36</v>
          </cell>
        </row>
        <row r="4883">
          <cell r="A4883">
            <v>93363</v>
          </cell>
          <cell r="B4883" t="str">
            <v>REATERRO MECANIZADO DE VALA COM ESCAVADEIRA HIDRÁULICA (CAPACIDADE DA CAÇAMBA: 0,8 M³ / POTÊNCIA: 111 HP), LARGURA ATÉ 1,5 M, PROFUNDIDADE DE 3,0 A 4,5 M COM SOLO DE 1ª CATEGORIA EM LOCAIS COM ALTO NÍVEL DE INTERFERÊNCIA. AF_04/2016</v>
          </cell>
          <cell r="C4883" t="str">
            <v>M3</v>
          </cell>
          <cell r="D4883">
            <v>9.0500000000000007</v>
          </cell>
        </row>
        <row r="4884">
          <cell r="A4884">
            <v>93364</v>
          </cell>
          <cell r="B4884" t="str">
            <v>REATERRO MECANIZADO DE VALA COM ESCAVADEIRA HIDRÁULICA (CAPACIDADE DA CAÇAMBA: 0,8 M³ / POTÊNCIA: 111 HP), LARGURA DE 1,5 A 2,5 M, PROFUNDIDADE DE 3,0  A 4,5 M, COM SOLO (SEM SUBSTITUIÇÃO) DE 1ª CATEGORIA EM LOCAIS COM ALTO NÍVEL DE INTERFERÊNCIA. AF_04/2016</v>
          </cell>
          <cell r="C4884" t="str">
            <v>M3</v>
          </cell>
          <cell r="D4884">
            <v>7.16</v>
          </cell>
        </row>
        <row r="4885">
          <cell r="A4885">
            <v>93365</v>
          </cell>
          <cell r="B4885" t="str">
            <v>REATERRO MECANIZADO DE VALA COM ESCAVADEIRA HIDRÁULICA (CAPACIDADE DA CAÇAMBA: 0,8 M³ / POTÊNCIA: 111 HP), LARGURA ATÉ 1,5 M, PROFUNDIDADE DE 4,5 A 6,0 M, COM SOLO DE 1ª CATEGORIA EM LOCAIS COM ALTO NÍVEL DE INTERFERÊNCIA. AF_04/2016</v>
          </cell>
          <cell r="C4885" t="str">
            <v>M3</v>
          </cell>
          <cell r="D4885">
            <v>7.96</v>
          </cell>
        </row>
        <row r="4886">
          <cell r="A4886">
            <v>93366</v>
          </cell>
          <cell r="B4886" t="str">
            <v>REATERRO MECANIZADO DE VALA COM ESCAVADEIRA HIDRÁULICA (CAPACIDADE DA CAÇAMBA: 0,8 M³ / POTÊNCIA: 111 HP), LARGURA DE 1,5 A 2,5 M, PROFUNDIDADE DE 4,5 A 6,0 M, COM SOLO DE 1ª CATEGORIA EM LOCAIS COM ALTO NÍVEL DE INTERFERÊNCIA. AF_04/2016</v>
          </cell>
          <cell r="C4886" t="str">
            <v>M3</v>
          </cell>
          <cell r="D4886">
            <v>6.56</v>
          </cell>
        </row>
        <row r="4887">
          <cell r="A4887">
            <v>93367</v>
          </cell>
          <cell r="B4887" t="str">
            <v>REATERRO MECANIZADO DE VALA COM ESCAVADEIRA HIDRÁULICA (CAPACIDADE DA CAÇAMBA: 0,8 M³ / POTÊNCIA: 111 HP), LARGURA DE 1,5 A 2,5 M, PROFUNDIDADE ATÉ 1,5 M, COM SOLO DE 1ª CATEGORIA EM LOCAIS COM BAIXO NÍVEL DE INTERFERÊNCIA. AF_04/2016</v>
          </cell>
          <cell r="C4887" t="str">
            <v>M3</v>
          </cell>
          <cell r="D4887">
            <v>12.84</v>
          </cell>
        </row>
        <row r="4888">
          <cell r="A4888">
            <v>93368</v>
          </cell>
          <cell r="B4888" t="str">
            <v>REATERRO MECANIZADO DE VALA COM ESCAVADEIRA HIDRÁULICA (CAPACIDADE DA CAÇAMBA: 0,8 M³ / POTÊNCIA: 111 HP), LARGURA ATÉ 1,5 M, PROFUNDIDADE DE 1,5 A 3,0 M, COM SOLO DE 1ª CATEGORIA EM LOCAIS COM BAIXO NÍVEL DE INTERFERÊNCIA. AF_04/2016</v>
          </cell>
          <cell r="C4888" t="str">
            <v>M3</v>
          </cell>
          <cell r="D4888">
            <v>10.45</v>
          </cell>
        </row>
        <row r="4889">
          <cell r="A4889">
            <v>93369</v>
          </cell>
          <cell r="B4889" t="str">
            <v>REATERRO MECANIZADO DE VALA COM ESCAVADEIRA HIDRÁULICA (CAPACIDADE DA CAÇAMBA: 0,8 M³ / POTÊNCIA: 111 HP), LARGURA DE 1,5 A 2,5 M, PROFUNDIDADE DE 1,5 A 3,0 M, COM SOLO (SEM SUBSTITUIÇÃO) DE 1ª CATEGORIA EM LOCAIS COM BAIXO NÍVEL DE INTERFERÊNCIA. AF_04/2016</v>
          </cell>
          <cell r="C4889" t="str">
            <v>M3</v>
          </cell>
          <cell r="D4889">
            <v>7.44</v>
          </cell>
        </row>
        <row r="4890">
          <cell r="A4890">
            <v>93370</v>
          </cell>
          <cell r="B4890" t="str">
            <v>REATERRO MECANIZADO DE VALA COM ESCAVADEIRA HIDRÁULICA (CAPACIDADE DA CAÇAMBA: 0,8 M³ / POTÊNCIA: 111 HP), LARGURA ATÉ 1,5 M, PROFUNDIDADE DE 3,0 A 4,5 M, COM SOLO DE 1ª CATEGORIA EM LOCAIS COM BAIXO NÍVEL DE INTERFERÊNCIA. AF_04/2016</v>
          </cell>
          <cell r="C4890" t="str">
            <v>M3</v>
          </cell>
          <cell r="D4890">
            <v>8.14</v>
          </cell>
        </row>
        <row r="4891">
          <cell r="A4891">
            <v>93371</v>
          </cell>
          <cell r="B4891" t="str">
            <v>REATERRO MECANIZADO DE VALA COM ESCAVADEIRA HIDRÁULICA (CAPACIDADE DA CAÇAMBA: 0,8 M³ / POTÊNCIA: 111 HP), LARGURA DE 1,5 A 2,5 M, PROFUNDIDADE DE 3,0 A 4,5 M, COM SOLO (SEM SUBSTITUIÇÃO) DE 1ª CATEGORIA EM LOCAIS COM BAIXO NÍVEL DE INTERFERÊNCIA. AF_04/2016</v>
          </cell>
          <cell r="C4891" t="str">
            <v>M3</v>
          </cell>
          <cell r="D4891">
            <v>6.24</v>
          </cell>
        </row>
        <row r="4892">
          <cell r="A4892">
            <v>93372</v>
          </cell>
          <cell r="B4892" t="str">
            <v>REATERRO MECANIZADO DE VALA COM ESCAVADEIRA HIDRÁULICA (CAPACIDADE DA CAÇAMBA: 0,8 M³ / POTÊNCIA: 111 HP), LARGURA ATÉ 1,5 M, PROFUNDIDADE DE 4,5 A 6,0 M, COM SOLO DE 1ª CATEGORIA EM LOCAIS COM BAIXO NÍVEL DE INTERFERÊNCIA. AF_04/2016</v>
          </cell>
          <cell r="C4892" t="str">
            <v>M3</v>
          </cell>
          <cell r="D4892">
            <v>7.1</v>
          </cell>
        </row>
        <row r="4893">
          <cell r="A4893">
            <v>93373</v>
          </cell>
          <cell r="B4893" t="str">
            <v>REATERRO MECANIZADO DE VALA COM ESCAVADEIRA HIDRÁULICA (CAPACIDADE DA CAÇAMBA: 0,8 M³ / POTÊNCIA: 111 HP), LARGURA DE 1,5 A 2,5 M, PROFUNDIDADE DE 4,5 A 6,0 M, COM SOLO (SEM SUBSTITUIÇÃO) DE 1ª CATEGORIA EM LOCAIS COM BAIXO NÍVEL DE INTERFERÊNCIA. AF_04/2016</v>
          </cell>
          <cell r="C4893" t="str">
            <v>M3</v>
          </cell>
          <cell r="D4893">
            <v>5.66</v>
          </cell>
        </row>
        <row r="4894">
          <cell r="A4894">
            <v>93374</v>
          </cell>
          <cell r="B4894" t="str">
            <v>REATERRO MECANIZADO DE VALA COM RETROESCAVADEIRA (CAPACIDADE DA CAÇAMBA DA RETRO: 0,26 M³ / POTÊNCIA: 88 HP), LARGURA ATÉ 0,8 M, PROFUNDIDADE ATÉ 1,5 M, COM SOLO (SEM SUBSTITUIÇÃO) DE 1ª CATEGORIA EM LOCAIS COM ALTO NÍVEL DE INTERFERÊNCIA. AF_04/2016</v>
          </cell>
          <cell r="C4894" t="str">
            <v>M3</v>
          </cell>
          <cell r="D4894">
            <v>16.29</v>
          </cell>
        </row>
        <row r="4895">
          <cell r="A4895">
            <v>93375</v>
          </cell>
          <cell r="B4895" t="str">
            <v>REATERRO MECANIZADO DE VALA COM RETROESCAVADEIRA (CAPACIDADE DA CAÇAMBA DA RETRO: 0,26 M³ / POTÊNCIA: 88 HP), LARGURA DE 0,8 A 1,5 M, PROFUNDIDADE ATÉ 1,5 M, COM SOLO DE 1ª CATEGORIA EM LOCAIS COM ALTO NÍVEL DE INTERFERÊNCIA. AF_04/2016</v>
          </cell>
          <cell r="C4895" t="str">
            <v>M3</v>
          </cell>
          <cell r="D4895">
            <v>12.53</v>
          </cell>
        </row>
        <row r="4896">
          <cell r="A4896">
            <v>93376</v>
          </cell>
          <cell r="B4896" t="str">
            <v>REATERRO MECANIZADO DE VALA COM RETROESCAVADEIRA (CAPACIDADE DA CAÇAMBA DA RETRO: 0,26 M³ / POTÊNCIA: 88 HP), LARGURA ATÉ 0,8 M, PROFUNDIDADE DE 1,5 A 3,0 M, COM SOLO DE 1ª CATEGORIA EM LOCAIS COM ALTO NÍVEL DE INTERFERÊNCIA. AF_04/2016</v>
          </cell>
          <cell r="C4896" t="str">
            <v>M3</v>
          </cell>
          <cell r="D4896">
            <v>10.25</v>
          </cell>
        </row>
        <row r="4897">
          <cell r="A4897">
            <v>93377</v>
          </cell>
          <cell r="B4897" t="str">
            <v>REATERRO MECANIZADO DE VALA COM RETROESCAVADEIRA (CAPACIDADE DA CAÇAMBA DA RETRO: 0,26 M³ / POTÊNCIA: 88 HP), LARGURA DE 0,8 A 1,5 M, PROFUNDIDADE DE 1,5 A 3,0 M, COM SOLO (SEM SUBSTITUIÇÃO) DE 1ª CATEGORIA EM LOCAIS COM ALTO NÍVEL DE INTERFERÊNCIA. AF_04/2016</v>
          </cell>
          <cell r="C4897" t="str">
            <v>M3</v>
          </cell>
          <cell r="D4897">
            <v>6.93</v>
          </cell>
        </row>
        <row r="4898">
          <cell r="A4898">
            <v>93378</v>
          </cell>
          <cell r="B4898" t="str">
            <v>REATERRO MECANIZADO DE VALA COM RETROESCAVADEIRA (CAPACIDADE DA CAÇAMBA DA RETRO: 0,26 M³ / POTÊNCIA: 88 HP), LARGURA ATÉ 0,8 M, PROFUNDIDADE ATÉ 1,5 M, COM SOLO DE 1ª CATEGORIA EM LOCAIS COM BAIXO NÍVEL DE INTERFERÊNCIA. AF_04/2016</v>
          </cell>
          <cell r="C4898" t="str">
            <v>M3</v>
          </cell>
          <cell r="D4898">
            <v>15.16</v>
          </cell>
        </row>
        <row r="4899">
          <cell r="A4899">
            <v>93379</v>
          </cell>
          <cell r="B4899" t="str">
            <v>REATERRO MECANIZADO DE VALA COM RETROESCAVADEIRA (CAPACIDADE DA CAÇAMBA DA RETRO: 0,26 M³ / POTÊNCIA: 88 HP), LARGURA DE 0,8 A 1,5 M, PROFUNDIDADE ATÉ 1,5 M, COM SOLO DE 1ª CATEGORIA EM LOCAIS COM BAIXO NÍVEL DE INTERFERÊNCIA. AF_04/2016</v>
          </cell>
          <cell r="C4899" t="str">
            <v>M3</v>
          </cell>
          <cell r="D4899">
            <v>11.67</v>
          </cell>
        </row>
        <row r="4900">
          <cell r="A4900">
            <v>93380</v>
          </cell>
          <cell r="B4900" t="str">
            <v>REATERRO MECANIZADO DE VALA COM RETROESCAVADEIRA (CAPACIDADE DA CAÇAMBA DA RETRO: 0,26 M³ / POTÊNCIA: 88 HP), LARGURA ATÉ 0,8 M, PROFUNDIDADE DE 1,5 A 3,0 M, COM SOLO DE 1ª CATEGORIA EM LOCAIS COM BAIXO NÍVEL DE INTERFERÊNCIA. AF_04/2016</v>
          </cell>
          <cell r="C4900" t="str">
            <v>M3</v>
          </cell>
          <cell r="D4900">
            <v>9.58</v>
          </cell>
        </row>
        <row r="4901">
          <cell r="A4901">
            <v>93381</v>
          </cell>
          <cell r="B4901" t="str">
            <v>REATERRO MECANIZADO DE VALA COM RETROESCAVADEIRA (CAPACIDADE DA CAÇAMBA DA RETRO: 0,26 M³ / POTÊNCIA: 88 HP), LARGURA DE 0,8 A 1,5 M, PROFUNDIDADE DE 1,5 A 3,0 M, COM SOLO (SEM SUBSTITUIÇÃO) DE 1ª CATEGORIA EM LOCAIS COM BAIXO NÍVEL DE INTERFERÊNCIA. AF_04/2016</v>
          </cell>
          <cell r="C4901" t="str">
            <v>M3</v>
          </cell>
          <cell r="D4901">
            <v>6.44</v>
          </cell>
        </row>
        <row r="4902">
          <cell r="A4902">
            <v>93382</v>
          </cell>
          <cell r="B4902" t="str">
            <v>REATERRO MANUAL DE VALAS COM COMPACTAÇÃO MECANIZADA. AF_04/2016</v>
          </cell>
          <cell r="C4902" t="str">
            <v>M3</v>
          </cell>
          <cell r="D4902">
            <v>21.35</v>
          </cell>
        </row>
        <row r="4903">
          <cell r="A4903">
            <v>96995</v>
          </cell>
          <cell r="B4903" t="str">
            <v>REATERRO MANUAL APILOADO COM SOQUETE. AF_10/2017</v>
          </cell>
          <cell r="C4903" t="str">
            <v>M3</v>
          </cell>
          <cell r="D4903">
            <v>39</v>
          </cell>
        </row>
        <row r="4904">
          <cell r="A4904">
            <v>72838</v>
          </cell>
          <cell r="B4904" t="str">
            <v>TRANSPORTE COMERCIAL COM CAMINHAO CARROCERIA 9 T, RODOVIA EM LEITO NATURAL</v>
          </cell>
          <cell r="C4904" t="str">
            <v>TXKM</v>
          </cell>
          <cell r="D4904">
            <v>0.93</v>
          </cell>
        </row>
        <row r="4905">
          <cell r="A4905">
            <v>72839</v>
          </cell>
          <cell r="B4905" t="str">
            <v>TRANSPORTE COMERCIAL COM CAMINHAO CARROCERIA 9 T, RODOVIA COM REVESTIMENTO PRIMARIO</v>
          </cell>
          <cell r="C4905" t="str">
            <v>TXKM</v>
          </cell>
          <cell r="D4905">
            <v>0.75</v>
          </cell>
        </row>
        <row r="4906">
          <cell r="A4906">
            <v>72840</v>
          </cell>
          <cell r="B4906" t="str">
            <v>TRANSPORTE COMERCIAL COM CAMINHAO CARROCERIA 9 T, RODOVIA PAVIMENTADA</v>
          </cell>
          <cell r="C4906" t="str">
            <v>TXKM</v>
          </cell>
          <cell r="D4906">
            <v>0.62</v>
          </cell>
        </row>
        <row r="4907">
          <cell r="A4907">
            <v>72844</v>
          </cell>
          <cell r="B4907" t="str">
            <v>CARGA, MANOBRAS E DESCARGA DE AREIA, BRITA, PEDRA DE MAO E SOLOS COM CAMINHAO BASCULANTE 6 M3 (DESCARGA LIVRE)</v>
          </cell>
          <cell r="C4907" t="str">
            <v>T</v>
          </cell>
          <cell r="D4907">
            <v>0.82</v>
          </cell>
        </row>
        <row r="4908">
          <cell r="A4908">
            <v>72845</v>
          </cell>
          <cell r="B4908" t="str">
            <v>CARGA, MANOBRAS E DESCARGA DE BRITA PARA TRATAMENTOS SUPERFICIAIS, COM CAMINHAO BASCULANTE 6 M3</v>
          </cell>
          <cell r="C4908" t="str">
            <v>T</v>
          </cell>
          <cell r="D4908">
            <v>4.9000000000000004</v>
          </cell>
        </row>
        <row r="4909">
          <cell r="A4909">
            <v>72846</v>
          </cell>
          <cell r="B4909" t="str">
            <v>CARGA, MANOBRAS E DESCARGA DE MISTURA BETUMINOSA A QUENTE, COM CAMINHAO BASCULANTE 6 M3</v>
          </cell>
          <cell r="C4909" t="str">
            <v>T</v>
          </cell>
          <cell r="D4909">
            <v>4.04</v>
          </cell>
        </row>
        <row r="4910">
          <cell r="A4910">
            <v>72847</v>
          </cell>
          <cell r="B4910" t="str">
            <v>CARGA, MANOBRAS E DESCARGA DE MISTURA BETUMINOSA A FRIO, COM CAMINHAO BASCULANTE 6 M3</v>
          </cell>
          <cell r="C4910" t="str">
            <v>T</v>
          </cell>
          <cell r="D4910">
            <v>8.7200000000000006</v>
          </cell>
        </row>
        <row r="4911">
          <cell r="A4911">
            <v>72848</v>
          </cell>
          <cell r="B4911" t="str">
            <v>CARGA, MANOBRAS E DESCARGA DE BRITA PARA BASE DE MACADAME, COM CAMINHAO BASCULANTE 6 M3</v>
          </cell>
          <cell r="C4911" t="str">
            <v>T</v>
          </cell>
          <cell r="D4911">
            <v>2.1800000000000002</v>
          </cell>
        </row>
        <row r="4912">
          <cell r="A4912">
            <v>72849</v>
          </cell>
          <cell r="B4912" t="str">
            <v>CARGA, MANOBRAS E DESCARGA DE MISTURAS DE SOLOS E AGREGADOS (BASES ESTABILIZADAS EM USINA) COM CAMINHAO BASCULANTE 6 M3</v>
          </cell>
          <cell r="C4912" t="str">
            <v>T</v>
          </cell>
          <cell r="D4912">
            <v>2.79</v>
          </cell>
        </row>
        <row r="4913">
          <cell r="A4913">
            <v>72850</v>
          </cell>
          <cell r="B4913" t="str">
            <v>CARGA, MANOBRAS E DESCARGA DE MATERIAIS DIVERSOS, COM CAMINHAO CARROCERIA 9T (CARGA E DESCARGA MANUAIS)</v>
          </cell>
          <cell r="C4913" t="str">
            <v>T</v>
          </cell>
          <cell r="D4913">
            <v>11.75</v>
          </cell>
        </row>
        <row r="4914">
          <cell r="A4914">
            <v>72882</v>
          </cell>
          <cell r="B4914" t="str">
            <v>TRANSPORTE COMERCIAL COM CAMINHAO CARROCERIA 9 T, RODOVIA EM LEITO NATURAL</v>
          </cell>
          <cell r="C4914" t="str">
            <v>M3XKM</v>
          </cell>
          <cell r="D4914">
            <v>1.39</v>
          </cell>
        </row>
        <row r="4915">
          <cell r="A4915">
            <v>72883</v>
          </cell>
          <cell r="B4915" t="str">
            <v>TRANSPORTE COMERCIAL COM CAMINHAO CARROCERIA 9 T, RODOVIA COM REVESTIMENTO PRIMARIO</v>
          </cell>
          <cell r="C4915" t="str">
            <v>M3XKM</v>
          </cell>
          <cell r="D4915">
            <v>1.1100000000000001</v>
          </cell>
        </row>
        <row r="4916">
          <cell r="A4916">
            <v>72884</v>
          </cell>
          <cell r="B4916" t="str">
            <v>TRANSPORTE COMERCIAL COM CAMINHAO CARROCERIA 9 T, RODOVIA PAVIMENTADA</v>
          </cell>
          <cell r="C4916" t="str">
            <v>M3XKM</v>
          </cell>
          <cell r="D4916">
            <v>0.93</v>
          </cell>
        </row>
        <row r="4917">
          <cell r="A4917">
            <v>72888</v>
          </cell>
          <cell r="B4917" t="str">
            <v>CARGA, MANOBRAS E DESCARGA DE AREIA, BRITA, PEDRA DE MAO E SOLOS COM CAMINHAO BASCULANTE 6 M3 (DESCARGA LIVRE)</v>
          </cell>
          <cell r="C4917" t="str">
            <v>M3</v>
          </cell>
          <cell r="D4917">
            <v>1.22</v>
          </cell>
        </row>
        <row r="4918">
          <cell r="A4918">
            <v>72890</v>
          </cell>
          <cell r="B4918" t="str">
            <v>CARGA, MANOBRAS E DESCARGA DE BRITA PARA TRATAMENTOS SUPERFICIAIS, COM CAMINHAO BASCULANTE 6 M3, DESCARGA EM DISTRIBUIDOR</v>
          </cell>
          <cell r="C4918" t="str">
            <v>M3</v>
          </cell>
          <cell r="D4918">
            <v>7.36</v>
          </cell>
        </row>
        <row r="4919">
          <cell r="A4919">
            <v>72891</v>
          </cell>
          <cell r="B4919" t="str">
            <v>CARGA, MANOBRAS E DESCARGA DE MISTURA BETUMINOSA A QUENTE, COM CAMINHAO BASCULANTE 6 M3, DESCARGA EM VIBRO-ACABADORA</v>
          </cell>
          <cell r="C4919" t="str">
            <v>M3</v>
          </cell>
          <cell r="D4919">
            <v>6.07</v>
          </cell>
        </row>
        <row r="4920">
          <cell r="A4920">
            <v>72892</v>
          </cell>
          <cell r="B4920" t="str">
            <v>CARGA, MANOBRAS E DESCARGA DE DE MISTURA BETUMINOSA A FRIO, COM CAMINHAO BASCULANTE 6 M3, DESCARGA EM VIBRO-ACABADORA</v>
          </cell>
          <cell r="C4920" t="str">
            <v>M3</v>
          </cell>
          <cell r="D4920">
            <v>13.09</v>
          </cell>
        </row>
        <row r="4921">
          <cell r="A4921">
            <v>72893</v>
          </cell>
          <cell r="B4921" t="str">
            <v>CARGA, MANOBRAS E DESCARGA DE BRITA PARA BASE DE MACADAME, COM CAMINHAO BASCULANTE 6 M3, DESCARGA EM DISTRIBUIDOR</v>
          </cell>
          <cell r="C4921" t="str">
            <v>M3</v>
          </cell>
          <cell r="D4921">
            <v>3.26</v>
          </cell>
        </row>
        <row r="4922">
          <cell r="A4922">
            <v>72894</v>
          </cell>
          <cell r="B4922" t="str">
            <v>CARGA, MANOBRAS E DESCARGA DE MISTURAS DE SOLOS E AGREGADOS, COM CAMINHAO BASCULANTE 6 M3, DESCARGA EM DISTRIBUIDOR</v>
          </cell>
          <cell r="C4922" t="str">
            <v>M3</v>
          </cell>
          <cell r="D4922">
            <v>4.18</v>
          </cell>
        </row>
        <row r="4923">
          <cell r="A4923">
            <v>72895</v>
          </cell>
          <cell r="B4923" t="str">
            <v>CARGA, MANOBRAS E DESCARGA DE MATERIAIS DIVERSOS, COM CAMINHAO BASCULANTE 6M3 (CARGA E DESCARGA MANUAIS)</v>
          </cell>
          <cell r="C4923" t="str">
            <v>M3</v>
          </cell>
          <cell r="D4923">
            <v>22.08</v>
          </cell>
        </row>
        <row r="4924">
          <cell r="A4924">
            <v>72897</v>
          </cell>
          <cell r="B4924" t="str">
            <v>CARGA MANUAL DE ENTULHO EM CAMINHAO BASCULANTE 6 M3</v>
          </cell>
          <cell r="C4924" t="str">
            <v>M3</v>
          </cell>
          <cell r="D4924">
            <v>19.52</v>
          </cell>
        </row>
        <row r="4925">
          <cell r="A4925">
            <v>72898</v>
          </cell>
          <cell r="B4925" t="str">
            <v>CARGA E DESCARGA MECANIZADAS DE ENTULHO EM CAMINHAO BASCULANTE 6 M3</v>
          </cell>
          <cell r="C4925" t="str">
            <v>M3</v>
          </cell>
          <cell r="D4925">
            <v>3.94</v>
          </cell>
        </row>
        <row r="4926">
          <cell r="A4926">
            <v>72899</v>
          </cell>
          <cell r="B4926" t="str">
            <v>TRANSPORTE DE ENTULHO COM CAMINHÃO BASCULANTE 6 M3, RODOVIA PAVIMENTADA, DMT ATE 0,5 KM</v>
          </cell>
          <cell r="C4926" t="str">
            <v>M3</v>
          </cell>
          <cell r="D4926">
            <v>5.7</v>
          </cell>
        </row>
        <row r="4927">
          <cell r="A4927">
            <v>72900</v>
          </cell>
          <cell r="B4927" t="str">
            <v>TRANSPORTE DE ENTULHO COM CAMINHAO BASCULANTE 6 M3, RODOVIA PAVIMENTADA, DMT 0,5 A 1,0 KM</v>
          </cell>
          <cell r="C4927" t="str">
            <v>M3</v>
          </cell>
          <cell r="D4927">
            <v>6.28</v>
          </cell>
        </row>
        <row r="4928">
          <cell r="A4928" t="str">
            <v>74010/1</v>
          </cell>
          <cell r="B4928" t="str">
            <v>CARGA E DESCARGA MECANICA DE SOLO UTILIZANDO CAMINHAO BASCULANTE 6,0M3/16T E PA CARREGADEIRA SOBRE PNEUS 128 HP, CAPACIDADE DA CAÇAMBA 1,7 A 2,8 M3, PESO OPERACIONAL 11632 KG</v>
          </cell>
          <cell r="C4928" t="str">
            <v>M3</v>
          </cell>
          <cell r="D4928">
            <v>1.73</v>
          </cell>
        </row>
        <row r="4929">
          <cell r="A4929">
            <v>83356</v>
          </cell>
          <cell r="B4929" t="str">
            <v>TRANSPORTE COMERCIAL DE BRITA</v>
          </cell>
          <cell r="C4929" t="str">
            <v>M3XKM</v>
          </cell>
          <cell r="D4929">
            <v>0.83</v>
          </cell>
        </row>
        <row r="4930">
          <cell r="A4930">
            <v>83358</v>
          </cell>
          <cell r="B4930" t="str">
            <v>TRANSPORTE DE PAVIMENTACAO REMOVIDA (RODOVIAS NAO URBANAS)</v>
          </cell>
          <cell r="C4930" t="str">
            <v>M3XKM</v>
          </cell>
          <cell r="D4930">
            <v>1.71</v>
          </cell>
        </row>
        <row r="4931">
          <cell r="A4931">
            <v>95303</v>
          </cell>
          <cell r="B4931" t="str">
            <v>TRANSPORTE COM CAMINHÃO BASCULANTE 10 M3 DE MASSA ASFALTICA PARA PAVIMENTAÇÃO URBANA</v>
          </cell>
          <cell r="C4931" t="str">
            <v>M3XKM</v>
          </cell>
          <cell r="D4931">
            <v>1.06</v>
          </cell>
        </row>
        <row r="4932">
          <cell r="A4932">
            <v>97912</v>
          </cell>
          <cell r="B4932" t="str">
            <v>TRANSPORTE COM CAMINHÃO BASCULANTE DE 6 M3, EM VIA URBANA EM LEITO NATURAL (UNIDADE: M3XKM). AF_01/2018</v>
          </cell>
          <cell r="C4932" t="str">
            <v>M3XKM</v>
          </cell>
          <cell r="D4932">
            <v>2.27</v>
          </cell>
        </row>
        <row r="4933">
          <cell r="A4933">
            <v>97913</v>
          </cell>
          <cell r="B4933" t="str">
            <v>TRANSPORTE COM CAMINHÃO BASCULANTE DE 6 M3, EM VIA URBANA EM REVESTIMENTO PRIMÁRIO (UNIDADE: M3XKM). AF_01/2018</v>
          </cell>
          <cell r="C4933" t="str">
            <v>M3XKM</v>
          </cell>
          <cell r="D4933">
            <v>1.73</v>
          </cell>
        </row>
        <row r="4934">
          <cell r="A4934">
            <v>97914</v>
          </cell>
          <cell r="B4934" t="str">
            <v>TRANSPORTE COM CAMINHÃO BASCULANTE DE 6 M3, EM VIA URBANA PAVIMENTADA, DMT ATÉ 30 KM (UNIDADE: M3XKM). AF_01/2018</v>
          </cell>
          <cell r="C4934" t="str">
            <v>M3XKM</v>
          </cell>
          <cell r="D4934">
            <v>1.63</v>
          </cell>
        </row>
        <row r="4935">
          <cell r="A4935">
            <v>97915</v>
          </cell>
          <cell r="B4935" t="str">
            <v>TRANSPORTE COM CAMINHÃO BASCULANTE DE 6 M3, EM VIA URBANA PAVIMENTADA, DMT ACIMA DE 30 KM (UNIDADE: M3XKM). AF_01/2018</v>
          </cell>
          <cell r="C4935" t="str">
            <v>M3XKM</v>
          </cell>
          <cell r="D4935">
            <v>1.1499999999999999</v>
          </cell>
        </row>
        <row r="4936">
          <cell r="A4936">
            <v>97916</v>
          </cell>
          <cell r="B4936" t="str">
            <v>TRANSPORTE COM CAMINHÃO BASCULANTE DE 6 M3, EM VIA URBANA EM LEITO NATURAL (UNIDADE: TXKM). AF_01/2018</v>
          </cell>
          <cell r="C4936" t="str">
            <v>TXKM</v>
          </cell>
          <cell r="D4936">
            <v>1.51</v>
          </cell>
        </row>
        <row r="4937">
          <cell r="A4937">
            <v>97917</v>
          </cell>
          <cell r="B4937" t="str">
            <v>TRANSPORTE COM CAMINHÃO BASCULANTE DE 6 M3, EM VIA URBANA EM REVESTIMENTO PRIMÁRIO (UNIDADE: TXKM). AF_01/2018</v>
          </cell>
          <cell r="C4937" t="str">
            <v>TXKM</v>
          </cell>
          <cell r="D4937">
            <v>1.1499999999999999</v>
          </cell>
        </row>
        <row r="4938">
          <cell r="A4938">
            <v>97918</v>
          </cell>
          <cell r="B4938" t="str">
            <v>TRANSPORTE COM CAMINHÃO BASCULANTE DE 6 M3, EM VIA URBANA PAVIMENTADA, DMT ATÉ 30 KM (UNIDADE: TXKM). AF_01/2018</v>
          </cell>
          <cell r="C4938" t="str">
            <v>TXKM</v>
          </cell>
          <cell r="D4938">
            <v>1.08</v>
          </cell>
        </row>
        <row r="4939">
          <cell r="A4939">
            <v>97919</v>
          </cell>
          <cell r="B4939" t="str">
            <v>TRANSPORTE COM CAMINHÃO BASCULANTE DE 6 M3, EM VIA URBANA PAVIMENTADA, DMT ACIMA DE 30 KM (UNIDADE: TXKM). AF_01/2018</v>
          </cell>
          <cell r="C4939" t="str">
            <v>TXKM</v>
          </cell>
          <cell r="D4939">
            <v>0.76</v>
          </cell>
        </row>
        <row r="4940">
          <cell r="A4940">
            <v>94097</v>
          </cell>
          <cell r="B4940" t="str">
            <v>PREPARO DE FUNDO DE VALA COM LARGURA MENOR QUE 1,5 M, EM LOCAL COM NÍVEL BAIXO DE INTERFERÊNCIA. AF_06/2016</v>
          </cell>
          <cell r="C4940" t="str">
            <v>M2</v>
          </cell>
          <cell r="D4940">
            <v>4.72</v>
          </cell>
        </row>
        <row r="4941">
          <cell r="A4941">
            <v>94098</v>
          </cell>
          <cell r="B4941" t="str">
            <v>PREPARO DE FUNDO DE VALA  COM LARGURA MENOR QUE 1,5 M, EM LOCAL COM NÍVEL ALTO DE INTERFERÊNCIA. AF_06/2016</v>
          </cell>
          <cell r="C4941" t="str">
            <v>M2</v>
          </cell>
          <cell r="D4941">
            <v>5.4</v>
          </cell>
        </row>
        <row r="4942">
          <cell r="A4942">
            <v>94099</v>
          </cell>
          <cell r="B4942" t="str">
            <v>PREPARO DE FUNDO DE VALA COM LARGURA MAIOR OU IGUAL A 1,5 M E MENOR QUE 2,5 M, EM LOCAL COM NÍVEL BAIXO DE INTERFERÊNCIA. AF_06/2016</v>
          </cell>
          <cell r="C4942" t="str">
            <v>M2</v>
          </cell>
          <cell r="D4942">
            <v>2.37</v>
          </cell>
        </row>
        <row r="4943">
          <cell r="A4943">
            <v>94100</v>
          </cell>
          <cell r="B4943" t="str">
            <v>PREPARO DE FUNDO DE VALA  COM LARGURA MAIOR OU IGUAL A 1,5 M E MENOR QUE 2,5 M, EM LOCAL COM NÍVEL ALTO DE INTERFERÊNCIA. AF_06/2016</v>
          </cell>
          <cell r="C4943" t="str">
            <v>M2</v>
          </cell>
          <cell r="D4943">
            <v>3.03</v>
          </cell>
        </row>
        <row r="4944">
          <cell r="A4944">
            <v>94102</v>
          </cell>
          <cell r="B4944" t="str">
            <v>LASTRO DE VALA COM PREPARO DE FUNDO, LARGURA MENOR QUE 1,5 M, COM CAMADA DE AREIA, LANÇAMENTO MANUAL, EM LOCAL COM NÍVEL BAIXO DE INTERFERÊNCIA. AF_06/2016</v>
          </cell>
          <cell r="C4944" t="str">
            <v>M3</v>
          </cell>
          <cell r="D4944">
            <v>161.91</v>
          </cell>
        </row>
        <row r="4945">
          <cell r="A4945">
            <v>94103</v>
          </cell>
          <cell r="B4945" t="str">
            <v>LASTRO DE VALA COM PREPARO DE FUNDO, LARGURA MENOR QUE 1,5 M, COM CAMADA DE BRITA, LANÇAMENTO MANUAL, EM LOCAL COM NÍVEL BAIXO DE INTERFERÊNCIA. AF_06/2016</v>
          </cell>
          <cell r="C4945" t="str">
            <v>M3</v>
          </cell>
          <cell r="D4945">
            <v>210.44</v>
          </cell>
        </row>
        <row r="4946">
          <cell r="A4946">
            <v>94104</v>
          </cell>
          <cell r="B4946" t="str">
            <v>LASTRO DE VALA COM PREPARO DE FUNDO, LARGURA MENOR QUE 1,5 M, COM CAMADA DE AREIA, LANÇAMENTO MANUAL, EM LOCAL COM NÍVEL ALTO DE INTERFERÊNCIA. AF_06/2016</v>
          </cell>
          <cell r="C4946" t="str">
            <v>M3</v>
          </cell>
          <cell r="D4946">
            <v>165.68</v>
          </cell>
        </row>
        <row r="4947">
          <cell r="A4947">
            <v>94105</v>
          </cell>
          <cell r="B4947" t="str">
            <v>LASTRO DE VALA COM PREPARO DE FUNDO, LARGURA MENOR QUE 1,5 M, COM CAMADA DE BRITA, LANÇAMENTO MANUAL, EM LOCAL COM NÍVEL ALTO DE INTERFERÊNCIA. AF_06/2016</v>
          </cell>
          <cell r="C4947" t="str">
            <v>M3</v>
          </cell>
          <cell r="D4947">
            <v>214.24</v>
          </cell>
        </row>
        <row r="4948">
          <cell r="A4948">
            <v>94106</v>
          </cell>
          <cell r="B4948" t="str">
            <v>LASTRO COM PREPARO DE FUNDO, LARGURA MAIOR OU IGUAL A 1,5 M, COM CAMADA DE AREIA, LANÇAMENTO MANUAL, EM LOCAL COM NÍVEL BAIXO DE INTERFERÊNCIA. AF_06/2016</v>
          </cell>
          <cell r="C4948" t="str">
            <v>M3</v>
          </cell>
          <cell r="D4948">
            <v>143.11000000000001</v>
          </cell>
        </row>
        <row r="4949">
          <cell r="A4949">
            <v>94107</v>
          </cell>
          <cell r="B4949" t="str">
            <v>LASTRO COM PREPARO DE FUNDO, LARGURA MAIOR OU IGUAL A 1,5 M, COM CAMADA DE BRITA, LANÇAMENTO MANUAL, EM LOCAL COM NÍVEL BAIXO DE INTERFERÊNCIA. AF_06/2016</v>
          </cell>
          <cell r="C4949" t="str">
            <v>M3</v>
          </cell>
          <cell r="D4949">
            <v>191.65</v>
          </cell>
        </row>
        <row r="4950">
          <cell r="A4950">
            <v>94108</v>
          </cell>
          <cell r="B4950" t="str">
            <v>LASTRO COM PREPARO DE FUNDO, LARGURA MAIOR OU IGUAL A 1,5 M, COM CAMADA DE AREIA, LANÇAMENTO MANUAL, EM LOCAL COM NÍVEL ALTO DE INTERFERÊNCIA. AF_06/2016</v>
          </cell>
          <cell r="C4950" t="str">
            <v>M3</v>
          </cell>
          <cell r="D4950">
            <v>146.88999999999999</v>
          </cell>
        </row>
        <row r="4951">
          <cell r="A4951">
            <v>94110</v>
          </cell>
          <cell r="B4951" t="str">
            <v>LASTRO COM PREPARO DE FUNDO, LARGURA MAIOR OU IGUAL A 1,5 M, COM CAMADA DE BRITA, LANÇAMENTO MANUAL, EM LOCAL COM NÍVEL ALTO DE INTERFERÊNCIA. AF_06/2016</v>
          </cell>
          <cell r="C4951" t="str">
            <v>M3</v>
          </cell>
          <cell r="D4951">
            <v>195.42</v>
          </cell>
        </row>
        <row r="4952">
          <cell r="A4952">
            <v>94111</v>
          </cell>
          <cell r="B4952" t="str">
            <v>LASTRO DE VALA COM PREPARO DE FUNDO, LARGURA MENOR QUE 1,5 M, COM CAMADA DE AREIA, LANÇAMENTO MECANIZADO, EM LOCAL COM NÍVEL BAIXO DE INTERFERÊNCIA. AF_06/2016</v>
          </cell>
          <cell r="C4952" t="str">
            <v>M3</v>
          </cell>
          <cell r="D4952">
            <v>133.61000000000001</v>
          </cell>
        </row>
        <row r="4953">
          <cell r="A4953">
            <v>94112</v>
          </cell>
          <cell r="B4953" t="str">
            <v>LASTRO DE VALA COM PREPARO DE FUNDO, LARGURA MENOR QUE 1,5 M, COM CAMADA DE BRITA, LANÇAMENTO MECANIZADO, EM LOCAL COM NÍVEL BAIXO DE INTERFERÊNCIA. AF_06/2016</v>
          </cell>
          <cell r="C4953" t="str">
            <v>M3</v>
          </cell>
          <cell r="D4953">
            <v>175.56</v>
          </cell>
        </row>
        <row r="4954">
          <cell r="A4954">
            <v>94113</v>
          </cell>
          <cell r="B4954" t="str">
            <v>LASTRO DE VALA COM PREPARO DE FUNDO, LARGURA MENOR QUE 1,5 M, COM CAMADA DE AREIA, LANÇAMENTO MECANIZADO, EM LOCAL COM NÍVEL ALTO DE INTERFERÊNCIA. AF_06/2016</v>
          </cell>
          <cell r="C4954" t="str">
            <v>M3</v>
          </cell>
          <cell r="D4954">
            <v>139.43</v>
          </cell>
        </row>
        <row r="4955">
          <cell r="A4955">
            <v>94114</v>
          </cell>
          <cell r="B4955" t="str">
            <v>LASTRO DE VALA COM PREPARO DE FUNDO, LARGURA MENOR QUE 1,5 M, COM CAMADA DE BRITA, LANÇAMENTO MECANIZADO, EM LOCAL COM NÍVEL ALTO DE INTERFERÊNCIA. AF_06/2016</v>
          </cell>
          <cell r="C4955" t="str">
            <v>M3</v>
          </cell>
          <cell r="D4955">
            <v>182.14</v>
          </cell>
        </row>
        <row r="4956">
          <cell r="A4956">
            <v>94115</v>
          </cell>
          <cell r="B4956" t="str">
            <v>LASTRO COM PREPARO DE FUNDO, LARGURA MAIOR OU IGUAL A 1,5 M, COM CAMADA DE AREIA, LANÇAMENTO MECANIZADO, EM LOCAL COM NÍVEL BAIXO DE INTERFERÊNCIA. AF_06/2016</v>
          </cell>
          <cell r="C4956" t="str">
            <v>M3</v>
          </cell>
          <cell r="D4956">
            <v>106.42</v>
          </cell>
        </row>
        <row r="4957">
          <cell r="A4957">
            <v>94116</v>
          </cell>
          <cell r="B4957" t="str">
            <v>LASTRO COM PREPARO DE FUNDO, LARGURA MAIOR OU IGUAL A 1,5 M, COM CAMADA DE BRITA, LANÇAMENTO MECANIZADO, EM LOCAL COM NÍVEL BAIXO DE INTERFERÊNCIA. AF_06/2016</v>
          </cell>
          <cell r="C4957" t="str">
            <v>M3</v>
          </cell>
          <cell r="D4957">
            <v>144.4</v>
          </cell>
        </row>
        <row r="4958">
          <cell r="A4958">
            <v>94117</v>
          </cell>
          <cell r="B4958" t="str">
            <v>LASTRO COM PREPARO DE FUNDO, LARGURA MAIOR OU IGUAL A 1,5 M, COM CAMADA DE AREIA, LANÇAMENTO MECANIZADO, EM LOCAL COM NÍVEL ALTO DE INTERFERÊNCIA. AF_06/2016</v>
          </cell>
          <cell r="C4958" t="str">
            <v>M3</v>
          </cell>
          <cell r="D4958">
            <v>111.84</v>
          </cell>
        </row>
        <row r="4959">
          <cell r="A4959">
            <v>94118</v>
          </cell>
          <cell r="B4959" t="str">
            <v>LASTRO COM PREPARO DE FUNDO, LARGURA MAIOR OU IGUAL A 1,5 M, COM CAMADA DE BRITA, LANÇAMENTO MECANIZADO, EM LOCAL COM NÍVEL ALTO DE INTERFERÊNCIA. AF_06/2016</v>
          </cell>
          <cell r="C4959" t="str">
            <v>M3</v>
          </cell>
          <cell r="D4959">
            <v>150.78</v>
          </cell>
        </row>
        <row r="4960">
          <cell r="A4960">
            <v>6514</v>
          </cell>
          <cell r="B4960" t="str">
            <v>FORNECIMENTO E LANCAMENTO DE BRITA N. 4</v>
          </cell>
          <cell r="C4960" t="str">
            <v>M3</v>
          </cell>
          <cell r="D4960">
            <v>109.52</v>
          </cell>
        </row>
        <row r="4961">
          <cell r="A4961">
            <v>88549</v>
          </cell>
          <cell r="B4961" t="str">
            <v>FORNECIMENTO E ASSENTAMENTO DE BRITA 2-DRENOS E FILTROS   MM</v>
          </cell>
          <cell r="C4961" t="str">
            <v>M3</v>
          </cell>
          <cell r="D4961">
            <v>86.85</v>
          </cell>
        </row>
        <row r="4962">
          <cell r="A4962">
            <v>41721</v>
          </cell>
          <cell r="B4962" t="str">
            <v>COMPACTACAO MECANICA A 95% DO PROCTOR NORMAL - PAVIMENTACAO URBANA</v>
          </cell>
          <cell r="C4962" t="str">
            <v>M3</v>
          </cell>
          <cell r="D4962">
            <v>3.06</v>
          </cell>
        </row>
        <row r="4963">
          <cell r="A4963">
            <v>41722</v>
          </cell>
          <cell r="B4963" t="str">
            <v>COMPACTACAO MECANICA A 100% DO PROCTOR NORMAL - PAVIMENTACAO URBANA</v>
          </cell>
          <cell r="C4963" t="str">
            <v>M3</v>
          </cell>
          <cell r="D4963">
            <v>4.38</v>
          </cell>
        </row>
        <row r="4964">
          <cell r="A4964" t="str">
            <v>74005/1</v>
          </cell>
          <cell r="B4964" t="str">
            <v>COMPACTACAO MECANICA, SEM CONTROLE DO GC (C/COMPACTADOR PLACA 400 KG)</v>
          </cell>
          <cell r="C4964" t="str">
            <v>M3</v>
          </cell>
          <cell r="D4964">
            <v>4.6500000000000004</v>
          </cell>
        </row>
        <row r="4965">
          <cell r="A4965" t="str">
            <v>74005/2</v>
          </cell>
          <cell r="B4965" t="str">
            <v>COMPACTACAO MECANICA C/ CONTROLE DO GC&gt;=95% DO PN (AREAS) (C/MONIVELADORA 140 HP E ROLO COMPRESSOR VIBRATORIO 80 HP)</v>
          </cell>
          <cell r="C4965" t="str">
            <v>M3</v>
          </cell>
          <cell r="D4965">
            <v>5.24</v>
          </cell>
        </row>
        <row r="4966">
          <cell r="A4966" t="str">
            <v>74034/1</v>
          </cell>
          <cell r="B4966" t="str">
            <v>ESPALHAMENTO DE MATERIAL DE 1A CATEGORIA COM TRATOR DE ESTEIRA COM 153HP</v>
          </cell>
          <cell r="C4966" t="str">
            <v>M3</v>
          </cell>
          <cell r="D4966">
            <v>1.63</v>
          </cell>
        </row>
        <row r="4967">
          <cell r="A4967">
            <v>83344</v>
          </cell>
          <cell r="B4967" t="str">
            <v>ESPALHAMENTO DE MATERIAL EM BOTA FORA, COM UTILIZACAO DE TRATOR DE ESTEIRAS DE 165 HP</v>
          </cell>
          <cell r="C4967" t="str">
            <v>M3</v>
          </cell>
          <cell r="D4967">
            <v>0.93</v>
          </cell>
        </row>
        <row r="4968">
          <cell r="A4968">
            <v>95606</v>
          </cell>
          <cell r="B4968" t="str">
            <v>UMIDIFICAÇÃO DE MATERIAL PARA VALAS COM CAMINHÃO PIPA 10000L. AF_11/2016</v>
          </cell>
          <cell r="C4968" t="str">
            <v>M3</v>
          </cell>
          <cell r="D4968">
            <v>1.29</v>
          </cell>
        </row>
        <row r="4969">
          <cell r="A4969">
            <v>72131</v>
          </cell>
          <cell r="B4969" t="str">
            <v>ALVENARIA EM TIJOLO CERAMICO MACICO 5X10X20CM 1 VEZ (ESPESSURA 20CM), ASSENTADO COM ARGAMASSA TRACO 1:2:8 (CIMENTO, CAL E AREIA)</v>
          </cell>
          <cell r="C4969" t="str">
            <v>M2</v>
          </cell>
          <cell r="D4969">
            <v>127.96</v>
          </cell>
        </row>
        <row r="4970">
          <cell r="A4970">
            <v>72132</v>
          </cell>
          <cell r="B4970" t="str">
            <v>ALVENARIA EM TIJOLO CERAMICO MACICO 5X10X20CM 1/2 VEZ (ESPESSURA 10CM), ASSENTADO COM ARGAMASSA TRACO 1:2:8 (CIMENTO, CAL E AREIA)</v>
          </cell>
          <cell r="C4970" t="str">
            <v>M2</v>
          </cell>
          <cell r="D4970">
            <v>66.42</v>
          </cell>
        </row>
        <row r="4971">
          <cell r="A4971">
            <v>72133</v>
          </cell>
          <cell r="B4971" t="str">
            <v>ALVENARIA EM TIJOLO CERAMICO MACICO 5X10X20CM 1 1/2 VEZ (ESPESSURA 30CM), ASSENTADO COM ARGAMASSA TRACO 1:2:8 (CIMENTO, CAL E AREIA)</v>
          </cell>
          <cell r="C4971" t="str">
            <v>M2</v>
          </cell>
          <cell r="D4971">
            <v>224.56</v>
          </cell>
        </row>
        <row r="4972">
          <cell r="A4972">
            <v>87471</v>
          </cell>
          <cell r="B4972" t="str">
            <v>ALVENARIA DE VEDAÇÃO DE BLOCOS CERÂMICOS FURADOS NA VERTICAL DE 9X19X39CM (ESPESSURA 9CM) DE PAREDES COM ÁREA LÍQUIDA MENOR QUE 6M² SEM VÃOS E ARGAMASSA DE ASSENTAMENTO COM PREPARO EM BETONEIRA. AF_06/2014</v>
          </cell>
          <cell r="C4972" t="str">
            <v>M2</v>
          </cell>
          <cell r="D4972">
            <v>41.14</v>
          </cell>
        </row>
        <row r="4973">
          <cell r="A4973">
            <v>87472</v>
          </cell>
          <cell r="B4973" t="str">
            <v>ALVENARIA DE VEDAÇÃO DE BLOCOS CERÂMICOS FURADOS NA VERTICAL DE 9X19X39CM (ESPESSURA 9CM) DE PAREDES COM ÁREA LÍQUIDA MENOR QUE 6M² SEM VÃOS E ARGAMASSA DE ASSENTAMENTO COM PREPARO MANUAL. AF_06/2014</v>
          </cell>
          <cell r="C4973" t="str">
            <v>M2</v>
          </cell>
          <cell r="D4973">
            <v>42.27</v>
          </cell>
        </row>
        <row r="4974">
          <cell r="A4974">
            <v>87473</v>
          </cell>
          <cell r="B4974" t="str">
            <v>ALVENARIA DE VEDAÇÃO DE BLOCOS CERÂMICOS FURADOS NA VERTICAL DE 14X19X39CM (ESPESSURA 14CM) DE PAREDES COM ÁREA LÍQUIDA MENOR QUE 6M² SEM VÃOS E ARGAMASSA DE ASSENTAMENTO COM PREPARO EM BETONEIRA. AF_06/2014</v>
          </cell>
          <cell r="C4974" t="str">
            <v>M2</v>
          </cell>
          <cell r="D4974">
            <v>57.01</v>
          </cell>
        </row>
        <row r="4975">
          <cell r="A4975">
            <v>87474</v>
          </cell>
          <cell r="B4975" t="str">
            <v>ALVENARIA DE VEDAÇÃO DE BLOCOS CERÂMICOS FURADOS NA VERTICAL DE 14X19X39CM (ESPESSURA 14CM) DE PAREDES COM ÁREA LÍQUIDA MENOR QUE 6M² SEM VÃOS E ARGAMASSA DE ASSENTAMENTO COM PREPARO MANUAL. AF_06/2014</v>
          </cell>
          <cell r="C4975" t="str">
            <v>M2</v>
          </cell>
          <cell r="D4975">
            <v>58.29</v>
          </cell>
        </row>
        <row r="4976">
          <cell r="A4976">
            <v>87475</v>
          </cell>
          <cell r="B4976" t="str">
            <v>ALVENARIA DE VEDAÇÃO DE BLOCOS CERÂMICOS FURADOS NA VERTICAL DE 19X19X39CM (ESPESSURA 19CM) DE PAREDES COM ÁREA LÍQUIDA MENOR QUE 6M² SEM VÃOS E ARGAMASSA DE ASSENTAMENTO COM PREPARO EM BETONEIRA. AF_06/2014</v>
          </cell>
          <cell r="C4976" t="str">
            <v>M2</v>
          </cell>
          <cell r="D4976">
            <v>67.040000000000006</v>
          </cell>
        </row>
        <row r="4977">
          <cell r="A4977">
            <v>87476</v>
          </cell>
          <cell r="B4977" t="str">
            <v>ALVENARIA DE VEDAÇÃO DE BLOCOS CERÂMICOS FURADOS NA VERTICAL DE 19X19X39CM (ESPESSURA 19CM) DE PAREDES COM ÁREA LÍQUIDA MENOR QUE 6M² SEM VÃOS E ARGAMASSA DE ASSENTAMENTO COM PREPARO MANUAL. AF_06/2014</v>
          </cell>
          <cell r="C4977" t="str">
            <v>M2</v>
          </cell>
          <cell r="D4977">
            <v>68.53</v>
          </cell>
        </row>
        <row r="4978">
          <cell r="A4978">
            <v>87477</v>
          </cell>
          <cell r="B4978" t="str">
            <v>ALVENARIA DE VEDAÇÃO DE BLOCOS CERÂMICOS FURADOS NA VERTICAL DE 9X19X39CM (ESPESSURA 9CM) DE PAREDES COM ÁREA LÍQUIDA MAIOR OU IGUAL A 6M² SEM VÃOS E ARGAMASSA DE ASSENTAMENTO COM PREPARO EM BETONEIRA. AF_06/2014</v>
          </cell>
          <cell r="C4978" t="str">
            <v>M2</v>
          </cell>
          <cell r="D4978">
            <v>37.33</v>
          </cell>
        </row>
        <row r="4979">
          <cell r="A4979">
            <v>87478</v>
          </cell>
          <cell r="B4979" t="str">
            <v>ALVENARIA DE VEDAÇÃO DE BLOCOS CERÂMICOS FURADOS NA VERTICAL DE 9X19X39CM (ESPESSURA 9CM) DE PAREDES COM ÁREA LÍQUIDA MAIOR OU IGUAL A 6M² SEM VÃOS E ARGAMASSA DE ASSENTAMENTO COM PREPARO MANUAL. AF_06/2014</v>
          </cell>
          <cell r="C4979" t="str">
            <v>M2</v>
          </cell>
          <cell r="D4979">
            <v>38.46</v>
          </cell>
        </row>
        <row r="4980">
          <cell r="A4980">
            <v>87479</v>
          </cell>
          <cell r="B4980" t="str">
            <v>ALVENARIA DE VEDAÇÃO DE BLOCOS CERÂMICOS FURADOS NA VERTICAL DE 14X19X39CM (ESPESSURA 14CM) DE PAREDES COM ÁREA LÍQUIDA MAIOR OU IGUAL A 6M² SEM VÃOS E ARGAMASSA DE ASSENTAMENTO COM PREPARO EM BETONEIRA. AF_06/2014</v>
          </cell>
          <cell r="C4980" t="str">
            <v>M2</v>
          </cell>
          <cell r="D4980">
            <v>52.67</v>
          </cell>
        </row>
        <row r="4981">
          <cell r="A4981">
            <v>87480</v>
          </cell>
          <cell r="B4981" t="str">
            <v>ALVENARIA DE VEDAÇÃO DE BLOCOS CERÂMICOS FURADOS NA VERTICAL DE 14X19X39CM (ESPESSURA 14CM) DE PAREDES COM ÁREA LÍQUIDA MAIOR OU IGUAL A 6M² SEM VÃOS E ARGAMASSA DE ASSENTAMENTO COM PREPARO MANUAL. AF_06/2014</v>
          </cell>
          <cell r="C4981" t="str">
            <v>M2</v>
          </cell>
          <cell r="D4981">
            <v>53.95</v>
          </cell>
        </row>
        <row r="4982">
          <cell r="A4982">
            <v>87481</v>
          </cell>
          <cell r="B4982" t="str">
            <v>ALVENARIA DE VEDAÇÃO DE BLOCOS CERÂMICOS FURADOS NA VERTICAL DE 19X19X39CM (ESPESSURA 19CM) DE PAREDES COM ÁREA LÍQUIDA MAIOR OU IGUAL A 6M² SEM VÃOS E ARGAMASSA DE ASSENTAMENTO COM PREPARO EM BETONEIRA. AF_06/2014</v>
          </cell>
          <cell r="C4982" t="str">
            <v>M2</v>
          </cell>
          <cell r="D4982">
            <v>62.74</v>
          </cell>
        </row>
        <row r="4983">
          <cell r="A4983">
            <v>87482</v>
          </cell>
          <cell r="B4983" t="str">
            <v>ALVENARIA DE VEDAÇÃO DE BLOCOS CERÂMICOS FURADOS NA VERTICAL DE 19X19X39CM (ESPESSURA 19CM) DE PAREDES COM ÁREA LÍQUIDA MAIOR OU IGUAL A 6M² SEM VÃOS E ARGAMASSA DE ASSENTAMENTO COM PREPARO MANUAL. AF_06/2014</v>
          </cell>
          <cell r="C4983" t="str">
            <v>M2</v>
          </cell>
          <cell r="D4983">
            <v>64.23</v>
          </cell>
        </row>
        <row r="4984">
          <cell r="A4984">
            <v>87483</v>
          </cell>
          <cell r="B4984" t="str">
            <v>ALVENARIA DE VEDAÇÃO DE BLOCOS CERÂMICOS FURADOS NA VERTICAL DE 9X19X39CM (ESPESSURA 9CM) DE PAREDES COM ÁREA LÍQUIDA MENOR QUE 6M² COM VÃOS E ARGAMASSA DE ASSENTAMENTO COM PREPARO EM BETONEIRA. AF_06/2014</v>
          </cell>
          <cell r="C4984" t="str">
            <v>M2</v>
          </cell>
          <cell r="D4984">
            <v>47.18</v>
          </cell>
        </row>
        <row r="4985">
          <cell r="A4985">
            <v>87484</v>
          </cell>
          <cell r="B4985" t="str">
            <v>ALVENARIA DE VEDAÇÃO DE BLOCOS CERÂMICOS FURADOS NA VERTICAL DE 9X19X39CM (ESPESSURA 9CM) DE PAREDES COM ÁREA LÍQUIDA MENOR QUE 6M² COM VÃOS E ARGAMASSA DE ASSENTAMENTO COM PREPARO MANUAL. AF_06/2014</v>
          </cell>
          <cell r="C4985" t="str">
            <v>M2</v>
          </cell>
          <cell r="D4985">
            <v>48.31</v>
          </cell>
        </row>
        <row r="4986">
          <cell r="A4986">
            <v>87485</v>
          </cell>
          <cell r="B4986" t="str">
            <v>ALVENARIA DE VEDAÇÃO DE BLOCOS CERÂMICOS FURADOS NA VERTICAL DE 14X19X39CM (ESPESSURA 14CM) DE PAREDES COM ÁREA LÍQUIDA MENOR QUE 6M² COM VÃOS E ARGAMASSA DE ASSENTAMENTO COM PREPARO EM BETONEIRA. AF_06/2014</v>
          </cell>
          <cell r="C4986" t="str">
            <v>M2</v>
          </cell>
          <cell r="D4986">
            <v>63.17</v>
          </cell>
        </row>
        <row r="4987">
          <cell r="A4987">
            <v>87487</v>
          </cell>
          <cell r="B4987" t="str">
            <v>ALVENARIA DE VEDAÇÃO DE BLOCOS CERÂMICOS FURADOS NA VERTICAL DE 19X19X39CM (ESPESSURA 19CM) DE PAREDES COM ÁREA LÍQUIDA MENOR QUE 6M² COM VÃOS E ARGAMASSA DE ASSENTAMENTO COM PREPARO EM BETONEIRA. AF_06/2014</v>
          </cell>
          <cell r="C4987" t="str">
            <v>M2</v>
          </cell>
          <cell r="D4987">
            <v>73.040000000000006</v>
          </cell>
        </row>
        <row r="4988">
          <cell r="A4988">
            <v>87488</v>
          </cell>
          <cell r="B4988" t="str">
            <v>ALVENARIA DE VEDAÇÃO DE BLOCOS CERÂMICOS FURADOS NA VERTICAL DE 19X19X39CM (ESPESSURA 19CM) DE PAREDES COM ÁREA LÍQUIDA MENOR QUE 6M² COM VÃOS E ARGAMASSA DE ASSENTAMENTO COM PREPARO MANUAL. AF_06/2014</v>
          </cell>
          <cell r="C4988" t="str">
            <v>M2</v>
          </cell>
          <cell r="D4988">
            <v>74.53</v>
          </cell>
        </row>
        <row r="4989">
          <cell r="A4989">
            <v>87489</v>
          </cell>
          <cell r="B4989" t="str">
            <v>ALVENARIA DE VEDAÇÃO DE BLOCOS CERÂMICOS FURADOS NA VERTICAL DE 9X19X39CM (ESPESSURA 9CM) DE PAREDES COM ÁREA LÍQUIDA MAIOR OU IGUAL A 6M² COM VÃOS E ARGAMASSA DE ASSENTAMENTO COM PREPARO EM BETONEIRA. AF_06/2014</v>
          </cell>
          <cell r="C4989" t="str">
            <v>M2</v>
          </cell>
          <cell r="D4989">
            <v>40.799999999999997</v>
          </cell>
        </row>
        <row r="4990">
          <cell r="A4990">
            <v>87490</v>
          </cell>
          <cell r="B4990" t="str">
            <v>ALVENARIA DE VEDAÇÃO DE BLOCOS CERÂMICOS FURADOS NA VERTICAL DE 9X19X39CM (ESPESSURA 9CM) DE PAREDES COM ÁREA LÍQUIDA MAIOR OU IGUAL A 6M² COM VÃOS E ARGAMASSA DE ASSENTAMENTO COM PREPARO MANUAL. AF_06/2014</v>
          </cell>
          <cell r="C4990" t="str">
            <v>M2</v>
          </cell>
          <cell r="D4990">
            <v>41.93</v>
          </cell>
        </row>
        <row r="4991">
          <cell r="A4991">
            <v>87491</v>
          </cell>
          <cell r="B4991" t="str">
            <v>ALVENARIA DE VEDAÇÃO DE BLOCOS CERÂMICOS FURADOS NA VERTICAL DE 14X19X39CM (ESPESSURA 14CM) DE PAREDES COM ÁREA LÍQUIDA MAIOR OU IGUAL A 6M² COM VÃOS E ARGAMASSA DE ASSENTAMENTO COM PREPARO EM BETONEIRA. AF_06/2014</v>
          </cell>
          <cell r="C4991" t="str">
            <v>M2</v>
          </cell>
          <cell r="D4991">
            <v>56.29</v>
          </cell>
        </row>
        <row r="4992">
          <cell r="A4992">
            <v>87492</v>
          </cell>
          <cell r="B4992" t="str">
            <v>ALVENARIA DE VEDAÇÃO DE BLOCOS CERÂMICOS FURADOS NA VERTICAL DE 14X19X39CM (ESPESSURA 14CM) DE PAREDES COM ÁREA LÍQUIDA MAIOR OU IGUAL A 6M² COM VÃOS E ARGAMASSA DE ASSENTAMENTO COM PREPARO MANUAL. AF_06/2014</v>
          </cell>
          <cell r="C4992" t="str">
            <v>M2</v>
          </cell>
          <cell r="D4992">
            <v>57.57</v>
          </cell>
        </row>
        <row r="4993">
          <cell r="A4993">
            <v>87493</v>
          </cell>
          <cell r="B4993" t="str">
            <v>ALVENARIA DE VEDAÇÃO DE BLOCOS CERÂMICOS FURADOS NA VERTICAL DE 19X19X39CM (ESPESSURA 19CM) DE PAREDES COM ÁREA LÍQUIDA MAIOR OU IGUAL A 6M² COM VÃOS E ARGAMASSA DE ASSENTAMENTO COM PREPARO EM BETONEIRA. AF_06/2014</v>
          </cell>
          <cell r="C4993" t="str">
            <v>M2</v>
          </cell>
          <cell r="D4993">
            <v>66.45</v>
          </cell>
        </row>
        <row r="4994">
          <cell r="A4994">
            <v>87494</v>
          </cell>
          <cell r="B4994" t="str">
            <v>ALVENARIA DE VEDAÇÃO DE BLOCOS CERÂMICOS FURADOS NA VERTICAL DE 19X19X39CM (ESPESSURA 19CM) DE PAREDES COM ÁREA LÍQUIDA MAIOR OU IGUAL A 6M² COM VÃOS E ARGAMASSA DE ASSENTAMENTO COM PREPARO MANUAL. AF_06/2014</v>
          </cell>
          <cell r="C4994" t="str">
            <v>M2</v>
          </cell>
          <cell r="D4994">
            <v>67.94</v>
          </cell>
        </row>
        <row r="4995">
          <cell r="A4995">
            <v>87495</v>
          </cell>
          <cell r="B4995" t="str">
            <v>ALVENARIA DE VEDAÇÃO DE BLOCOS CERÂMICOS FURADOS NA HORIZONTAL DE 9X19X19CM (ESPESSURA 9CM) DE PAREDES COM ÁREA LÍQUIDA MENOR QUE 6M² SEM VÃOS E ARGAMASSA DE ASSENTAMENTO COM PREPARO EM BETONEIRA. AF_06/2014</v>
          </cell>
          <cell r="C4995" t="str">
            <v>M2</v>
          </cell>
          <cell r="D4995">
            <v>69.42</v>
          </cell>
        </row>
        <row r="4996">
          <cell r="A4996">
            <v>87496</v>
          </cell>
          <cell r="B4996" t="str">
            <v>ALVENARIA DE VEDAÇÃO DE BLOCOS CERÂMICOS FURADOS NA HORIZONTAL DE 9X19X19CM (ESPESSURA 9CM) DE PAREDES COM ÁREA LÍQUIDA MENOR QUE 6M² SEM VÃOS E ARGAMASSA DE ASSENTAMENTO COM PREPARO MANUAL. AF_06/2014</v>
          </cell>
          <cell r="C4996" t="str">
            <v>M2</v>
          </cell>
          <cell r="D4996">
            <v>70.47</v>
          </cell>
        </row>
        <row r="4997">
          <cell r="A4997">
            <v>87497</v>
          </cell>
          <cell r="B4997" t="str">
            <v>ALVENARIA DE VEDAÇÃO DE BLOCOS CERÂMICOS FURADOS NA HORIZONTAL DE 11,5X19X19CM (ESPESSURA 11,5CM) DE PAREDES COM ÁREA LÍQUIDA MENOR QUE 6M² SEM VÃOS E ARGAMASSA DE ASSENTAMENTO COM PREPARO EM BETONEIRA. AF_06/2014</v>
          </cell>
          <cell r="C4997" t="str">
            <v>M2</v>
          </cell>
          <cell r="D4997">
            <v>66.900000000000006</v>
          </cell>
        </row>
        <row r="4998">
          <cell r="A4998">
            <v>87498</v>
          </cell>
          <cell r="B4998" t="str">
            <v>ALVENARIA DE VEDAÇÃO DE BLOCOS CERÂMICOS FURADOS NA HORIZONTAL DE 11,5X19X19CM (ESPESSURA 11,5CM) DE PAREDES COM ÁREA LÍQUIDA MENOR QUE 6M² SEM VÃOS E ARGAMASSA DE ASSENTAMENTO COM PREPARO MANUAL. AF_06/2014</v>
          </cell>
          <cell r="C4998" t="str">
            <v>M2</v>
          </cell>
          <cell r="D4998">
            <v>68.25</v>
          </cell>
        </row>
        <row r="4999">
          <cell r="A4999">
            <v>87499</v>
          </cell>
          <cell r="B4999" t="str">
            <v>ALVENARIA DE VEDAÇÃO DE BLOCOS CERÂMICOS FURADOS NA HORIZONTAL DE 9X14X19CM (ESPESSURA 9CM) DE PAREDES COM ÁREA LÍQUIDA MENOR QUE 6M² SEM VÃOS E ARGAMASSA DE ASSENTAMENTO COM PREPARO EM BETONEIRA. AF_06/2014</v>
          </cell>
          <cell r="C4999" t="str">
            <v>M2</v>
          </cell>
          <cell r="D4999">
            <v>75.53</v>
          </cell>
        </row>
        <row r="5000">
          <cell r="A5000">
            <v>87500</v>
          </cell>
          <cell r="B5000" t="str">
            <v>ALVENARIA DE VEDAÇÃO DE BLOCOS CERÂMICOS FURADOS NA HORIZONTAL DE 9X14X19CM (ESPESSURA 9CM) DE PAREDES COM ÁREA LÍQUIDA MENOR QUE 6M² SEM VÃOS E ARGAMASSA DE ASSENTAMENTO COM PREPARO MANUAL. AF_06/2014</v>
          </cell>
          <cell r="C5000" t="str">
            <v>M2</v>
          </cell>
          <cell r="D5000">
            <v>76.67</v>
          </cell>
        </row>
        <row r="5001">
          <cell r="A5001">
            <v>87501</v>
          </cell>
          <cell r="B5001" t="str">
            <v>ALVENARIA DE VEDAÇÃO DE BLOCOS CERÂMICOS FURADOS NA HORIZONTAL DE 14X9X19CM (ESPESSURA 14CM, BLOCO DEITADO) DE PAREDES COM ÁREA LÍQUIDA MENOR QUE 6M² SEM VÃOS E ARGAMASSA DE ASSENTAMENTO COM PREPARO EM BETONEIRA. AF_06/2014</v>
          </cell>
          <cell r="C5001" t="str">
            <v>M2</v>
          </cell>
          <cell r="D5001">
            <v>117.35</v>
          </cell>
        </row>
        <row r="5002">
          <cell r="A5002">
            <v>87502</v>
          </cell>
          <cell r="B5002" t="str">
            <v>ALVENARIA DE VEDAÇÃO DE BLOCOS CERÂMICOS FURADOS NA HORIZONTAL DE 14X9X19CM (ESPESSURA 14CM, BLOCO DEITADO) DE PAREDES COM ÁREA LÍQUIDA MENOR QUE 6M² SEM VÃOS E ARGAMASSA DE ASSENTAMENTO COM PREPARO MANUAL. AF_06/2014</v>
          </cell>
          <cell r="C5002" t="str">
            <v>M2</v>
          </cell>
          <cell r="D5002">
            <v>118.81</v>
          </cell>
        </row>
        <row r="5003">
          <cell r="A5003">
            <v>87503</v>
          </cell>
          <cell r="B5003" t="str">
            <v>ALVENARIA DE VEDAÇÃO DE BLOCOS CERÂMICOS FURADOS NA HORIZONTAL DE 9X19X19CM (ESPESSURA 9CM) DE PAREDES COM ÁREA LÍQUIDA MAIOR OU IGUAL A 6M² SEM VÃOS E ARGAMASSA DE ASSENTAMENTO COM PREPARO EM BETONEIRA. AF_06/2014</v>
          </cell>
          <cell r="C5003" t="str">
            <v>M2</v>
          </cell>
          <cell r="D5003">
            <v>59.64</v>
          </cell>
        </row>
        <row r="5004">
          <cell r="A5004">
            <v>87504</v>
          </cell>
          <cell r="B5004" t="str">
            <v>ALVENARIA DE VEDAÇÃO DE BLOCOS CERÂMICOS FURADOS NA HORIZONTAL DE 9X19X19CM (ESPESSURA 9CM) DE PAREDES COM ÁREA LÍQUIDA MAIOR OU IGUAL A 6M² SEM VÃOS E ARGAMASSA DE ASSENTAMENTO COM PREPARO MANUAL. AF_06/2014</v>
          </cell>
          <cell r="C5004" t="str">
            <v>M2</v>
          </cell>
          <cell r="D5004">
            <v>60.69</v>
          </cell>
        </row>
        <row r="5005">
          <cell r="A5005">
            <v>87505</v>
          </cell>
          <cell r="B5005" t="str">
            <v>ALVENARIA DE VEDAÇÃO DE BLOCOS CERÂMICOS FURADOS NA HORIZONTAL DE 11,5X19X19CM (ESPESSURA 11,5M) DE PAREDES COM ÁREA LÍQUIDA MAIOR OU IGUAL A 6M² SEM VÃOS E ARGAMASSA DE ASSENTAMENTO COM PREPARO EM BETONEIRA. AF_06/2014</v>
          </cell>
          <cell r="C5005" t="str">
            <v>M2</v>
          </cell>
          <cell r="D5005">
            <v>57.23</v>
          </cell>
        </row>
        <row r="5006">
          <cell r="A5006">
            <v>87506</v>
          </cell>
          <cell r="B5006" t="str">
            <v>ALVENARIA DE VEDAÇÃO DE BLOCOS CERÂMICOS FURADOS NA HORIZONTAL DE 11,5X19X19CM (ESPESSURA 11,5M) DE PAREDES COM ÁREA LÍQUIDA MAIOR OU IGUAL A 6M² SEM VÃOS E ARGAMASSA DE ASSENTAMENTO COM PREPARO MANUAL. AF_06/2014</v>
          </cell>
          <cell r="C5006" t="str">
            <v>M2</v>
          </cell>
          <cell r="D5006">
            <v>58.58</v>
          </cell>
        </row>
        <row r="5007">
          <cell r="A5007">
            <v>87507</v>
          </cell>
          <cell r="B5007" t="str">
            <v>ALVENARIA DE VEDAÇÃO DE BLOCOS CERÂMICOS FURADOS NA HORIZONTAL DE 9X14X19CM (ESPESSURA 9CM) DE PAREDES COM ÁREA LÍQUIDA MAIOR OU IGUAL A 6M² SEM VÃOS E ARGAMASSA DE ASSENTAMENTO COM PREPARO EM BETONEIRA. AF_06/2014</v>
          </cell>
          <cell r="C5007" t="str">
            <v>M2</v>
          </cell>
          <cell r="D5007">
            <v>62.58</v>
          </cell>
        </row>
        <row r="5008">
          <cell r="A5008">
            <v>87508</v>
          </cell>
          <cell r="B5008" t="str">
            <v>ALVENARIA DE VEDAÇÃO DE BLOCOS CERÂMICOS FURADOS NA HORIZONTAL DE 9X14X19CM (ESPESSURA 9CM) DE PAREDES COM ÁREA LÍQUIDA MAIOR OU IGUAL A 6M² SEM VÃOS E ARGAMASSA DE ASSENTAMENTO COM PREPARO MANUAL. AF_06/2014</v>
          </cell>
          <cell r="C5008" t="str">
            <v>M2</v>
          </cell>
          <cell r="D5008">
            <v>63.72</v>
          </cell>
        </row>
        <row r="5009">
          <cell r="A5009">
            <v>87509</v>
          </cell>
          <cell r="B5009" t="str">
            <v>ALVENARIA DE VEDAÇÃO DE BLOCOS CERÂMICOS FURADOS NA HORIZONTAL DE 14X9X19CM (ESPESSURA 14CM, BLOCO DEITADO) DE PAREDES COM ÁREA LÍQUIDA MAIOR OU IGUAL A 6M² SEM VÃOS E ARGAMASSA DE ASSENTAMENTO COM PREPARO EM BETONEIRA. AF_06/2014</v>
          </cell>
          <cell r="C5009" t="str">
            <v>M2</v>
          </cell>
          <cell r="D5009">
            <v>96.45</v>
          </cell>
        </row>
        <row r="5010">
          <cell r="A5010">
            <v>87510</v>
          </cell>
          <cell r="B5010" t="str">
            <v>ALVENARIA DE VEDAÇÃO DE BLOCOS CERÂMICOS FURADOS NA HORIZONTAL DE 14X9X19CM (ESPESSURA 14CM, BLOCO DEITADO) DE PAREDES COM ÁREA LÍQUIDA MAIOR OU IGUAL A 6M² SEM VÃOS E ARGAMASSA DE ASSENTAMENTO COM PREPARO MANUAL. AF_06/2014</v>
          </cell>
          <cell r="C5010" t="str">
            <v>M2</v>
          </cell>
          <cell r="D5010">
            <v>97.91</v>
          </cell>
        </row>
        <row r="5011">
          <cell r="A5011">
            <v>87511</v>
          </cell>
          <cell r="B5011" t="str">
            <v>ALVENARIA DE VEDAÇÃO DE BLOCOS CERÂMICOS FURADOS NA HORIZONTAL DE 9X19X19CM (ESPESSURA 9CM) DE PAREDES COM ÁREA LÍQUIDA MENOR QUE 6M² COM VÃOS E ARGAMASSA DE ASSENTAMENTO COM PREPARO EM BETONEIRA. AF_06/2014</v>
          </cell>
          <cell r="C5011" t="str">
            <v>M2</v>
          </cell>
          <cell r="D5011">
            <v>77.88</v>
          </cell>
        </row>
        <row r="5012">
          <cell r="A5012">
            <v>87512</v>
          </cell>
          <cell r="B5012" t="str">
            <v>ALVENARIA DE VEDAÇÃO DE BLOCOS CERÂMICOS FURADOS NA HORIZONTAL DE 9X19X19CM (ESPESSURA 9CM) DE PAREDES COM ÁREA LÍQUIDA MENOR QUE 6M² COM VÃOS E ARGAMASSA DE ASSENTAMENTO COM PREPARO MANUAL. AF_06/2014</v>
          </cell>
          <cell r="C5012" t="str">
            <v>M2</v>
          </cell>
          <cell r="D5012">
            <v>78.930000000000007</v>
          </cell>
        </row>
        <row r="5013">
          <cell r="A5013">
            <v>87513</v>
          </cell>
          <cell r="B5013" t="str">
            <v>ALVENARIA DE VEDAÇÃO DE BLOCOS CERÂMICOS FURADOS NA HORIZONTAL DE 11,5X19X19CM (ESPESSURA 11,5CM) DE PAREDES COM ÁREA LÍQUIDA MENOR QUE 6M² COM VÃOS E ARGAMASSA DE ASSENTAMENTO COM PREPARO EM BETONEIRA. AF_06/2014</v>
          </cell>
          <cell r="C5013" t="str">
            <v>M2</v>
          </cell>
          <cell r="D5013">
            <v>75.7</v>
          </cell>
        </row>
        <row r="5014">
          <cell r="A5014">
            <v>87514</v>
          </cell>
          <cell r="B5014" t="str">
            <v>ALVENARIA DE VEDAÇÃO DE BLOCOS CERÂMICOS FURADOS NA HORIZONTAL DE 11,5X19X19CM (ESPESSURA 11,5CM) DE PAREDES COM ÁREA LÍQUIDA MENOR QUE 6M² COM VÃOS E ARGAMASSA DE ASSENTAMENTO COM PREPARO MANUAL. AF_06/2014</v>
          </cell>
          <cell r="C5014" t="str">
            <v>M2</v>
          </cell>
          <cell r="D5014">
            <v>77.05</v>
          </cell>
        </row>
        <row r="5015">
          <cell r="A5015">
            <v>87515</v>
          </cell>
          <cell r="B5015" t="str">
            <v>ALVENARIA DE VEDAÇÃO DE BLOCOS CERÂMICOS FURADOS NA HORIZONTAL DE 9X14X19CM (ESPESSURA 9CM) DE PAREDES COM ÁREA LÍQUIDA MENOR QUE 6M² COM VÃOS E ARGAMASSA DE ASSENTAMENTO COM PREPARO EM BETONEIRA. AF_06/2014</v>
          </cell>
          <cell r="C5015" t="str">
            <v>M2</v>
          </cell>
          <cell r="D5015">
            <v>87.28</v>
          </cell>
        </row>
        <row r="5016">
          <cell r="A5016">
            <v>87516</v>
          </cell>
          <cell r="B5016" t="str">
            <v>ALVENARIA DE VEDAÇÃO DE BLOCOS CERÂMICOS FURADOS NA HORIZONTAL DE 9X14X19CM (ESPESSURA 9CM) DE PAREDES COM ÁREA LÍQUIDA MENOR QUE 6M² COM VÃOS E ARGAMASSA DE ASSENTAMENTO COM PREPARO MANUAL. AF_06/2014</v>
          </cell>
          <cell r="C5016" t="str">
            <v>M2</v>
          </cell>
          <cell r="D5016">
            <v>88.42</v>
          </cell>
        </row>
        <row r="5017">
          <cell r="A5017">
            <v>87517</v>
          </cell>
          <cell r="B5017" t="str">
            <v>ALVENARIA DE VEDAÇÃO DE BLOCOS CERÂMICOS FURADOS NA HORIZONTAL DE 14X9X19CM (ESPESSURA 14CM, BLOCO DEITADO) DE PAREDES COM ÁREA LÍQUIDA MENOR QUE 6M² COM VÃOS E ARGAMASSA DE ASSENTAMENTO COM PREPARO EM BETONEIRA. AF_06/2014</v>
          </cell>
          <cell r="C5017" t="str">
            <v>M2</v>
          </cell>
          <cell r="D5017">
            <v>135.63999999999999</v>
          </cell>
        </row>
        <row r="5018">
          <cell r="A5018">
            <v>87518</v>
          </cell>
          <cell r="B5018" t="str">
            <v>ALVENARIA DE VEDAÇÃO DE BLOCOS CERÂMICOS FURADOS NA HORIZONTAL DE 14X9X19CM (ESPESSURA 14CM, BLOCO DEITADO) DE PAREDES COM ÁREA LÍQUIDA MENOR QUE 6M² COM VÃOS E ARGAMASSA DE ASSENTAMENTO COM PREPARO MANUAL. AF_06/2014</v>
          </cell>
          <cell r="C5018" t="str">
            <v>M2</v>
          </cell>
          <cell r="D5018">
            <v>137.1</v>
          </cell>
        </row>
        <row r="5019">
          <cell r="A5019">
            <v>87519</v>
          </cell>
          <cell r="B5019" t="str">
            <v>ALVENARIA DE VEDAÇÃO DE BLOCOS CERÂMICOS FURADOS NA HORIZONTAL DE 9X19X19CM (ESPESSURA 9CM) DE PAREDES COM ÁREA LÍQUIDA MAIOR OU IGUAL A 6M² COM VÃOS E ARGAMASSA DE ASSENTAMENTO COM PREPARO EM BETONEIRA. AF_06/2014</v>
          </cell>
          <cell r="C5019" t="str">
            <v>M2</v>
          </cell>
          <cell r="D5019">
            <v>64.98</v>
          </cell>
        </row>
        <row r="5020">
          <cell r="A5020">
            <v>87520</v>
          </cell>
          <cell r="B5020" t="str">
            <v>ALVENARIA DE VEDAÇÃO DE BLOCOS CERÂMICOS FURADOS NA HORIZONTAL DE 9X19X19CM (ESPESSURA 9CM) DE PAREDES COM ÁREA LÍQUIDA MAIOR OU IGUAL A 6M² COM VÃOS E ARGAMASSA DE ASSENTAMENTO COM PREPARO MANUAL. AF_06/2014</v>
          </cell>
          <cell r="C5020" t="str">
            <v>M2</v>
          </cell>
          <cell r="D5020">
            <v>66.03</v>
          </cell>
        </row>
        <row r="5021">
          <cell r="A5021">
            <v>87521</v>
          </cell>
          <cell r="B5021" t="str">
            <v>ALVENARIA DE VEDAÇÃO DE BLOCOS CERÂMICOS FURADOS NA HORIZONTAL DE 11,5X19X19CM (ESPESSURA 11,5CM) DE PAREDES COM ÁREA LÍQUIDA MAIOR OU IGUAL A 6M² COM VÃOS E ARGAMASSA DE ASSENTAMENTO COM PREPARO EM BETONEIRA. AF_06/2014</v>
          </cell>
          <cell r="C5021" t="str">
            <v>M2</v>
          </cell>
          <cell r="D5021">
            <v>62.62</v>
          </cell>
        </row>
        <row r="5022">
          <cell r="A5022">
            <v>87522</v>
          </cell>
          <cell r="B5022" t="str">
            <v>ALVENARIA DE VEDAÇÃO DE BLOCOS CERÂMICOS FURADOS NA HORIZONTAL DE 11,5X19X19CM (ESPESSURA 11,5CM) DE PAREDES COM ÁREA LÍQUIDA MAIOR OU IGUAL A 6M² COM VÃOS E ARGAMASSA DE ASSENTAMENTO COM PREPARO MANUAL. AF_06/2014</v>
          </cell>
          <cell r="C5022" t="str">
            <v>M2</v>
          </cell>
          <cell r="D5022">
            <v>63.97</v>
          </cell>
        </row>
        <row r="5023">
          <cell r="A5023">
            <v>87523</v>
          </cell>
          <cell r="B5023" t="str">
            <v>ALVENARIA DE VEDAÇÃO DE BLOCOS CERÂMICOS FURADOS NA HORIZONTAL DE 9X14X19CM (ESPESSURA 9CM) DE PAREDES COM ÁREA LÍQUIDA MAIOR OU IGUAL A 6M² COM VÃOS E ARGAMASSA DE ASSENTAMENTO COM PREPARO EM BETONEIRA. AF_06/2014</v>
          </cell>
          <cell r="C5023" t="str">
            <v>M2</v>
          </cell>
          <cell r="D5023">
            <v>69.75</v>
          </cell>
        </row>
        <row r="5024">
          <cell r="A5024">
            <v>87524</v>
          </cell>
          <cell r="B5024" t="str">
            <v>ALVENARIA DE VEDAÇÃO DE BLOCOS CERÂMICOS FURADOS NA HORIZONTAL DE 9X14X19CM (ESPESSURA 9CM) DE PAREDES COM ÁREA LÍQUIDA MAIOR OU IGUAL A 6M² COM VÃOS E ARGAMASSA DE ASSENTAMENTO COM PREPARO MANUAL. AF_06/2014</v>
          </cell>
          <cell r="C5024" t="str">
            <v>M2</v>
          </cell>
          <cell r="D5024">
            <v>70.89</v>
          </cell>
        </row>
        <row r="5025">
          <cell r="A5025">
            <v>87525</v>
          </cell>
          <cell r="B5025" t="str">
            <v>ALVENARIA DE VEDAÇÃO DE BLOCOS CERÂMICOS FURADOS NA HORIZONTAL DE 14X9X19CM (ESPESSURA 14CM, BLOCO DEITADO) DE PAREDES COM ÁREA LÍQUIDA MAIOR OU IGUAL A 6M² COM VÃOS E ARGAMASSA DE ASSENTAMENTO COM PREPARO EM BETONEIRA. AF_06/2014</v>
          </cell>
          <cell r="C5025" t="str">
            <v>M2</v>
          </cell>
          <cell r="D5025">
            <v>107.56</v>
          </cell>
        </row>
        <row r="5026">
          <cell r="A5026">
            <v>87526</v>
          </cell>
          <cell r="B5026" t="str">
            <v>ALVENARIA DE VEDAÇÃO DE BLOCOS CERÂMICOS FURADOS NA HORIZONTAL DE 14X9X19CM (ESPESSURA 14CM, BLOCO DEITADO) DE PAREDES COM ÁREA LÍQUIDA MAIOR OU IGUAL A 6M² COM VÃOS E ARGAMASSA DE ASSENTAMENTO COM PREPARO MANUAL. AF_06/2014</v>
          </cell>
          <cell r="C5026" t="str">
            <v>M2</v>
          </cell>
          <cell r="D5026">
            <v>109.02</v>
          </cell>
        </row>
        <row r="5027">
          <cell r="A5027">
            <v>89043</v>
          </cell>
          <cell r="B5027" t="str">
            <v>(COMPOSIÇÃO REPRESENTATIVA) DO SERVIÇO DE ALVENARIA DE VEDAÇÃO DE BLOCOS VAZADOS DE CERÂMICA DE 9X19X19CM (ESPESSURA 9CM), PARA EDIFICAÇÃO HABITACIONAL MULTIFAMILIAR (PRÉDIO). AF_11/2014</v>
          </cell>
          <cell r="C5027" t="str">
            <v>M2</v>
          </cell>
          <cell r="D5027">
            <v>66.19</v>
          </cell>
        </row>
        <row r="5028">
          <cell r="A5028">
            <v>89168</v>
          </cell>
          <cell r="B5028" t="str">
            <v>(COMPOSIÇÃO REPRESENTATIVA) DO SERVIÇO DE ALVENARIA DE VEDAÇÃO DE BLOCOS VAZADOS DE CERÂMICA DE 9X19X19CM (ESPESSURA 9CM), PARA EDIFICAÇÃO HABITACIONAL UNIFAMILIAR (CASA) E EDIFICAÇÃO PÚBLICA PADRÃO. AF_11/2014</v>
          </cell>
          <cell r="C5028" t="str">
            <v>M2</v>
          </cell>
          <cell r="D5028">
            <v>68.099999999999994</v>
          </cell>
        </row>
        <row r="5029">
          <cell r="A5029">
            <v>89977</v>
          </cell>
          <cell r="B5029" t="str">
            <v>(COMPOSIÇÃO REPRESENTATIVA) DO SERVIÇO DE ALVENARIA DE VEDAÇÃO DE BLOCOS VAZADOS DE CERÂMICA DE 14X9X19CM (ESPESSURA 14CM, BLOCO DEITADO), PARA EDIFICAÇÃO HABITACIONAL UNIFAMILIAR (CASA) E EDIFICAÇÃO PÚBLICA PADRÃO. AF_12/2014</v>
          </cell>
          <cell r="C5029" t="str">
            <v>M2</v>
          </cell>
          <cell r="D5029">
            <v>114.51</v>
          </cell>
        </row>
        <row r="5030">
          <cell r="A5030">
            <v>90112</v>
          </cell>
          <cell r="B5030" t="str">
            <v>ALVENARIA DE VEDAÇÃO DE BLOCOS CERÂMICOS FURADOS NA VERTICAL DE 14X19X39CM (ESPESSURA 14CM) DE PAREDES COM ÁREA LÍQUIDA MENOR QUE 6M2 COM VÃOS E ARGAMASSA DE ASSENTAMENTO COM PREPARO MANUAL. AF_06/2014</v>
          </cell>
          <cell r="C5030" t="str">
            <v>M2</v>
          </cell>
          <cell r="D5030">
            <v>64.45</v>
          </cell>
        </row>
        <row r="5031">
          <cell r="A5031">
            <v>95474</v>
          </cell>
          <cell r="B5031" t="str">
            <v>ALVENARIA DE EMBASAMENTO EM TIJOLOS CERAMICOS MACICOS 5X10X20CM, ASSENTADO  COM ARGAMASSA TRACO 1:2:8 (CIMENTO, CAL E AREIA)</v>
          </cell>
          <cell r="C5031" t="str">
            <v>M3</v>
          </cell>
          <cell r="D5031">
            <v>649.98</v>
          </cell>
        </row>
        <row r="5032">
          <cell r="A5032">
            <v>89282</v>
          </cell>
          <cell r="B5032" t="str">
            <v>ALVENARIA ESTRUTURAL DE BLOCOS CERÂMICOS 14X19X39, (ESPESSURA DE 14 CM), PARA PAREDES COM ÁREA LÍQUIDA MENOR QUE 6M², SEM VÃOS, UTILIZANDO PALHETA E ARGAMASSA DE ASSENTAMENTO COM PREPARO EM BETONEIRA. AF_12/2014</v>
          </cell>
          <cell r="C5032" t="str">
            <v>M2</v>
          </cell>
          <cell r="D5032">
            <v>54.27</v>
          </cell>
        </row>
        <row r="5033">
          <cell r="A5033">
            <v>89283</v>
          </cell>
          <cell r="B5033" t="str">
            <v>ALVENARIA ESTRUTURAL DE BLOCOS CERÂMICOS 14X19X39, (ESPESSURA DE 14 CM), PARA PAREDES COM ÁREA LÍQUIDA MENOR QUE 6M², SEM VÃOS, UTILIZANDO PALHETA E ARGAMASSA DE ASSENTAMENTO COM PREPARO MANUAL. AF_12/2014</v>
          </cell>
          <cell r="C5033" t="str">
            <v>M2</v>
          </cell>
          <cell r="D5033">
            <v>55.58</v>
          </cell>
        </row>
        <row r="5034">
          <cell r="A5034">
            <v>89284</v>
          </cell>
          <cell r="B5034" t="str">
            <v>ALVENARIA ESTRUTURAL DE BLOCOS CERÂMICOS 14X19X39, (ESPESSURA DE 14 CM), PARA PAREDES COM ÁREA LÍQUIDA MAIOR OU IGUAL QUE 6M², SEM VÃOS, UTILIZANDO PALHETA E ARGAMASSA DE ASSENTAMENTO COM PREPARO EM BETONEIRA. AF_12/2014</v>
          </cell>
          <cell r="C5034" t="str">
            <v>M2</v>
          </cell>
          <cell r="D5034">
            <v>49.66</v>
          </cell>
        </row>
        <row r="5035">
          <cell r="A5035">
            <v>89285</v>
          </cell>
          <cell r="B5035" t="str">
            <v>ALVENARIA ESTRUTURAL DE BLOCOS CERÂMICOS 14X19X39, (ESPESSURA DE 14 CM), PARA PAREDES COM ÁREA LÍQUIDA MAIOR OU IGUAL QUE 6M², SEM VÃOS, UTILIZANDO PALHETA E ARGAMASSA DE ASSENTAMENTO COM PREPARO MANUAL. AF_12/2014</v>
          </cell>
          <cell r="C5035" t="str">
            <v>M2</v>
          </cell>
          <cell r="D5035">
            <v>50.97</v>
          </cell>
        </row>
        <row r="5036">
          <cell r="A5036">
            <v>89286</v>
          </cell>
          <cell r="B5036" t="str">
            <v>ALVENARIA ESTRUTURAL DE BLOCOS CERÂMICOS 14X19X39, (ESPESSURA DE 14 CM), PARA PAREDES COM ÁREA LÍQUIDA MENOR QUE 6M², COM VÃOS, UTILIZANDO PALHETA E ARGAMASSA DE ASSENTAMENTO COM PREPARO EM BETONEIRA. AF_12/2014</v>
          </cell>
          <cell r="C5036" t="str">
            <v>M2</v>
          </cell>
          <cell r="D5036">
            <v>58.76</v>
          </cell>
        </row>
        <row r="5037">
          <cell r="A5037">
            <v>89287</v>
          </cell>
          <cell r="B5037" t="str">
            <v>ALVENARIA ESTRUTURAL DE BLOCOS CERÂMICOS 14X19X39, (ESPESSURA DE 14 CM), PARA PAREDES COM ÁREA LÍQUIDA MENOR QUE 6M², COM VÃOS, UTILIZANDO PALHETA E ARGAMASSA DE ASSENTAMENTO COM PREPARO MANUAL. AF_12/2014</v>
          </cell>
          <cell r="C5037" t="str">
            <v>M2</v>
          </cell>
          <cell r="D5037">
            <v>60.07</v>
          </cell>
        </row>
        <row r="5038">
          <cell r="A5038">
            <v>89288</v>
          </cell>
          <cell r="B5038" t="str">
            <v>ALVENARIA ESTRUTURAL DE BLOCOS CERÂMICOS 14X19X39, (ESPESSURA DE 14 CM), PARA PAREDES COM ÁREA LÍQUIDA MAIOR OU IGUAL A 6M², COM VÃOS, UTILIZANDO PALHETA E ARGAMASSA DE ASSENTAMENTO COM PREPARO EM BETONEIRA. AF_12/2014</v>
          </cell>
          <cell r="C5038" t="str">
            <v>M2</v>
          </cell>
          <cell r="D5038">
            <v>52.37</v>
          </cell>
        </row>
        <row r="5039">
          <cell r="A5039">
            <v>89289</v>
          </cell>
          <cell r="B5039" t="str">
            <v>ALVENARIA ESTRUTURAL DE BLOCOS CERÂMICOS 14X19X39, (ESPESSURA DE 14 CM), PARA PAREDES COM ÁREA LÍQUIDA MAIOR OU IGUAL A 6M², COM VÃOS, UTILIZANDO PALHETA E ARGAMASSA DE ASSENTAMENTO COM PREPARO MANUAL. AF_12/2014</v>
          </cell>
          <cell r="C5039" t="str">
            <v>M2</v>
          </cell>
          <cell r="D5039">
            <v>53.68</v>
          </cell>
        </row>
        <row r="5040">
          <cell r="A5040">
            <v>89290</v>
          </cell>
          <cell r="B5040" t="str">
            <v>ALVENARIA ESTRUTURAL DE BLOCOS CERÂMICOS 14X19X29, (ESPESSURA DE 14 CM), PARA PAREDES COM ÁREA LÍQUIDA MENOR QUE 6M², SEM VÃOS, UTILIZANDO PALHETA E ARGAMASSA DE ASSENTAMENTO COM PREPARO EM BETONEIRA. AF_12/2014</v>
          </cell>
          <cell r="C5040" t="str">
            <v>M2</v>
          </cell>
          <cell r="D5040">
            <v>62.94</v>
          </cell>
        </row>
        <row r="5041">
          <cell r="A5041">
            <v>89291</v>
          </cell>
          <cell r="B5041" t="str">
            <v>ALVENARIA ESTRUTURAL DE BLOCOS CERÂMICOS 14X19X29, (ESPESSURA DE 14 CM), PARA PAREDES COM ÁREA LÍQUIDA MENOR QUE 6M², SEM VÃOS, UTILIZANDO PALHETA E ARGAMASSA DE ASSENTAMENTO COM PREPARO MANUAL. AF_12/2014</v>
          </cell>
          <cell r="C5041" t="str">
            <v>M2</v>
          </cell>
          <cell r="D5041">
            <v>64.39</v>
          </cell>
        </row>
        <row r="5042">
          <cell r="A5042">
            <v>89292</v>
          </cell>
          <cell r="B5042" t="str">
            <v>ALVENARIA ESTRUTURAL DE BLOCOS CERÂMICOS 14X19X29, (ESPESSURA DE 14 CM), PARA PAREDES COM ÁREA LÍQUIDA MAIOR OU IGUAL A 6M², SEM VÃOS, UTILIZANDO PALHETA E ARGAMASSA DE ASSENTAMENTO COM PREPARO EM BETONEIRA. AF_12/2014</v>
          </cell>
          <cell r="C5042" t="str">
            <v>M2</v>
          </cell>
          <cell r="D5042">
            <v>58.4</v>
          </cell>
        </row>
        <row r="5043">
          <cell r="A5043">
            <v>89293</v>
          </cell>
          <cell r="B5043" t="str">
            <v>ALVENARIA ESTRUTURAL DE BLOCOS CERÂMICOS 14X19X29, (ESPESSURA DE 14 CM), PARA PAREDES COM ÁREA LÍQUIDA MAIOR OU IGUAL A 6M2, SEM VÃOS, UTILIZANDO PALHETA E ARGAMASSA DE ASSENTAMENTO COM PREPARO MANUAL. AF_12/2014</v>
          </cell>
          <cell r="C5043" t="str">
            <v>M2</v>
          </cell>
          <cell r="D5043">
            <v>59.85</v>
          </cell>
        </row>
        <row r="5044">
          <cell r="A5044">
            <v>89294</v>
          </cell>
          <cell r="B5044" t="str">
            <v>ALVENARIA ESTRUTURAL DE BLOCOS CERÂMICOS 14X19X29, (ESPESSURA DE 14 CM), PARA PAREDES COM ÁREA LÍQUIDA MENOR QUE 6M², COM VÃOS, UTILIZANDO PALHETA E ARGAMASSA DE ASSENTAMENTO COM PREPARO EM BETONEIRA. AF_12/2014</v>
          </cell>
          <cell r="C5044" t="str">
            <v>M2</v>
          </cell>
          <cell r="D5044">
            <v>68.95</v>
          </cell>
        </row>
        <row r="5045">
          <cell r="A5045">
            <v>89295</v>
          </cell>
          <cell r="B5045" t="str">
            <v>ALVENARIA ESTRUTURAL DE BLOCOS CERÂMICOS 14X19X29, (ESPESSURA DE 14 CM), PARA PAREDES COM ÁREA LÍQUIDA MENOR QUE 6M², COM VÃOS, UTILIZANDO PALHETA E ARGAMASSA DE ASSENTAMENTO COM PREPARO MANUAL. AF_12/2014</v>
          </cell>
          <cell r="C5045" t="str">
            <v>M2</v>
          </cell>
          <cell r="D5045">
            <v>70.400000000000006</v>
          </cell>
        </row>
        <row r="5046">
          <cell r="A5046">
            <v>89296</v>
          </cell>
          <cell r="B5046" t="str">
            <v>ALVENARIA ESTRUTURAL DE BLOCOS CERÂMICOS 14X19X29, (ESPESSURA DE 14 CM), PARA PAREDES COM ÁREA LÍQUIDA MAIOR OU IGUAL A 6M², COM VÃOS, UTILIZANDO PALHETA E ARGAMASSA DE ASSENTAMENTO COM PREPARO EM BETONEIRA. AF_12/2014</v>
          </cell>
          <cell r="C5046" t="str">
            <v>M2</v>
          </cell>
          <cell r="D5046">
            <v>61.88</v>
          </cell>
        </row>
        <row r="5047">
          <cell r="A5047">
            <v>89297</v>
          </cell>
          <cell r="B5047" t="str">
            <v>ALVENARIA ESTRUTURAL DE BLOCOS CERÂMICOS 14X19X29, (ESPESSURA DE 14 CM), PARA PAREDES COM ÁREA LÍQUIDA MAIOR OU IGUAL A 6M², COM VÃOS, UTILIZANDO PALHETA E ARGAMASSA DE ASSENTAMENTO COM PREPARO MANUAL. AF_12/2014</v>
          </cell>
          <cell r="C5047" t="str">
            <v>M2</v>
          </cell>
          <cell r="D5047">
            <v>63.33</v>
          </cell>
        </row>
        <row r="5048">
          <cell r="A5048">
            <v>89298</v>
          </cell>
          <cell r="B5048" t="str">
            <v>ALVENARIA ESTRUTURAL DE BLOCOS CERÂMICOS 14X19X39, (ESPESSURA DE 14 CM), PARA PAREDES COM ÁREA LÍQUIDA MENOR QUE 6M², SEM VÃOS, UTILIZANDO COLHER DE PEDREIRO E ARGAMASSA DE ASSENTAMENTO COM PREPARO EM BETONEIRA. AF_12/2014</v>
          </cell>
          <cell r="C5048" t="str">
            <v>M2</v>
          </cell>
          <cell r="D5048">
            <v>64.22</v>
          </cell>
        </row>
        <row r="5049">
          <cell r="A5049">
            <v>89299</v>
          </cell>
          <cell r="B5049" t="str">
            <v>ALVENARIA ESTRUTURAL DE BLOCOS CERÂMICOS 14X19X39, (ESPESSURA DE 14 CM), PARA PAREDES COM ÁREA LÍQUIDA MENOR QUE 6M², SEM VÃOS, UTILIZANDO COLHER DE PEDREIRO E ARGAMASSA DE ASSENTAMENTO COM PREPARO MANUAL. AF_12/2014</v>
          </cell>
          <cell r="C5049" t="str">
            <v>M2</v>
          </cell>
          <cell r="D5049">
            <v>66.069999999999993</v>
          </cell>
        </row>
        <row r="5050">
          <cell r="A5050">
            <v>89300</v>
          </cell>
          <cell r="B5050" t="str">
            <v>ALVENARIA ESTRUTURAL DE BLOCOS CERÂMICOS 14X19X39, (ESPESSURA DE 14 CM), PARA PAREDES COM ÁREA LÍQUIDA MAIOR OU IGUAL A 6M², SEM VÃOS, UTILIZANDO COLHER DE PEDREIRO E ARGAMASSA DE ASSENTAMENTO COM PREPARO EM BETONEIRA. AF_12/2014</v>
          </cell>
          <cell r="C5050" t="str">
            <v>M2</v>
          </cell>
          <cell r="D5050">
            <v>59.61</v>
          </cell>
        </row>
        <row r="5051">
          <cell r="A5051">
            <v>89301</v>
          </cell>
          <cell r="B5051" t="str">
            <v>ALVENARIA ESTRUTURAL DE BLOCOS CERÂMICOS 14X19X39, (ESPESSURA DE 14 CM), PARA PAREDES COM ÁREA LÍQUIDA MAIOR OU IGUAL A 6M², SEM VÃOS, UTILIZANDO COLHER DE PEDREIRO E ARGAMASSA DE ASSENTAMENTO COM PREPARO MANUAL. AF_12/2014</v>
          </cell>
          <cell r="C5051" t="str">
            <v>M2</v>
          </cell>
          <cell r="D5051">
            <v>61.46</v>
          </cell>
        </row>
        <row r="5052">
          <cell r="A5052">
            <v>89302</v>
          </cell>
          <cell r="B5052" t="str">
            <v>ALVENARIA ESTRUTURAL DE BLOCOS CERÂMICOS 14X19X39, (ESPESSURA DE 14 CM), PARA PAREDES COM ÁREA LÍQUIDA MENOR QUE 6M², COM VÃOS, UTILIZANDO COLHER DE PEDREIRO E ARGAMASSA DE ASSENTAMENTO COM PREPARO EM BETONEIRA. AF_12/2014</v>
          </cell>
          <cell r="C5052" t="str">
            <v>M2</v>
          </cell>
          <cell r="D5052">
            <v>71.72</v>
          </cell>
        </row>
        <row r="5053">
          <cell r="A5053">
            <v>89303</v>
          </cell>
          <cell r="B5053" t="str">
            <v>ALVENARIA ESTRUTURAL DE BLOCOS CERÂMICOS 14X19X39, (ESPESSURA DE 14 CM), PARA PAREDES COM ÁREA LÍQUIDA MENOR QUE 6M², COM VÃOS, UTILIZANDO COLHER DE PEDREIRO E ARGAMASSA DE ASSENTAMENTO COM PREPARO MANUAL. AF_12/2014</v>
          </cell>
          <cell r="C5053" t="str">
            <v>M2</v>
          </cell>
          <cell r="D5053">
            <v>73.569999999999993</v>
          </cell>
        </row>
        <row r="5054">
          <cell r="A5054">
            <v>89304</v>
          </cell>
          <cell r="B5054" t="str">
            <v>ALVENARIA ESTRUTURAL DE BLOCOS CERÂMICOS 14X19X39, (ESPESSURA DE 14 CM), PARA PAREDES COM ÁREA LÍQUIDA MAIOR OU IGUAL A 6M², COM VÃOS, UTILIZANDO COLHER DE PEDREIRO E ARGAMASSA DE ASSENTAMENTO COM PREPARO EM BETONEIRA. AF_12/2014</v>
          </cell>
          <cell r="C5054" t="str">
            <v>M2</v>
          </cell>
          <cell r="D5054">
            <v>64.19</v>
          </cell>
        </row>
        <row r="5055">
          <cell r="A5055">
            <v>89305</v>
          </cell>
          <cell r="B5055" t="str">
            <v>ALVENARIA ESTRUTURAL DE BLOCOS CERÂMICOS 14X19X39, (ESPESSURA DE 14 CM), PARA PAREDES COM ÁREA LÍQUIDA MAIOR OU IGUAL A 6M², COM VÃOS, UTILIZANDO COLHER DE PEDREIRO E ARGAMASSA DE ASSENTAMENTO COM PREPARO MANUAL. AF_12/2014</v>
          </cell>
          <cell r="C5055" t="str">
            <v>M2</v>
          </cell>
          <cell r="D5055">
            <v>66.040000000000006</v>
          </cell>
        </row>
        <row r="5056">
          <cell r="A5056">
            <v>89306</v>
          </cell>
          <cell r="B5056" t="str">
            <v>ALVENARIA ESTRUTURAL DE BLOCOS CERÂMICOS 14X19X29, (ESPESSURA DE 14 CM), PARA PAREDES COM ÁREA LÍQUIDA MENOR QUE 6M², SEM VÃOS, UTILIZANDO COLHER DE PEDREIRO E ARGAMASSA DE ASSENTAMENTO COM PREPARO EM BETONEIRA. AF_12/2014</v>
          </cell>
          <cell r="C5056" t="str">
            <v>M2</v>
          </cell>
          <cell r="D5056">
            <v>73.09</v>
          </cell>
        </row>
        <row r="5057">
          <cell r="A5057">
            <v>89307</v>
          </cell>
          <cell r="B5057" t="str">
            <v>ALVENARIA ESTRUTURAL DE BLOCOS CERÂMICOS 14X19X29, (ESPESSURA DE 14 CM), PARA PAREDES COM ÁREA LÍQUIDA MENOR QUE 6M², SEM VÃOS, UTILIZANDO COLHER DE PEDREIRO E ARGAMASSA DE ASSENTAMENTO COM PREPARO MANUAL. AF_12/2014</v>
          </cell>
          <cell r="C5057" t="str">
            <v>M2</v>
          </cell>
          <cell r="D5057">
            <v>75.14</v>
          </cell>
        </row>
        <row r="5058">
          <cell r="A5058">
            <v>89308</v>
          </cell>
          <cell r="B5058" t="str">
            <v>ALVENARIA ESTRUTURAL DE BLOCOS CERÂMICOS 14X19X29, (ESPESSURA DE 14 CM), PARA PAREDES COM ÁREA LÍQUIDA MAIOR OU IGUAL A 6M², SEM VÃOS, UTILIZANDO COLHER DE PEDREIRO E ARGAMASSA DE ASSENTAMENTO COM PREPARO EM BETONEIRA. AF_12/2014</v>
          </cell>
          <cell r="C5058" t="str">
            <v>M2</v>
          </cell>
          <cell r="D5058">
            <v>68.55</v>
          </cell>
        </row>
        <row r="5059">
          <cell r="A5059">
            <v>89309</v>
          </cell>
          <cell r="B5059" t="str">
            <v>ALVENARIA ESTRUTURAL DE BLOCOS CERÂMICOS 14X19X29, (ESPESSURA DE 14 CM), PARA PAREDES COM ÁREA LÍQUIDA MAIOR OU IGUAL A 6M², SEM VÃOS, UTILIZANDO COLHER DE PEDREIRO E ARGAMASSA DE ASSENTAMENTO COM PREPARO MANUAL. AF_12/2014</v>
          </cell>
          <cell r="C5059" t="str">
            <v>M2</v>
          </cell>
          <cell r="D5059">
            <v>70.599999999999994</v>
          </cell>
        </row>
        <row r="5060">
          <cell r="A5060">
            <v>89310</v>
          </cell>
          <cell r="B5060" t="str">
            <v>ALVENARIA ESTRUTURAL DE BLOCOS CERÂMICOS 14X19X29, (ESPESSURA DE 14 CM), PARA PAREDES COM ÁREA LÍQUIDA MENOR QUE 6M², COM VÃOS, UTILIZANDO COLHER DE PEDREIRO E ARGAMASSA DE ASSENTAMENTO COM PREPARO EM BETONEIRA. AF_12/2014</v>
          </cell>
          <cell r="C5060" t="str">
            <v>M2</v>
          </cell>
          <cell r="D5060">
            <v>82.04</v>
          </cell>
        </row>
        <row r="5061">
          <cell r="A5061">
            <v>89311</v>
          </cell>
          <cell r="B5061" t="str">
            <v>ALVENARIA ESTRUTURAL DE BLOCOS CERÂMICOS 14X19X29, (ESPESSURA DE 14 CM), PARA PAREDES COM ÁREA LÍQUIDA MENOR QUE 6M², COM VÃOS, UTILIZANDO COLHER DE PEDREIRO E ARGAMASSA DE ASSENTAMENTO COM PREPARO MANUAL. AF_12/2014</v>
          </cell>
          <cell r="C5061" t="str">
            <v>M2</v>
          </cell>
          <cell r="D5061">
            <v>84.09</v>
          </cell>
        </row>
        <row r="5062">
          <cell r="A5062">
            <v>89312</v>
          </cell>
          <cell r="B5062" t="str">
            <v>ALVENARIA ESTRUTURAL DE BLOCOS CERÂMICOS 14X19X29, (ESPESSURA DE 14 CM), PARA PAREDES COM ÁREA LÍQUIDA MAIOR OU IGUAL A 6M², COM VÃOS, UTILIZANDO COLHER DE PEDREIRO E ARGAMASSA DE ASSENTAMENTO COM PREPARO EM BETONEIRA. AF_12/2014</v>
          </cell>
          <cell r="C5062" t="str">
            <v>M2</v>
          </cell>
          <cell r="D5062">
            <v>73.900000000000006</v>
          </cell>
        </row>
        <row r="5063">
          <cell r="A5063">
            <v>89313</v>
          </cell>
          <cell r="B5063" t="str">
            <v>ALVENARIA ESTRUTURAL DE BLOCOS CERÂMICOS 14X19X29, (ESPESSURA DE 14 CM), PARA PAREDES COM ÁREA LÍQUIDA MAIOR OU IGUAL A 6M², COM VÃOS, UTILIZANDO COLHER DE PEDREIRO E ARGAMASSA DE ASSENTAMENTO COM PREPARO MANUAL. AF_12/2014</v>
          </cell>
          <cell r="C5063" t="str">
            <v>M2</v>
          </cell>
          <cell r="D5063">
            <v>75.95</v>
          </cell>
        </row>
        <row r="5064">
          <cell r="A5064">
            <v>95465</v>
          </cell>
          <cell r="B5064" t="str">
            <v>COBOGO CERAMICO (ELEMENTO VAZADO), 9X20X20CM, ASSENTADO COM ARGAMASSA TRACO 1:4 DE CIMENTO E AREIA</v>
          </cell>
          <cell r="C5064" t="str">
            <v>M2</v>
          </cell>
          <cell r="D5064">
            <v>141.94</v>
          </cell>
        </row>
        <row r="5065">
          <cell r="A5065">
            <v>87447</v>
          </cell>
          <cell r="B5065" t="str">
            <v>ALVENARIA DE VEDAÇÃO DE BLOCOS VAZADOS DE CONCRETO DE 9X19X39CM (ESPESSURA 9CM) DE PAREDES COM ÁREA LÍQUIDA MENOR QUE 6M² SEM VÃOS E ARGAMASSA DE ASSENTAMENTO COM PREPARO EM BETONEIRA. AF_06/2014</v>
          </cell>
          <cell r="C5065" t="str">
            <v>M2</v>
          </cell>
          <cell r="D5065">
            <v>50.21</v>
          </cell>
        </row>
        <row r="5066">
          <cell r="A5066">
            <v>87448</v>
          </cell>
          <cell r="B5066" t="str">
            <v>ALVENARIA DE VEDAÇÃO DE BLOCOS VAZADOS DE CONCRETO DE 9X19X39CM (ESPESSURA 9CM) DE PAREDES COM ÁREA LÍQUIDA MENOR QUE 6M² SEM VÃOS E ARGAMASSA DE ASSENTAMENTO COM PREPARO MANUAL. AF_06/2014</v>
          </cell>
          <cell r="C5066" t="str">
            <v>M2</v>
          </cell>
          <cell r="D5066">
            <v>50.81</v>
          </cell>
        </row>
        <row r="5067">
          <cell r="A5067">
            <v>87449</v>
          </cell>
          <cell r="B5067" t="str">
            <v>ALVENARIA DE VEDAÇÃO DE BLOCOS VAZADOS DE CONCRETO DE 14X19X39CM (ESPESSURA 14CM) DE PAREDES COM ÁREA LÍQUIDA MENOR QUE 6M² SEM VÃOS E ARGAMASSA DE ASSENTAMENTO COM PREPARO EM BETONEIRA. AF_06/2014</v>
          </cell>
          <cell r="C5067" t="str">
            <v>M2</v>
          </cell>
          <cell r="D5067">
            <v>63.87</v>
          </cell>
        </row>
        <row r="5068">
          <cell r="A5068">
            <v>87450</v>
          </cell>
          <cell r="B5068" t="str">
            <v>ALVENARIA DE VEDAÇÃO DE BLOCOS VAZADOS DE CONCRETO DE 14X19X39CM (ESPESSURA 14CM) DE PAREDES COM ÁREA LÍQUIDA MENOR QUE 6M² SEM VÃOS E ARGAMASSA DE ASSENTAMENTO COM PREPARO MANUAL. AF_06/2014</v>
          </cell>
          <cell r="C5068" t="str">
            <v>M2</v>
          </cell>
          <cell r="D5068">
            <v>64.98</v>
          </cell>
        </row>
        <row r="5069">
          <cell r="A5069">
            <v>87451</v>
          </cell>
          <cell r="B5069" t="str">
            <v>ALVENARIA DE VEDAÇÃO DE BLOCOS VAZADOS DE CONCRETO DE 19X19X39CM (ESPESSURA 19CM) DE PAREDES COM ÁREA LÍQUIDA MENOR QUE 6M² SEM VÃOS E ARGAMASSA DE ASSENTAMENTO COM PREPARO EM BETONEIRA. AF_06/2014</v>
          </cell>
          <cell r="C5069" t="str">
            <v>M2</v>
          </cell>
          <cell r="D5069">
            <v>77.98</v>
          </cell>
        </row>
        <row r="5070">
          <cell r="A5070">
            <v>87452</v>
          </cell>
          <cell r="B5070" t="str">
            <v>ALVENARIA DE VEDAÇÃO DE BLOCOS VAZADOS DE CONCRETO DE 19X19X39CM (ESPESSURA 19CM) DE PAREDES COM ÁREA LÍQUIDA MENOR QUE 6M² SEM VÃOS E ARGAMASSA DE ASSENTAMENTO COM PREPARO MANUAL. AF_06/2014</v>
          </cell>
          <cell r="C5070" t="str">
            <v>M2</v>
          </cell>
          <cell r="D5070">
            <v>78.41</v>
          </cell>
        </row>
        <row r="5071">
          <cell r="A5071">
            <v>87453</v>
          </cell>
          <cell r="B5071" t="str">
            <v>ALVENARIA DE VEDAÇÃO DE BLOCOS VAZADOS DE CONCRETO DE 9X19X39CM (ESPESSURA 9CM) DE PAREDES COM ÁREA LÍQUIDA MAIOR OU IGUAL A 6M² SEM VÃOS E ARGAMASSA DE ASSENTAMENTO COM PREPARO EM BETONEIRA. AF_06/2014</v>
          </cell>
          <cell r="C5071" t="str">
            <v>M2</v>
          </cell>
          <cell r="D5071">
            <v>46.67</v>
          </cell>
        </row>
        <row r="5072">
          <cell r="A5072">
            <v>87454</v>
          </cell>
          <cell r="B5072" t="str">
            <v>ALVENARIA DE VEDAÇÃO DE BLOCOS VAZADOS DE CONCRETO DE 9X19X39CM (ESPESSURA 9CM) DE PAREDES COM ÁREA LÍQUIDA MAIOR OU IGUAL A 6M² SEM VÃOS E ARGAMASSA DE ASSENTAMENTO COM PREPARO MANUAL. AF_06/2014</v>
          </cell>
          <cell r="C5072" t="str">
            <v>M2</v>
          </cell>
          <cell r="D5072">
            <v>47.62</v>
          </cell>
        </row>
        <row r="5073">
          <cell r="A5073">
            <v>87455</v>
          </cell>
          <cell r="B5073" t="str">
            <v>ALVENARIA DE VEDAÇÃO DE BLOCOS VAZADOS DE CONCRETO DE 14X19X39CM (ESPESSURA 14CM) DE PAREDES COM ÁREA LÍQUIDA MAIOR OU IGUAL A 6M² SEM VÃOS E ARGAMASSA DE ASSENTAMENTO COM PREPARO EM BETONEIRA. AF_06/2014</v>
          </cell>
          <cell r="C5073" t="str">
            <v>M2</v>
          </cell>
          <cell r="D5073">
            <v>59.5</v>
          </cell>
        </row>
        <row r="5074">
          <cell r="A5074">
            <v>87456</v>
          </cell>
          <cell r="B5074" t="str">
            <v>ALVENARIA DE VEDAÇÃO DE BLOCOS VAZADOS DE CONCRETO DE 14X19X39CM (ESPESSURA 14CM) DE PAREDES COM ÁREA LÍQUIDA MAIOR OU IGUAL A 6M² SEM VÃOS E ARGAMASSA DE ASSENTAMENTO COM PREPARO MANUAL. AF_06/2014</v>
          </cell>
          <cell r="C5074" t="str">
            <v>M2</v>
          </cell>
          <cell r="D5074">
            <v>60.94</v>
          </cell>
        </row>
        <row r="5075">
          <cell r="A5075">
            <v>87457</v>
          </cell>
          <cell r="B5075" t="str">
            <v>ALVENARIA DE VEDAÇÃO DE BLOCOS VAZADOS DE CONCRETO DE 19X19X39CM (ESPESSURA 19CM) DE PAREDES COM ÁREA LÍQUIDA MAIOR OU IGUAL A 6M² SEM VÃOS E ARGAMASSA DE ASSENTAMENTO COM PREPARO EM BETONEIRA. AF_06/2014</v>
          </cell>
          <cell r="C5075" t="str">
            <v>M2</v>
          </cell>
          <cell r="D5075">
            <v>72.55</v>
          </cell>
        </row>
        <row r="5076">
          <cell r="A5076">
            <v>87458</v>
          </cell>
          <cell r="B5076" t="str">
            <v>ALVENARIA DE VEDAÇÃO DE BLOCOS VAZADOS DE CONCRETO DE 19X19X39CM (ESPESSURA 19CM) DE PAREDES COM ÁREA LÍQUIDA MAIOR OU IGUAL A 6M² SEM VÃOS E ARGAMASSA DE ASSENTAMENTO COM PREPARO MANUAL. AF_06/2014</v>
          </cell>
          <cell r="C5076" t="str">
            <v>M2</v>
          </cell>
          <cell r="D5076">
            <v>73.95</v>
          </cell>
        </row>
        <row r="5077">
          <cell r="A5077">
            <v>87459</v>
          </cell>
          <cell r="B5077" t="str">
            <v>ALVENARIA DE VEDAÇÃO DE BLOCOS VAZADOS DE CONCRETO DE 9X19X39CM (ESPESSURA 9CM) DE PAREDES COM ÁREA LÍQUIDA MENOR QUE 6M² COM VÃOS E ARGAMASSA DE ASSENTAMENTO COM PREPARO EM BETONEIRA. AF_06/2014</v>
          </cell>
          <cell r="C5077" t="str">
            <v>M2</v>
          </cell>
          <cell r="D5077">
            <v>56.06</v>
          </cell>
        </row>
        <row r="5078">
          <cell r="A5078">
            <v>87460</v>
          </cell>
          <cell r="B5078" t="str">
            <v>ALVENARIA DE VEDAÇÃO DE BLOCOS VAZADOS DE CONCRETO DE 9X19X39CM (ESPESSURA 9CM) DE PAREDES COM ÁREA LÍQUIDA MENOR QUE 6M² COM VÃOS E ARGAMASSA DE ASSENTAMENTO COM PREPARO MANUAL. AF_06/2014</v>
          </cell>
          <cell r="C5078" t="str">
            <v>M2</v>
          </cell>
          <cell r="D5078">
            <v>57.01</v>
          </cell>
        </row>
        <row r="5079">
          <cell r="A5079">
            <v>87461</v>
          </cell>
          <cell r="B5079" t="str">
            <v>ALVENARIA DE VEDAÇÃO DE BLOCOS VAZADOS DE CONCRETO DE 14X19X39CM (ESPESSURA 14CM) DE PAREDES COM ÁREA LÍQUIDA MENOR QUE 6M² COM VÃOS E ARGAMASSA DE ASSENTAMENTO COM PREPARO EM BETONEIRA. AF_06/2014</v>
          </cell>
          <cell r="C5079" t="str">
            <v>M2</v>
          </cell>
          <cell r="D5079">
            <v>69.77</v>
          </cell>
        </row>
        <row r="5080">
          <cell r="A5080">
            <v>87462</v>
          </cell>
          <cell r="B5080" t="str">
            <v>ALVENARIA DE VEDAÇÃO DE BLOCOS VAZADOS DE CONCRETO DE 14X19X39CM (ESPESSURA 14CM) DE PAREDES COM ÁREA LÍQUIDA MENOR QUE 6M² COM VÃOS E ARGAMASSA DE ASSENTAMENTO COM PREPARO MANUAL. AF_06/2014</v>
          </cell>
          <cell r="C5080" t="str">
            <v>M2</v>
          </cell>
          <cell r="D5080">
            <v>70.88</v>
          </cell>
        </row>
        <row r="5081">
          <cell r="A5081">
            <v>87463</v>
          </cell>
          <cell r="B5081" t="str">
            <v>ALVENARIA DE VEDAÇÃO DE BLOCOS VAZADOS DE CONCRETO DE 19X19X39CM (ESPESSURA 19CM) DE PAREDES COM ÁREA LÍQUIDA MENOR QUE 6M² COM VÃOS E ARGAMASSA DE ASSENTAMENTO COM PREPARO EM BETONEIRA. AF_06/2014</v>
          </cell>
          <cell r="C5081" t="str">
            <v>M2</v>
          </cell>
          <cell r="D5081">
            <v>82.98</v>
          </cell>
        </row>
        <row r="5082">
          <cell r="A5082">
            <v>87464</v>
          </cell>
          <cell r="B5082" t="str">
            <v>ALVENARIA DE VEDAÇÃO DE BLOCOS VAZADOS DE CONCRETO DE 19X19X39CM (ESPESSURA 19CM) DE PAREDES COM ÁREA LÍQUIDA MENOR QUE 6M² COM VÃOS E ARGAMASSA DE ASSENTAMENTO COM PREPARO MANUAL. AF_06/2014</v>
          </cell>
          <cell r="C5082" t="str">
            <v>M2</v>
          </cell>
          <cell r="D5082">
            <v>84.38</v>
          </cell>
        </row>
        <row r="5083">
          <cell r="A5083">
            <v>87465</v>
          </cell>
          <cell r="B5083" t="str">
            <v>ALVENARIA DE VEDAÇÃO DE BLOCOS VAZADOS DE CONCRETO DE 9X19X39CM (ESPESSURA 9CM) DE PAREDES COM ÁREA LÍQUIDA MAIOR OU IGUAL A 6M² COM VÃOS E ARGAMASSA DE ASSENTAMENTO COM PREPARO EM BETONEIRA. AF_06/2014</v>
          </cell>
          <cell r="C5083" t="str">
            <v>M2</v>
          </cell>
          <cell r="D5083">
            <v>49.97</v>
          </cell>
        </row>
        <row r="5084">
          <cell r="A5084">
            <v>87466</v>
          </cell>
          <cell r="B5084" t="str">
            <v>ALVENARIA DE VEDAÇÃO DE BLOCOS VAZADOS DE CONCRETO DE 9X19X39CM (ESPESSURA 9CM) DE PAREDES COM ÁREA LÍQUIDA MAIOR OU IGUAL A 6M² COM VÃOS E ARGAMASSA DE ASSENTAMENTO COM PREPARO MANUAL. AF_06/2014</v>
          </cell>
          <cell r="C5084" t="str">
            <v>M2</v>
          </cell>
          <cell r="D5084">
            <v>50.92</v>
          </cell>
        </row>
        <row r="5085">
          <cell r="A5085">
            <v>87467</v>
          </cell>
          <cell r="B5085" t="str">
            <v>ALVENARIA DE VEDAÇÃO DE BLOCOS VAZADOS DE CONCRETO DE 14X19X39CM (ESPESSURA 14CM) DE PAREDES COM ÁREA LÍQUIDA MAIOR OU IGUAL A 6M² COM VÃOS E ARGAMASSA DE ASSENTAMENTO COM PREPARO EM BETONEIRA. AF_06/2014</v>
          </cell>
          <cell r="C5085" t="str">
            <v>M2</v>
          </cell>
          <cell r="D5085">
            <v>63.18</v>
          </cell>
        </row>
        <row r="5086">
          <cell r="A5086">
            <v>87468</v>
          </cell>
          <cell r="B5086" t="str">
            <v>ALVENARIA DE VEDAÇÃO DE BLOCOS VAZADOS DE CONCRETO DE 14X19X39CM (ESPESSURA 14CM) DE PAREDES COM ÁREA LÍQUIDA MAIOR OU IGUAL A 6M² COM VÃOS E ARGAMASSA DE ASSENTAMENTO COM PREPARO MANUAL. AF_06/2014</v>
          </cell>
          <cell r="C5086" t="str">
            <v>M2</v>
          </cell>
          <cell r="D5086">
            <v>64.290000000000006</v>
          </cell>
        </row>
        <row r="5087">
          <cell r="A5087">
            <v>87469</v>
          </cell>
          <cell r="B5087" t="str">
            <v>ALVENARIA DE VEDAÇÃO DE BLOCOS VAZADOS DE CONCRETO DE 19X19X39CM (ESPESSURA 19CM) DE PAREDES COM ÁREA LÍQUIDA MAIOR OU IGUAL A 6M² COM VÃOS E ARGAMASSA DE ASSENTAMENTO COM PREPARO EM BETONEIRA. AF_06/2014</v>
          </cell>
          <cell r="C5087" t="str">
            <v>M2</v>
          </cell>
          <cell r="D5087">
            <v>76.39</v>
          </cell>
        </row>
        <row r="5088">
          <cell r="A5088">
            <v>87470</v>
          </cell>
          <cell r="B5088" t="str">
            <v>ALVENARIA DE VEDAÇÃO DE BLOCOS VAZADOS DE CONCRETO DE 19X19X39CM (ESPESSURA 19CM) DE PAREDES COM ÁREA LÍQUIDA MAIOR OU IGUAL A 6M² COM VÃOS E ARGAMASSA DE ASSENTAMENTO COM PREPARO MANUAL. AF_06/2014</v>
          </cell>
          <cell r="C5088" t="str">
            <v>M2</v>
          </cell>
          <cell r="D5088">
            <v>77.790000000000006</v>
          </cell>
        </row>
        <row r="5089">
          <cell r="A5089">
            <v>89044</v>
          </cell>
          <cell r="B5089" t="str">
            <v>(COMPOSIÇÃO REPRESENTATIVA) DO SERVIÇO DE ALVENARIA DE VEDAÇÃO DE BLOCOS VAZADOS DE CONCRETO DE 9X19X39CM (ESPESSURA 9CM), PARA EDIFICAÇÃO HABITACIONAL MULTIFAMILIAR (PRÉDIO). AF_11/2014</v>
          </cell>
          <cell r="C5089" t="str">
            <v>M2</v>
          </cell>
          <cell r="D5089">
            <v>50.07</v>
          </cell>
        </row>
        <row r="5090">
          <cell r="A5090">
            <v>89169</v>
          </cell>
          <cell r="B5090" t="str">
            <v>(COMPOSIÇÃO REPRESENTATIVA) DO SERVIÇO DE ALVENARIA DE VEDAÇÃO DE BLOCOS VAZADOS DE CONCRETO DE 9X19X39CM (ESPESSURA 9CM), PARA EDIFICAÇÃO HABITACIONAL UNIFAMILIAR (CASA) E EDIFICAÇÃO PÚBLICA PADRÃO. AF_11/2014</v>
          </cell>
          <cell r="C5090" t="str">
            <v>M2</v>
          </cell>
          <cell r="D5090">
            <v>50.84</v>
          </cell>
        </row>
        <row r="5091">
          <cell r="A5091">
            <v>89978</v>
          </cell>
          <cell r="B5091" t="str">
            <v>(COMPOSIÇÃO REPRESENTATIVA) DO SERVIÇO DE ALVENARIA DE VEDAÇÃO DE BLOCOS VAZADOS DE CONCRETO DE 14X19X39CM (ESPESSURA 14CM), PARA EDIFICAÇÃO HABITACIONAL UNIFAMILIAR (CASA) E EDIFICAÇÃO PÚBLICA PADRÃO. AF_12/2014</v>
          </cell>
          <cell r="C5091" t="str">
            <v>M2</v>
          </cell>
          <cell r="D5091">
            <v>64.2</v>
          </cell>
        </row>
        <row r="5092">
          <cell r="A5092" t="str">
            <v>73937/1</v>
          </cell>
          <cell r="B5092" t="str">
            <v>COBOGO DE CONCRETO (ELEMENTO VAZADO), 7X50X50CM, ASSENTADO COM ARGAMASSA TRACO 1:4 (CIMENTO E AREIA)</v>
          </cell>
          <cell r="C5092" t="str">
            <v>M2</v>
          </cell>
          <cell r="D5092">
            <v>117.69</v>
          </cell>
        </row>
        <row r="5093">
          <cell r="A5093" t="str">
            <v>73937/3</v>
          </cell>
          <cell r="B5093" t="str">
            <v>COBOGO DE CONCRETO (ELEMENTO VAZADO), 7X50X50CM, ASSENTADO COM ARGAMASSA TRACO 1:3 (CIMENTO E AREIA)</v>
          </cell>
          <cell r="C5093" t="str">
            <v>M2</v>
          </cell>
          <cell r="D5093">
            <v>117.9</v>
          </cell>
        </row>
        <row r="5094">
          <cell r="A5094" t="str">
            <v>73937/5</v>
          </cell>
          <cell r="B5094" t="str">
            <v>COBOGO DE CONCRETO (ELEMENTO VAZADO), 10X29X39CM ABERTURA COM VIDRO, ASSENTADO COM ARGAMASSA TRACO 1:4 (CIMENTO E AREIA MEDIA NAO PENEIRADA)</v>
          </cell>
          <cell r="C5094" t="str">
            <v>M2</v>
          </cell>
          <cell r="D5094">
            <v>206.48</v>
          </cell>
        </row>
        <row r="5095">
          <cell r="A5095">
            <v>89453</v>
          </cell>
          <cell r="B5095" t="str">
            <v>ALVENARIA DE BLOCOS DE CONCRETO ESTRUTURAL 14X19X39 CM, (ESPESSURA 14 CM), FBK = 4,5 MPA, PARA PAREDES COM ÁREA LÍQUIDA MENOR QUE 6M², SEM VÃOS, UTILIZANDO PALHETA. AF_12/2014</v>
          </cell>
          <cell r="C5095" t="str">
            <v>M2</v>
          </cell>
          <cell r="D5095">
            <v>57.71</v>
          </cell>
        </row>
        <row r="5096">
          <cell r="A5096">
            <v>89454</v>
          </cell>
          <cell r="B5096" t="str">
            <v>ALVENARIA DE BLOCOS DE CONCRETO ESTRUTURAL 14X19X39 CM, (ESPESSURA 14 CM), FBK = 4,5 MPA, PARA PAREDES COM ÁREA LÍQUIDA MAIOR OU IGUAL A 6M², SEM VÃOS, UTILIZANDO PALHETA. AF_12/2014</v>
          </cell>
          <cell r="C5096" t="str">
            <v>M2</v>
          </cell>
          <cell r="D5096">
            <v>55</v>
          </cell>
        </row>
        <row r="5097">
          <cell r="A5097">
            <v>89455</v>
          </cell>
          <cell r="B5097" t="str">
            <v>ALVENARIA DE BLOCOS DE CONCRETO ESTRUTURAL 14X19X39 CM, (ESPESSURA 14 CM) FBK = 14,0 MPA, PARA PAREDES COM ÁREA LÍQUIDA MENOR QUE 6M², SEM VÃOS, UTILIZANDO PALHETA. AF_12/2014</v>
          </cell>
          <cell r="C5097" t="str">
            <v>M2</v>
          </cell>
          <cell r="D5097">
            <v>71.73</v>
          </cell>
        </row>
        <row r="5098">
          <cell r="A5098">
            <v>89456</v>
          </cell>
          <cell r="B5098" t="str">
            <v>ALVENARIA DE BLOCOS DE CONCRETO ESTRUTURAL 14X19X39 CM, (ESPESSURA 14 CM) FBK = 14,0 MPA, PARA PAREDES COM ÁREA LÍQUIDA MAIOR OU IGUAL A 6M², SEM VÃOS, UTILIZANDO PALHETA. AF_12/2014</v>
          </cell>
          <cell r="C5098" t="str">
            <v>M2</v>
          </cell>
          <cell r="D5098">
            <v>68.430000000000007</v>
          </cell>
        </row>
        <row r="5099">
          <cell r="A5099">
            <v>89457</v>
          </cell>
          <cell r="B5099" t="str">
            <v>ALVENARIA DE BLOCOS DE CONCRETO ESTRUTURAL 14X19X39 CM, (ESPESSURA 14 CM), FBK = 4,5 MPA, PARA PAREDES COM ÁREA LÍQUIDA MENOR QUE 6M², COM VÃOS, UTILIZANDO PALHETA. AF_12/2014</v>
          </cell>
          <cell r="C5099" t="str">
            <v>M2</v>
          </cell>
          <cell r="D5099">
            <v>61.52</v>
          </cell>
        </row>
        <row r="5100">
          <cell r="A5100">
            <v>89458</v>
          </cell>
          <cell r="B5100" t="str">
            <v>ALVENARIA DE BLOCOS DE CONCRETO ESTRUTURAL 14X19X39 CM, (ESPESSURA 14 CM), FBK = 4,5 MPA, PARA PAREDES COM ÁREA LÍQUIDA MAIOR OU IGUAL A 6M², COM VÃOS, UTILIZANDO PALHETA. AF_12/2014</v>
          </cell>
          <cell r="C5100" t="str">
            <v>M2</v>
          </cell>
          <cell r="D5100">
            <v>57.12</v>
          </cell>
        </row>
        <row r="5101">
          <cell r="A5101">
            <v>89459</v>
          </cell>
          <cell r="B5101" t="str">
            <v>ALVENARIA DE BLOCOS DE CONCRETO ESTRUTURAL 14X19X39 CM, (ESPESSURA 14 CM) FBK = 14,0 MPA, PARA PAREDES COM ÁREA LÍQUIDA MENOR QUE 6M², COM VÃOS, UTILIZANDO PALHETA. AF_12/2014</v>
          </cell>
          <cell r="C5101" t="str">
            <v>M2</v>
          </cell>
          <cell r="D5101">
            <v>76.959999999999994</v>
          </cell>
        </row>
        <row r="5102">
          <cell r="A5102">
            <v>89460</v>
          </cell>
          <cell r="B5102" t="str">
            <v>ALVENARIA DE BLOCOS DE CONCRETO ESTRUTURAL 14X19X39 CM, (ESPESSURA 14 CM) FBK = 14,0 MPA, PARA PAREDES COM ÁREA LÍQUIDA MAIOR OU IGUAL A 6M², COM VÃOS, UTILIZANDO PALHETA. AF_12/2014</v>
          </cell>
          <cell r="C5102" t="str">
            <v>M2</v>
          </cell>
          <cell r="D5102">
            <v>71.59</v>
          </cell>
        </row>
        <row r="5103">
          <cell r="A5103">
            <v>89462</v>
          </cell>
          <cell r="B5103" t="str">
            <v>ALVENARIA DE BLOCOS DE CONCRETO ESTRUTURAL 14X19X29 CM, (ESPESSURA 14 CM), FBK = 4,5 MPA, PARA PAREDES COM ÁREA LÍQUIDA MENOR QUE 6M², SEM VÃOS, UTILIZANDO PALHETA. AF_12/2014</v>
          </cell>
          <cell r="C5103" t="str">
            <v>M2</v>
          </cell>
          <cell r="D5103">
            <v>66.599999999999994</v>
          </cell>
        </row>
        <row r="5104">
          <cell r="A5104">
            <v>89463</v>
          </cell>
          <cell r="B5104" t="str">
            <v>ALVENARIA DE BLOCOS DE CONCRETO ESTRUTURAL 14X19X29 CM, (ESPESSURA 14 CM), FBK = 4,5 MPA, PARA PAREDES COM ÁREA LÍQUIDA MAIOR OU IGUAL A 6M², SEM VÃOS, UTILIZANDO PALHETA. AF_12/2014</v>
          </cell>
          <cell r="C5104" t="str">
            <v>M2</v>
          </cell>
          <cell r="D5104">
            <v>64.13</v>
          </cell>
        </row>
        <row r="5105">
          <cell r="A5105">
            <v>89464</v>
          </cell>
          <cell r="B5105" t="str">
            <v>ALVENARIA DE BLOCOS DE CONCRETO ESTRUTURAL 14X19X29 CM, (ESPESSURA 14 CM) FBK = 14,0 MPA, PARA PAREDES COM ÁREA LÍQUIDA MENOR QUE 6M², SEM VÃOS, UTILIZANDO PALHETA. AF_12/2014</v>
          </cell>
          <cell r="C5105" t="str">
            <v>M2</v>
          </cell>
          <cell r="D5105">
            <v>89.23</v>
          </cell>
        </row>
        <row r="5106">
          <cell r="A5106">
            <v>89465</v>
          </cell>
          <cell r="B5106" t="str">
            <v>ALVENARIA DE BLOCOS DE CONCRETO ESTRUTURAL 14X19X29 CM, (ESPESSURA 14 CM) FBK = 14,0 MPA, PARA PAREDES COM ÁREA LÍQUIDA MAIOR OU IGUAL A 6M², SEM VÃOS, UTILIZANDO PALHETA. AF_12/2014</v>
          </cell>
          <cell r="C5106" t="str">
            <v>M2</v>
          </cell>
          <cell r="D5106">
            <v>86.32</v>
          </cell>
        </row>
        <row r="5107">
          <cell r="A5107">
            <v>89466</v>
          </cell>
          <cell r="B5107" t="str">
            <v>ALVENARIA DE BLOCOS DE CONCRETO ESTRUTURAL 14X19X29 CM, (ESPESSURA 14 CM), FBK = 4,5 MPA, PARA PAREDES COM ÁREA LÍQUIDA MENOR QUE 6M², COM VÃOS, UTILIZANDO PALHETA. AF_12/2014</v>
          </cell>
          <cell r="C5107" t="str">
            <v>M2</v>
          </cell>
          <cell r="D5107">
            <v>70.61</v>
          </cell>
        </row>
        <row r="5108">
          <cell r="A5108">
            <v>89467</v>
          </cell>
          <cell r="B5108" t="str">
            <v>ALVENARIA DE BLOCOS DE CONCRETO ESTRUTURAL 14X19X29 CM, (ESPESSURA 14 CM), FBK = 4,5 MPA, PARA PAREDES COM ÁREA LÍQUIDA MAIOR OU IGUAL A 6M², COM VÃOS, UTILIZANDO PALHETA. AF_12/2014</v>
          </cell>
          <cell r="C5108" t="str">
            <v>M2</v>
          </cell>
          <cell r="D5108">
            <v>66.28</v>
          </cell>
        </row>
        <row r="5109">
          <cell r="A5109">
            <v>89468</v>
          </cell>
          <cell r="B5109" t="str">
            <v>ALVENARIA DE BLOCOS DE CONCRETO ESTRUTURAL 14X19X29 CM, (ESPESSURA 14 CM) FBK = 14,0 MPA, PARA PAREDES COM ÁREA LÍQUIDA MENOR QUE 6M², COM VÃOS, UTILIZANDO PALHETA. AF_12/2014</v>
          </cell>
          <cell r="C5109" t="str">
            <v>M2</v>
          </cell>
          <cell r="D5109">
            <v>94.16</v>
          </cell>
        </row>
        <row r="5110">
          <cell r="A5110">
            <v>89469</v>
          </cell>
          <cell r="B5110" t="str">
            <v>ALVENARIA DE BLOCOS DE CONCRETO ESTRUTURAL 14X19X29 CM, (ESPESSURA 14 CM) FBK = 14,0 MPA, PARA PAREDES COM ÁREA LÍQUIDA MAIOR OU IGUAL A 6M², COM VÃOS, UTILIZANDO PALHETA. AF_12/2014</v>
          </cell>
          <cell r="C5110" t="str">
            <v>M2</v>
          </cell>
          <cell r="D5110">
            <v>88.95</v>
          </cell>
        </row>
        <row r="5111">
          <cell r="A5111">
            <v>89470</v>
          </cell>
          <cell r="B5111" t="str">
            <v>ALVENARIA DE BLOCOS DE CONCRETO ESTRUTURAL 14X19X39 CM, (ESPESSURA 14 CM), FBK = 4,5 MPA, PARA PAREDES COM ÁREA LÍQUIDA MENOR QUE 6M², SEM VÃOS, UTILIZANDO COLHER DE PEDREIRO. AF_12/2014</v>
          </cell>
          <cell r="C5111" t="str">
            <v>M2</v>
          </cell>
          <cell r="D5111">
            <v>69.23</v>
          </cell>
        </row>
        <row r="5112">
          <cell r="A5112">
            <v>89471</v>
          </cell>
          <cell r="B5112" t="str">
            <v>ALVENARIA DE BLOCOS DE CONCRETO ESTRUTURAL 14X19X39 CM, (ESPESSURA 14 CM), FBK = 4,5 MPA, PARA PAREDES COM ÁREA LÍQUIDA MAIOR OU IGUAL A 6M², SEM VÃOS, UTILIZANDO COLHER DE PEDREIRO. AF_12/2014</v>
          </cell>
          <cell r="C5112" t="str">
            <v>M2</v>
          </cell>
          <cell r="D5112">
            <v>66.52</v>
          </cell>
        </row>
        <row r="5113">
          <cell r="A5113">
            <v>89472</v>
          </cell>
          <cell r="B5113" t="str">
            <v>ALVENARIA DE BLOCOS DE CONCRETO ESTRUTURAL 14X19X39 CM, (ESPESSURA 14 CM) FBK = 14,0 MPA, PARA PAREDES COM ÁREA LÍQUIDA MENOR QUE 6M², SEM VÃOS, UTILIZANDO COLHER DE PEDREIRO. AF_12/2014</v>
          </cell>
          <cell r="C5113" t="str">
            <v>M2</v>
          </cell>
          <cell r="D5113">
            <v>83.16</v>
          </cell>
        </row>
        <row r="5114">
          <cell r="A5114">
            <v>89473</v>
          </cell>
          <cell r="B5114" t="str">
            <v>ALVENARIA DE BLOCOS DE CONCRETO ESTRUTURAL 14X19X39 CM, (ESPESSURA 14 CM) FBK = 14,0 MPA, PARA PAREDES COM ÁREA LÍQUIDA MAIOR OU IGUAL A 6M², SEM VÃOS, UTILIZANDO COLHER DE PEDREIRO. AF_12/2014</v>
          </cell>
          <cell r="C5114" t="str">
            <v>M2</v>
          </cell>
          <cell r="D5114">
            <v>80.06</v>
          </cell>
        </row>
        <row r="5115">
          <cell r="A5115">
            <v>89474</v>
          </cell>
          <cell r="B5115" t="str">
            <v>ALVENARIA DE BLOCOS DE CONCRETO ESTRUTURAL 14X19X39 CM, (ESPESSURA 14 CM), FBK = 4,5 MPA, PARA PAREDES COM ÁREA LÍQUIDA MENOR QUE 6M², COM VÃOS, UTILIZANDO COLHER DE PEDREIRO. AF_12/2014</v>
          </cell>
          <cell r="C5115" t="str">
            <v>M2</v>
          </cell>
          <cell r="D5115">
            <v>76.36</v>
          </cell>
        </row>
        <row r="5116">
          <cell r="A5116">
            <v>89475</v>
          </cell>
          <cell r="B5116" t="str">
            <v>ALVENARIA DE BLOCOS DE CONCRETO ESTRUTURAL 14X19X39 CM, (ESPESSURA 14 CM), FBK = 4,5 MPA, PARA PAREDES COM ÁREA LÍQUIDA MAIOR OU IGUAL A 6M², COM VÃOS, UTILIZANDO COLHER DE PEDREIRO. AF_12/2014</v>
          </cell>
          <cell r="C5116" t="str">
            <v>M2</v>
          </cell>
          <cell r="D5116">
            <v>70.47</v>
          </cell>
        </row>
        <row r="5117">
          <cell r="A5117">
            <v>89476</v>
          </cell>
          <cell r="B5117" t="str">
            <v>ALVENARIA DE BLOCOS DE CONCRETO ESTRUTURAL 14X19X39 CM, (ESPESSURA 14 CM) FBK = 14,0 MPA, PARA PAREDES COM ÁREA LÍQUIDA MENOR QUE 6M², COM VÃOS, UTILIZANDO COLHER DE PEDREIRO. AF_12/2014</v>
          </cell>
          <cell r="C5117" t="str">
            <v>M2</v>
          </cell>
          <cell r="D5117">
            <v>91.92</v>
          </cell>
        </row>
        <row r="5118">
          <cell r="A5118">
            <v>89477</v>
          </cell>
          <cell r="B5118" t="str">
            <v>ALVENARIA DE BLOCOS DE CONCRETO ESTRUTURAL 14X19X39 CM, (ESPESSURA 14 CM) FBK = 14,0 MPA, PARA PAREDES COM ÁREA LÍQUIDA MAIOR OU IGUAL A 6M², COM VÃOS, UTILIZANDO COLHER DE PEDREIRO. AF_12/2014</v>
          </cell>
          <cell r="C5118" t="str">
            <v>M2</v>
          </cell>
          <cell r="D5118">
            <v>85.25</v>
          </cell>
        </row>
        <row r="5119">
          <cell r="A5119">
            <v>89478</v>
          </cell>
          <cell r="B5119" t="str">
            <v>ALVENARIA DE BLOCOS DE CONCRETO ESTRUTURAL 14X19X29 CM, (ESPESSURA 14 CM), FBK = 4,5 MPA, PARA PAREDES COM ÁREA LÍQUIDA MENOR QUE 6M², SEM VÃOS, UTILIZANDO COLHER DE PEDREIRO. AF_12/2014</v>
          </cell>
          <cell r="C5119" t="str">
            <v>M2</v>
          </cell>
          <cell r="D5119">
            <v>78.290000000000006</v>
          </cell>
        </row>
        <row r="5120">
          <cell r="A5120">
            <v>89479</v>
          </cell>
          <cell r="B5120" t="str">
            <v>ALVENARIA DE BLOCOS DE CONCRETO ESTRUTURAL 14X19X29 CM, (ESPESSURA 14 CM), FBK = 4,5 MPA, PARA PAREDES COM ÁREA LÍQUIDA MAIOR OU IGUAL A 6M², SEM VÃOS, UTILIZANDO COLHER DE PEDREIRO. AF_12/2014</v>
          </cell>
          <cell r="C5120" t="str">
            <v>M2</v>
          </cell>
          <cell r="D5120">
            <v>75.81</v>
          </cell>
        </row>
        <row r="5121">
          <cell r="A5121">
            <v>89480</v>
          </cell>
          <cell r="B5121" t="str">
            <v>ALVENARIA DE BLOCOS DE CONCRETO ESTRUTURAL 14X19X29 CM, (ESPESSURA 14 CM) FBK = 14,0 MPA, PARA PAREDES COM ÁREA LÍQUIDA MENOR QUE 6M², SEM VÃOS, UTILIZANDO COLHER DE PEDREIRO. AF_12/2014</v>
          </cell>
          <cell r="C5121" t="str">
            <v>M2</v>
          </cell>
          <cell r="D5121">
            <v>100.87</v>
          </cell>
        </row>
        <row r="5122">
          <cell r="A5122">
            <v>89483</v>
          </cell>
          <cell r="B5122" t="str">
            <v>ALVENARIA DE BLOCOS DE CONCRETO ESTRUTURAL 14X19X29 CM, (ESPESSURA 14 CM) FBK = 14,0 MPA, PARA PAREDES COM ÁREA LÍQUIDA MAIOR OU IGUAL A 6M², SEM VÃOS, UTILIZANDO COLHER DE PEDREIRO. AF_12/2014</v>
          </cell>
          <cell r="C5122" t="str">
            <v>M2</v>
          </cell>
          <cell r="D5122">
            <v>98.15</v>
          </cell>
        </row>
        <row r="5123">
          <cell r="A5123">
            <v>89484</v>
          </cell>
          <cell r="B5123" t="str">
            <v>ALVENARIA DE BLOCOS DE CONCRETO ESTRUTURAL 14X19X29 CM, (ESPESSURA 14 CM), FBK = 4,5 MPA, PARA PAREDES COM ÁREA LÍQUIDA MENOR QUE 6M², COM VÃOS, UTILIZANDO COLHER DE PEDREIRO. AF_12/2014</v>
          </cell>
          <cell r="C5123" t="str">
            <v>M2</v>
          </cell>
          <cell r="D5123">
            <v>85.63</v>
          </cell>
        </row>
        <row r="5124">
          <cell r="A5124">
            <v>89486</v>
          </cell>
          <cell r="B5124" t="str">
            <v>ALVENARIA DE BLOCOS DE CONCRETO ESTRUTURAL 14X19X29 CM, (ESPESSURA 14 CM), FBK = 4,5 MPA, PARA PAREDES COM ÁREA LÍQUIDA MAIOR OU IGUAL A 6M², COM VÃOS, UTILIZANDO COLHER DE PEDREIRO. AF_12/2014</v>
          </cell>
          <cell r="C5124" t="str">
            <v>M2</v>
          </cell>
          <cell r="D5124">
            <v>80</v>
          </cell>
        </row>
        <row r="5125">
          <cell r="A5125">
            <v>89487</v>
          </cell>
          <cell r="B5125" t="str">
            <v>ALVENARIA DE BLOCOS DE CONCRETO ESTRUTURAL 14X19X29 CM, (ESPESSURA 14 CM) FBK = 14,0 MPA, PARA PAREDES COM ÁREA LÍQUIDA MENOR QUE 6M², COM VÃOS, UTILIZANDO COLHER DE PEDREIRO. AF_12/2014</v>
          </cell>
          <cell r="C5125" t="str">
            <v>M2</v>
          </cell>
          <cell r="D5125">
            <v>109.31</v>
          </cell>
        </row>
        <row r="5126">
          <cell r="A5126">
            <v>89488</v>
          </cell>
          <cell r="B5126" t="str">
            <v>ALVENARIA DE BLOCOS DE CONCRETO ESTRUTURAL 14X19X29 CM, (ESPESSURA 14 CM) FBK = 14,0 MPA, PARA PAREDES COM ÁREA LÍQUIDA MAIOR OU IGUAL A 6M², COM VÃOS, UTILIZANDO COLHER DE PEDREIRO. AF_12/2014</v>
          </cell>
          <cell r="C5126" t="str">
            <v>M2</v>
          </cell>
          <cell r="D5126">
            <v>102.81</v>
          </cell>
        </row>
        <row r="5127">
          <cell r="A5127">
            <v>91815</v>
          </cell>
          <cell r="B5127" t="str">
            <v>(COMPOSIÇÃO REPRESENTATIVA) DE ALVENARIA DE BLOCOS DE CONCRETO ESTRUTURAL 14X19X39 CM, (ESPESSURA 14 CM), FBK = 4,5 MPA, UTILIZANDO PALHETA, PARA EDIFICAÇÃO HABITACIONAL. AF_10/2015</v>
          </cell>
          <cell r="C5127" t="str">
            <v>M2</v>
          </cell>
          <cell r="D5127">
            <v>57.71</v>
          </cell>
        </row>
        <row r="5128">
          <cell r="A5128">
            <v>91816</v>
          </cell>
          <cell r="B5128" t="str">
            <v>COMPOSIÇÃO REPRESENTATIVA DE SERVIÇOS DE ALVENARIA DE BLOCOS DE CONCRETO ESTRUTURAL 14X19X29 CM, (ESPESSURA 14 CM), FBK = 4,5 MPA, UTILIZANDO PALHETA, PARA EDIFICAÇÃO HABITACIONAL. AF_10/2015</v>
          </cell>
          <cell r="C5128" t="str">
            <v>M2</v>
          </cell>
          <cell r="D5128">
            <v>66.78</v>
          </cell>
        </row>
        <row r="5129">
          <cell r="A5129">
            <v>72139</v>
          </cell>
          <cell r="B5129" t="str">
            <v>BLOCOS DE VIDRO TIPO CANELADO 19X19X8CM, ASSENTADO COM ARGAMASSA TRACO 1:3 (CIMENTO E AREIA GROSSA) PREPARO MECANICO, COM REJUNTAMENTO EM CIMENTO BRANCO E BARRAS DE ACO</v>
          </cell>
          <cell r="C5129" t="str">
            <v>M2</v>
          </cell>
          <cell r="D5129">
            <v>527.22</v>
          </cell>
        </row>
        <row r="5130">
          <cell r="A5130">
            <v>72175</v>
          </cell>
          <cell r="B5130" t="str">
            <v>BLOCOS DE VIDRO TIPO XADREZ 20X20X10CM, ASSENTADO COM ARGAMASSA TRACO 1:3 (CIMENTO E AREIA GROSSA) PREPARO MECANICO, COM REJUNTAMENTO EM CIMENTO BRANCO E BARRAS DE ACO</v>
          </cell>
          <cell r="C5130" t="str">
            <v>M2</v>
          </cell>
          <cell r="D5130">
            <v>531.22</v>
          </cell>
        </row>
        <row r="5131">
          <cell r="A5131">
            <v>72176</v>
          </cell>
          <cell r="B5131" t="str">
            <v>BLOCOS DE VIDRO TIPO XADREZ 20X10X8CM, ASSENTADO COM ARGAMASSA TRACO 1:3 (CIMENTO E AREIA GROSSA) PREPARO MECANICO, COM REJUNTAMENTO EM CIMENTO BRANCO E BARRAS DE ACO</v>
          </cell>
          <cell r="C5131" t="str">
            <v>M2</v>
          </cell>
          <cell r="D5131">
            <v>535.22</v>
          </cell>
        </row>
        <row r="5132">
          <cell r="A5132">
            <v>72178</v>
          </cell>
          <cell r="B5132" t="str">
            <v>RETIRADA DE DIVISORIAS EM CHAPAS DE MADEIRA, COM MONTANTES METALICOS</v>
          </cell>
          <cell r="C5132" t="str">
            <v>M2</v>
          </cell>
          <cell r="D5132">
            <v>25.81</v>
          </cell>
        </row>
        <row r="5133">
          <cell r="A5133">
            <v>72179</v>
          </cell>
          <cell r="B5133" t="str">
            <v>RECOLOCACAO DE PLACAS DIVISORIAS DE GRANILITE, CONSIDERANDO REAPROVEITAMENTO DO MATERIAL</v>
          </cell>
          <cell r="C5133" t="str">
            <v>M2</v>
          </cell>
          <cell r="D5133">
            <v>50.62</v>
          </cell>
        </row>
        <row r="5134">
          <cell r="A5134">
            <v>72180</v>
          </cell>
          <cell r="B5134" t="str">
            <v>RECOLOCACAO DE DIVISORIAS TIPO CHAPAS OU TABUAS, EXCLUSIVE ENTARUGAMENTO, CONSIDERANDO REAPROVEITAMENTO DO MATERIAL</v>
          </cell>
          <cell r="C5134" t="str">
            <v>M2</v>
          </cell>
          <cell r="D5134">
            <v>15.97</v>
          </cell>
        </row>
        <row r="5135">
          <cell r="A5135">
            <v>72181</v>
          </cell>
          <cell r="B5135" t="str">
            <v>RECOLOCACAO DE DIVISORIAS TIPO CHAPAS OU TABUAS, INCLUSIVE ENTARUGAMENTO, CONSIDERANDO REAPROVEITAMENTO DO MATERIAL</v>
          </cell>
          <cell r="C5135" t="str">
            <v>M2</v>
          </cell>
          <cell r="D5135">
            <v>32.380000000000003</v>
          </cell>
        </row>
        <row r="5136">
          <cell r="A5136" t="str">
            <v>73774/1</v>
          </cell>
          <cell r="B5136" t="str">
            <v>DIVISORIA EM MARMORITE ESPESSURA 35MM, CHUMBAMENTO NO PISO E PAREDE COM ARGAMASSA DE CIMENTO E AREIA, POLIMENTO MANUAL, EXCLUSIVE FERRAGENS</v>
          </cell>
          <cell r="C5136" t="str">
            <v>M2</v>
          </cell>
          <cell r="D5136">
            <v>286.10000000000002</v>
          </cell>
        </row>
        <row r="5137">
          <cell r="A5137" t="str">
            <v>73909/1</v>
          </cell>
          <cell r="B5137" t="str">
            <v>DIVISORIA EM MADEIRA COMPENSADA RESINADA ESPESSURA 6MM, ESTRUTURADA EM MADEIRA DE LEI 3"X3"</v>
          </cell>
          <cell r="C5137" t="str">
            <v>M2</v>
          </cell>
          <cell r="D5137">
            <v>203.73</v>
          </cell>
        </row>
        <row r="5138">
          <cell r="A5138" t="str">
            <v>74229/1</v>
          </cell>
          <cell r="B5138" t="str">
            <v>DIVISORIA EM MARMORE BRANCO POLIDO, ESPESSURA 3 CM, ASSENTADO COM ARGAMASSA TRACO 1:4 (CIMENTO E AREIA), ARREMATE COM CIMENTO BRANCO, EXCLUSIVE FERRAGENS</v>
          </cell>
          <cell r="C5138" t="str">
            <v>M2</v>
          </cell>
          <cell r="D5138">
            <v>542.96</v>
          </cell>
        </row>
        <row r="5139">
          <cell r="A5139">
            <v>79627</v>
          </cell>
          <cell r="B5139" t="str">
            <v>DIVISORIA EM GRANITO BRANCO POLIDO, ESP = 3CM, ASSENTADO COM ARGAMASSA TRACO 1:4, ARREMATE EM CIMENTO BRANCO, EXCLUSIVE FERRAGENS</v>
          </cell>
          <cell r="C5139" t="str">
            <v>M2</v>
          </cell>
          <cell r="D5139">
            <v>622.51</v>
          </cell>
        </row>
        <row r="5140">
          <cell r="A5140">
            <v>96358</v>
          </cell>
          <cell r="B5140" t="str">
            <v>PAREDE COM PLACAS DE GESSO ACARTONADO (DRYWALL), PARA USO INTERNO, COM DUAS FACES SIMPLES E ESTRUTURA METÁLICA COM GUIAS SIMPLES, SEM VÃOS. AF_06/2017_P</v>
          </cell>
          <cell r="C5140" t="str">
            <v>M2</v>
          </cell>
          <cell r="D5140">
            <v>79.13</v>
          </cell>
        </row>
        <row r="5141">
          <cell r="A5141">
            <v>96359</v>
          </cell>
          <cell r="B5141" t="str">
            <v>PAREDE COM PLACAS DE GESSO ACARTONADO (DRYWALL), PARA USO INTERNO, COM DUAS FACES SIMPLES E ESTRUTURA METÁLICA COM GUIAS SIMPLES, COM VÃOS AF_06/2017_P</v>
          </cell>
          <cell r="C5141" t="str">
            <v>M2</v>
          </cell>
          <cell r="D5141">
            <v>87.28</v>
          </cell>
        </row>
        <row r="5142">
          <cell r="A5142">
            <v>96360</v>
          </cell>
          <cell r="B5142" t="str">
            <v>PAREDE COM PLACAS DE GESSO ACARTONADO (DRYWALL), PARA USO INTERNO, COM DUAS FACES SIMPLES E ESTRUTURA METÁLICA COM GUIAS DUPLAS, SEM VÃOS. AF_06/2017_P</v>
          </cell>
          <cell r="C5142" t="str">
            <v>M2</v>
          </cell>
          <cell r="D5142">
            <v>100.93</v>
          </cell>
        </row>
        <row r="5143">
          <cell r="A5143">
            <v>96361</v>
          </cell>
          <cell r="B5143" t="str">
            <v>PAREDE COM PLACAS DE GESSO ACARTONADO (DRYWALL), PARA USO INTERNO, COM DUAS FACES SIMPLES E ESTRUTURA METÁLICA COM GUIAS DUPLAS, COM VÃOS. AF_06/2017_P</v>
          </cell>
          <cell r="C5143" t="str">
            <v>M2</v>
          </cell>
          <cell r="D5143">
            <v>116.83</v>
          </cell>
        </row>
        <row r="5144">
          <cell r="A5144">
            <v>96362</v>
          </cell>
          <cell r="B5144" t="str">
            <v>PAREDE COM PLACAS DE GESSO ACARTONADO (DRYWALL), PARA USO INTERNO, COM UMA FACE SIMPLES E OUTRA FACE DUPLA E ESTRUTURA METÁLICA COM GUIAS SIMPLES, SEM VÃOS. AF_06/2017_P</v>
          </cell>
          <cell r="C5144" t="str">
            <v>M2</v>
          </cell>
          <cell r="D5144">
            <v>104.41</v>
          </cell>
        </row>
        <row r="5145">
          <cell r="A5145">
            <v>96363</v>
          </cell>
          <cell r="B5145" t="str">
            <v>PAREDE COM PLACAS DE GESSO ACARTONADO (DRYWALL), PARA USO INTERNO, COM UMA FACE SIMPLES E OUTRA FACE DUPLA E ESTRUTURA METÁLICA COM GUIAS SIMPLES, COM VÃOS. AF_06/2017_P</v>
          </cell>
          <cell r="C5145" t="str">
            <v>M2</v>
          </cell>
          <cell r="D5145">
            <v>112.83</v>
          </cell>
        </row>
        <row r="5146">
          <cell r="A5146">
            <v>96364</v>
          </cell>
          <cell r="B5146" t="str">
            <v>PAREDE COM PLACAS DE GESSO ACARTONADO (DRYWALL), PARA USO INTERNO COM UMA FACE SIMPLES E OUTRA FACE DUPLA E ESTRUTURA METÁLICA COM GUIAS DUPLAS, SEM VÃOS. AF_06/2017_P</v>
          </cell>
          <cell r="C5146" t="str">
            <v>M2</v>
          </cell>
          <cell r="D5146">
            <v>126.21</v>
          </cell>
        </row>
        <row r="5147">
          <cell r="A5147">
            <v>96365</v>
          </cell>
          <cell r="B5147" t="str">
            <v>PAREDE COM PLACAS DE GESSO ACARTONADO (DRYWALL), PARA USO INTERNO, COM UMA FACE SIMPLES E OUTRA FACE DUPLA E   ESTRUTURA METÁLICA COM GUIAS DUPLAS, COM VÃOS. AF_06/2017_P</v>
          </cell>
          <cell r="C5147" t="str">
            <v>M2</v>
          </cell>
          <cell r="D5147">
            <v>142.37</v>
          </cell>
        </row>
        <row r="5148">
          <cell r="A5148">
            <v>96366</v>
          </cell>
          <cell r="B5148" t="str">
            <v>PAREDE COM PLACAS DE GESSO ACARTONADO (DRYWALL), PARA USO INTERNO, COM DUAS FACES DUPLAS E ESTRUTURA METÁLICA COM GUIAS SIMPLES, SEM VÃOS. AF_06/2017_P</v>
          </cell>
          <cell r="C5148" t="str">
            <v>M2</v>
          </cell>
          <cell r="D5148">
            <v>129.69</v>
          </cell>
        </row>
        <row r="5149">
          <cell r="A5149">
            <v>96367</v>
          </cell>
          <cell r="B5149" t="str">
            <v>PAREDE COM PLACAS DE GESSO ACARTONADO (DRYWALL), PARA USO INTERNO, COM DUAS FACES DUPLAS E ESTRUTURA METÁLICA COM GUIAS SIMPLES, COM VÃOS. AF_06/2017_P</v>
          </cell>
          <cell r="C5149" t="str">
            <v>M2</v>
          </cell>
          <cell r="D5149">
            <v>138.35</v>
          </cell>
        </row>
        <row r="5150">
          <cell r="A5150">
            <v>96368</v>
          </cell>
          <cell r="B5150" t="str">
            <v>PAREDE COM PLACAS DE GESSO ACARTONADO (DRYWALL), PARA USO INTERNO COM DUAS FACES DUPLAS E ESTRUTURA METÁLICA COM GUIAS DUPLAS, SEM VÃOS. AF_06/2017</v>
          </cell>
          <cell r="C5150" t="str">
            <v>M2</v>
          </cell>
          <cell r="D5150">
            <v>151.49</v>
          </cell>
        </row>
        <row r="5151">
          <cell r="A5151">
            <v>96369</v>
          </cell>
          <cell r="B5151" t="str">
            <v>PAREDE COM PLACAS DE GESSO ACARTONADO (DRYWALL), PARA USO INTERNO, COM DUAS FACES DUPLAS E ESTRUTURA METÁLICA COM GUIAS DUPLAS, COM VÃOS. AF_06/2017_P</v>
          </cell>
          <cell r="C5151" t="str">
            <v>M2</v>
          </cell>
          <cell r="D5151">
            <v>167.89</v>
          </cell>
        </row>
        <row r="5152">
          <cell r="A5152">
            <v>96370</v>
          </cell>
          <cell r="B5152" t="str">
            <v>PAREDE COM PLACAS DE GESSO ACARTONADO (DRYWALL), PARA USO INTERNO, COM UMA FACE SIMPLES E ESTRUTURA METÁLICA COM GUIAS SIMPLES, SEM VÃOS. AF_06/2017_P</v>
          </cell>
          <cell r="C5152" t="str">
            <v>M2</v>
          </cell>
          <cell r="D5152">
            <v>50.85</v>
          </cell>
        </row>
        <row r="5153">
          <cell r="A5153">
            <v>96371</v>
          </cell>
          <cell r="B5153" t="str">
            <v>PAREDE COM PLACAS DE GESSO ACARTONADO (DRYWALL), PARA USO INTERNO, COM UMA FACE SIMPLES E ESTRUTURA METÁLICA COM GUIAS SIMPLES, COM VÃOS. AF_06/2017_P</v>
          </cell>
          <cell r="C5153" t="str">
            <v>M2</v>
          </cell>
          <cell r="D5153">
            <v>58.86</v>
          </cell>
        </row>
        <row r="5154">
          <cell r="A5154">
            <v>96372</v>
          </cell>
          <cell r="B5154" t="str">
            <v>INSTALAÇÃO DE ISOLAMENTO COM LÃ DE ROCHA EM PAREDES DRYWALL. AF_06/2017</v>
          </cell>
          <cell r="C5154" t="str">
            <v>M2</v>
          </cell>
          <cell r="D5154">
            <v>26.44</v>
          </cell>
        </row>
        <row r="5155">
          <cell r="A5155">
            <v>96373</v>
          </cell>
          <cell r="B5155" t="str">
            <v>INSTALAÇÃO DE REFORÇO METÁLICO EM PAREDE DRYWALL. AF_06/2017</v>
          </cell>
          <cell r="C5155" t="str">
            <v>M</v>
          </cell>
          <cell r="D5155">
            <v>8.07</v>
          </cell>
        </row>
        <row r="5156">
          <cell r="A5156">
            <v>96374</v>
          </cell>
          <cell r="B5156" t="str">
            <v>INSTALAÇÃO DE REFORÇO DE MADEIRA EM PAREDE DRYWALL. AF_06/2017</v>
          </cell>
          <cell r="C5156" t="str">
            <v>M</v>
          </cell>
          <cell r="D5156">
            <v>16.239999999999998</v>
          </cell>
        </row>
        <row r="5157">
          <cell r="A5157" t="str">
            <v>73863/1</v>
          </cell>
          <cell r="B5157" t="str">
            <v>ALVENARIA COM BLOCOS DE CONCRETO CELULAR 10X30X60CM, ESPESSURA 10CM, ASSENTADOS COM ARGAMASSA TRACO 1:2:9 (CIMENTO, CAL E AREIA) PREPARO MANUAL</v>
          </cell>
          <cell r="C5157" t="str">
            <v>M2</v>
          </cell>
          <cell r="D5157">
            <v>55.14</v>
          </cell>
        </row>
        <row r="5158">
          <cell r="A5158" t="str">
            <v>73863/2</v>
          </cell>
          <cell r="B5158" t="str">
            <v>ALVENARIA COM BLOCOS DE CONCRETO CELULAR 20X30X60CM, ESPESSURA 20CM, ASSENTADOS COM ARGAMASSA TRACO 1:2:9 (CIMENTO, CAL E AREIA) PREPARO MANUAL</v>
          </cell>
          <cell r="C5158" t="str">
            <v>M2</v>
          </cell>
          <cell r="D5158">
            <v>112.68</v>
          </cell>
        </row>
        <row r="5159">
          <cell r="A5159" t="str">
            <v>73790/2</v>
          </cell>
          <cell r="B5159" t="str">
            <v>REASSENTAMENTO DE PARALELEPIPEDO SOBRE COLCHAO DE PO DE PEDRA ESPESSURA 10CM, REJUNTADO COM BETUME E PEDRISCO, CONSIDERANDO APROVEITAMENTO DO PARALELEPIPEDO</v>
          </cell>
          <cell r="C5159" t="str">
            <v>M2</v>
          </cell>
          <cell r="D5159">
            <v>55.29</v>
          </cell>
        </row>
        <row r="5160">
          <cell r="A5160" t="str">
            <v>73790/4</v>
          </cell>
          <cell r="B5160" t="str">
            <v>REASSENTAMENTO DE PARALELEPIPEDO SOBRE COLCHAO DE PO DE PEDRA ESPESSURA 10CM, REJUNTADO COM ARGAMASSA TRACO 1:3 (CIMENTO E AREIA), CONSIDERANDO APROVEITAMENTO DO PARALELEPIPEDO</v>
          </cell>
          <cell r="C5160" t="str">
            <v>M2</v>
          </cell>
          <cell r="D5160">
            <v>42.11</v>
          </cell>
        </row>
        <row r="5161">
          <cell r="A5161">
            <v>83694</v>
          </cell>
          <cell r="B5161" t="str">
            <v>RECOMPOSICAO DE PAVIMENTACAO TIPO BLOKRET SOBRE COLCHAO DE AREIA COM REAPROVEITAMENTO DE MATERIAL</v>
          </cell>
          <cell r="C5161" t="str">
            <v>M2</v>
          </cell>
          <cell r="D5161">
            <v>15.18</v>
          </cell>
        </row>
        <row r="5162">
          <cell r="A5162" t="str">
            <v>83695/1</v>
          </cell>
          <cell r="B5162" t="str">
            <v>REJUNTAMENTO PAVIMENTACAO PARALELEPIPEDO BETUME CASCALH INCL MATERIAIS</v>
          </cell>
          <cell r="C5162" t="str">
            <v>M2</v>
          </cell>
          <cell r="D5162">
            <v>27.9</v>
          </cell>
        </row>
        <row r="5163">
          <cell r="A5163">
            <v>83771</v>
          </cell>
          <cell r="B5163" t="str">
            <v>RECOMPOSICAO DE REVESTIMENTO PRIMARIO MEDIDO P/ VOLUME COMPACTADO</v>
          </cell>
          <cell r="C5163" t="str">
            <v>M3</v>
          </cell>
          <cell r="D5163">
            <v>7.26</v>
          </cell>
        </row>
        <row r="5164">
          <cell r="A5164">
            <v>92970</v>
          </cell>
          <cell r="B5164" t="str">
            <v>DEMOLIÇÃO DE PAVIMENTAÇÃO ASFÁLTICA COM UTILIZAÇÃO DE MARTELO PERFURADOR, ESPESSURA ATÉ 15 CM, EXCLUSIVE CARGA E TRANSPORTE</v>
          </cell>
          <cell r="C5164" t="str">
            <v>M2</v>
          </cell>
          <cell r="D5164">
            <v>11.33</v>
          </cell>
        </row>
        <row r="5165">
          <cell r="A5165">
            <v>72916</v>
          </cell>
          <cell r="B5165" t="str">
            <v>BASE DE SOLO CIMENTO 2% MISTURA EM USINA, COMPACTACAO 100% PROCTOR INTERMEDIARIO, EXCLUSIVE ESCAVACAO, CARGA E TRANSPORTE DO SOLO</v>
          </cell>
          <cell r="C5165" t="str">
            <v>M3</v>
          </cell>
          <cell r="D5165">
            <v>29.49</v>
          </cell>
        </row>
        <row r="5166">
          <cell r="A5166">
            <v>72919</v>
          </cell>
          <cell r="B5166" t="str">
            <v>BASE DE SOLO CIMENTO 4% MISTURA EM USINA, COMPACTACAO 100% PROCTOR NORMAL, EXCLUSIVE ESCAVACAO, CARGA E TRANSPORTE DO SOLO</v>
          </cell>
          <cell r="C5166" t="str">
            <v>M3</v>
          </cell>
          <cell r="D5166">
            <v>43.01</v>
          </cell>
        </row>
        <row r="5167">
          <cell r="A5167">
            <v>72922</v>
          </cell>
          <cell r="B5167" t="str">
            <v>BASE DE SOLO CIMENTO 6% COM MISTURA EM USINA, COMPACTACAO 100% PROCTOR NORMAL, EXCLUSIVE ESCAVACAO, CARGA E TRANSPORTE DO SOLO</v>
          </cell>
          <cell r="C5167" t="str">
            <v>M3</v>
          </cell>
          <cell r="D5167">
            <v>58.99</v>
          </cell>
        </row>
        <row r="5168">
          <cell r="A5168">
            <v>72923</v>
          </cell>
          <cell r="B5168" t="str">
            <v>BASE DE SOLO - BRITA (40/60), MISTURA EM USINA, COMPACTACAO 100% PROCTOR MODIFICADO, EXCLUSIVE ESCAVACAO, CARGA E TRANSPORTE</v>
          </cell>
          <cell r="C5168" t="str">
            <v>M3</v>
          </cell>
          <cell r="D5168">
            <v>68.75</v>
          </cell>
        </row>
        <row r="5169">
          <cell r="A5169">
            <v>72924</v>
          </cell>
          <cell r="B5169" t="str">
            <v>BASE DE SOLO - BRITA (50/50), MISTURA EM USINA, COMPACTACAO 100% PROCTOR MODIFICADO, EXCLUSIVE ESCAVACAO, CARGA E TRANSPORTE</v>
          </cell>
          <cell r="C5169" t="str">
            <v>M3</v>
          </cell>
          <cell r="D5169">
            <v>58.83</v>
          </cell>
        </row>
        <row r="5170">
          <cell r="A5170">
            <v>72961</v>
          </cell>
          <cell r="B5170" t="str">
            <v>REGULARIZACAO E COMPACTACAO DE SUBLEITO ATE 20 CM DE ESPESSURA</v>
          </cell>
          <cell r="C5170" t="str">
            <v>M2</v>
          </cell>
          <cell r="D5170">
            <v>1.28</v>
          </cell>
        </row>
        <row r="5171">
          <cell r="A5171">
            <v>96387</v>
          </cell>
          <cell r="B5171" t="str">
            <v>EXECUÇÃO E COMPACTAÇÃO DE BASE E OU SUB BASE COM SOLO ESTABILIZADO GRANULOMETRICAMENTE - EXCLUSIVE ESCAVAÇÃO, CARGA E TRANSPORTE E SOLO. AF_09/2017</v>
          </cell>
          <cell r="C5171" t="str">
            <v>M3</v>
          </cell>
          <cell r="D5171">
            <v>6.49</v>
          </cell>
        </row>
        <row r="5172">
          <cell r="A5172">
            <v>96388</v>
          </cell>
          <cell r="B5172" t="str">
            <v>EXECUÇÃO E COMPACTAÇÃO DE BASE E OU SUB BASE COM SOLO PREDOMINANTEMENTE ARENOSO - EXCLUSIVE ESCAVAÇÃO, CARGA E TRANSPORTE E SOLO. AF_09/2017</v>
          </cell>
          <cell r="C5172" t="str">
            <v>M3</v>
          </cell>
          <cell r="D5172">
            <v>6.22</v>
          </cell>
        </row>
        <row r="5173">
          <cell r="A5173">
            <v>96389</v>
          </cell>
          <cell r="B5173" t="str">
            <v>EXECUÇÃO E COMPACTAÇÃO DE BASE E OU SUB BASE COM SOLO MELHORADO COM CIMENTO (TEOR DE 2%) - EXCLUSIVE ESCAVAÇÃO, CARGA E TRANSPORTE E SOLO. AF_09/2017</v>
          </cell>
          <cell r="C5173" t="str">
            <v>M3</v>
          </cell>
          <cell r="D5173">
            <v>30.84</v>
          </cell>
        </row>
        <row r="5174">
          <cell r="A5174">
            <v>96390</v>
          </cell>
          <cell r="B5174" t="str">
            <v>EXECUÇÃO E COMPACTAÇÃO DE BASE E OU SUB BASE COM SOLO MELHORADO COM CIMENTO (TEOR DE 4%) - EXCLUSIVE ESCAVAÇÃO, CARGA E TRANSPORTE E SOLO. AF_09/2017</v>
          </cell>
          <cell r="C5174" t="str">
            <v>M3</v>
          </cell>
          <cell r="D5174">
            <v>52</v>
          </cell>
        </row>
        <row r="5175">
          <cell r="A5175">
            <v>96391</v>
          </cell>
          <cell r="B5175" t="str">
            <v>EXECUÇÃO E COMPACTAÇÃO DE BASE E OU SUB BASE COM SOLO CIMENTO (TEOR DE CIMENTO IGUAL A 6%) - EXCLUSIVE ESCAVAÇÃO, CARGA E TRANSPORTE E SOLO. AF_09/2017</v>
          </cell>
          <cell r="C5175" t="str">
            <v>M3</v>
          </cell>
          <cell r="D5175">
            <v>72.819999999999993</v>
          </cell>
        </row>
        <row r="5176">
          <cell r="A5176">
            <v>96392</v>
          </cell>
          <cell r="B5176" t="str">
            <v>EXECUÇÃO E COMPACTAÇÃO DE BASE E OU SUB BASE COM SOLO CIMENTO (TEOR DE CIMENTO IGUAL A 8%) - EXCLUSIVE ESCAVAÇÃO, CARGA E TRANSPORTE E SOLO. AF_09/2017</v>
          </cell>
          <cell r="C5176" t="str">
            <v>M3</v>
          </cell>
          <cell r="D5176">
            <v>97.46</v>
          </cell>
        </row>
        <row r="5177">
          <cell r="A5177">
            <v>96396</v>
          </cell>
          <cell r="B5177" t="str">
            <v>EXECUÇÃO E COMPACTAÇÃO DE BASE E OU SUB BASE COM BRITA GRADUADA SIMPLES - EXCLUSIVE CARGA E TRANSPORTE. AF_09/2017</v>
          </cell>
          <cell r="C5177" t="str">
            <v>M3</v>
          </cell>
          <cell r="D5177">
            <v>117.54</v>
          </cell>
        </row>
        <row r="5178">
          <cell r="A5178">
            <v>96397</v>
          </cell>
          <cell r="B5178" t="str">
            <v>EXECUÇÃO E COMPACTAÇÃO DE BASE E OU SUB BASE COM BRITA GRADUADA TRATADA COM CIMENTO - EXCLUSIVE CARGA E TRANSPORTE. AF_09/2017</v>
          </cell>
          <cell r="C5178" t="str">
            <v>M3</v>
          </cell>
          <cell r="D5178">
            <v>155.30000000000001</v>
          </cell>
        </row>
        <row r="5179">
          <cell r="A5179">
            <v>96398</v>
          </cell>
          <cell r="B5179" t="str">
            <v>EXECUÇÃO E COMPACTAÇÃO DE BASE E OU SUB BASE COM CONCRETO COMPACTADO COM ROLO - EXCLUSIVE CARGA E TRANSPORTE. AF_09/2017</v>
          </cell>
          <cell r="C5179" t="str">
            <v>M3</v>
          </cell>
          <cell r="D5179">
            <v>170.56</v>
          </cell>
        </row>
        <row r="5180">
          <cell r="A5180">
            <v>96399</v>
          </cell>
          <cell r="B5180" t="str">
            <v>EXECUÇÃO E COMPACTAÇÃO DE BASE E OU SUB BASE COM PEDRA RACHÃO - EXCLUSIVE ESCAVAÇÃO, CARGA E TRANSPORTE. AF_09/2017</v>
          </cell>
          <cell r="C5180" t="str">
            <v>M3</v>
          </cell>
          <cell r="D5180">
            <v>96.79</v>
          </cell>
        </row>
        <row r="5181">
          <cell r="A5181">
            <v>96400</v>
          </cell>
          <cell r="B5181" t="str">
            <v>EXECUÇÃO E COMPACTAÇÃO DE BASE E OU SUB BASE COM MACADAME SECO - EXCLUSIVE ESCAVAÇÃO, CARGA E TRANSPORTE. AF_09/2017</v>
          </cell>
          <cell r="C5181" t="str">
            <v>M3</v>
          </cell>
          <cell r="D5181">
            <v>105.79</v>
          </cell>
        </row>
        <row r="5182">
          <cell r="A5182">
            <v>96401</v>
          </cell>
          <cell r="B5182" t="str">
            <v>EXECUÇÃO DE IMPRIMAÇÃO COM ASFALTO DILUÍDO CM-30. AF_09/2017</v>
          </cell>
          <cell r="C5182" t="str">
            <v>M2</v>
          </cell>
          <cell r="D5182">
            <v>7.24</v>
          </cell>
        </row>
        <row r="5183">
          <cell r="A5183">
            <v>96402</v>
          </cell>
          <cell r="B5183" t="str">
            <v>EXECUÇÃO DE IMPRIMAÇÃO LIGANTE (PINTURA DE LIGAÇÃO) COM EMULSÃO ASFÁLTICA RR-2C. AF_09/2017</v>
          </cell>
          <cell r="C5183" t="str">
            <v>M2</v>
          </cell>
          <cell r="D5183">
            <v>1.51</v>
          </cell>
        </row>
        <row r="5184">
          <cell r="A5184">
            <v>72799</v>
          </cell>
          <cell r="B5184" t="str">
            <v>PAVIMENTO EM PARALELEPIPEDO SOBRE COLCHAO DE AREIA REJUNTADO COM ARGAMASSA DE CIMENTO E AREIA NO TRAÇO 1:3 (PEDRAS PEQUENAS 30 A 35 PECAS POR M2)</v>
          </cell>
          <cell r="C5184" t="str">
            <v>M2</v>
          </cell>
          <cell r="D5184">
            <v>78.239999999999995</v>
          </cell>
        </row>
        <row r="5185">
          <cell r="A5185">
            <v>72942</v>
          </cell>
          <cell r="B5185" t="str">
            <v>PINTURA DE LIGACAO COM EMULSAO RR-1C</v>
          </cell>
          <cell r="C5185" t="str">
            <v>M2</v>
          </cell>
          <cell r="D5185">
            <v>1.67</v>
          </cell>
        </row>
        <row r="5186">
          <cell r="A5186">
            <v>72943</v>
          </cell>
          <cell r="B5186" t="str">
            <v>PINTURA DE LIGACAO COM EMULSAO RR-2C</v>
          </cell>
          <cell r="C5186" t="str">
            <v>M2</v>
          </cell>
          <cell r="D5186">
            <v>2</v>
          </cell>
        </row>
        <row r="5187">
          <cell r="A5187">
            <v>72972</v>
          </cell>
          <cell r="B5187" t="str">
            <v>CONTENCAO LATERAL COM SOLO LOCAL PARA PAVIMENTO POLIEDRICO</v>
          </cell>
          <cell r="C5187" t="str">
            <v>M2</v>
          </cell>
          <cell r="D5187">
            <v>0.86</v>
          </cell>
        </row>
        <row r="5188">
          <cell r="A5188">
            <v>72973</v>
          </cell>
          <cell r="B5188" t="str">
            <v>CORTE E PREPARO DE CORDAO DE PEDRA PARA PAVIMENTO POLIEDRICO</v>
          </cell>
          <cell r="C5188" t="str">
            <v>M</v>
          </cell>
          <cell r="D5188">
            <v>1.62</v>
          </cell>
        </row>
        <row r="5189">
          <cell r="A5189">
            <v>72974</v>
          </cell>
          <cell r="B5189" t="str">
            <v>CORTE E PREPARO DE PEDRA PARA PAVIMENTO POLIEDRICO</v>
          </cell>
          <cell r="C5189" t="str">
            <v>M2</v>
          </cell>
          <cell r="D5189">
            <v>5.41</v>
          </cell>
        </row>
        <row r="5190">
          <cell r="A5190">
            <v>72975</v>
          </cell>
          <cell r="B5190" t="str">
            <v>DESMONTE MANUAL DE PEDRA PARA PAVIMENTO POLIEDRICO</v>
          </cell>
          <cell r="C5190" t="str">
            <v>M2</v>
          </cell>
          <cell r="D5190">
            <v>0.6</v>
          </cell>
        </row>
        <row r="5191">
          <cell r="A5191">
            <v>72978</v>
          </cell>
          <cell r="B5191" t="str">
            <v>EXTRACAO, CARGA E ASSENTAMENTO DE CORDAO DE PEDRA PARA PAVIMENTO POLIEDRICO, EXCLUSIVE TRANSPORTE DE PEDRA E INDENIZACAO PEDREIRA</v>
          </cell>
          <cell r="C5191" t="str">
            <v>M</v>
          </cell>
          <cell r="D5191">
            <v>5.41</v>
          </cell>
        </row>
        <row r="5192">
          <cell r="A5192">
            <v>72979</v>
          </cell>
          <cell r="B5192" t="str">
            <v>EXTRACAO, CARGA, PREPARO E ASSENTAMENTO DE PEDRAS POLIEDRICAS, EXCLUSIVE TRANSPORTE DE PEDRA E INDENIZACAO PEDREIRA</v>
          </cell>
          <cell r="C5192" t="str">
            <v>M2</v>
          </cell>
          <cell r="D5192">
            <v>10.34</v>
          </cell>
        </row>
        <row r="5193">
          <cell r="A5193" t="str">
            <v>73760/1</v>
          </cell>
          <cell r="B5193" t="str">
            <v>CAPA SELANTE COMPREENDENDO APLICAÇÃO DE ASFALTO NA PROPORÇÃO DE 0,7 A 1,5L / M2, DISTRIBUIÇÃO DE AGREGADOS DE 5 A 15KG/M2 E COMPACTAÇÃO COM ROLO - COM USO DA EMULSAO RR-2C, INCLUSO APLICACAO E COMPACTACAO</v>
          </cell>
          <cell r="C5193" t="str">
            <v>M2</v>
          </cell>
          <cell r="D5193">
            <v>4.62</v>
          </cell>
        </row>
        <row r="5194">
          <cell r="A5194" t="str">
            <v>73849/1</v>
          </cell>
          <cell r="B5194" t="str">
            <v>AREIA ASFALTO A QUENTE (AAUQ) COM CAP 50/70, INCLUSO USINAGEM E APLICACAO, EXCLUSIVE TRANSPORTE</v>
          </cell>
          <cell r="C5194" t="str">
            <v>M3</v>
          </cell>
          <cell r="D5194">
            <v>848.95</v>
          </cell>
        </row>
        <row r="5195">
          <cell r="A5195" t="str">
            <v>73849/2</v>
          </cell>
          <cell r="B5195" t="str">
            <v>AREIA ASFALTO A FRIO (AAUF), COM EMULSAO RR-2C INCLUSO USINAGEM E APLICACAO, EXCLUSIVE TRANSPORTE</v>
          </cell>
          <cell r="C5195" t="str">
            <v>M3</v>
          </cell>
          <cell r="D5195">
            <v>648.49</v>
          </cell>
        </row>
        <row r="5196">
          <cell r="A5196">
            <v>92391</v>
          </cell>
          <cell r="B5196" t="str">
            <v>EXECUÇÃO DE PAVIMENTO EM PISO INTERTRAVADO, COM BLOCO PISOGRAMA DE 35 X 25 CM, ESPESSURA 6 CM. AF_12/2015</v>
          </cell>
          <cell r="C5196" t="str">
            <v>M2</v>
          </cell>
          <cell r="D5196">
            <v>59.05</v>
          </cell>
        </row>
        <row r="5197">
          <cell r="A5197">
            <v>92392</v>
          </cell>
          <cell r="B5197" t="str">
            <v>EXECUÇÃO DE PAVIMENTO EM PISO INTERTRAVADO, COM BLOCO PISOGRAMA DE 35 X 25 CM, ESPESSURA 8 CM. AF_12/2015</v>
          </cell>
          <cell r="C5197" t="str">
            <v>M2</v>
          </cell>
          <cell r="D5197">
            <v>62</v>
          </cell>
        </row>
        <row r="5198">
          <cell r="A5198">
            <v>92393</v>
          </cell>
          <cell r="B5198" t="str">
            <v>EXECUÇÃO DE PAVIMENTO EM PISO INTERTRAVADO, COM BLOCO SEXTAVADO DE 25 X 25 CM, ESPESSURA 6 CM. AF_12/2015</v>
          </cell>
          <cell r="C5198" t="str">
            <v>M2</v>
          </cell>
          <cell r="D5198">
            <v>52.96</v>
          </cell>
        </row>
        <row r="5199">
          <cell r="A5199">
            <v>92394</v>
          </cell>
          <cell r="B5199" t="str">
            <v>EXECUÇÃO DE PAVIMENTO EM PISO INTERTRAVADO, COM BLOCO SEXTAVADO DE 25 X 25 CM, ESPESSURA 8 CM. AF_12/2015</v>
          </cell>
          <cell r="C5199" t="str">
            <v>M2</v>
          </cell>
          <cell r="D5199">
            <v>57.05</v>
          </cell>
        </row>
        <row r="5200">
          <cell r="A5200">
            <v>92395</v>
          </cell>
          <cell r="B5200" t="str">
            <v>EXECUÇÃO DE PAVIMENTO EM PISO INTERTRAVADO, COM BLOCO SEXTAVADO DE 25 X 25 CM, ESPESSURA 10 CM. AF_12/2015</v>
          </cell>
          <cell r="C5200" t="str">
            <v>M2</v>
          </cell>
          <cell r="D5200">
            <v>72.38</v>
          </cell>
        </row>
        <row r="5201">
          <cell r="A5201">
            <v>92396</v>
          </cell>
          <cell r="B5201" t="str">
            <v>EXECUÇÃO DE PASSEIO EM PISO INTERTRAVADO, COM BLOCO RETANGULAR COR NATURAL DE 20 X 10 CM, ESPESSURA 6 CM. AF_12/2015</v>
          </cell>
          <cell r="C5201" t="str">
            <v>M2</v>
          </cell>
          <cell r="D5201">
            <v>63.51</v>
          </cell>
        </row>
        <row r="5202">
          <cell r="A5202">
            <v>92397</v>
          </cell>
          <cell r="B5202" t="str">
            <v>EXECUÇÃO DE PÁTIO/ESTACIONAMENTO EM PISO INTERTRAVADO, COM BLOCO RETANGULAR COR NATURAL DE 20 X 10 CM, ESPESSURA 6 CM. AF_12/2015</v>
          </cell>
          <cell r="C5202" t="str">
            <v>M2</v>
          </cell>
          <cell r="D5202">
            <v>52.33</v>
          </cell>
        </row>
        <row r="5203">
          <cell r="A5203">
            <v>92398</v>
          </cell>
          <cell r="B5203" t="str">
            <v>EXECUÇÃO DE PÁTIO/ESTACIONAMENTO EM PISO INTERTRAVADO, COM BLOCO RETANGULAR COR NATURAL DE 20 X 10 CM, ESPESSURA 8 CM. AF_12/2015</v>
          </cell>
          <cell r="C5203" t="str">
            <v>M2</v>
          </cell>
          <cell r="D5203">
            <v>58.96</v>
          </cell>
        </row>
        <row r="5204">
          <cell r="A5204">
            <v>92399</v>
          </cell>
          <cell r="B5204" t="str">
            <v>EXECUÇÃO DE VIA EM PISO INTERTRAVADO, COM BLOCO RETANGULAR COR NATURAL DE 20 X 10 CM, ESPESSURA 8 CM. AF_12/2015</v>
          </cell>
          <cell r="C5204" t="str">
            <v>M2</v>
          </cell>
          <cell r="D5204">
            <v>60.14</v>
          </cell>
        </row>
        <row r="5205">
          <cell r="A5205">
            <v>92400</v>
          </cell>
          <cell r="B5205" t="str">
            <v>EXECUÇÃO DE PÁTIO/ESTACIONAMENTO EM PISO INTERTRAVADO, COM BLOCO RETANGULAR DE 20 X 10 CM, ESPESSURA 10 CM. AF_12/2015</v>
          </cell>
          <cell r="C5205" t="str">
            <v>M2</v>
          </cell>
          <cell r="D5205">
            <v>72.41</v>
          </cell>
        </row>
        <row r="5206">
          <cell r="A5206">
            <v>92401</v>
          </cell>
          <cell r="B5206" t="str">
            <v>EXECUÇÃO DE VIA EM PISO INTERTRAVADO, COM BLOCO RETANGULAR DE 20 X 10 CM, ESPESSURA 10 CM. AF_12/2015</v>
          </cell>
          <cell r="C5206" t="str">
            <v>M2</v>
          </cell>
          <cell r="D5206">
            <v>73.69</v>
          </cell>
        </row>
        <row r="5207">
          <cell r="A5207">
            <v>92402</v>
          </cell>
          <cell r="B5207" t="str">
            <v>EXECUÇÃO DE PASSEIO EM PISO INTERTRAVADO, COM BLOCO 16 FACES DE 22 X 11 CM, ESPESSURA 6 CM. AF_12/2015</v>
          </cell>
          <cell r="C5207" t="str">
            <v>M2</v>
          </cell>
          <cell r="D5207">
            <v>65.09</v>
          </cell>
        </row>
        <row r="5208">
          <cell r="A5208">
            <v>92403</v>
          </cell>
          <cell r="B5208" t="str">
            <v>EXECUÇÃO DE PÁTIO/ESTACIONAMENTO EM PISO INTERTRAVADO, COM BLOCO 16 FACES DE 22 X 11 CM, ESPESSURA 6 CM. AF_12/2015</v>
          </cell>
          <cell r="C5208" t="str">
            <v>M2</v>
          </cell>
          <cell r="D5208">
            <v>53.79</v>
          </cell>
        </row>
        <row r="5209">
          <cell r="A5209">
            <v>92404</v>
          </cell>
          <cell r="B5209" t="str">
            <v>EXECUÇÃO DE PÁTIO/ESTACIONAMENTO EM PISO INTERTRAVADO, COM BLOCO 16 FACES DE 22 X 11 CM, ESPESSURA 8 CM. AF_12/2015</v>
          </cell>
          <cell r="C5209" t="str">
            <v>M2</v>
          </cell>
          <cell r="D5209">
            <v>60.43</v>
          </cell>
        </row>
        <row r="5210">
          <cell r="A5210">
            <v>92405</v>
          </cell>
          <cell r="B5210" t="str">
            <v>EXECUÇÃO DE VIA EM PISO INTERTRAVADO, COM BLOCO 16 FACES DE 22 X 11 CM, ESPESSURA 8 CM. AF_12/2015</v>
          </cell>
          <cell r="C5210" t="str">
            <v>M2</v>
          </cell>
          <cell r="D5210">
            <v>61.58</v>
          </cell>
        </row>
        <row r="5211">
          <cell r="A5211">
            <v>92406</v>
          </cell>
          <cell r="B5211" t="str">
            <v>EXECUÇÃO DE PÁTIO/ESTACIONAMENTO EM PISO INTERTRAVADO, COM BLOCO 16 FACES DE 22 X 11 CM, ESPESSURA 10 CM. AF_12/2015</v>
          </cell>
          <cell r="C5211" t="str">
            <v>M2</v>
          </cell>
          <cell r="D5211">
            <v>73.900000000000006</v>
          </cell>
        </row>
        <row r="5212">
          <cell r="A5212">
            <v>92407</v>
          </cell>
          <cell r="B5212" t="str">
            <v>EXECUÇÃO DE VIA EM PISO INTERTRAVADO, COM BLOCO 16 FACES DE 22 X 11 CM, ESPESSURA 10 CM. AF_12/2015</v>
          </cell>
          <cell r="C5212" t="str">
            <v>M2</v>
          </cell>
          <cell r="D5212">
            <v>75.16</v>
          </cell>
        </row>
        <row r="5213">
          <cell r="A5213">
            <v>93679</v>
          </cell>
          <cell r="B5213" t="str">
            <v>EXECUÇÃO DE PASSEIO EM PISO INTERTRAVADO, COM BLOCO RETANGULAR COLORIDO DE 20 X 10 CM, ESPESSURA 6 CM. AF_12/2015</v>
          </cell>
          <cell r="C5213" t="str">
            <v>M2</v>
          </cell>
          <cell r="D5213">
            <v>69.239999999999995</v>
          </cell>
        </row>
        <row r="5214">
          <cell r="A5214">
            <v>93680</v>
          </cell>
          <cell r="B5214" t="str">
            <v>EXECUÇÃO DE PÁTIO/ESTACIONAMENTO EM PISO INTERTRAVADO, COM BLOCO RETANGULAR COLORIDO DE 20 X 10 CM, ESPESSURA 6 CM. AF_12/2015</v>
          </cell>
          <cell r="C5214" t="str">
            <v>M2</v>
          </cell>
          <cell r="D5214">
            <v>57.8</v>
          </cell>
        </row>
        <row r="5215">
          <cell r="A5215">
            <v>93681</v>
          </cell>
          <cell r="B5215" t="str">
            <v>EXECUÇÃO DE PÁTIO/ESTACIONAMENTO EM PISO INTERTRAVADO, COM BLOCO RETANGULAR COLORIDO DE 20 X 10 CM, ESPESSURA 8 CM. AF_12/2015</v>
          </cell>
          <cell r="C5215" t="str">
            <v>M2</v>
          </cell>
          <cell r="D5215">
            <v>69.91</v>
          </cell>
        </row>
        <row r="5216">
          <cell r="A5216">
            <v>93682</v>
          </cell>
          <cell r="B5216" t="str">
            <v>EXECUÇÃO DE VIA EM PISO INTERTRAVADO, COM BLOCO RETANGULAR COLORIDO DE 20 X 10 CM, ESPESSURA 8 CM. AF_12/2015</v>
          </cell>
          <cell r="C5216" t="str">
            <v>M2</v>
          </cell>
          <cell r="D5216">
            <v>71.2</v>
          </cell>
        </row>
        <row r="5217">
          <cell r="A5217">
            <v>97114</v>
          </cell>
          <cell r="B5217" t="str">
            <v>EXECUÇÃO DE JUNTAS DE CONTRAÇÃO PARA PAVIMENTOS DE CONCRETO. AF_11/2017</v>
          </cell>
          <cell r="C5217" t="str">
            <v>M</v>
          </cell>
          <cell r="D5217">
            <v>0.33</v>
          </cell>
        </row>
        <row r="5218">
          <cell r="A5218">
            <v>97115</v>
          </cell>
          <cell r="B5218" t="str">
            <v>APLICAÇÃO DE GRAXA EM BARRAS DE TRANSFERÊNCIA PARA EXECUÇÃO DE PAVIMENTO DE CONCRETO. AF_11/2017</v>
          </cell>
          <cell r="C5218" t="str">
            <v>KG</v>
          </cell>
          <cell r="D5218">
            <v>30.34</v>
          </cell>
        </row>
        <row r="5219">
          <cell r="A5219">
            <v>97120</v>
          </cell>
          <cell r="B5219" t="str">
            <v>BARRAS DE LIGAÇÃO, AÇO CA-50 DE 10 MM, PARA EXECUÇÃO DE PAVIMENTO DE CONCRETO  FORNECIMENTO E INSTALAÇÃO. AF_11/2017</v>
          </cell>
          <cell r="C5219" t="str">
            <v>KG</v>
          </cell>
          <cell r="D5219">
            <v>6.66</v>
          </cell>
        </row>
        <row r="5220">
          <cell r="A5220">
            <v>97802</v>
          </cell>
          <cell r="B5220" t="str">
            <v>CONSTRUÇÃO DE PAVIMENTO COM TRATAMENTO SUPERFICIAL SIMPLES, COM EMULSÃO ASFÁLTICA RR-2C. AF_01/2018</v>
          </cell>
          <cell r="C5220" t="str">
            <v>M2</v>
          </cell>
          <cell r="D5220">
            <v>4.1500000000000004</v>
          </cell>
        </row>
        <row r="5221">
          <cell r="A5221">
            <v>97803</v>
          </cell>
          <cell r="B5221" t="str">
            <v>CONSTRUÇÃO DE PAVIMENTO COM TRATAMENTO SUPERFICIAL SIMPLES, COM EMULSÃO ASFÁLTICA RR-2C, COM BANHO DILUÍDO. AF_01/2018</v>
          </cell>
          <cell r="C5221" t="str">
            <v>M2</v>
          </cell>
          <cell r="D5221">
            <v>5.01</v>
          </cell>
        </row>
        <row r="5222">
          <cell r="A5222">
            <v>97805</v>
          </cell>
          <cell r="B5222" t="str">
            <v>CONSTRUÇÃO DE PAVIMENTO COM TRATAMENTO SUPERFICIAL DUPLO, COM EMULSÃO ASFÁLTICA RR-2C. AF_01/2018</v>
          </cell>
          <cell r="C5222" t="str">
            <v>M2</v>
          </cell>
          <cell r="D5222">
            <v>8.89</v>
          </cell>
        </row>
        <row r="5223">
          <cell r="A5223">
            <v>97806</v>
          </cell>
          <cell r="B5223" t="str">
            <v>CONSTRUÇÃO DE PAVIMENTO COM TRATAMENTO SUPERFICIAL DUPLO, COM EMULSÃO ASFÁLTICA RR-2C, COM BANHO DILUÍDO. AF_01/2018</v>
          </cell>
          <cell r="C5223" t="str">
            <v>M2</v>
          </cell>
          <cell r="D5223">
            <v>10.9</v>
          </cell>
        </row>
        <row r="5224">
          <cell r="A5224">
            <v>97807</v>
          </cell>
          <cell r="B5224" t="str">
            <v>CONSTRUÇÃO DE PAVIMENTO COM TRATAMENTO SUPERFICIAL DUPLO, COM EMULSÃO ASFÁLTICA RR-2C, COM CAPA SELANTE. AF_01/2018</v>
          </cell>
          <cell r="C5224" t="str">
            <v>M2</v>
          </cell>
          <cell r="D5224">
            <v>12.61</v>
          </cell>
        </row>
        <row r="5225">
          <cell r="A5225">
            <v>97809</v>
          </cell>
          <cell r="B5225" t="str">
            <v>CONSTRUÇÃO DE PAVIMENTO COM TRATAMENTO SUPERFICIAL TRIPLO, COM EMULSÃO ASFÁLTICA RR-2C. AF_01/2018</v>
          </cell>
          <cell r="C5225" t="str">
            <v>M2</v>
          </cell>
          <cell r="D5225">
            <v>15.81</v>
          </cell>
        </row>
        <row r="5226">
          <cell r="A5226">
            <v>97810</v>
          </cell>
          <cell r="B5226" t="str">
            <v>CONSTRUÇÃO DE PAVIMENTO COM TRATAMENTO SUPERFICIAL TRIPLO, COM EMULSÃO ASFÁLTICA RR-2C, COM BANHO DILUÍDO. AF_01/2018</v>
          </cell>
          <cell r="C5226" t="str">
            <v>M2</v>
          </cell>
          <cell r="D5226">
            <v>17.82</v>
          </cell>
        </row>
        <row r="5227">
          <cell r="A5227">
            <v>97811</v>
          </cell>
          <cell r="B5227" t="str">
            <v>CONSTRUÇÃO DE PAVIMENTO COM TRATAMENTO SUPERFICIAL TRIPLO, COM EMULSÃO ASFÁLTICA RR-2C, COM CAPA SELANTE. AF_01/2018</v>
          </cell>
          <cell r="C5227" t="str">
            <v>M2</v>
          </cell>
          <cell r="D5227">
            <v>19.579999999999998</v>
          </cell>
        </row>
        <row r="5228">
          <cell r="A5228">
            <v>97813</v>
          </cell>
          <cell r="B5228" t="str">
            <v>RECONSTRUÇÃO DE PAVIMENTO COM TRATAMENTO SUPERFICIAL SIMPLES, COM EMULSÃO ASFÁLTICA RR-2C. AF_01/2018</v>
          </cell>
          <cell r="C5228" t="str">
            <v>M2</v>
          </cell>
          <cell r="D5228">
            <v>4.3099999999999996</v>
          </cell>
        </row>
        <row r="5229">
          <cell r="A5229">
            <v>97814</v>
          </cell>
          <cell r="B5229" t="str">
            <v>RECONSTRUÇÃO DE PAVIMENTO COM TRATAMENTO SUPERFICIAL SIMPLES, COM EMULSÃO ASFÁLTICA RR-2C, COM BANHO DILUÍDO. AF_01/2018</v>
          </cell>
          <cell r="C5229" t="str">
            <v>M2</v>
          </cell>
          <cell r="D5229">
            <v>5.17</v>
          </cell>
        </row>
        <row r="5230">
          <cell r="A5230">
            <v>97816</v>
          </cell>
          <cell r="B5230" t="str">
            <v>RECONSTRUÇÃO DE PAVIMENTO COM TRATAMENTO SUPERFICIAL DUPLO, COM EMULSÃO ASFÁLTICA RR-2C. AF_01/2018</v>
          </cell>
          <cell r="C5230" t="str">
            <v>M2</v>
          </cell>
          <cell r="D5230">
            <v>9.4</v>
          </cell>
        </row>
        <row r="5231">
          <cell r="A5231">
            <v>97817</v>
          </cell>
          <cell r="B5231" t="str">
            <v>RECONSTRUÇÃO DE PAVIMENTO COM TRATAMENTO SUPERFICIAL DUPLO, COM EMULSÃO ASFÁLTICA RR-2C, COM BANHO DILUÍDO. AF_01/2018</v>
          </cell>
          <cell r="C5231" t="str">
            <v>M2</v>
          </cell>
          <cell r="D5231">
            <v>11.41</v>
          </cell>
        </row>
        <row r="5232">
          <cell r="A5232">
            <v>97818</v>
          </cell>
          <cell r="B5232" t="str">
            <v>RECONSTRUÇÃO DE PAVIMENTO COM TRATAMENTO SUPERFICIAL DUPLO, COM EMULSÃO ASFÁLTICA RR-2C, COM CAPA SELANTE. AF_01/2018</v>
          </cell>
          <cell r="C5232" t="str">
            <v>M2</v>
          </cell>
          <cell r="D5232">
            <v>13.31</v>
          </cell>
        </row>
        <row r="5233">
          <cell r="A5233">
            <v>97820</v>
          </cell>
          <cell r="B5233" t="str">
            <v>RECONSTRUÇÃO DE PAVIMENTO COM TRATAMENTO SUPERFICIAL TRIPLO, COM EMULSÃO ASFÁLTICA RR-2C. AF_01/2018</v>
          </cell>
          <cell r="C5233" t="str">
            <v>M2</v>
          </cell>
          <cell r="D5233">
            <v>16.86</v>
          </cell>
        </row>
        <row r="5234">
          <cell r="A5234">
            <v>97821</v>
          </cell>
          <cell r="B5234" t="str">
            <v>RECONSTRUÇÃO DE PAVIMENTO COM TRATAMENTO SUPERFICIAL TRIPLO, COM EMULSÃO ASFÁLTICA RR-2C, COM BANHO DILUÍDO. AF_01/2018</v>
          </cell>
          <cell r="C5234" t="str">
            <v>M2</v>
          </cell>
          <cell r="D5234">
            <v>18.86</v>
          </cell>
        </row>
        <row r="5235">
          <cell r="A5235">
            <v>97822</v>
          </cell>
          <cell r="B5235" t="str">
            <v>RECONSTRUÇÃO DE PAVIMENTO COM TRATAMENTO SUPERFICIAL TRIPLO, COM EMULSÃO ASFÁLTICA RR-2C, COM CAPA SELANTE. AF_01/2018</v>
          </cell>
          <cell r="C5235" t="str">
            <v>M2</v>
          </cell>
          <cell r="D5235">
            <v>20.76</v>
          </cell>
        </row>
        <row r="5236">
          <cell r="A5236">
            <v>72947</v>
          </cell>
          <cell r="B5236" t="str">
            <v>SINALIZACAO HORIZONTAL COM TINTA RETRORREFLETIVA A BASE DE RESINA ACRILICA COM MICROESFERAS DE VIDRO</v>
          </cell>
          <cell r="C5236" t="str">
            <v>M2</v>
          </cell>
          <cell r="D5236">
            <v>10.95</v>
          </cell>
        </row>
        <row r="5237">
          <cell r="A5237">
            <v>83693</v>
          </cell>
          <cell r="B5237" t="str">
            <v>CAIACAO EM MEIO FIO</v>
          </cell>
          <cell r="C5237" t="str">
            <v>M2</v>
          </cell>
          <cell r="D5237">
            <v>3.59</v>
          </cell>
        </row>
        <row r="5238">
          <cell r="A5238" t="str">
            <v>73770/1</v>
          </cell>
          <cell r="B5238" t="str">
            <v>BARREIRA PRE-MOLDADA EXTERNA CONCRETO ARMADO 0,25X0,40X1,14M FCK=25MPA ACO CA-50 INCL VIGOTA HORIZONTAL MONTANTE A CADA 1,00M  FERROS DE LIGACAO E MATERIAIS.</v>
          </cell>
          <cell r="C5238" t="str">
            <v>M</v>
          </cell>
          <cell r="D5238">
            <v>503.75</v>
          </cell>
        </row>
        <row r="5239">
          <cell r="A5239" t="str">
            <v>73770/2</v>
          </cell>
          <cell r="B5239" t="str">
            <v>BARREIRA DUPLA PRE-MOL INTER CONCRETO ARMADO 0,15X0,65X0,77M FCK=25MPA ACO CA-50 INCL FERROS DE LIGACAO E MATERIAIS.</v>
          </cell>
          <cell r="C5239" t="str">
            <v>M</v>
          </cell>
          <cell r="D5239">
            <v>434.33</v>
          </cell>
        </row>
        <row r="5240">
          <cell r="A5240" t="str">
            <v>83696/1</v>
          </cell>
          <cell r="B5240" t="str">
            <v>PINTURA GUARDA-CORPO GUARDA-RODA E MURETA PROTECAO COM CAL EM PONTES EVIADUTOS MEDIDA PELO DOBRO DA AREA TOTAL (LARGURAXALTURA).</v>
          </cell>
          <cell r="C5240" t="str">
            <v>M2</v>
          </cell>
          <cell r="D5240">
            <v>5.32</v>
          </cell>
        </row>
        <row r="5241">
          <cell r="A5241">
            <v>72962</v>
          </cell>
          <cell r="B5241" t="str">
            <v>USINAGEM DE CBUQ COM CAP 50/70, PARA CAPA DE ROLAMENTO</v>
          </cell>
          <cell r="C5241" t="str">
            <v>T</v>
          </cell>
          <cell r="D5241">
            <v>314.35000000000002</v>
          </cell>
        </row>
        <row r="5242">
          <cell r="A5242">
            <v>72963</v>
          </cell>
          <cell r="B5242" t="str">
            <v>USINAGEM DE CBUQ COM CAP 50/70, PARA BINDER</v>
          </cell>
          <cell r="C5242" t="str">
            <v>T</v>
          </cell>
          <cell r="D5242">
            <v>263.67</v>
          </cell>
        </row>
        <row r="5243">
          <cell r="A5243" t="str">
            <v>73759/2</v>
          </cell>
          <cell r="B5243" t="str">
            <v>PRE-MISTURADO A FRIO COM EMULSAO RL-1C, INCLUSO USINAGEM E APLICACAO, EXCLUSIVE TRANSPORTE</v>
          </cell>
          <cell r="C5243" t="str">
            <v>M3</v>
          </cell>
          <cell r="D5243">
            <v>490.75</v>
          </cell>
        </row>
        <row r="5244">
          <cell r="A5244">
            <v>95990</v>
          </cell>
          <cell r="B5244" t="str">
            <v>CONSTRUÇÃO DE PAVIMENTO COM APLICAÇÃO DE CONCRETO BETUMINOSO USINADO A QUENTE (CBUQ), CAMADA DE ROLAMENTO, COM ESPESSURA DE 3,0 CM - EXCLUSIVE TRANSPORTE. AF_03/2017</v>
          </cell>
          <cell r="C5244" t="str">
            <v>M3</v>
          </cell>
          <cell r="D5244">
            <v>962.7</v>
          </cell>
        </row>
        <row r="5245">
          <cell r="A5245">
            <v>95992</v>
          </cell>
          <cell r="B5245" t="str">
            <v>CONSTRUÇÃO DE PAVIMENTO COM APLICAÇÃO DE CONCRETO BETUMINOSO USINADO A QUENTE (CBUQ), BINDER, COM ESPESSURA DE 3,0 CM - EXCLUSIVE TRANSPORTE. AF_03/2017</v>
          </cell>
          <cell r="C5245" t="str">
            <v>M3</v>
          </cell>
          <cell r="D5245">
            <v>899.82</v>
          </cell>
        </row>
        <row r="5246">
          <cell r="A5246">
            <v>95993</v>
          </cell>
          <cell r="B5246" t="str">
            <v>CONSTRUÇÃO DE PAVIMENTO COM APLICAÇÃO DE CONCRETO BETUMINOSO USINADO A QUENTE (CBUQ), CAMADA DE ROLAMENTO, COM ESPESSURA DE 4,0 CM - EXCLUSIVE TRANSPORTE. AF_03/2017</v>
          </cell>
          <cell r="C5246" t="str">
            <v>M3</v>
          </cell>
          <cell r="D5246">
            <v>931.17</v>
          </cell>
        </row>
        <row r="5247">
          <cell r="A5247">
            <v>95994</v>
          </cell>
          <cell r="B5247" t="str">
            <v>CONSTRUÇÃO DE PAVIMENTO COM APLICAÇÃO DE CONCRETO BETUMINOSO USINADO A QUENTE (CBUQ), BINDER, COM ESPESSURA DE 4,0 CM - EXCLUSIVE TRANSPORTE. AF_03/2017</v>
          </cell>
          <cell r="C5247" t="str">
            <v>M3</v>
          </cell>
          <cell r="D5247">
            <v>877.07</v>
          </cell>
        </row>
        <row r="5248">
          <cell r="A5248">
            <v>95995</v>
          </cell>
          <cell r="B5248" t="str">
            <v>CONSTRUÇÃO DE PAVIMENTO COM APLICAÇÃO DE CONCRETO BETUMINOSO USINADO A QUENTE (CBUQ), CAMADA DE ROLAMENTO, COM ESPESSURA DE 5,0 CM - EXCLUSIVE TRANSPORTE. AF_03/2017</v>
          </cell>
          <cell r="C5248" t="str">
            <v>M3</v>
          </cell>
          <cell r="D5248">
            <v>911.6</v>
          </cell>
        </row>
        <row r="5249">
          <cell r="A5249">
            <v>95996</v>
          </cell>
          <cell r="B5249" t="str">
            <v>CONSTRUÇÃO DE PAVIMENTO COM APLICAÇÃO DE CONCRETO BETUMINOSO USINADO A QUENTE (CBUQ), BINDER, COM ESPESSURA DE 5,0 CM - EXCLUSIVE TRANSPORTE. AF_03/2017</v>
          </cell>
          <cell r="C5249" t="str">
            <v>M3</v>
          </cell>
          <cell r="D5249">
            <v>862.95</v>
          </cell>
        </row>
        <row r="5250">
          <cell r="A5250">
            <v>95997</v>
          </cell>
          <cell r="B5250" t="str">
            <v>CONSTRUÇÃO DE PAVIMENTO COM APLICAÇÃO DE CONCRETO BETUMINOSO USINADO A QUENTE (CBUQ), CAMADA DE ROLAMENTO, COM ESPESSURA DE 6,0 CM - EXCLUSIVE TRANSPORTE. AF_03/2017</v>
          </cell>
          <cell r="C5250" t="str">
            <v>M3</v>
          </cell>
          <cell r="D5250">
            <v>899.6</v>
          </cell>
        </row>
        <row r="5251">
          <cell r="A5251">
            <v>95998</v>
          </cell>
          <cell r="B5251" t="str">
            <v>CONSTRUÇÃO DE PAVIMENTO COM APLICAÇÃO DE CONCRETO BETUMINOSO USINADO A QUENTE (CBUQ), BINDER, COM ESPESSURA DE 6,0 CM - EXCLUSIVE TRANSPORTE. AF_03/2017</v>
          </cell>
          <cell r="C5251" t="str">
            <v>M3</v>
          </cell>
          <cell r="D5251">
            <v>854.3</v>
          </cell>
        </row>
        <row r="5252">
          <cell r="A5252">
            <v>95999</v>
          </cell>
          <cell r="B5252" t="str">
            <v>CONSTRUÇÃO DE PAVIMENTO COM APLICAÇÃO DE CONCRETO BETUMINOSO USINADO A QUENTE (CBUQ), CAMADA DE ROLAMENTO, COM ESPESSURA DE 7,0 CM - EXCLUSIVE TRANSPORTE. AF_03/2017</v>
          </cell>
          <cell r="C5252" t="str">
            <v>M3</v>
          </cell>
          <cell r="D5252">
            <v>891.03</v>
          </cell>
        </row>
        <row r="5253">
          <cell r="A5253">
            <v>96000</v>
          </cell>
          <cell r="B5253" t="str">
            <v>CONSTRUÇÃO DE PAVIMENTO COM APLICAÇÃO DE CONCRETO BETUMINOSO USINADO A QUENTE (CBUQ), BINDER, COM ESPESSURA DE 7,0 CM - EXCLUSIVE TRANSPORTE. AF_03/2017</v>
          </cell>
          <cell r="C5253" t="str">
            <v>M3</v>
          </cell>
          <cell r="D5253">
            <v>848.15</v>
          </cell>
        </row>
        <row r="5254">
          <cell r="A5254">
            <v>96001</v>
          </cell>
          <cell r="B5254" t="str">
            <v>FRESAGEM DE PAVIMENTO ASFÁLTICO (PROFUNDIDADE ATÉ 5,0 CM), EM LOCAIS COM NIVEL BAIXO DE INTERFERÊNCIA. AF_03/2017</v>
          </cell>
          <cell r="C5254" t="str">
            <v>M2</v>
          </cell>
          <cell r="D5254">
            <v>5.47</v>
          </cell>
        </row>
        <row r="5255">
          <cell r="A5255">
            <v>96002</v>
          </cell>
          <cell r="B5255" t="str">
            <v>FRESAGEM DE PAVIMENTO ASFÁLTICO (PROFUNDIDADE ATÉ 5,0 CM), EM LOCAIS COM NIVEL ALTO DE INTERFERÊNCIA. AF_03/2017</v>
          </cell>
          <cell r="C5255" t="str">
            <v>M2</v>
          </cell>
          <cell r="D5255">
            <v>6.3</v>
          </cell>
        </row>
        <row r="5256">
          <cell r="A5256">
            <v>96393</v>
          </cell>
          <cell r="B5256" t="str">
            <v>USINAGEM DE BRITA GRADUADA SIMPLES, UTILIZANDO BRITA COMERCIAL COM USINA 300 T/H. AF_06/2017</v>
          </cell>
          <cell r="C5256" t="str">
            <v>M3</v>
          </cell>
          <cell r="D5256">
            <v>111.62</v>
          </cell>
        </row>
        <row r="5257">
          <cell r="A5257">
            <v>96394</v>
          </cell>
          <cell r="B5257" t="str">
            <v>USINAGEM DE BRITA GRADUADA TRATADA COM CIMENTO, UTILIZANDO BRITA COMERCIAL COM USINA 300 T/H. AF_06/2017</v>
          </cell>
          <cell r="C5257" t="str">
            <v>M3</v>
          </cell>
          <cell r="D5257">
            <v>148.69999999999999</v>
          </cell>
        </row>
        <row r="5258">
          <cell r="A5258">
            <v>96395</v>
          </cell>
          <cell r="B5258" t="str">
            <v>USINAGEM DE CONCRETO PARA COMPACTAÇÃO COM ROLO, UTILIZANDO BRITA COMERCIAL. AF_06/2017</v>
          </cell>
          <cell r="C5258" t="str">
            <v>M3</v>
          </cell>
          <cell r="D5258">
            <v>164.66</v>
          </cell>
        </row>
        <row r="5259">
          <cell r="A5259">
            <v>73445</v>
          </cell>
          <cell r="B5259" t="str">
            <v>CAIACAO INT OU EXT SOBRE REVESTIMENTO LISO C/ADOCAO DE FIXADOR COM    COM DUAS DEMAOS</v>
          </cell>
          <cell r="C5259" t="str">
            <v>M2</v>
          </cell>
          <cell r="D5259">
            <v>8.7100000000000009</v>
          </cell>
        </row>
        <row r="5260">
          <cell r="A5260">
            <v>73446</v>
          </cell>
          <cell r="B5260" t="str">
            <v>PINTURA DE SUPERFICIE C/TINTA GRAFITE</v>
          </cell>
          <cell r="C5260" t="str">
            <v>M2</v>
          </cell>
          <cell r="D5260">
            <v>19.16</v>
          </cell>
        </row>
        <row r="5261">
          <cell r="A5261" t="str">
            <v>74133/1</v>
          </cell>
          <cell r="B5261" t="str">
            <v>EMASSAMENTO COM MASSA A OLEO, UMA DEMAO</v>
          </cell>
          <cell r="C5261" t="str">
            <v>M2</v>
          </cell>
          <cell r="D5261">
            <v>15.26</v>
          </cell>
        </row>
        <row r="5262">
          <cell r="A5262" t="str">
            <v>74133/2</v>
          </cell>
          <cell r="B5262" t="str">
            <v>EMASSAMENTO COM MASSA A OLEO, DUAS DEMAOS</v>
          </cell>
          <cell r="C5262" t="str">
            <v>M2</v>
          </cell>
          <cell r="D5262">
            <v>18.989999999999998</v>
          </cell>
        </row>
        <row r="5263">
          <cell r="A5263">
            <v>79462</v>
          </cell>
          <cell r="B5263" t="str">
            <v>EMASSAMENTO COM MASSA EPOXI, 2 DEMAOS</v>
          </cell>
          <cell r="C5263" t="str">
            <v>M2</v>
          </cell>
          <cell r="D5263">
            <v>45.47</v>
          </cell>
        </row>
        <row r="5264">
          <cell r="A5264" t="str">
            <v>79494/1</v>
          </cell>
          <cell r="B5264" t="str">
            <v>PINTURA DE QUADRO ESCOLAR COM TINTA ESMALTE ACABAMENTO FOSCO, DUAS DEMAOS SOBRE MASSA ACRILICA</v>
          </cell>
          <cell r="C5264" t="str">
            <v>M2</v>
          </cell>
          <cell r="D5264">
            <v>11.2</v>
          </cell>
        </row>
        <row r="5265">
          <cell r="A5265">
            <v>84651</v>
          </cell>
          <cell r="B5265" t="str">
            <v>PINTURA COM TINTA IMPERMEAVEL MINERAL EM PO, DUAS DEMAOS</v>
          </cell>
          <cell r="C5265" t="str">
            <v>M2</v>
          </cell>
          <cell r="D5265">
            <v>9.61</v>
          </cell>
        </row>
        <row r="5266">
          <cell r="A5266">
            <v>88411</v>
          </cell>
          <cell r="B5266" t="str">
            <v>APLICAÇÃO MANUAL DE FUNDO SELADOR ACRÍLICO EM PANOS COM PRESENÇA DE VÃOS DE EDIFÍCIOS DE MÚLTIPLOS PAVIMENTOS. AF_06/2014</v>
          </cell>
          <cell r="C5266" t="str">
            <v>M2</v>
          </cell>
          <cell r="D5266">
            <v>1.81</v>
          </cell>
        </row>
        <row r="5267">
          <cell r="A5267">
            <v>88412</v>
          </cell>
          <cell r="B5267" t="str">
            <v>APLICAÇÃO MANUAL DE FUNDO SELADOR ACRÍLICO EM PANOS CEGOS DE FACHADA (SEM PRESENÇA DE VÃOS) DE EDIFÍCIOS DE MÚLTIPLOS PAVIMENTOS. AF_06/2014</v>
          </cell>
          <cell r="C5267" t="str">
            <v>M2</v>
          </cell>
          <cell r="D5267">
            <v>1.24</v>
          </cell>
        </row>
        <row r="5268">
          <cell r="A5268">
            <v>88413</v>
          </cell>
          <cell r="B5268" t="str">
            <v>APLICAÇÃO MANUAL DE FUNDO SELADOR ACRÍLICO EM SUPERFÍCIES EXTERNAS DE SACADA DE EDIFÍCIOS DE MÚLTIPLOS PAVIMENTOS. AF_06/2014</v>
          </cell>
          <cell r="C5268" t="str">
            <v>M2</v>
          </cell>
          <cell r="D5268">
            <v>2.95</v>
          </cell>
        </row>
        <row r="5269">
          <cell r="A5269">
            <v>88414</v>
          </cell>
          <cell r="B5269" t="str">
            <v>APLICAÇÃO MANUAL DE FUNDO SELADOR ACRÍLICO EM SUPERFÍCIES INTERNAS DA SACADA DE EDIFÍCIOS DE MÚLTIPLOS PAVIMENTOS. AF_06/2014</v>
          </cell>
          <cell r="C5269" t="str">
            <v>M2</v>
          </cell>
          <cell r="D5269">
            <v>3.31</v>
          </cell>
        </row>
        <row r="5270">
          <cell r="A5270">
            <v>88415</v>
          </cell>
          <cell r="B5270" t="str">
            <v>APLICAÇÃO MANUAL DE FUNDO SELADOR ACRÍLICO EM PAREDES EXTERNAS DE CASAS. AF_06/2014</v>
          </cell>
          <cell r="C5270" t="str">
            <v>M2</v>
          </cell>
          <cell r="D5270">
            <v>1.99</v>
          </cell>
        </row>
        <row r="5271">
          <cell r="A5271">
            <v>88416</v>
          </cell>
          <cell r="B5271" t="str">
            <v>APLICAÇÃO MANUAL DE PINTURA COM TINTA TEXTURIZADA ACRÍLICA EM PANOS COM PRESENÇA DE VÃOS DE EDIFÍCIOS DE MÚLTIPLOS PAVIMENTOS, UMA COR. AF_06/2014</v>
          </cell>
          <cell r="C5271" t="str">
            <v>M2</v>
          </cell>
          <cell r="D5271">
            <v>14.95</v>
          </cell>
        </row>
        <row r="5272">
          <cell r="A5272">
            <v>88417</v>
          </cell>
          <cell r="B5272" t="str">
            <v>APLICAÇÃO MANUAL DE PINTURA COM TINTA TEXTURIZADA ACRÍLICA EM PANOS CEGOS DE FACHADA (SEM PRESENÇA DE VÃOS) DE EDIFÍCIOS DE MÚLTIPLOS PAVIMENTOS, UMA COR. AF_06/2014</v>
          </cell>
          <cell r="C5272" t="str">
            <v>M2</v>
          </cell>
          <cell r="D5272">
            <v>12.94</v>
          </cell>
        </row>
        <row r="5273">
          <cell r="A5273">
            <v>88420</v>
          </cell>
          <cell r="B5273" t="str">
            <v>APLICAÇÃO MANUAL DE PINTURA COM TINTA TEXTURIZADA ACRÍLICA EM SUPERFÍCIES EXTERNAS DE SACADA DE EDIFÍCIOS DE MÚLTIPLOS PAVIMENTOS, UMA COR. AF_06/2014</v>
          </cell>
          <cell r="C5273" t="str">
            <v>M2</v>
          </cell>
          <cell r="D5273">
            <v>19.02</v>
          </cell>
        </row>
        <row r="5274">
          <cell r="A5274">
            <v>88421</v>
          </cell>
          <cell r="B5274" t="str">
            <v>APLICAÇÃO MANUAL DE PINTURA COM TINTA TEXTURIZADA ACRÍLICA EM SUPERFÍCIES INTERNAS DA SACADA DE EDIFÍCIOS DE MÚLTIPLOS PAVIMENTOS, UMA COR. AF_06/2014</v>
          </cell>
          <cell r="C5274" t="str">
            <v>M2</v>
          </cell>
          <cell r="D5274">
            <v>20.309999999999999</v>
          </cell>
        </row>
        <row r="5275">
          <cell r="A5275">
            <v>88423</v>
          </cell>
          <cell r="B5275" t="str">
            <v>APLICAÇÃO MANUAL DE PINTURA COM TINTA TEXTURIZADA ACRÍLICA EM PAREDES EXTERNAS DE CASAS, UMA COR. AF_06/2014</v>
          </cell>
          <cell r="C5275" t="str">
            <v>M2</v>
          </cell>
          <cell r="D5275">
            <v>15.58</v>
          </cell>
        </row>
        <row r="5276">
          <cell r="A5276">
            <v>88424</v>
          </cell>
          <cell r="B5276" t="str">
            <v>APLICAÇÃO MANUAL DE PINTURA COM TINTA TEXTURIZADA ACRÍLICA EM PANOS COM PRESENÇA DE VÃOS DE EDIFÍCIOS DE MÚLTIPLOS PAVIMENTOS, DUAS CORES. AF_06/2014</v>
          </cell>
          <cell r="C5276" t="str">
            <v>M2</v>
          </cell>
          <cell r="D5276">
            <v>17.72</v>
          </cell>
        </row>
        <row r="5277">
          <cell r="A5277">
            <v>88426</v>
          </cell>
          <cell r="B5277" t="str">
            <v>APLICAÇÃO MANUAL DE PINTURA COM TINTA TEXTURIZADA ACRÍLICA EM PANOS CEGOS DE FACHADA (SEM PRESENÇA DE VÃOS) DE EDIFÍCIOS DE MÚLTIPLOS PAVIMENTOS, DUAS CORES. AF_06/2014</v>
          </cell>
          <cell r="C5277" t="str">
            <v>M2</v>
          </cell>
          <cell r="D5277">
            <v>14.24</v>
          </cell>
        </row>
        <row r="5278">
          <cell r="A5278">
            <v>88428</v>
          </cell>
          <cell r="B5278" t="str">
            <v>APLICAÇÃO MANUAL DE PINTURA COM TINTA TEXTURIZADA ACRÍLICA EM SUPERFÍCIES EXTERNAS DE SACADA DE EDIFÍCIOS DE MÚLTIPLOS PAVIMENTOS, DUAS CORES. AF_06/2014</v>
          </cell>
          <cell r="C5278" t="str">
            <v>M2</v>
          </cell>
          <cell r="D5278">
            <v>24.71</v>
          </cell>
        </row>
        <row r="5279">
          <cell r="A5279">
            <v>88429</v>
          </cell>
          <cell r="B5279" t="str">
            <v>APLICAÇÃO MANUAL DE PINTURA COM TINTA TEXTURIZADA ACRÍLICA EM SUPERFÍCIES INTERNAS DA SACADA DE EDIFÍCIOS DE MÚLTIPLOS PAVIMENTOS, DUAS CORES. AF_06/2014</v>
          </cell>
          <cell r="C5279" t="str">
            <v>M2</v>
          </cell>
          <cell r="D5279">
            <v>26.95</v>
          </cell>
        </row>
        <row r="5280">
          <cell r="A5280">
            <v>88431</v>
          </cell>
          <cell r="B5280" t="str">
            <v>APLICAÇÃO MANUAL DE PINTURA COM TINTA TEXTURIZADA ACRÍLICA EM PAREDES EXTERNAS DE CASAS, DUAS CORES. AF_06/2014</v>
          </cell>
          <cell r="C5280" t="str">
            <v>M2</v>
          </cell>
          <cell r="D5280">
            <v>18.82</v>
          </cell>
        </row>
        <row r="5281">
          <cell r="A5281">
            <v>88432</v>
          </cell>
          <cell r="B5281" t="str">
            <v>APLICAÇÃO MANUAL DE PINTURA COM TINTA TEXTURIZADA ACRÍLICA EM MOLDURAS DE EPS, PRÉ-FABRICADOS, OU OUTROS. AF_06/2014</v>
          </cell>
          <cell r="C5281" t="str">
            <v>M2</v>
          </cell>
          <cell r="D5281">
            <v>13.97</v>
          </cell>
        </row>
        <row r="5282">
          <cell r="A5282">
            <v>88482</v>
          </cell>
          <cell r="B5282" t="str">
            <v>APLICAÇÃO DE FUNDO SELADOR LÁTEX PVA EM TETO, UMA DEMÃO. AF_06/2014</v>
          </cell>
          <cell r="C5282" t="str">
            <v>M2</v>
          </cell>
          <cell r="D5282">
            <v>2.15</v>
          </cell>
        </row>
        <row r="5283">
          <cell r="A5283">
            <v>88483</v>
          </cell>
          <cell r="B5283" t="str">
            <v>APLICAÇÃO DE FUNDO SELADOR LÁTEX PVA EM PAREDES, UMA DEMÃO. AF_06/2014</v>
          </cell>
          <cell r="C5283" t="str">
            <v>M2</v>
          </cell>
          <cell r="D5283">
            <v>1.91</v>
          </cell>
        </row>
        <row r="5284">
          <cell r="A5284">
            <v>88484</v>
          </cell>
          <cell r="B5284" t="str">
            <v>APLICAÇÃO DE FUNDO SELADOR ACRÍLICO EM TETO, UMA DEMÃO. AF_06/2014</v>
          </cell>
          <cell r="C5284" t="str">
            <v>M2</v>
          </cell>
          <cell r="D5284">
            <v>2</v>
          </cell>
        </row>
        <row r="5285">
          <cell r="A5285">
            <v>88485</v>
          </cell>
          <cell r="B5285" t="str">
            <v>APLICAÇÃO DE FUNDO SELADOR ACRÍLICO EM PAREDES, UMA DEMÃO. AF_06/2014</v>
          </cell>
          <cell r="C5285" t="str">
            <v>M2</v>
          </cell>
          <cell r="D5285">
            <v>1.67</v>
          </cell>
        </row>
        <row r="5286">
          <cell r="A5286">
            <v>88486</v>
          </cell>
          <cell r="B5286" t="str">
            <v>APLICAÇÃO MANUAL DE PINTURA COM TINTA LÁTEX PVA EM TETO, DUAS DEMÃOS. AF_06/2014</v>
          </cell>
          <cell r="C5286" t="str">
            <v>M2</v>
          </cell>
          <cell r="D5286">
            <v>9.94</v>
          </cell>
        </row>
        <row r="5287">
          <cell r="A5287">
            <v>88487</v>
          </cell>
          <cell r="B5287" t="str">
            <v>APLICAÇÃO MANUAL DE PINTURA COM TINTA LÁTEX PVA EM PAREDES, DUAS DEMÃOS. AF_06/2014</v>
          </cell>
          <cell r="C5287" t="str">
            <v>M2</v>
          </cell>
          <cell r="D5287">
            <v>8.86</v>
          </cell>
        </row>
        <row r="5288">
          <cell r="A5288">
            <v>88488</v>
          </cell>
          <cell r="B5288" t="str">
            <v>APLICAÇÃO MANUAL DE PINTURA COM TINTA LÁTEX ACRÍLICA EM TETO, DUAS DEMÃOS. AF_06/2014</v>
          </cell>
          <cell r="C5288" t="str">
            <v>M2</v>
          </cell>
          <cell r="D5288">
            <v>12.79</v>
          </cell>
        </row>
        <row r="5289">
          <cell r="A5289">
            <v>88489</v>
          </cell>
          <cell r="B5289" t="str">
            <v>APLICAÇÃO MANUAL DE PINTURA COM TINTA LÁTEX ACRÍLICA EM PAREDES, DUAS DEMÃOS. AF_06/2014</v>
          </cell>
          <cell r="C5289" t="str">
            <v>M2</v>
          </cell>
          <cell r="D5289">
            <v>11.25</v>
          </cell>
        </row>
        <row r="5290">
          <cell r="A5290">
            <v>88490</v>
          </cell>
          <cell r="B5290" t="str">
            <v>APLICAÇÃO MECÂNICA DE PINTURA COM TINTA LÁTEX PVA EM TETO, DUAS DEMÃOS. AF_06/2014</v>
          </cell>
          <cell r="C5290" t="str">
            <v>M2</v>
          </cell>
          <cell r="D5290">
            <v>7.08</v>
          </cell>
        </row>
        <row r="5291">
          <cell r="A5291">
            <v>88491</v>
          </cell>
          <cell r="B5291" t="str">
            <v>APLICAÇÃO MECÂNICA DE PINTURA COM TINTA LÁTEX PVA EM PAREDES, DUAS DEMÃOS. AF_06/2014</v>
          </cell>
          <cell r="C5291" t="str">
            <v>M2</v>
          </cell>
          <cell r="D5291">
            <v>6.82</v>
          </cell>
        </row>
        <row r="5292">
          <cell r="A5292">
            <v>88492</v>
          </cell>
          <cell r="B5292" t="str">
            <v>APLICAÇÃO MECÂNICA DE PINTURA COM TINTA LÁTEX ACRÍLICA EM TETO, DUAS DEMÃOS. AF_06/2014</v>
          </cell>
          <cell r="C5292" t="str">
            <v>M2</v>
          </cell>
          <cell r="D5292">
            <v>8.5299999999999994</v>
          </cell>
        </row>
        <row r="5293">
          <cell r="A5293">
            <v>88493</v>
          </cell>
          <cell r="B5293" t="str">
            <v>APLICAÇÃO MECÂNICA DE PINTURA COM TINTA LÁTEX ACRÍLICA EM PAREDES, DUAS DEMÃOS. AF_06/2014</v>
          </cell>
          <cell r="C5293" t="str">
            <v>M2</v>
          </cell>
          <cell r="D5293">
            <v>8.15</v>
          </cell>
        </row>
        <row r="5294">
          <cell r="A5294">
            <v>88494</v>
          </cell>
          <cell r="B5294" t="str">
            <v>APLICAÇÃO E LIXAMENTO DE MASSA LÁTEX EM TETO, UMA DEMÃO. AF_06/2014</v>
          </cell>
          <cell r="C5294" t="str">
            <v>M2</v>
          </cell>
          <cell r="D5294">
            <v>15.73</v>
          </cell>
        </row>
        <row r="5295">
          <cell r="A5295">
            <v>88495</v>
          </cell>
          <cell r="B5295" t="str">
            <v>APLICAÇÃO E LIXAMENTO DE MASSA LÁTEX EM PAREDES, UMA DEMÃO. AF_06/2014</v>
          </cell>
          <cell r="C5295" t="str">
            <v>M2</v>
          </cell>
          <cell r="D5295">
            <v>8.35</v>
          </cell>
        </row>
        <row r="5296">
          <cell r="A5296">
            <v>88496</v>
          </cell>
          <cell r="B5296" t="str">
            <v>APLICAÇÃO E LIXAMENTO DE MASSA LÁTEX EM TETO, DUAS DEMÃOS. AF_06/2014</v>
          </cell>
          <cell r="C5296" t="str">
            <v>M2</v>
          </cell>
          <cell r="D5296">
            <v>21.3</v>
          </cell>
        </row>
        <row r="5297">
          <cell r="A5297">
            <v>88497</v>
          </cell>
          <cell r="B5297" t="str">
            <v>APLICAÇÃO E LIXAMENTO DE MASSA LÁTEX EM PAREDES, DUAS DEMÃOS. AF_06/2014</v>
          </cell>
          <cell r="C5297" t="str">
            <v>M2</v>
          </cell>
          <cell r="D5297">
            <v>11.45</v>
          </cell>
        </row>
        <row r="5298">
          <cell r="A5298">
            <v>95305</v>
          </cell>
          <cell r="B5298" t="str">
            <v>TEXTURA ACRÍLICA, APLICAÇÃO MANUAL EM PAREDE, UMA DEMÃO. AF_09/2016</v>
          </cell>
          <cell r="C5298" t="str">
            <v>M2</v>
          </cell>
          <cell r="D5298">
            <v>11.67</v>
          </cell>
        </row>
        <row r="5299">
          <cell r="A5299">
            <v>95306</v>
          </cell>
          <cell r="B5299" t="str">
            <v>TEXTURA ACRÍLICA, APLICAÇÃO MANUAL EM TETO, UMA DEMÃO. AF_09/2016</v>
          </cell>
          <cell r="C5299" t="str">
            <v>M2</v>
          </cell>
          <cell r="D5299">
            <v>13.63</v>
          </cell>
        </row>
        <row r="5300">
          <cell r="A5300">
            <v>95622</v>
          </cell>
          <cell r="B5300" t="str">
            <v>APLICAÇÃO MANUAL DE TINTA LÁTEX ACRÍLICA EM PANOS COM PRESENÇA DE VÃOS DE EDIFÍCIOS DE MÚLTIPLOS PAVIMENTOS, DUAS DEMÃOS. AF_11/2016</v>
          </cell>
          <cell r="C5300" t="str">
            <v>M2</v>
          </cell>
          <cell r="D5300">
            <v>11.57</v>
          </cell>
        </row>
        <row r="5301">
          <cell r="A5301">
            <v>95623</v>
          </cell>
          <cell r="B5301" t="str">
            <v>APLICAÇÃO MANUAL DE TINTA LÁTEX ACRÍLICA EM PANOS SEM PRESENÇA DE VÃOS DE EDIFÍCIOS DE MÚLTIPLOS PAVIMENTOS, DUAS DEMÃOS. AF_11/2016</v>
          </cell>
          <cell r="C5301" t="str">
            <v>M2</v>
          </cell>
          <cell r="D5301">
            <v>8.82</v>
          </cell>
        </row>
        <row r="5302">
          <cell r="A5302">
            <v>95624</v>
          </cell>
          <cell r="B5302" t="str">
            <v>APLICAÇÃO MANUAL DE TINTA LÁTEX ACRÍLICA EM SUPERFÍCIES EXTERNAS DE SACADA DE EDIFÍCIOS DE MÚLTIPLOS PAVIMENTOS, DUAS DEMÃOS. AF_11/2016</v>
          </cell>
          <cell r="C5302" t="str">
            <v>M2</v>
          </cell>
          <cell r="D5302">
            <v>17.149999999999999</v>
          </cell>
        </row>
        <row r="5303">
          <cell r="A5303">
            <v>95625</v>
          </cell>
          <cell r="B5303" t="str">
            <v>APLICAÇÃO MANUAL DE TINTA LÁTEX ACRÍLICA EM SUPERFÍCIES INTERNAS DE SACADA DE EDIFÍCIOS DE MÚLTIPLOS PAVIMENTOS, DUAS DEMÃOS. AF_11/2016</v>
          </cell>
          <cell r="C5303" t="str">
            <v>M2</v>
          </cell>
          <cell r="D5303">
            <v>18.920000000000002</v>
          </cell>
        </row>
        <row r="5304">
          <cell r="A5304">
            <v>95626</v>
          </cell>
          <cell r="B5304" t="str">
            <v>APLICAÇÃO MANUAL DE TINTA LÁTEX ACRÍLICA EM PAREDE EXTERNAS DE CASAS, DUAS DEMÃOS. AF_11/2016</v>
          </cell>
          <cell r="C5304" t="str">
            <v>M2</v>
          </cell>
          <cell r="D5304">
            <v>12.45</v>
          </cell>
        </row>
        <row r="5305">
          <cell r="A5305">
            <v>96126</v>
          </cell>
          <cell r="B5305" t="str">
            <v>APLICAÇÃO MANUAL DE MASSA ACRÍLICA EM PANOS DE FACHADA COM PRESENÇA DE VÃOS, DE EDIFÍCIOS DE MÚLTIPLOS PAVIMENTOS, UMA DEMÃO. AF_05/2017</v>
          </cell>
          <cell r="C5305" t="str">
            <v>M2</v>
          </cell>
          <cell r="D5305">
            <v>13.72</v>
          </cell>
        </row>
        <row r="5306">
          <cell r="A5306">
            <v>96127</v>
          </cell>
          <cell r="B5306" t="str">
            <v>APLICAÇÃO MANUAL DE MASSA ACRÍLICA EM PANOS DE FACHADA SEM PRESENÇA DE VÃOS, DE EDIFÍCIOS DE MÚLTIPLOS PAVIMENTOS, UMA DEMÃO. AF_05/2017</v>
          </cell>
          <cell r="C5306" t="str">
            <v>M2</v>
          </cell>
          <cell r="D5306">
            <v>10.29</v>
          </cell>
        </row>
        <row r="5307">
          <cell r="A5307">
            <v>96128</v>
          </cell>
          <cell r="B5307" t="str">
            <v>APLICAÇÃO MANUAL DE MASSA ACRÍLICA EM SUPERFÍCIES EXTERNAS DE SACADA DE EDIFÍCIOS DE MÚLTIPLOS PAVIMENTOS, UMA DEMÃO. AF_05/2017</v>
          </cell>
          <cell r="C5307" t="str">
            <v>M2</v>
          </cell>
          <cell r="D5307">
            <v>20.68</v>
          </cell>
        </row>
        <row r="5308">
          <cell r="A5308">
            <v>96129</v>
          </cell>
          <cell r="B5308" t="str">
            <v>APLICAÇÃO MANUAL DE MASSA ACRÍLICA EM SUPERFÍCIES INTERNAS DE SACADA DE EDIFÍCIOS DE MÚLTIPLOS PAVIMENTOS, UMA DEMÃO. AF_05/2017</v>
          </cell>
          <cell r="C5308" t="str">
            <v>M2</v>
          </cell>
          <cell r="D5308">
            <v>22.9</v>
          </cell>
        </row>
        <row r="5309">
          <cell r="A5309">
            <v>96130</v>
          </cell>
          <cell r="B5309" t="str">
            <v>APLICAÇÃO MANUAL DE MASSA ACRÍLICA EM PAREDES EXTERNAS DE CASAS, UMA DEMÃO. AF_05/2017</v>
          </cell>
          <cell r="C5309" t="str">
            <v>M2</v>
          </cell>
          <cell r="D5309">
            <v>14.8</v>
          </cell>
        </row>
        <row r="5310">
          <cell r="A5310">
            <v>96131</v>
          </cell>
          <cell r="B5310" t="str">
            <v>APLICAÇÃO MANUAL DE MASSA ACRÍLICA EM PANOS DE FACHADA COM PRESENÇA DE VÃOS, DE EDIFÍCIOS DE MÚLTIPLOS PAVIMENTOS, DUAS DEMÃOS. AF_05/2017</v>
          </cell>
          <cell r="C5310" t="str">
            <v>M2</v>
          </cell>
          <cell r="D5310">
            <v>18.88</v>
          </cell>
        </row>
        <row r="5311">
          <cell r="A5311">
            <v>96132</v>
          </cell>
          <cell r="B5311" t="str">
            <v>APLICAÇÃO MANUAL DE MASSA ACRÍLICA EM PANOS DE FACHADA SEM PRESENÇA DE VÃOS, DE EDIFÍCIOS DE MÚLTIPLOS PAVIMENTOS, DUAS DEMÃOS. AF_05/2017</v>
          </cell>
          <cell r="C5311" t="str">
            <v>M2</v>
          </cell>
          <cell r="D5311">
            <v>14.3</v>
          </cell>
        </row>
        <row r="5312">
          <cell r="A5312">
            <v>96133</v>
          </cell>
          <cell r="B5312" t="str">
            <v>APLICAÇÃO MANUAL DE MASSA ACRÍLICA EM SUPERFÍCIES EXTERNAS DE SACADA DE EDIFÍCIOS DE MÚLTIPLOS PAVIMENTOS, DUAS DEMÃOS. AF_05/2017</v>
          </cell>
          <cell r="C5312" t="str">
            <v>M2</v>
          </cell>
          <cell r="D5312">
            <v>28.14</v>
          </cell>
        </row>
        <row r="5313">
          <cell r="A5313">
            <v>96134</v>
          </cell>
          <cell r="B5313" t="str">
            <v>APLICAÇÃO MANUAL DE MASSA ACRÍLICA EM SUPERFÍCIES INTERNAS DE SACADA DE EDIFÍCIOS DE MÚLTIPLOS PAVIMENTOS, DUAS DEMÃOS. AF_05/2017</v>
          </cell>
          <cell r="C5313" t="str">
            <v>M2</v>
          </cell>
          <cell r="D5313">
            <v>31.09</v>
          </cell>
        </row>
        <row r="5314">
          <cell r="A5314">
            <v>96135</v>
          </cell>
          <cell r="B5314" t="str">
            <v>APLICAÇÃO MANUAL DE MASSA ACRÍLICA EM PAREDES EXTERNAS DE CASAS, DUAS DEMÃOS. AF_05/2017</v>
          </cell>
          <cell r="C5314" t="str">
            <v>M2</v>
          </cell>
          <cell r="D5314">
            <v>20.34</v>
          </cell>
        </row>
        <row r="5315">
          <cell r="A5315">
            <v>79460</v>
          </cell>
          <cell r="B5315" t="str">
            <v>PINTURA EPOXI, DUAS DEMAOS</v>
          </cell>
          <cell r="C5315" t="str">
            <v>M2</v>
          </cell>
          <cell r="D5315">
            <v>39.19</v>
          </cell>
        </row>
        <row r="5316">
          <cell r="A5316">
            <v>79465</v>
          </cell>
          <cell r="B5316" t="str">
            <v>PINTURA COM TINTA A BASE DE BORRACHA CLORADA, 2 DEMAOS</v>
          </cell>
          <cell r="C5316" t="str">
            <v>M2</v>
          </cell>
          <cell r="D5316">
            <v>40.11</v>
          </cell>
        </row>
        <row r="5317">
          <cell r="A5317" t="str">
            <v>79514/1</v>
          </cell>
          <cell r="B5317" t="str">
            <v>PINTURA EPOXI, TRES DEMAOS</v>
          </cell>
          <cell r="C5317" t="str">
            <v>M2</v>
          </cell>
          <cell r="D5317">
            <v>54.45</v>
          </cell>
        </row>
        <row r="5318">
          <cell r="A5318">
            <v>84647</v>
          </cell>
          <cell r="B5318" t="str">
            <v>PINTURA EPOXI INCLUSO EMASSAMENTO E FUNDO PREPARADOR</v>
          </cell>
          <cell r="C5318" t="str">
            <v>M2</v>
          </cell>
          <cell r="D5318">
            <v>126.57</v>
          </cell>
        </row>
        <row r="5319">
          <cell r="A5319">
            <v>84656</v>
          </cell>
          <cell r="B5319" t="str">
            <v>TRATAMENTO EM  CONCRETO COM ESTUQUE E LIXAMENTO</v>
          </cell>
          <cell r="C5319" t="str">
            <v>M2</v>
          </cell>
          <cell r="D5319">
            <v>31.14</v>
          </cell>
        </row>
        <row r="5320">
          <cell r="A5320">
            <v>6082</v>
          </cell>
          <cell r="B5320" t="str">
            <v>PINTURA EM VERNIZ SINTETICO BRILHANTE EM MADEIRA, TRES DEMAOS</v>
          </cell>
          <cell r="C5320" t="str">
            <v>M2</v>
          </cell>
          <cell r="D5320">
            <v>16.05</v>
          </cell>
        </row>
        <row r="5321">
          <cell r="A5321">
            <v>40905</v>
          </cell>
          <cell r="B5321" t="str">
            <v>VERNIZ SINTETICO EM MADEIRA, DUAS DEMAOS</v>
          </cell>
          <cell r="C5321" t="str">
            <v>M2</v>
          </cell>
          <cell r="D5321">
            <v>19.59</v>
          </cell>
        </row>
        <row r="5322">
          <cell r="A5322" t="str">
            <v>73739/1</v>
          </cell>
          <cell r="B5322" t="str">
            <v>PINTURA ESMALTE ACETINADO EM MADEIRA, DUAS DEMAOS</v>
          </cell>
          <cell r="C5322" t="str">
            <v>M2</v>
          </cell>
          <cell r="D5322">
            <v>15.83</v>
          </cell>
        </row>
        <row r="5323">
          <cell r="A5323" t="str">
            <v>74065/1</v>
          </cell>
          <cell r="B5323" t="str">
            <v>PINTURA ESMALTE FOSCO PARA MADEIRA, DUAS DEMAOS, SOBRE FUNDO NIVELADOR BRANCO</v>
          </cell>
          <cell r="C5323" t="str">
            <v>M2</v>
          </cell>
          <cell r="D5323">
            <v>21.88</v>
          </cell>
        </row>
        <row r="5324">
          <cell r="A5324" t="str">
            <v>74065/2</v>
          </cell>
          <cell r="B5324" t="str">
            <v>PINTURA ESMALTE ACETINADO PARA MADEIRA, DUAS DEMAOS, SOBRE FUNDO NIVELADOR BRANCO</v>
          </cell>
          <cell r="C5324" t="str">
            <v>M2</v>
          </cell>
          <cell r="D5324">
            <v>21.54</v>
          </cell>
        </row>
        <row r="5325">
          <cell r="A5325" t="str">
            <v>74065/3</v>
          </cell>
          <cell r="B5325" t="str">
            <v>PINTURA ESMALTE BRILHANTE PARA MADEIRA, DUAS DEMAOS, SOBRE FUNDO NIVELADOR BRANCO</v>
          </cell>
          <cell r="C5325" t="str">
            <v>M2</v>
          </cell>
          <cell r="D5325">
            <v>21.44</v>
          </cell>
        </row>
        <row r="5326">
          <cell r="A5326">
            <v>79463</v>
          </cell>
          <cell r="B5326" t="str">
            <v>PINTURA A OLEO, 1 DEMAO</v>
          </cell>
          <cell r="C5326" t="str">
            <v>M2</v>
          </cell>
          <cell r="D5326">
            <v>13.6</v>
          </cell>
        </row>
        <row r="5327">
          <cell r="A5327">
            <v>79464</v>
          </cell>
          <cell r="B5327" t="str">
            <v>PINTURA A OLEO, 2 DEMAOS</v>
          </cell>
          <cell r="C5327" t="str">
            <v>M2</v>
          </cell>
          <cell r="D5327">
            <v>18.079999999999998</v>
          </cell>
        </row>
        <row r="5328">
          <cell r="A5328">
            <v>79466</v>
          </cell>
          <cell r="B5328" t="str">
            <v>PINTURA COM VERNIZ POLIURETANO, 2 DEMAOS</v>
          </cell>
          <cell r="C5328" t="str">
            <v>M2</v>
          </cell>
          <cell r="D5328">
            <v>16.86</v>
          </cell>
        </row>
        <row r="5329">
          <cell r="A5329" t="str">
            <v>79497/1</v>
          </cell>
          <cell r="B5329" t="str">
            <v>PINTURA A OLEO, 3 DEMAOS</v>
          </cell>
          <cell r="C5329" t="str">
            <v>M2</v>
          </cell>
          <cell r="D5329">
            <v>22.33</v>
          </cell>
        </row>
        <row r="5330">
          <cell r="A5330">
            <v>84645</v>
          </cell>
          <cell r="B5330" t="str">
            <v>VERNIZ SINTETICO BRILHANTE, 2 DEMAOS</v>
          </cell>
          <cell r="C5330" t="str">
            <v>M2</v>
          </cell>
          <cell r="D5330">
            <v>16.670000000000002</v>
          </cell>
        </row>
        <row r="5331">
          <cell r="A5331">
            <v>84657</v>
          </cell>
          <cell r="B5331" t="str">
            <v>FUNDO SINTETICO NIVELADOR BRANCO</v>
          </cell>
          <cell r="C5331" t="str">
            <v>M2</v>
          </cell>
          <cell r="D5331">
            <v>8.51</v>
          </cell>
        </row>
        <row r="5332">
          <cell r="A5332">
            <v>84659</v>
          </cell>
          <cell r="B5332" t="str">
            <v>PINTURA ESMALTE FOSCO EM MADEIRA, DUAS DEMAOS</v>
          </cell>
          <cell r="C5332" t="str">
            <v>M2</v>
          </cell>
          <cell r="D5332">
            <v>14.64</v>
          </cell>
        </row>
        <row r="5333">
          <cell r="A5333">
            <v>84679</v>
          </cell>
          <cell r="B5333" t="str">
            <v>PINTURA IMUNIZANTE PARA MADEIRA, DUAS DEMAOS</v>
          </cell>
          <cell r="C5333" t="str">
            <v>M2</v>
          </cell>
          <cell r="D5333">
            <v>18.170000000000002</v>
          </cell>
        </row>
        <row r="5334">
          <cell r="A5334">
            <v>95464</v>
          </cell>
          <cell r="B5334" t="str">
            <v>PINTURA VERNIZ POLIURETANO BRILHANTE EM MADEIRA, TRES DEMAOS</v>
          </cell>
          <cell r="C5334" t="str">
            <v>M2</v>
          </cell>
          <cell r="D5334">
            <v>19.670000000000002</v>
          </cell>
        </row>
        <row r="5335">
          <cell r="A5335" t="str">
            <v>73794/1</v>
          </cell>
          <cell r="B5335" t="str">
            <v>PINTURA COM TINTA PROTETORA ACABAMENTO GRAFITE ESMALTE SOBRE SUPERFICIE METALICA, 2 DEMAOS</v>
          </cell>
          <cell r="C5335" t="str">
            <v>M2</v>
          </cell>
          <cell r="D5335">
            <v>33.93</v>
          </cell>
        </row>
        <row r="5336">
          <cell r="A5336" t="str">
            <v>73865/1</v>
          </cell>
          <cell r="B5336" t="str">
            <v>FUNDO PREPARADOR PRIMER A BASE DE EPOXI, PARA ESTRUTURA METALICA, UMA DEMAO, ESPESSURA DE 25 MICRA.</v>
          </cell>
          <cell r="C5336" t="str">
            <v>M2</v>
          </cell>
          <cell r="D5336">
            <v>8.6999999999999993</v>
          </cell>
        </row>
        <row r="5337">
          <cell r="A5337" t="str">
            <v>73924/1</v>
          </cell>
          <cell r="B5337" t="str">
            <v>PINTURA ESMALTE ALTO BRILHO, DUAS DEMAOS, SOBRE SUPERFICIE METALICA</v>
          </cell>
          <cell r="C5337" t="str">
            <v>M2</v>
          </cell>
          <cell r="D5337">
            <v>24.2</v>
          </cell>
        </row>
        <row r="5338">
          <cell r="A5338" t="str">
            <v>73924/2</v>
          </cell>
          <cell r="B5338" t="str">
            <v>PINTURA ESMALTE ACETINADO, DUAS DEMAOS, SOBRE SUPERFICIE METALICA</v>
          </cell>
          <cell r="C5338" t="str">
            <v>M2</v>
          </cell>
          <cell r="D5338">
            <v>24.3</v>
          </cell>
        </row>
        <row r="5339">
          <cell r="A5339" t="str">
            <v>73924/3</v>
          </cell>
          <cell r="B5339" t="str">
            <v>PINTURA ESMALTE FOSCO, DUAS DEMAOS, SOBRE SUPERFICIE METALICA</v>
          </cell>
          <cell r="C5339" t="str">
            <v>M2</v>
          </cell>
          <cell r="D5339">
            <v>24.64</v>
          </cell>
        </row>
        <row r="5340">
          <cell r="A5340" t="str">
            <v>74064/1</v>
          </cell>
          <cell r="B5340" t="str">
            <v>FUNDO ANTICORROSIVO A BASE DE OXIDO DE FERRO (ZARCAO), DUAS DEMAOS</v>
          </cell>
          <cell r="C5340" t="str">
            <v>M2</v>
          </cell>
          <cell r="D5340">
            <v>18.52</v>
          </cell>
        </row>
        <row r="5341">
          <cell r="A5341" t="str">
            <v>74064/2</v>
          </cell>
          <cell r="B5341" t="str">
            <v>FUNDO ANTICORROSIVO A BASE DE OXIDO DE FERRO (ZARCAO), UMA DEMAO</v>
          </cell>
          <cell r="C5341" t="str">
            <v>M2</v>
          </cell>
          <cell r="D5341">
            <v>12.2</v>
          </cell>
        </row>
        <row r="5342">
          <cell r="A5342" t="str">
            <v>74145/1</v>
          </cell>
          <cell r="B5342" t="str">
            <v>PINTURA ESMALTE FOSCO, DUAS DEMAOS, SOBRE SUPERFICIE METALICA, INCLUSO UMA DEMAO DE FUNDO ANTICORROSIVO. UTILIZACAO DE REVOLVER ( AR-COMPRIMIDO).</v>
          </cell>
          <cell r="C5342" t="str">
            <v>M2</v>
          </cell>
          <cell r="D5342">
            <v>15.73</v>
          </cell>
        </row>
        <row r="5343">
          <cell r="A5343" t="str">
            <v>79498/1</v>
          </cell>
          <cell r="B5343" t="str">
            <v>PINTURA A OLEO BRILHANTE SOBRE SUPERFICIE METALICA, UMA DEMAO INCLUSO UMA DEMAO DE FUNDO ANTICORROSIVO</v>
          </cell>
          <cell r="C5343" t="str">
            <v>M2</v>
          </cell>
          <cell r="D5343">
            <v>14.98</v>
          </cell>
        </row>
        <row r="5344">
          <cell r="A5344" t="str">
            <v>79499/1</v>
          </cell>
          <cell r="B5344" t="str">
            <v>PINTURA POSTE RETO DE ACO 3,5 A 6M C/1 DEMAO D/TINTA GRAFITE C/PROPRIEDADES DE PRIMER E ACABAMENTO - OBS: C/ALTO TEOR DE ZARCAO</v>
          </cell>
          <cell r="C5344" t="str">
            <v>UN</v>
          </cell>
          <cell r="D5344">
            <v>18.940000000000001</v>
          </cell>
        </row>
        <row r="5345">
          <cell r="A5345" t="str">
            <v>79515/1</v>
          </cell>
          <cell r="B5345" t="str">
            <v>PINTURA COM TINTA PROTETORA ACABAMENTO ALUMINIO, TRES DEMAOS</v>
          </cell>
          <cell r="C5345" t="str">
            <v>M2</v>
          </cell>
          <cell r="D5345">
            <v>30.91</v>
          </cell>
        </row>
        <row r="5346">
          <cell r="A5346">
            <v>84660</v>
          </cell>
          <cell r="B5346" t="str">
            <v>FUNDO PREPARADOR PRIMER SINTETICO, PARA ESTRUTURA METALICA, UMA DEMÃO, ESPESSURA DE 25 MICRA</v>
          </cell>
          <cell r="C5346" t="str">
            <v>M2</v>
          </cell>
          <cell r="D5346">
            <v>6.14</v>
          </cell>
        </row>
        <row r="5347">
          <cell r="A5347">
            <v>84661</v>
          </cell>
          <cell r="B5347" t="str">
            <v>PINTURA COM TINTA PROTETORA ACABAMENTO ALUMINIO, UMA DEMAO SOBRE SUPERFCIE METALICA</v>
          </cell>
          <cell r="C5347" t="str">
            <v>M2</v>
          </cell>
          <cell r="D5347">
            <v>15.6</v>
          </cell>
        </row>
        <row r="5348">
          <cell r="A5348">
            <v>84662</v>
          </cell>
          <cell r="B5348" t="str">
            <v>PINTURA COM TINTA PROTETORA ACABAMENTO ALUMINIO, DUAS DEMAOS SOBRE SUPERFICIE METALICA</v>
          </cell>
          <cell r="C5348" t="str">
            <v>M2</v>
          </cell>
          <cell r="D5348">
            <v>24.78</v>
          </cell>
        </row>
        <row r="5349">
          <cell r="A5349">
            <v>95468</v>
          </cell>
          <cell r="B5349" t="str">
            <v>PINTURA ESMALTE BRILHANTE (2 DEMAOS) SOBRE SUPERFICIE METALICA, INCLUSIVE PROTECAO COM ZARCAO (1 DEMAO)</v>
          </cell>
          <cell r="C5349" t="str">
            <v>M2</v>
          </cell>
          <cell r="D5349">
            <v>36.58</v>
          </cell>
        </row>
        <row r="5350">
          <cell r="A5350">
            <v>41595</v>
          </cell>
          <cell r="B5350" t="str">
            <v>PINTURA ACRILICA DE FAIXAS DE DEMARCACAO EM QUADRA POLIESPORTIVA, 5 CM DE LARGURA</v>
          </cell>
          <cell r="C5350" t="str">
            <v>M</v>
          </cell>
          <cell r="D5350">
            <v>10.77</v>
          </cell>
        </row>
        <row r="5351">
          <cell r="A5351" t="str">
            <v>73978/1</v>
          </cell>
          <cell r="B5351" t="str">
            <v>PINTURA HIDROFUGANTE COM SILICONE SOBRE PISO CIMENTADO, UMA DEMAO</v>
          </cell>
          <cell r="C5351" t="str">
            <v>M2</v>
          </cell>
          <cell r="D5351">
            <v>16.440000000000001</v>
          </cell>
        </row>
        <row r="5352">
          <cell r="A5352" t="str">
            <v>74245/1</v>
          </cell>
          <cell r="B5352" t="str">
            <v>PINTURA ACRILICA EM PISO CIMENTADO DUAS DEMAOS</v>
          </cell>
          <cell r="C5352" t="str">
            <v>M2</v>
          </cell>
          <cell r="D5352">
            <v>13.64</v>
          </cell>
        </row>
        <row r="5353">
          <cell r="A5353">
            <v>79467</v>
          </cell>
          <cell r="B5353" t="str">
            <v>PINTURA COM TINTA A BASE DE BORRACHA CLORADA , DE FAIXAS DE DEMARCACAO, EM QUADRA POLIESPORTIVA, 5 CM DE LARGURA.</v>
          </cell>
          <cell r="C5353" t="str">
            <v>ML</v>
          </cell>
          <cell r="D5353">
            <v>13.2</v>
          </cell>
        </row>
        <row r="5354">
          <cell r="A5354" t="str">
            <v>79500/2</v>
          </cell>
          <cell r="B5354" t="str">
            <v>PINTURA ACRILICA EM PISO CIMENTADO, TRES DEMAOS</v>
          </cell>
          <cell r="C5354" t="str">
            <v>M2</v>
          </cell>
          <cell r="D5354">
            <v>19.010000000000002</v>
          </cell>
        </row>
        <row r="5355">
          <cell r="A5355">
            <v>84663</v>
          </cell>
          <cell r="B5355" t="str">
            <v>APLICACAO DE VERNIZ POLIURETANO FOSCO SOBRE PISO DE PEDRAS DECORATIVAS, 3 DEMAOS</v>
          </cell>
          <cell r="C5355" t="str">
            <v>M2</v>
          </cell>
          <cell r="D5355">
            <v>20.079999999999998</v>
          </cell>
        </row>
        <row r="5356">
          <cell r="A5356">
            <v>84665</v>
          </cell>
          <cell r="B5356" t="str">
            <v>PINTURA ACRILICA PARA SINALIZAÇÃO HORIZONTAL EM PISO CIMENTADO</v>
          </cell>
          <cell r="C5356" t="str">
            <v>M2</v>
          </cell>
          <cell r="D5356">
            <v>18.52</v>
          </cell>
        </row>
        <row r="5357">
          <cell r="A5357">
            <v>84666</v>
          </cell>
          <cell r="B5357" t="str">
            <v>POLIMENTO E ENCERAMENTO DE PISO EM MADEIRA</v>
          </cell>
          <cell r="C5357" t="str">
            <v>M2</v>
          </cell>
          <cell r="D5357">
            <v>20.39</v>
          </cell>
        </row>
        <row r="5358">
          <cell r="A5358">
            <v>75889</v>
          </cell>
          <cell r="B5358" t="str">
            <v>PINTURA PARA TELHAS DE ALUMINIO COM TINTA ESMALTE AUTOMOTIVA</v>
          </cell>
          <cell r="C5358" t="str">
            <v>M2</v>
          </cell>
          <cell r="D5358">
            <v>17.89</v>
          </cell>
        </row>
        <row r="5359">
          <cell r="A5359">
            <v>72191</v>
          </cell>
          <cell r="B5359" t="str">
            <v>RECOLOCACAO DE TACOS DE MADEIRA COM REAPROVEITAMENTO DE MATERIAL E ASSENTAMENTO COM ARGAMASSA 1:4 (CIMENTO E AREIA)</v>
          </cell>
          <cell r="C5359" t="str">
            <v>M2</v>
          </cell>
          <cell r="D5359">
            <v>77.430000000000007</v>
          </cell>
        </row>
        <row r="5360">
          <cell r="A5360">
            <v>72192</v>
          </cell>
          <cell r="B5360" t="str">
            <v>RECOLOCACAO DE PISO DE TABUAS DE MADEIRA, CONSIDERANDO REAPROVEITAMENTO DO MATERIAL, EXCLUSIVE VIGAMENTO</v>
          </cell>
          <cell r="C5360" t="str">
            <v>M2</v>
          </cell>
          <cell r="D5360">
            <v>21.71</v>
          </cell>
        </row>
        <row r="5361">
          <cell r="A5361">
            <v>72193</v>
          </cell>
          <cell r="B5361" t="str">
            <v>RECOLOCACAO DE PISO DE TABUAS DE MADEIRA, CONSIDERANDO REAPROVEITAMENTO DO MATERIAL, INCLUSIVE VIGAMENTO</v>
          </cell>
          <cell r="C5361" t="str">
            <v>M2</v>
          </cell>
          <cell r="D5361">
            <v>59.48</v>
          </cell>
        </row>
        <row r="5362">
          <cell r="A5362">
            <v>73655</v>
          </cell>
          <cell r="B5362" t="str">
            <v>PISO EM TABUA CORRIDA DE MADEIRA ESPESSURA 2,5CM FIXADO EM PECAS DE MADEIRA E ASSENTADO EM ARGAMASSA TRACO 1:4 (CIMENTO/AREIA)</v>
          </cell>
          <cell r="C5362" t="str">
            <v>M2</v>
          </cell>
          <cell r="D5362">
            <v>143.79</v>
          </cell>
        </row>
        <row r="5363">
          <cell r="A5363" t="str">
            <v>73734/1</v>
          </cell>
          <cell r="B5363" t="str">
            <v>PISO EM TACO DE MADEIRA 7X21CM, ASSENTADO COM ARGAMASSA TRACO 1:4 (CIMENTO E AREIA MEDIA)</v>
          </cell>
          <cell r="C5363" t="str">
            <v>M2</v>
          </cell>
          <cell r="D5363">
            <v>159.59</v>
          </cell>
        </row>
        <row r="5364">
          <cell r="A5364">
            <v>84181</v>
          </cell>
          <cell r="B5364" t="str">
            <v>PISO EM TACO DE MADEIRA 7X21CM, FIXADO COM COLA BASE DE PVA</v>
          </cell>
          <cell r="C5364" t="str">
            <v>M2</v>
          </cell>
          <cell r="D5364">
            <v>128.21</v>
          </cell>
        </row>
        <row r="5365">
          <cell r="A5365">
            <v>87246</v>
          </cell>
          <cell r="B5365" t="str">
            <v>REVESTIMENTO CERÂMICO PARA PISO COM PLACAS TIPO ESMALTADA EXTRA DE DIMENSÕES 35X35 CM APLICADA EM AMBIENTES DE ÁREA MENOR QUE 5 M2. AF_06/2014</v>
          </cell>
          <cell r="C5365" t="str">
            <v>M2</v>
          </cell>
          <cell r="D5365">
            <v>38.049999999999997</v>
          </cell>
        </row>
        <row r="5366">
          <cell r="A5366">
            <v>87247</v>
          </cell>
          <cell r="B5366" t="str">
            <v>REVESTIMENTO CERÂMICO PARA PISO COM PLACAS TIPO ESMALTADA EXTRA DE DIMENSÕES 35X35 CM APLICADA EM AMBIENTES DE ÁREA ENTRE 5 M2 E 10 M2. AF_06/2014</v>
          </cell>
          <cell r="C5366" t="str">
            <v>M2</v>
          </cell>
          <cell r="D5366">
            <v>32.53</v>
          </cell>
        </row>
        <row r="5367">
          <cell r="A5367">
            <v>87248</v>
          </cell>
          <cell r="B5367" t="str">
            <v>REVESTIMENTO CERÂMICO PARA PISO COM PLACAS TIPO ESMALTADA EXTRA DE DIMENSÕES 35X35 CM APLICADA EM AMBIENTES DE ÁREA MAIOR QUE 10 M2. AF_06/2014</v>
          </cell>
          <cell r="C5367" t="str">
            <v>M2</v>
          </cell>
          <cell r="D5367">
            <v>27.88</v>
          </cell>
        </row>
        <row r="5368">
          <cell r="A5368">
            <v>87249</v>
          </cell>
          <cell r="B5368" t="str">
            <v>REVESTIMENTO CERÂMICO PARA PISO COM PLACAS TIPO ESMALTADA EXTRA DE DIMENSÕES 45X45 CM APLICADA EM AMBIENTES DE ÁREA MENOR QUE 5 M2. AF_06/2014</v>
          </cell>
          <cell r="C5368" t="str">
            <v>M2</v>
          </cell>
          <cell r="D5368">
            <v>43.39</v>
          </cell>
        </row>
        <row r="5369">
          <cell r="A5369">
            <v>87250</v>
          </cell>
          <cell r="B5369" t="str">
            <v>REVESTIMENTO CERÂMICO PARA PISO COM PLACAS TIPO ESMALTADA EXTRA DE DIMENSÕES 45X45 CM APLICADA EM AMBIENTES DE ÁREA ENTRE 5 M2 E 10 M2. AF_06/2014</v>
          </cell>
          <cell r="C5369" t="str">
            <v>M2</v>
          </cell>
          <cell r="D5369">
            <v>34.630000000000003</v>
          </cell>
        </row>
        <row r="5370">
          <cell r="A5370">
            <v>87251</v>
          </cell>
          <cell r="B5370" t="str">
            <v>REVESTIMENTO CERÂMICO PARA PISO COM PLACAS TIPO ESMALTADA EXTRA DE DIMENSÕES 45X45 CM APLICADA EM AMBIENTES DE ÁREA MAIOR QUE 10 M2. AF_06/2014</v>
          </cell>
          <cell r="C5370" t="str">
            <v>M2</v>
          </cell>
          <cell r="D5370">
            <v>28.85</v>
          </cell>
        </row>
        <row r="5371">
          <cell r="A5371">
            <v>87255</v>
          </cell>
          <cell r="B5371" t="str">
            <v>REVESTIMENTO CERÂMICO PARA PISO COM PLACAS TIPO ESMALTADA EXTRA DE DIMENSÕES 60X60 CM APLICADA EM AMBIENTES DE ÁREA MENOR QUE 5 M2. AF_06/2014</v>
          </cell>
          <cell r="C5371" t="str">
            <v>M2</v>
          </cell>
          <cell r="D5371">
            <v>66.16</v>
          </cell>
        </row>
        <row r="5372">
          <cell r="A5372">
            <v>87256</v>
          </cell>
          <cell r="B5372" t="str">
            <v>REVESTIMENTO CERÂMICO PARA PISO COM PLACAS TIPO ESMALTADA EXTRA DE DIMENSÕES 60X60 CM APLICADA EM AMBIENTES DE ÁREA ENTRE 5 M2 E 10 M2. AF_06/2014</v>
          </cell>
          <cell r="C5372" t="str">
            <v>M2</v>
          </cell>
          <cell r="D5372">
            <v>55.99</v>
          </cell>
        </row>
        <row r="5373">
          <cell r="A5373">
            <v>87257</v>
          </cell>
          <cell r="B5373" t="str">
            <v>REVESTIMENTO CERÂMICO PARA PISO COM PLACAS TIPO ESMALTADA EXTRA DE DIMENSÕES 60X60 CM APLICADA EM AMBIENTES DE ÁREA MAIOR QUE 10 M2. AF_06/2014</v>
          </cell>
          <cell r="C5373" t="str">
            <v>M2</v>
          </cell>
          <cell r="D5373">
            <v>49.28</v>
          </cell>
        </row>
        <row r="5374">
          <cell r="A5374">
            <v>87258</v>
          </cell>
          <cell r="B5374" t="str">
            <v>REVESTIMENTO CERÂMICO PARA PISO COM PLACAS TIPO PORCELANATO DE DIMENSÕES 45X45 CM APLICADA EM AMBIENTES DE ÁREA MENOR QUE 5 M². AF_06/2014</v>
          </cell>
          <cell r="C5374" t="str">
            <v>M2</v>
          </cell>
          <cell r="D5374">
            <v>88.61</v>
          </cell>
        </row>
        <row r="5375">
          <cell r="A5375">
            <v>87259</v>
          </cell>
          <cell r="B5375" t="str">
            <v>REVESTIMENTO CERÂMICO PARA PISO COM PLACAS TIPO PORCELANATO DE DIMENSÕES 45X45 CM APLICADA EM AMBIENTES DE ÁREA ENTRE 5 M² E 10 M². AF_06/2014</v>
          </cell>
          <cell r="C5375" t="str">
            <v>M2</v>
          </cell>
          <cell r="D5375">
            <v>78.989999999999995</v>
          </cell>
        </row>
        <row r="5376">
          <cell r="A5376">
            <v>87260</v>
          </cell>
          <cell r="B5376" t="str">
            <v>REVESTIMENTO CERÂMICO PARA PISO COM PLACAS TIPO PORCELANATO DE DIMENSÕES 45X45 CM APLICADA EM AMBIENTES DE ÁREA MAIOR QUE 10 M². AF_06/2014</v>
          </cell>
          <cell r="C5376" t="str">
            <v>M2</v>
          </cell>
          <cell r="D5376">
            <v>73.14</v>
          </cell>
        </row>
        <row r="5377">
          <cell r="A5377">
            <v>87261</v>
          </cell>
          <cell r="B5377" t="str">
            <v>REVESTIMENTO CERÂMICO PARA PISO COM PLACAS TIPO PORCELANATO DE DIMENSÕES 60X60 CM APLICADA EM AMBIENTES DE ÁREA MENOR QUE 5 M². AF_06/2014</v>
          </cell>
          <cell r="C5377" t="str">
            <v>M2</v>
          </cell>
          <cell r="D5377">
            <v>100.56</v>
          </cell>
        </row>
        <row r="5378">
          <cell r="A5378">
            <v>87262</v>
          </cell>
          <cell r="B5378" t="str">
            <v>REVESTIMENTO CERÂMICO PARA PISO COM PLACAS TIPO PORCELANATO DE DIMENSÕES 60X60 CM APLICADA EM AMBIENTES DE ÁREA ENTRE 5 M² E 10 M². AF_06/2014</v>
          </cell>
          <cell r="C5378" t="str">
            <v>M2</v>
          </cell>
          <cell r="D5378">
            <v>89.63</v>
          </cell>
        </row>
        <row r="5379">
          <cell r="A5379">
            <v>87263</v>
          </cell>
          <cell r="B5379" t="str">
            <v>REVESTIMENTO CERÂMICO PARA PISO COM PLACAS TIPO PORCELANATO DE DIMENSÕES 60X60 CM APLICADA EM AMBIENTES DE ÁREA MAIOR QUE 10 M². AF_06/2014</v>
          </cell>
          <cell r="C5379" t="str">
            <v>M2</v>
          </cell>
          <cell r="D5379">
            <v>82.74</v>
          </cell>
        </row>
        <row r="5380">
          <cell r="A5380">
            <v>89046</v>
          </cell>
          <cell r="B5380" t="str">
            <v>(COMPOSIÇÃO REPRESENTATIVA) DO SERVIÇO DE REVESTIMENTO CERÂMICO PARA PISO COM PLACAS TIPO GRÉS DE DIMENSÕES 35X35 CM, PARA EDIFICAÇÃO HABITACIONAL MULTIFAMILIAR (PRÉDIO). AF_11/2014</v>
          </cell>
          <cell r="C5380" t="str">
            <v>M2</v>
          </cell>
          <cell r="D5380">
            <v>32.229999999999997</v>
          </cell>
        </row>
        <row r="5381">
          <cell r="A5381">
            <v>89171</v>
          </cell>
          <cell r="B5381" t="str">
            <v>(COMPOSIÇÃO REPRESENTATIVA) DO SERVIÇO DE REVESTIMENTO CERÂMICO PARA PISO COM PLACAS TIPO GRÉS DE DIMENSÕES 35X35 CM, PARA EDIFICAÇÃO HABITACIONAL UNIFAMILIAR (CASA) E EDIFICAÇÃO PÚBLICA PADRÃO. AF_11/2014</v>
          </cell>
          <cell r="C5381" t="str">
            <v>M2</v>
          </cell>
          <cell r="D5381">
            <v>29.99</v>
          </cell>
        </row>
        <row r="5382">
          <cell r="A5382">
            <v>93389</v>
          </cell>
          <cell r="B5382" t="str">
            <v>REVESTIMENTO CERÂMICO PARA PISO COM PLACAS TIPO ESMALTADA PADRÃO POPULAR DE DIMENSÕES 35X35 CM APLICADA EM AMBIENTES DE ÁREA MENOR QUE 5 M2. AF_06/2014</v>
          </cell>
          <cell r="C5382" t="str">
            <v>M2</v>
          </cell>
          <cell r="D5382">
            <v>35.119999999999997</v>
          </cell>
        </row>
        <row r="5383">
          <cell r="A5383">
            <v>93390</v>
          </cell>
          <cell r="B5383" t="str">
            <v>REVESTIMENTO CERÂMICO PARA PISO COM PLACAS TIPO ESMALTADA PADRÃO POPULAR DE DIMENSÕES 35X35 CM APLICADA EM AMBIENTES DE ÁREA ENTRE 5 M2 E 10 M2. AF_06/2014</v>
          </cell>
          <cell r="C5383" t="str">
            <v>M2</v>
          </cell>
          <cell r="D5383">
            <v>29.66</v>
          </cell>
        </row>
        <row r="5384">
          <cell r="A5384">
            <v>93391</v>
          </cell>
          <cell r="B5384" t="str">
            <v>REVESTIMENTO CERÂMICO PARA PISO COM PLACAS TIPO ESMALTADA PADRÃO POPULAR DE DIMENSÕES 35X35 CM APLICADA EM AMBIENTES DE ÁREA MAIOR QUE 10 M2. AF_06/2014</v>
          </cell>
          <cell r="C5384" t="str">
            <v>M2</v>
          </cell>
          <cell r="D5384">
            <v>25.01</v>
          </cell>
        </row>
        <row r="5385">
          <cell r="A5385" t="str">
            <v>73743/1</v>
          </cell>
          <cell r="B5385" t="str">
            <v>PISO EM PEDRA SÃO TOME ASSENTADO SOBRE ARGAMASSA 1:3 (CIMENTO E AREIA) REJUNTADO COM CIMENTO BRANCO</v>
          </cell>
          <cell r="C5385" t="str">
            <v>M2</v>
          </cell>
          <cell r="D5385">
            <v>187.78</v>
          </cell>
        </row>
        <row r="5386">
          <cell r="A5386" t="str">
            <v>73921/2</v>
          </cell>
          <cell r="B5386" t="str">
            <v>PISO EM PEDRA ARDOSIA ASSENTADO SOBRE ARGAMASSA COLANTE REJUNTADO COM CIMENTO COMUM</v>
          </cell>
          <cell r="C5386" t="str">
            <v>M2</v>
          </cell>
          <cell r="D5386">
            <v>40.11</v>
          </cell>
        </row>
        <row r="5387">
          <cell r="A5387">
            <v>84183</v>
          </cell>
          <cell r="B5387" t="str">
            <v>PISO EM PEDRA PORTUGUESA ASSENTADO SOBRE BASE DE AREIA, REJUNTADO COM CIMENTO COMUM</v>
          </cell>
          <cell r="C5387" t="str">
            <v>M2</v>
          </cell>
          <cell r="D5387">
            <v>135.37</v>
          </cell>
        </row>
        <row r="5388">
          <cell r="A5388">
            <v>98670</v>
          </cell>
          <cell r="B5388" t="str">
            <v>PISO EM LADRILHO HIDRÁULICO APLICADO EM AMBIENTES INTERNOS, INCLUSO APLICAÇÃO DE RESINA. AF_06/2018</v>
          </cell>
          <cell r="C5388" t="str">
            <v>M2</v>
          </cell>
          <cell r="D5388">
            <v>132.53</v>
          </cell>
        </row>
        <row r="5389">
          <cell r="A5389">
            <v>98671</v>
          </cell>
          <cell r="B5389" t="str">
            <v>PISO EM GRANITO APLICADO EM AMBIENTES INTERNOS. AF_06/2018</v>
          </cell>
          <cell r="C5389" t="str">
            <v>M2</v>
          </cell>
          <cell r="D5389">
            <v>302.98</v>
          </cell>
        </row>
        <row r="5390">
          <cell r="A5390">
            <v>98672</v>
          </cell>
          <cell r="B5390" t="str">
            <v>PISO EM MÁRMORE APLICADO EM AMBIENTES INTERNOS. AF_06/2018</v>
          </cell>
          <cell r="C5390" t="str">
            <v>M2</v>
          </cell>
          <cell r="D5390">
            <v>357.38</v>
          </cell>
        </row>
        <row r="5391">
          <cell r="A5391">
            <v>98673</v>
          </cell>
          <cell r="B5391" t="str">
            <v>PISO VINÍLICO SEMI-FLEXÍVEL EM PLACAS, PADRÃO LISO, ESPESSURA 3,2 MM, FIXADO COM COLA. AF_06/2018</v>
          </cell>
          <cell r="C5391" t="str">
            <v>M2</v>
          </cell>
          <cell r="D5391">
            <v>128.72</v>
          </cell>
        </row>
        <row r="5392">
          <cell r="A5392">
            <v>98679</v>
          </cell>
          <cell r="B5392" t="str">
            <v>PISO CIMENTADO, TRAÇO 1:3 (CIMENTO E AREIA), ACABAMENTO LISO, ESPESSURA 2,0 CM, PREPARO MECÂNICO DA ARGAMASSA. AF_06/2018</v>
          </cell>
          <cell r="C5392" t="str">
            <v>M2</v>
          </cell>
          <cell r="D5392">
            <v>24.56</v>
          </cell>
        </row>
        <row r="5393">
          <cell r="A5393">
            <v>98680</v>
          </cell>
          <cell r="B5393" t="str">
            <v>PISO CIMENTADO, TRAÇO 1:3 (CIMENTO E AREIA), ACABAMENTO LISO, ESPESSURA 3,0 CM, PREPARO MECÂNICO DA ARGAMASSA. AF_06/2018</v>
          </cell>
          <cell r="C5393" t="str">
            <v>M2</v>
          </cell>
          <cell r="D5393">
            <v>30.58</v>
          </cell>
        </row>
        <row r="5394">
          <cell r="A5394">
            <v>98681</v>
          </cell>
          <cell r="B5394" t="str">
            <v>PISO CIMENTADO, TRAÇO 1:3 (CIMENTO E AREIA), ACABAMENTO RÚSTICO, ESPESSURA 2,0 CM, PREPARO MECÂNICO DA ARGAMASSA. AF_06/2018</v>
          </cell>
          <cell r="C5394" t="str">
            <v>M2</v>
          </cell>
          <cell r="D5394">
            <v>22.75</v>
          </cell>
        </row>
        <row r="5395">
          <cell r="A5395">
            <v>98682</v>
          </cell>
          <cell r="B5395" t="str">
            <v>PISO CIMENTADO, TRAÇO 1:3 (CIMENTO E AREIA), ACABAMENTO RÚSTICO, ESPESSURA 3,0 CM, PREPARO MECÂNICO DA ARGAMASSA. AF_06/2018</v>
          </cell>
          <cell r="C5395" t="str">
            <v>M2</v>
          </cell>
          <cell r="D5395">
            <v>28.76</v>
          </cell>
        </row>
        <row r="5396">
          <cell r="A5396">
            <v>98685</v>
          </cell>
          <cell r="B5396" t="str">
            <v>RODAPÉ EM GRANITO, ALTURA 10 CM. AF_06/2018</v>
          </cell>
          <cell r="C5396" t="str">
            <v>M</v>
          </cell>
          <cell r="D5396">
            <v>55.23</v>
          </cell>
        </row>
        <row r="5397">
          <cell r="A5397">
            <v>98686</v>
          </cell>
          <cell r="B5397" t="str">
            <v>RODAPÉ EM LADRILHO HIDRÁULICO, ALTURA 7 CM. AF_06/2018</v>
          </cell>
          <cell r="C5397" t="str">
            <v>M</v>
          </cell>
          <cell r="D5397">
            <v>31.35</v>
          </cell>
        </row>
        <row r="5398">
          <cell r="A5398">
            <v>98688</v>
          </cell>
          <cell r="B5398" t="str">
            <v>RODAPÉ EM POLIESTIRENO, ALTURA 5 CM. AF_06/2018</v>
          </cell>
          <cell r="C5398" t="str">
            <v>M</v>
          </cell>
          <cell r="D5398">
            <v>33.549999999999997</v>
          </cell>
        </row>
        <row r="5399">
          <cell r="A5399">
            <v>98689</v>
          </cell>
          <cell r="B5399" t="str">
            <v>SOLEIRA EM GRANITO, LARGURA 15 CM, ESPESSURA 2,0 CM. AF_06/2018</v>
          </cell>
          <cell r="C5399" t="str">
            <v>M</v>
          </cell>
          <cell r="D5399">
            <v>78.84</v>
          </cell>
        </row>
        <row r="5400">
          <cell r="A5400">
            <v>72187</v>
          </cell>
          <cell r="B5400" t="str">
            <v>PISO DE BORRACHA FRISADO, ESPESSURA 7MM, ASSENTADO COM ARGAMASSA TRACO 1:3 (CIMENTO E AREIA)</v>
          </cell>
          <cell r="C5400" t="str">
            <v>M2</v>
          </cell>
          <cell r="D5400">
            <v>168.46</v>
          </cell>
        </row>
        <row r="5401">
          <cell r="A5401">
            <v>72188</v>
          </cell>
          <cell r="B5401" t="str">
            <v>PISO DE BORRACHA PASTILHADO, ESPESSURA 7MM, ASSENTADO COM ARGAMASSA TRACO 1:3 (CIMENTO E AREIA)</v>
          </cell>
          <cell r="C5401" t="str">
            <v>M2</v>
          </cell>
          <cell r="D5401">
            <v>168.46</v>
          </cell>
        </row>
        <row r="5402">
          <cell r="A5402" t="str">
            <v>73876/1</v>
          </cell>
          <cell r="B5402" t="str">
            <v>PISO DE BORRACHA PASTILHADO, ESPESSURA 7MM, FIXADO COM COLA</v>
          </cell>
          <cell r="C5402" t="str">
            <v>M2</v>
          </cell>
          <cell r="D5402">
            <v>150.71</v>
          </cell>
        </row>
        <row r="5403">
          <cell r="A5403">
            <v>84186</v>
          </cell>
          <cell r="B5403" t="str">
            <v>PISO DE BORRACHA CANELADA, ESPESSURA 3,5MM, FIXADO COM COLA</v>
          </cell>
          <cell r="C5403" t="str">
            <v>M2</v>
          </cell>
          <cell r="D5403">
            <v>64.28</v>
          </cell>
        </row>
        <row r="5404">
          <cell r="A5404">
            <v>84187</v>
          </cell>
          <cell r="B5404" t="str">
            <v>ASSENTAMENTO DE PISO DE BORRACHA PASTILHADA FIXADO COM COLA</v>
          </cell>
          <cell r="C5404" t="str">
            <v>M2</v>
          </cell>
          <cell r="D5404">
            <v>11.2</v>
          </cell>
        </row>
        <row r="5405">
          <cell r="A5405">
            <v>72137</v>
          </cell>
          <cell r="B5405" t="str">
            <v>PISO INDUSTRIAL ALTA RESISTENCIA, ESPESSURA 12MM, INCLUSO JUNTAS DE DILATACAO PLASTICAS E POLIMENTO MECANIZADO</v>
          </cell>
          <cell r="C5405" t="str">
            <v>M2</v>
          </cell>
          <cell r="D5405">
            <v>93.46</v>
          </cell>
        </row>
        <row r="5406">
          <cell r="A5406">
            <v>72815</v>
          </cell>
          <cell r="B5406" t="str">
            <v>APLICACAO DE TINTA A BASE DE EPOXI SOBRE PISO</v>
          </cell>
          <cell r="C5406" t="str">
            <v>M2</v>
          </cell>
          <cell r="D5406">
            <v>43.87</v>
          </cell>
        </row>
        <row r="5407">
          <cell r="A5407">
            <v>84191</v>
          </cell>
          <cell r="B5407" t="str">
            <v>PISO EM GRANILITE, MARMORITE OU GRANITINA ESPESSURA 8 MM, INCLUSO JUNTAS DE DILATACAO PLASTICAS</v>
          </cell>
          <cell r="C5407" t="str">
            <v>M2</v>
          </cell>
          <cell r="D5407">
            <v>102.41</v>
          </cell>
        </row>
        <row r="5408">
          <cell r="A5408" t="str">
            <v>74111/1</v>
          </cell>
          <cell r="B5408" t="str">
            <v>SOLEIRA / TABEIRA EM MARMORE BRANCO COMUM, POLIDO, LARGURA 5 CM, ESPESSURA 2 CM, ASSENTADA COM ARGAMASSA COLANTE</v>
          </cell>
          <cell r="C5408" t="str">
            <v>M</v>
          </cell>
          <cell r="D5408">
            <v>30.5</v>
          </cell>
        </row>
        <row r="5409">
          <cell r="A5409">
            <v>98695</v>
          </cell>
          <cell r="B5409" t="str">
            <v>SOLEIRA EM MÁRMORE, LARGURA 15 CM, ESPESSURA 2,0 CM. AF_06/2018</v>
          </cell>
          <cell r="C5409" t="str">
            <v>M</v>
          </cell>
          <cell r="D5409">
            <v>65.05</v>
          </cell>
        </row>
        <row r="5410">
          <cell r="A5410">
            <v>98697</v>
          </cell>
          <cell r="B5410" t="str">
            <v>RODAPÉ EM MÁRMORE, ALTURA 7 CM. AF_06/2018</v>
          </cell>
          <cell r="C5410" t="str">
            <v>M</v>
          </cell>
          <cell r="D5410">
            <v>42.72</v>
          </cell>
        </row>
        <row r="5411">
          <cell r="A5411" t="str">
            <v>73886/1</v>
          </cell>
          <cell r="B5411" t="str">
            <v>RODAPE EM MADEIRA, ALTURA 7CM, FIXADO EM PECAS DE MADEIRA</v>
          </cell>
          <cell r="C5411" t="str">
            <v>M</v>
          </cell>
          <cell r="D5411">
            <v>16.12</v>
          </cell>
        </row>
        <row r="5412">
          <cell r="A5412">
            <v>84162</v>
          </cell>
          <cell r="B5412" t="str">
            <v>RODAPE EM MADEIRA, ALTURA 7CM, FIXADO COM COLA</v>
          </cell>
          <cell r="C5412" t="str">
            <v>M</v>
          </cell>
          <cell r="D5412">
            <v>17.3</v>
          </cell>
        </row>
        <row r="5413">
          <cell r="A5413">
            <v>88648</v>
          </cell>
          <cell r="B5413" t="str">
            <v>RODAPÉ CERÂMICO DE 7CM DE ALTURA COM PLACAS TIPO ESMALTADA EXTRA  DE DIMENSÕES 35X35CM. AF_06/2014</v>
          </cell>
          <cell r="C5413" t="str">
            <v>M</v>
          </cell>
          <cell r="D5413">
            <v>4.5199999999999996</v>
          </cell>
        </row>
        <row r="5414">
          <cell r="A5414">
            <v>88649</v>
          </cell>
          <cell r="B5414" t="str">
            <v>RODAPÉ CERÂMICO DE 7CM DE ALTURA COM PLACAS TIPO ESMALTADA EXTRA DE DIMENSÕES 45X45CM. AF_06/2014</v>
          </cell>
          <cell r="C5414" t="str">
            <v>M</v>
          </cell>
          <cell r="D5414">
            <v>5.03</v>
          </cell>
        </row>
        <row r="5415">
          <cell r="A5415">
            <v>88650</v>
          </cell>
          <cell r="B5415" t="str">
            <v>RODAPÉ CERÂMICO DE 7CM DE ALTURA COM PLACAS TIPO ESMALTADA EXTRA DE DIMENSÕES 60X60CM. AF_06/2014</v>
          </cell>
          <cell r="C5415" t="str">
            <v>M</v>
          </cell>
          <cell r="D5415">
            <v>8.9600000000000009</v>
          </cell>
        </row>
        <row r="5416">
          <cell r="A5416">
            <v>96467</v>
          </cell>
          <cell r="B5416" t="str">
            <v>RODAPÉ CERÂMICO DE 7CM DE ALTURA COM PLACAS TIPO ESMALTADA COMERCIAL DE DIMENSÕES 35X35CM (PADRAO POPULAR). AF_06/2017</v>
          </cell>
          <cell r="C5416" t="str">
            <v>M</v>
          </cell>
          <cell r="D5416">
            <v>4.1900000000000004</v>
          </cell>
        </row>
        <row r="5417">
          <cell r="A5417" t="str">
            <v>73850/1</v>
          </cell>
          <cell r="B5417" t="str">
            <v>RODAPE EM MARMORITE, ALTURA 10CM</v>
          </cell>
          <cell r="C5417" t="str">
            <v>M</v>
          </cell>
          <cell r="D5417">
            <v>24.44</v>
          </cell>
        </row>
        <row r="5418">
          <cell r="A5418">
            <v>84168</v>
          </cell>
          <cell r="B5418" t="str">
            <v>RODAPE EM ARDOSIA ASSENTADO COM ARGAMASSA TRACO 1:4 (CIMENTO E AREIA) ALTURA 10CM</v>
          </cell>
          <cell r="C5418" t="str">
            <v>M</v>
          </cell>
          <cell r="D5418">
            <v>18.22</v>
          </cell>
        </row>
        <row r="5419">
          <cell r="A5419">
            <v>68325</v>
          </cell>
          <cell r="B5419" t="str">
            <v>PISO EM CONCRETO 20 MPA PREPARO MECANICO, ESPESSURA 7CM, INCLUSO SELANTE ELASTICO A BASE DE POLIURETANO</v>
          </cell>
          <cell r="C5419" t="str">
            <v>M2</v>
          </cell>
          <cell r="D5419">
            <v>43.03</v>
          </cell>
        </row>
        <row r="5420">
          <cell r="A5420">
            <v>68333</v>
          </cell>
          <cell r="B5420" t="str">
            <v>PISO EM CONCRETO 20 MPA PREPARO MECANICO, ESPESSURA 7CM, INCLUSO JUNTAS DE DILATACAO EM MADEIRA</v>
          </cell>
          <cell r="C5420" t="str">
            <v>M2</v>
          </cell>
          <cell r="D5420">
            <v>43.91</v>
          </cell>
        </row>
        <row r="5421">
          <cell r="A5421">
            <v>72183</v>
          </cell>
          <cell r="B5421" t="str">
            <v>PISO EM CONCRETO 20MPA PREPARO MECANICO, ESPESSURA 7 CM, COM ARMACAO EM TELA SOLDADA</v>
          </cell>
          <cell r="C5421" t="str">
            <v>M2</v>
          </cell>
          <cell r="D5421">
            <v>79.03</v>
          </cell>
        </row>
        <row r="5422">
          <cell r="A5422">
            <v>84175</v>
          </cell>
          <cell r="B5422" t="str">
            <v>JUNTA 5X5CM COM ARGAMASSA TRACO 1:3 (CIMENTO E AREIA) PARA PISO EM PLACAS</v>
          </cell>
          <cell r="C5422" t="str">
            <v>M</v>
          </cell>
          <cell r="D5422">
            <v>11.97</v>
          </cell>
        </row>
        <row r="5423">
          <cell r="A5423">
            <v>84176</v>
          </cell>
          <cell r="B5423" t="str">
            <v>JUNTA 2,5X2,5CM COM ARGAMASSA 1:1:3 IMPERMEABILIZANTE DE HIDRO-ASFALTO CIMENTO E AREIA PARA PISO EM PLACAS</v>
          </cell>
          <cell r="C5423" t="str">
            <v>M</v>
          </cell>
          <cell r="D5423">
            <v>21.3</v>
          </cell>
        </row>
        <row r="5424">
          <cell r="A5424">
            <v>94990</v>
          </cell>
          <cell r="B5424" t="str">
            <v>EXECUÇÃO DE PASSEIO (CALÇADA) OU PISO DE CONCRETO COM CONCRETO MOLDADO IN LOCO, FEITO EM OBRA, ACABAMENTO CONVENCIONAL, NÃO ARMADO. AF_07/2016</v>
          </cell>
          <cell r="C5424" t="str">
            <v>M3</v>
          </cell>
          <cell r="D5424">
            <v>538.79</v>
          </cell>
        </row>
        <row r="5425">
          <cell r="A5425">
            <v>94991</v>
          </cell>
          <cell r="B5425" t="str">
            <v>EXECUÇÃO DE PASSEIO (CALÇADA) OU PISO DE CONCRETO COM CONCRETO MOLDADO IN LOCO, USINADO, ACABAMENTO CONVENCIONAL, NÃO ARMADO. AF_07/2016</v>
          </cell>
          <cell r="C5425" t="str">
            <v>M3</v>
          </cell>
          <cell r="D5425">
            <v>494.02</v>
          </cell>
        </row>
        <row r="5426">
          <cell r="A5426">
            <v>94992</v>
          </cell>
          <cell r="B5426" t="str">
            <v>EXECUÇÃO DE PASSEIO (CALÇADA) OU PISO DE CONCRETO COM CONCRETO MOLDADO IN LOCO, FEITO EM OBRA, ACABAMENTO CONVENCIONAL, ESPESSURA 6 CM, ARMADO. AF_07/2016</v>
          </cell>
          <cell r="C5426" t="str">
            <v>M2</v>
          </cell>
          <cell r="D5426">
            <v>59.71</v>
          </cell>
        </row>
        <row r="5427">
          <cell r="A5427">
            <v>94993</v>
          </cell>
          <cell r="B5427" t="str">
            <v>EXECUÇÃO DE PASSEIO (CALÇADA) OU PISO DE CONCRETO COM CONCRETO MOLDADO IN LOCO, USINADO, ACABAMENTO CONVENCIONAL, ESPESSURA 6 CM, ARMADO. AF_07/2016</v>
          </cell>
          <cell r="C5427" t="str">
            <v>M2</v>
          </cell>
          <cell r="D5427">
            <v>57.02</v>
          </cell>
        </row>
        <row r="5428">
          <cell r="A5428">
            <v>94994</v>
          </cell>
          <cell r="B5428" t="str">
            <v>EXECUÇÃO DE PASSEIO (CALÇADA) OU PISO DE CONCRETO COM CONCRETO MOLDADO IN LOCO, FEITO EM OBRA, ACABAMENTO CONVENCIONAL, ESPESSURA 8 CM, ARMADO. AF_07/2016</v>
          </cell>
          <cell r="C5428" t="str">
            <v>M2</v>
          </cell>
          <cell r="D5428">
            <v>71.459999999999994</v>
          </cell>
        </row>
        <row r="5429">
          <cell r="A5429">
            <v>94995</v>
          </cell>
          <cell r="B5429" t="str">
            <v>EXECUÇÃO DE PASSEIO (CALÇADA) OU PISO DE CONCRETO COM CONCRETO MOLDADO IN LOCO, USINADO, ACABAMENTO CONVENCIONAL, ESPESSURA 8 CM, ARMADO. AF_07/2016</v>
          </cell>
          <cell r="C5429" t="str">
            <v>M2</v>
          </cell>
          <cell r="D5429">
            <v>67.88</v>
          </cell>
        </row>
        <row r="5430">
          <cell r="A5430">
            <v>94996</v>
          </cell>
          <cell r="B5430" t="str">
            <v>EXECUÇÃO DE PASSEIO (CALÇADA) OU PISO DE CONCRETO COM CONCRETO MOLDADO IN LOCO, FEITO EM OBRA, ACABAMENTO CONVENCIONAL, ESPESSURA 10 CM, ARMADO. AF_07/2016</v>
          </cell>
          <cell r="C5430" t="str">
            <v>M2</v>
          </cell>
          <cell r="D5430">
            <v>82.48</v>
          </cell>
        </row>
        <row r="5431">
          <cell r="A5431">
            <v>94997</v>
          </cell>
          <cell r="B5431" t="str">
            <v>EXECUÇÃO DE PASSEIO (CALÇADA) OU PISO DE CONCRETO COM CONCRETO MOLDADO IN LOCO, USINADO, ACABAMENTO CONVENCIONAL, ESPESSURA 10 CM, ARMADO. AF_07/2016</v>
          </cell>
          <cell r="C5431" t="str">
            <v>M2</v>
          </cell>
          <cell r="D5431">
            <v>78</v>
          </cell>
        </row>
        <row r="5432">
          <cell r="A5432">
            <v>94998</v>
          </cell>
          <cell r="B5432" t="str">
            <v>EXECUÇÃO DE PASSEIO (CALÇADA) OU PISO DE CONCRETO COM CONCRETO MOLDADO IN LOCO, FEITO EM OBRA, ACABAMENTO CONVENCIONAL, ESPESSURA 12 CM, ARMADO. AF_07/2016</v>
          </cell>
          <cell r="C5432" t="str">
            <v>M2</v>
          </cell>
          <cell r="D5432">
            <v>93.24</v>
          </cell>
        </row>
        <row r="5433">
          <cell r="A5433">
            <v>94999</v>
          </cell>
          <cell r="B5433" t="str">
            <v>EXECUÇÃO DE PASSEIO (CALÇADA) OU PISO DE CONCRETO COM CONCRETO MOLDADO IN LOCO, USINADO, ACABAMENTO CONVENCIONAL, ESPESSURA 12 CM, ARMADO. AF_07/2016</v>
          </cell>
          <cell r="C5433" t="str">
            <v>M2</v>
          </cell>
          <cell r="D5433">
            <v>87.87</v>
          </cell>
        </row>
        <row r="5434">
          <cell r="A5434">
            <v>87620</v>
          </cell>
          <cell r="B5434" t="str">
            <v>CONTRAPISO EM ARGAMASSA TRAÇO 1:4 (CIMENTO E AREIA), PREPARO MECÂNICO COM BETONEIRA 400 L, APLICADO EM ÁREAS SECAS SOBRE LAJE, ADERIDO, ESPESSURA 2CM. AF_06/2014</v>
          </cell>
          <cell r="C5434" t="str">
            <v>M2</v>
          </cell>
          <cell r="D5434">
            <v>23.82</v>
          </cell>
        </row>
        <row r="5435">
          <cell r="A5435">
            <v>87622</v>
          </cell>
          <cell r="B5435" t="str">
            <v>CONTRAPISO EM ARGAMASSA TRAÇO 1:4 (CIMENTO E AREIA), PREPARO MANUAL, APLICADO EM ÁREAS SECAS SOBRE LAJE, ADERIDO, ESPESSURA 2CM. AF_06/2014</v>
          </cell>
          <cell r="C5435" t="str">
            <v>M2</v>
          </cell>
          <cell r="D5435">
            <v>27.01</v>
          </cell>
        </row>
        <row r="5436">
          <cell r="A5436">
            <v>87623</v>
          </cell>
          <cell r="B5436" t="str">
            <v>CONTRAPISO EM ARGAMASSA PRONTA, PREPARO MECÂNICO COM MISTURADOR 300 KG, APLICADO EM ÁREAS SECAS SOBRE LAJE, ADERIDO, ESPESSURA 2CM. AF_06/2014</v>
          </cell>
          <cell r="C5436" t="str">
            <v>M2</v>
          </cell>
          <cell r="D5436">
            <v>58.71</v>
          </cell>
        </row>
        <row r="5437">
          <cell r="A5437">
            <v>87624</v>
          </cell>
          <cell r="B5437" t="str">
            <v>CONTRAPISO EM ARGAMASSA PRONTA, PREPARO MANUAL, APLICADO EM ÁREAS SECAS SOBRE LAJE, ADERIDO, ESPESSURA 2CM. AF_06/2014</v>
          </cell>
          <cell r="C5437" t="str">
            <v>M2</v>
          </cell>
          <cell r="D5437">
            <v>64.2</v>
          </cell>
        </row>
        <row r="5438">
          <cell r="A5438">
            <v>87630</v>
          </cell>
          <cell r="B5438" t="str">
            <v>CONTRAPISO EM ARGAMASSA TRAÇO 1:4 (CIMENTO E AREIA), PREPARO MECÂNICO COM BETONEIRA 400 L, APLICADO EM ÁREAS SECAS SOBRE LAJE, ADERIDO, ESPESSURA 3CM. AF_06/2014</v>
          </cell>
          <cell r="C5438" t="str">
            <v>M2</v>
          </cell>
          <cell r="D5438">
            <v>29.47</v>
          </cell>
        </row>
        <row r="5439">
          <cell r="A5439">
            <v>87632</v>
          </cell>
          <cell r="B5439" t="str">
            <v>CONTRAPISO EM ARGAMASSA TRAÇO 1:4 (CIMENTO E AREIA), PREPARO MANUAL, APLICADO EM ÁREAS SECAS SOBRE LAJE, ADERIDO, ESPESSURA 3CM. AF_06/2014</v>
          </cell>
          <cell r="C5439" t="str">
            <v>M2</v>
          </cell>
          <cell r="D5439">
            <v>33.9</v>
          </cell>
        </row>
        <row r="5440">
          <cell r="A5440">
            <v>87633</v>
          </cell>
          <cell r="B5440" t="str">
            <v>CONTRAPISO EM ARGAMASSA PRONTA, PREPARO MECÂNICO COM MISTURADOR 300 KG, APLICADO EM ÁREAS SECAS SOBRE LAJE, ADERIDO, ESPESSURA 3CM. AF_06/2014</v>
          </cell>
          <cell r="C5440" t="str">
            <v>M2</v>
          </cell>
          <cell r="D5440">
            <v>77.98</v>
          </cell>
        </row>
        <row r="5441">
          <cell r="A5441">
            <v>87634</v>
          </cell>
          <cell r="B5441" t="str">
            <v>CONTRAPISO EM ARGAMASSA PRONTA, PREPARO MANUAL, APLICADO EM ÁREAS SECAS SOBRE LAJE, ADERIDO, ESPESSURA 3CM. AF_06/2014</v>
          </cell>
          <cell r="C5441" t="str">
            <v>M2</v>
          </cell>
          <cell r="D5441">
            <v>85.61</v>
          </cell>
        </row>
        <row r="5442">
          <cell r="A5442">
            <v>87640</v>
          </cell>
          <cell r="B5442" t="str">
            <v>CONTRAPISO EM ARGAMASSA TRAÇO 1:4 (CIMENTO E AREIA), PREPARO MECÂNICO COM BETONEIRA 400 L, APLICADO EM ÁREAS SECAS SOBRE LAJE, ADERIDO, ESPESSURA 4CM. AF_06/2014</v>
          </cell>
          <cell r="C5442" t="str">
            <v>M2</v>
          </cell>
          <cell r="D5442">
            <v>34.01</v>
          </cell>
        </row>
        <row r="5443">
          <cell r="A5443">
            <v>87642</v>
          </cell>
          <cell r="B5443" t="str">
            <v>CONTRAPISO EM ARGAMASSA TRAÇO 1:4 (CIMENTO E AREIA), PREPARO MANUAL, APLICADO EM ÁREAS SECAS SOBRE LAJE, ADERIDO, ESPESSURA 4CM. AF_06/2014</v>
          </cell>
          <cell r="C5443" t="str">
            <v>M2</v>
          </cell>
          <cell r="D5443">
            <v>39.46</v>
          </cell>
        </row>
        <row r="5444">
          <cell r="A5444">
            <v>87643</v>
          </cell>
          <cell r="B5444" t="str">
            <v>CONTRAPISO EM ARGAMASSA PRONTA, PREPARO MECÂNICO COM MISTURADOR 300 KG, APLICADO EM ÁREAS SECAS SOBRE LAJE, ADERIDO, ESPESSURA 4CM. AF_06/2014</v>
          </cell>
          <cell r="C5444" t="str">
            <v>M2</v>
          </cell>
          <cell r="D5444">
            <v>93.66</v>
          </cell>
        </row>
        <row r="5445">
          <cell r="A5445">
            <v>87644</v>
          </cell>
          <cell r="B5445" t="str">
            <v>CONTRAPISO EM ARGAMASSA PRONTA, PREPARO MANUAL, APLICADO EM ÁREAS SECAS SOBRE LAJE, ADERIDO, ESPESSURA 4CM. AF_06/2014</v>
          </cell>
          <cell r="C5445" t="str">
            <v>M2</v>
          </cell>
          <cell r="D5445">
            <v>103.05</v>
          </cell>
        </row>
        <row r="5446">
          <cell r="A5446">
            <v>87680</v>
          </cell>
          <cell r="B5446" t="str">
            <v>CONTRAPISO EM ARGAMASSA TRAÇO 1:4 (CIMENTO E AREIA), PREPARO MECÂNICO COM BETONEIRA 400 L, APLICADO EM ÁREAS SECAS SOBRE LAJE, NÃO ADERIDO, ESPESSURA 4CM. AF_06/2014</v>
          </cell>
          <cell r="C5446" t="str">
            <v>M2</v>
          </cell>
          <cell r="D5446">
            <v>27.97</v>
          </cell>
        </row>
        <row r="5447">
          <cell r="A5447">
            <v>87682</v>
          </cell>
          <cell r="B5447" t="str">
            <v>CONTRAPISO EM ARGAMASSA TRAÇO 1:4 (CIMENTO E AREIA), PREPARO MANUAL, APLICADO EM ÁREAS SECAS SOBRE LAJE, NÃO ADERIDO, ESPESSURA 4CM. AF_06/2014</v>
          </cell>
          <cell r="C5447" t="str">
            <v>M2</v>
          </cell>
          <cell r="D5447">
            <v>33.42</v>
          </cell>
        </row>
        <row r="5448">
          <cell r="A5448">
            <v>87683</v>
          </cell>
          <cell r="B5448" t="str">
            <v>CONTRAPISO EM ARGAMASSA PRONTA, PREPARO MECÂNICO COM MISTURADOR 300 KG, APLICADO EM ÁREAS SECAS SOBRE LAJE, NÃO ADERIDO, ESPESSURA 4CM. AF_06/2014</v>
          </cell>
          <cell r="C5448" t="str">
            <v>M2</v>
          </cell>
          <cell r="D5448">
            <v>87.62</v>
          </cell>
        </row>
        <row r="5449">
          <cell r="A5449">
            <v>87684</v>
          </cell>
          <cell r="B5449" t="str">
            <v>CONTRAPISO EM ARGAMASSA PRONTA, PREPARO MANUAL, APLICADO EM ÁREAS SECAS SOBRE LAJE, NÃO ADERIDO, ESPESSURA 4CM. AF_06/2014</v>
          </cell>
          <cell r="C5449" t="str">
            <v>M2</v>
          </cell>
          <cell r="D5449">
            <v>97.01</v>
          </cell>
        </row>
        <row r="5450">
          <cell r="A5450">
            <v>87690</v>
          </cell>
          <cell r="B5450" t="str">
            <v>CONTRAPISO EM ARGAMASSA TRAÇO 1:4 (CIMENTO E AREIA), PREPARO MECÂNICO COM BETONEIRA 400 L, APLICADO EM ÁREAS SECAS SOBRE LAJE, NÃO ADERIDO, ESPESSURA 5CM. AF_06/2014</v>
          </cell>
          <cell r="C5450" t="str">
            <v>M2</v>
          </cell>
          <cell r="D5450">
            <v>32.54</v>
          </cell>
        </row>
        <row r="5451">
          <cell r="A5451">
            <v>87692</v>
          </cell>
          <cell r="B5451" t="str">
            <v>CONTRAPISO EM ARGAMASSA TRAÇO 1:4 (CIMENTO E AREIA), PREPARO MANUAL, APLICADO EM ÁREAS SECAS SOBRE LAJE, NÃO ADERIDO, ESPESSURA 5CM. AF_06/2014</v>
          </cell>
          <cell r="C5451" t="str">
            <v>M2</v>
          </cell>
          <cell r="D5451">
            <v>38.78</v>
          </cell>
        </row>
        <row r="5452">
          <cell r="A5452">
            <v>87693</v>
          </cell>
          <cell r="B5452" t="str">
            <v>CONTRAPISO EM ARGAMASSA PRONTA, PREPARO MECÂNICO COM MISTURADOR 300 KG, APLICADO EM ÁREAS SECAS SOBRE LAJE, NÃO ADERIDO, ESPESSURA 5CM. AF_06/2014</v>
          </cell>
          <cell r="C5452" t="str">
            <v>M2</v>
          </cell>
          <cell r="D5452">
            <v>100.86</v>
          </cell>
        </row>
        <row r="5453">
          <cell r="A5453">
            <v>87694</v>
          </cell>
          <cell r="B5453" t="str">
            <v>CONTRAPISO EM ARGAMASSA PRONTA, PREPARO MANUAL, APLICADO EM ÁREAS SECAS SOBRE LAJE, NÃO ADERIDO, ESPESSURA 5CM. AF_06/2014</v>
          </cell>
          <cell r="C5453" t="str">
            <v>M2</v>
          </cell>
          <cell r="D5453">
            <v>111.61</v>
          </cell>
        </row>
        <row r="5454">
          <cell r="A5454">
            <v>87700</v>
          </cell>
          <cell r="B5454" t="str">
            <v>CONTRAPISO EM ARGAMASSA TRAÇO 1:4 (CIMENTO E AREIA), PREPARO MECÂNICO COM BETONEIRA 400 L, APLICADO EM ÁREAS SECAS SOBRE LAJE, NÃO ADERIDO, ESPESSURA 6CM. AF_06/2014</v>
          </cell>
          <cell r="C5454" t="str">
            <v>M2</v>
          </cell>
          <cell r="D5454">
            <v>35.130000000000003</v>
          </cell>
        </row>
        <row r="5455">
          <cell r="A5455">
            <v>87702</v>
          </cell>
          <cell r="B5455" t="str">
            <v>CONTRAPISO EM ARGAMASSA TRAÇO 1:4 (CIMENTO E AREIA), PREPARO MANUAL, APLICADO EM ÁREAS SECAS SOBRE LAJE, NÃO ADERIDO, ESPESSURA 6CM. AF_06/2014</v>
          </cell>
          <cell r="C5455" t="str">
            <v>M2</v>
          </cell>
          <cell r="D5455">
            <v>41.92</v>
          </cell>
        </row>
        <row r="5456">
          <cell r="A5456">
            <v>87703</v>
          </cell>
          <cell r="B5456" t="str">
            <v>CONTRAPISO EM ARGAMASSA PRONTA, PREPARO MECÂNICO COM MISTURADOR 300 KG, APLICADO EM ÁREAS SECAS SOBRE LAJE, NÃO ADERIDO, ESPESSURA 6CM. AF_06/2014</v>
          </cell>
          <cell r="C5456" t="str">
            <v>M2</v>
          </cell>
          <cell r="D5456">
            <v>109.52</v>
          </cell>
        </row>
        <row r="5457">
          <cell r="A5457">
            <v>87704</v>
          </cell>
          <cell r="B5457" t="str">
            <v>CONTRAPISO EM ARGAMASSA PRONTA, PREPARO MANUAL, APLICADO EM ÁREAS SECAS SOBRE LAJE, NÃO ADERIDO, ESPESSURA 6CM. AF_06/2014</v>
          </cell>
          <cell r="C5457" t="str">
            <v>M2</v>
          </cell>
          <cell r="D5457">
            <v>121.22</v>
          </cell>
        </row>
        <row r="5458">
          <cell r="A5458">
            <v>87735</v>
          </cell>
          <cell r="B5458" t="str">
            <v>CONTRAPISO EM ARGAMASSA TRAÇO 1:4 (CIMENTO E AREIA), PREPARO MECÂNICO COM BETONEIRA 400 L, APLICADO EM ÁREAS MOLHADAS SOBRE LAJE, ADERIDO, ESPESSURA 2CM. AF_06/2014</v>
          </cell>
          <cell r="C5458" t="str">
            <v>M2</v>
          </cell>
          <cell r="D5458">
            <v>32.33</v>
          </cell>
        </row>
        <row r="5459">
          <cell r="A5459">
            <v>87737</v>
          </cell>
          <cell r="B5459" t="str">
            <v>CONTRAPISO EM ARGAMASSA TRAÇO 1:4 (CIMENTO E AREIA), PREPARO MANUAL, APLICADO EM ÁREAS MOLHADAS SOBRE LAJE, ADERIDO, ESPESSURA 2CM. AF_06/2014</v>
          </cell>
          <cell r="C5459" t="str">
            <v>M2</v>
          </cell>
          <cell r="D5459">
            <v>35.520000000000003</v>
          </cell>
        </row>
        <row r="5460">
          <cell r="A5460">
            <v>87738</v>
          </cell>
          <cell r="B5460" t="str">
            <v>CONTRAPISO EM ARGAMASSA PRONTA, PREPARO MECÂNICO COM MISTURADOR 300 KG, APLICADO EM ÁREAS MOLHADAS SOBRE LAJE, ADERIDO, ESPESSURA 2CM. AF_06/2014</v>
          </cell>
          <cell r="C5460" t="str">
            <v>M2</v>
          </cell>
          <cell r="D5460">
            <v>67.22</v>
          </cell>
        </row>
        <row r="5461">
          <cell r="A5461">
            <v>87739</v>
          </cell>
          <cell r="B5461" t="str">
            <v>CONTRAPISO EM ARGAMASSA PRONTA, PREPARO MANUAL, APLICADO EM ÁREAS MOLHADAS SOBRE LAJE, ADERIDO, ESPESSURA 2CM. AF_06/2014</v>
          </cell>
          <cell r="C5461" t="str">
            <v>M2</v>
          </cell>
          <cell r="D5461">
            <v>72.709999999999994</v>
          </cell>
        </row>
        <row r="5462">
          <cell r="A5462">
            <v>87745</v>
          </cell>
          <cell r="B5462" t="str">
            <v>CONTRAPISO EM ARGAMASSA TRAÇO 1:4 (CIMENTO E AREIA), PREPARO MECÂNICO COM BETONEIRA 400 L, APLICADO EM ÁREAS MOLHADAS SOBRE LAJE, ADERIDO, ESPESSURA 3CM. AF_06/2014</v>
          </cell>
          <cell r="C5462" t="str">
            <v>M2</v>
          </cell>
          <cell r="D5462">
            <v>37.979999999999997</v>
          </cell>
        </row>
        <row r="5463">
          <cell r="A5463">
            <v>87747</v>
          </cell>
          <cell r="B5463" t="str">
            <v>CONTRAPISO EM ARGAMASSA TRAÇO 1:4 (CIMENTO E AREIA), PREPARO MANUAL, APLICADO EM ÁREAS MOLHADAS SOBRE LAJE, ADERIDO, ESPESSURA 3CM. AF_06/2014</v>
          </cell>
          <cell r="C5463" t="str">
            <v>M2</v>
          </cell>
          <cell r="D5463">
            <v>42.41</v>
          </cell>
        </row>
        <row r="5464">
          <cell r="A5464">
            <v>87748</v>
          </cell>
          <cell r="B5464" t="str">
            <v>CONTRAPISO EM ARGAMASSA PRONTA, PREPARO MECÂNICO COM MISTURADOR 300 KG, APLICADO EM ÁREAS MOLHADAS SOBRE LAJE, ADERIDO, ESPESSURA 3CM. AF_06/2014</v>
          </cell>
          <cell r="C5464" t="str">
            <v>M2</v>
          </cell>
          <cell r="D5464">
            <v>86.49</v>
          </cell>
        </row>
        <row r="5465">
          <cell r="A5465">
            <v>87749</v>
          </cell>
          <cell r="B5465" t="str">
            <v>CONTRAPISO EM ARGAMASSA PRONTA, PREPARO MANUAL, APLICADO EM ÁREAS MOLHADAS SOBRE LAJE, ADERIDO, ESPESSURA 3CM. AF_06/2014</v>
          </cell>
          <cell r="C5465" t="str">
            <v>M2</v>
          </cell>
          <cell r="D5465">
            <v>94.12</v>
          </cell>
        </row>
        <row r="5466">
          <cell r="A5466">
            <v>87755</v>
          </cell>
          <cell r="B5466" t="str">
            <v>CONTRAPISO EM ARGAMASSA TRAÇO 1:4 (CIMENTO E AREIA), PREPARO MECÂNICO COM BETONEIRA 400 L, APLICADO EM ÁREAS MOLHADAS SOBRE IMPERMEABILIZAÇÃO, ESPESSURA 3CM. AF_06/2014</v>
          </cell>
          <cell r="C5466" t="str">
            <v>M2</v>
          </cell>
          <cell r="D5466">
            <v>35.01</v>
          </cell>
        </row>
        <row r="5467">
          <cell r="A5467">
            <v>87757</v>
          </cell>
          <cell r="B5467" t="str">
            <v>CONTRAPISO EM ARGAMASSA TRAÇO 1:4 (CIMENTO E AREIA), PREPARO MANUAL, APLICADO EM ÁREAS MOLHADAS SOBRE IMPERMEABILIZAÇÃO, ESPESSURA 3CM. AF_06/2014</v>
          </cell>
          <cell r="C5467" t="str">
            <v>M2</v>
          </cell>
          <cell r="D5467">
            <v>39.44</v>
          </cell>
        </row>
        <row r="5468">
          <cell r="A5468">
            <v>87758</v>
          </cell>
          <cell r="B5468" t="str">
            <v>CONTRAPISO EM ARGAMASSA PRONTA, PREPARO MECÂNICO COM MISTURADOR 300 KG, APLICADO EM ÁREAS MOLHADAS SOBRE IMPERMEABILIZAÇÃO, ESPESSURA 3CM. AF_06/2014</v>
          </cell>
          <cell r="C5468" t="str">
            <v>M2</v>
          </cell>
          <cell r="D5468">
            <v>83.52</v>
          </cell>
        </row>
        <row r="5469">
          <cell r="A5469">
            <v>87759</v>
          </cell>
          <cell r="B5469" t="str">
            <v>CONTRAPISO EM ARGAMASSA PRONTA, PREPARO MANUAL, APLICADO EM ÁREAS MOLHADAS SOBRE IMPERMEABILIZAÇÃO, ESPESSURA 3CM. AF_06/2014</v>
          </cell>
          <cell r="C5469" t="str">
            <v>M2</v>
          </cell>
          <cell r="D5469">
            <v>91.15</v>
          </cell>
        </row>
        <row r="5470">
          <cell r="A5470">
            <v>87765</v>
          </cell>
          <cell r="B5470" t="str">
            <v>CONTRAPISO EM ARGAMASSA TRAÇO 1:4 (CIMENTO E AREIA), PREPARO MECÂNICO COM BETONEIRA 400 L, APLICADO EM ÁREAS MOLHADAS SOBRE IMPERMEABILIZAÇÃO, ESPESSURA 4CM. AF_06/2014</v>
          </cell>
          <cell r="C5470" t="str">
            <v>M2</v>
          </cell>
          <cell r="D5470">
            <v>39.549999999999997</v>
          </cell>
        </row>
        <row r="5471">
          <cell r="A5471">
            <v>87767</v>
          </cell>
          <cell r="B5471" t="str">
            <v>CONTRAPISO EM ARGAMASSA TRAÇO 1:4 (CIMENTO E AREIA), PREPARO MANUAL, APLICADO EM ÁREAS MOLHADAS SOBRE IMPERMEABILIZAÇÃO, ESPESSURA 4CM. AF_06/2014</v>
          </cell>
          <cell r="C5471" t="str">
            <v>M2</v>
          </cell>
          <cell r="D5471">
            <v>45</v>
          </cell>
        </row>
        <row r="5472">
          <cell r="A5472">
            <v>87768</v>
          </cell>
          <cell r="B5472" t="str">
            <v>CONTRAPISO EM ARGAMASSA PRONTA, PREPARO MECÂNICO COM MISTURADOR 300 KG, APLICADO EM ÁREAS MOLHADAS SOBRE IMPERMEABILIZAÇÃO, ESPESSURA 4CM. AF_06/2014</v>
          </cell>
          <cell r="C5472" t="str">
            <v>M2</v>
          </cell>
          <cell r="D5472">
            <v>99.2</v>
          </cell>
        </row>
        <row r="5473">
          <cell r="A5473">
            <v>87769</v>
          </cell>
          <cell r="B5473" t="str">
            <v>CONTRAPISO EM ARGAMASSA PRONTA, PREPARO MANUAL, APLICADO EM ÁREAS MOLHADAS SOBRE IMPERMEABILIZAÇÃO, ESPESSURA 4CM. AF_06/2014</v>
          </cell>
          <cell r="C5473" t="str">
            <v>M2</v>
          </cell>
          <cell r="D5473">
            <v>108.59</v>
          </cell>
        </row>
        <row r="5474">
          <cell r="A5474">
            <v>88470</v>
          </cell>
          <cell r="B5474" t="str">
            <v>CONTRAPISO AUTONIVELANTE, APLICADO SOBRE LAJE, NÃO ADERIDO, ESPESSURA 3CM. AF_06/2014</v>
          </cell>
          <cell r="C5474" t="str">
            <v>M2</v>
          </cell>
          <cell r="D5474">
            <v>22.87</v>
          </cell>
        </row>
        <row r="5475">
          <cell r="A5475">
            <v>88471</v>
          </cell>
          <cell r="B5475" t="str">
            <v>CONTRAPISO AUTONIVELANTE, APLICADO SOBRE LAJE, NÃO ADERIDO, ESPESSURA 4CM. AF_06/2014</v>
          </cell>
          <cell r="C5475" t="str">
            <v>M2</v>
          </cell>
          <cell r="D5475">
            <v>28.26</v>
          </cell>
        </row>
        <row r="5476">
          <cell r="A5476">
            <v>88472</v>
          </cell>
          <cell r="B5476" t="str">
            <v>CONTRAPISO AUTONIVELANTE, APLICADO SOBRE LAJE, NÃO ADERIDO, ESPESSURA 5CM. AF_06/2014</v>
          </cell>
          <cell r="C5476" t="str">
            <v>M2</v>
          </cell>
          <cell r="D5476">
            <v>32.5</v>
          </cell>
        </row>
        <row r="5477">
          <cell r="A5477">
            <v>88476</v>
          </cell>
          <cell r="B5477" t="str">
            <v>CONTRAPISO AUTONIVELANTE, APLICADO SOBRE LAJE, ADERIDO, ESPESSURA 2CM. AF_06/2014</v>
          </cell>
          <cell r="C5477" t="str">
            <v>M2</v>
          </cell>
          <cell r="D5477">
            <v>18.260000000000002</v>
          </cell>
        </row>
        <row r="5478">
          <cell r="A5478">
            <v>88477</v>
          </cell>
          <cell r="B5478" t="str">
            <v>CONTRAPISO AUTONIVELANTE, APLICADO SOBRE LAJE, ADERIDO, ESPESSURA 3CM. AF_06/2014</v>
          </cell>
          <cell r="C5478" t="str">
            <v>M2</v>
          </cell>
          <cell r="D5478">
            <v>25.18</v>
          </cell>
        </row>
        <row r="5479">
          <cell r="A5479">
            <v>88478</v>
          </cell>
          <cell r="B5479" t="str">
            <v>CONTRAPISO AUTONIVELANTE, APLICADO SOBRE LAJE, ADERIDO, ESPESSURA 4CM. AF_06/2014</v>
          </cell>
          <cell r="C5479" t="str">
            <v>M2</v>
          </cell>
          <cell r="D5479">
            <v>30.77</v>
          </cell>
        </row>
        <row r="5480">
          <cell r="A5480">
            <v>90900</v>
          </cell>
          <cell r="B5480" t="str">
            <v>CONTRAPISO ACÚSTICO EM ARGAMASSA TRAÇO 1:4 (CIMENTO E AREIA), PREPARO MECÂNICO COM BETONEIRA 400L, APLICADO EM ÁREAS SECAS MENORES QUE 15M2, ESPESSURA 5CM. AF_10/2014</v>
          </cell>
          <cell r="C5480" t="str">
            <v>M2</v>
          </cell>
          <cell r="D5480">
            <v>59.68</v>
          </cell>
        </row>
        <row r="5481">
          <cell r="A5481">
            <v>90902</v>
          </cell>
          <cell r="B5481" t="str">
            <v>CONTRAPISO ACÚSTICO EM ARGAMASSA TRAÇO 1:4 (CIMENTO E AREIA), PREPARO MANUAL, APLICADO EM ÁREAS SECAS MENORES QUE 15M2, ESPESSURA 5CM. AF_10/2014</v>
          </cell>
          <cell r="C5481" t="str">
            <v>M2</v>
          </cell>
          <cell r="D5481">
            <v>65.92</v>
          </cell>
        </row>
        <row r="5482">
          <cell r="A5482">
            <v>90903</v>
          </cell>
          <cell r="B5482" t="str">
            <v>CONTRAPISO ACÚSTICO EM ARGAMASSA PRONTA, PREPARO MECÂNICO COM MISTURADOR 300 KG, APLICADO EM ÁREAS SECAS MENORES QUE 15M2, ESPESSURA 5CM. AF_10/2014</v>
          </cell>
          <cell r="C5482" t="str">
            <v>M2</v>
          </cell>
          <cell r="D5482">
            <v>128</v>
          </cell>
        </row>
        <row r="5483">
          <cell r="A5483">
            <v>90904</v>
          </cell>
          <cell r="B5483" t="str">
            <v>CONTRAPISO ACÚSTICO EM ARGAMASSA PRONTA, PREPARO MANUAL, APLICADO EM ÁREAS SECAS MENORES QUE 15M2, ESPESSURA 5CM. AF_10/2014</v>
          </cell>
          <cell r="C5483" t="str">
            <v>M2</v>
          </cell>
          <cell r="D5483">
            <v>138.75</v>
          </cell>
        </row>
        <row r="5484">
          <cell r="A5484">
            <v>90910</v>
          </cell>
          <cell r="B5484" t="str">
            <v>CONTRAPISO ACÚSTICO EM ARGAMASSA TRAÇO 1:4 (CIMENTO E AREIA), PREPARO MECÂNICO COM BETONEIRA 400L, APLICADO EM ÁREAS SECAS MENORES QUE 15M2, ESPESSURA 6CM. AF_10/2014</v>
          </cell>
          <cell r="C5484" t="str">
            <v>M2</v>
          </cell>
          <cell r="D5484">
            <v>63.03</v>
          </cell>
        </row>
        <row r="5485">
          <cell r="A5485">
            <v>90912</v>
          </cell>
          <cell r="B5485" t="str">
            <v>CONTRAPISO ACÚSTICO EM ARGAMASSA TRAÇO 1:4 (CIMENTO E AREIA), PREPARO MANUAL, APLICADO EM ÁREAS SECAS MENORES QUE 15M2, ESPESSURA 6CM. AF_10/2014</v>
          </cell>
          <cell r="C5485" t="str">
            <v>M2</v>
          </cell>
          <cell r="D5485">
            <v>69.819999999999993</v>
          </cell>
        </row>
        <row r="5486">
          <cell r="A5486">
            <v>90913</v>
          </cell>
          <cell r="B5486" t="str">
            <v>CONTRAPISO ACÚSTICO EM ARGAMASSA PRONTA, PREPARO MECÂNICO COM MISTURADOR 300 KG, APLICADO EM ÁREAS SECAS MENORES QUE 15M2, ESPESSURA 6CM. AF_10/2014</v>
          </cell>
          <cell r="C5486" t="str">
            <v>M2</v>
          </cell>
          <cell r="D5486">
            <v>137.41999999999999</v>
          </cell>
        </row>
        <row r="5487">
          <cell r="A5487">
            <v>90914</v>
          </cell>
          <cell r="B5487" t="str">
            <v>CONTRAPISO ACÚSTICO EM ARGAMASSA PRONTA, PREPARO MANUAL, APLICADO EM ÁREAS SECAS MENORES QUE 15M2, ESPESSURA 6CM. AF_10/2014</v>
          </cell>
          <cell r="C5487" t="str">
            <v>M2</v>
          </cell>
          <cell r="D5487">
            <v>149.12</v>
          </cell>
        </row>
        <row r="5488">
          <cell r="A5488">
            <v>90920</v>
          </cell>
          <cell r="B5488" t="str">
            <v>CONTRAPISO ACÚSTICO EM ARGAMASSA TRAÇO 1:4 (CIMENTO E AREIA), PREPARO MECÂNICO COM BETONEIRA 400L, APLICADO EM ÁREAS SECAS MENORES QUE 15M2, ESPESSURA 7CM. AF_10/2014</v>
          </cell>
          <cell r="C5488" t="str">
            <v>M2</v>
          </cell>
          <cell r="D5488">
            <v>69.23</v>
          </cell>
        </row>
        <row r="5489">
          <cell r="A5489">
            <v>90922</v>
          </cell>
          <cell r="B5489" t="str">
            <v>CONTRAPISO ACÚSTICO EM ARGAMASSA TRAÇO 1:4 (CIMENTO E AREIA), PREPARO MANUAL, APLICADO EM ÁREAS SECAS MENORES QUE 15M2, ESPESSURA 7CM. AF_10/2014</v>
          </cell>
          <cell r="C5489" t="str">
            <v>M2</v>
          </cell>
          <cell r="D5489">
            <v>77.03</v>
          </cell>
        </row>
        <row r="5490">
          <cell r="A5490">
            <v>90923</v>
          </cell>
          <cell r="B5490" t="str">
            <v>CONTRAPISO ACÚSTICO EM ARGAMASSA PRONTA, PREPARO MECÂNICO COM MISTURADOR 300 KG, APLICADO EM ÁREAS SECAS MENORES QUE 15M2, ESPESSURA 7CM. AF_10/2014</v>
          </cell>
          <cell r="C5490" t="str">
            <v>M2</v>
          </cell>
          <cell r="D5490">
            <v>154.76</v>
          </cell>
        </row>
        <row r="5491">
          <cell r="A5491">
            <v>90924</v>
          </cell>
          <cell r="B5491" t="str">
            <v>CONTRAPISO ACÚSTICO EM ARGAMASSA PRONTA, PREPARO MANUAL, APLICADO EM ÁREAS SECAS MENORES QUE 15M2, ESPESSURA 7CM. AF_10/2014</v>
          </cell>
          <cell r="C5491" t="str">
            <v>M2</v>
          </cell>
          <cell r="D5491">
            <v>168.22</v>
          </cell>
        </row>
        <row r="5492">
          <cell r="A5492">
            <v>90930</v>
          </cell>
          <cell r="B5492" t="str">
            <v>CONTRAPISO ACÚSTICO EM ARGAMASSA TRAÇO 1:4 (CIMENTO E AREIA), PREPARO MECÂNICO COM BETONEIRA 400L, APLICADO EM ÁREAS SECAS MAIORES QUE 15M2, ESPESSURA 5CM. AF_10/2014</v>
          </cell>
          <cell r="C5492" t="str">
            <v>M2</v>
          </cell>
          <cell r="D5492">
            <v>54.25</v>
          </cell>
        </row>
        <row r="5493">
          <cell r="A5493">
            <v>90932</v>
          </cell>
          <cell r="B5493" t="str">
            <v>CONTRAPISO ACÚSTICO EM ARGAMASSA TRAÇO 1:4 (CIMENTO E AREIA), PREPARO MANUAL, APLICADO EM ÁREAS SECAS MAIORES QUE 15M2, ESPESSURA 5CM. AF_10/2014</v>
          </cell>
          <cell r="C5493" t="str">
            <v>M2</v>
          </cell>
          <cell r="D5493">
            <v>60.49</v>
          </cell>
        </row>
        <row r="5494">
          <cell r="A5494">
            <v>90933</v>
          </cell>
          <cell r="B5494" t="str">
            <v>CONTRAPISO ACÚSTICO EM ARGAMASSA PRONTA, PREPARO MECÂNICO COM MISTURADOR 300 KG, APLICADO EM ÁREAS SECAS MAIORES QUE 15M2, ESPESSURA 5CM. AF_10/2014</v>
          </cell>
          <cell r="C5494" t="str">
            <v>M2</v>
          </cell>
          <cell r="D5494">
            <v>122.57</v>
          </cell>
        </row>
        <row r="5495">
          <cell r="A5495">
            <v>90934</v>
          </cell>
          <cell r="B5495" t="str">
            <v>CONTRAPISO ACÚSTICO EM ARGAMASSA PRONTA, PREPARO MANUAL, APLICADO EM ÁREAS SECAS MAIORES QUE 15M2, ESPESSURA 5CM. AF_10/2014</v>
          </cell>
          <cell r="C5495" t="str">
            <v>M2</v>
          </cell>
          <cell r="D5495">
            <v>133.32</v>
          </cell>
        </row>
        <row r="5496">
          <cell r="A5496">
            <v>90940</v>
          </cell>
          <cell r="B5496" t="str">
            <v>CONTRAPISO ACÚSTICO EM ARGAMASSA TRAÇO 1:4 (CIMENTO E AREIA), PREPARO MECÂNICO COM BETONEIRA 400L, APLICADO EM ÁREAS SECAS MAIORES QUE 15M2, ESPESSURA 6CM. AF_10/2014</v>
          </cell>
          <cell r="C5496" t="str">
            <v>M2</v>
          </cell>
          <cell r="D5496">
            <v>57.63</v>
          </cell>
        </row>
        <row r="5497">
          <cell r="A5497">
            <v>90942</v>
          </cell>
          <cell r="B5497" t="str">
            <v>CONTRAPISO ACÚSTICO EM ARGAMASSA TRAÇO 1:4 (CIMENTO E AREIA), PREPARO MANUAL, APLICADO EM ÁREAS SECAS MAIORES QUE 15M2, ESPESSURA 6CM. AF_10/2014</v>
          </cell>
          <cell r="C5497" t="str">
            <v>M2</v>
          </cell>
          <cell r="D5497">
            <v>64.42</v>
          </cell>
        </row>
        <row r="5498">
          <cell r="A5498">
            <v>90943</v>
          </cell>
          <cell r="B5498" t="str">
            <v>CONTRAPISO ACÚSTICO EM ARGAMASSA PRONTA, PREPARO MECÂNICO COM MISTURADOR 300 KG, APLICADO EM ÁREAS SECAS MAIORES QUE 15M2, ESPESSURA 6CM. AF_10/2014</v>
          </cell>
          <cell r="C5498" t="str">
            <v>M2</v>
          </cell>
          <cell r="D5498">
            <v>132.02000000000001</v>
          </cell>
        </row>
        <row r="5499">
          <cell r="A5499">
            <v>90944</v>
          </cell>
          <cell r="B5499" t="str">
            <v>CONTRAPISO ACÚSTICO EM ARGAMASSA PRONTA, PREPARO MANUAL, APLICADO EM ÁREAS SECAS MAIORES QUE 15M2, ESPESSURA 6CM. AF_10/2014</v>
          </cell>
          <cell r="C5499" t="str">
            <v>M2</v>
          </cell>
          <cell r="D5499">
            <v>143.72</v>
          </cell>
        </row>
        <row r="5500">
          <cell r="A5500">
            <v>90950</v>
          </cell>
          <cell r="B5500" t="str">
            <v>CONTRAPISO ACÚSTICO EM ARGAMASSA TRAÇO 1:4 (CIMENTO E AREIA), PREPARO MECÂNICO COM BETONEIRA 400L, APLICADO EM ÁREAS SECAS MAIORES QUE 15M2, ESPESSURA 7CM. AF_10/2014</v>
          </cell>
          <cell r="C5500" t="str">
            <v>M2</v>
          </cell>
          <cell r="D5500">
            <v>63.78</v>
          </cell>
        </row>
        <row r="5501">
          <cell r="A5501">
            <v>90952</v>
          </cell>
          <cell r="B5501" t="str">
            <v>CONTRAPISO ACÚSTICO EM ARGAMASSA TRAÇO 1:4 (CIMENTO E AREIA), PREPARO MANUAL, APLICADO EM ÁREAS SECAS MAIORES QUE 15M2, ESPESSURA 7CM. AF_10/2014</v>
          </cell>
          <cell r="C5501" t="str">
            <v>M2</v>
          </cell>
          <cell r="D5501">
            <v>71.58</v>
          </cell>
        </row>
        <row r="5502">
          <cell r="A5502">
            <v>90953</v>
          </cell>
          <cell r="B5502" t="str">
            <v>CONTRAPISO ACÚSTICO EM ARGAMASSA PRONTA, PREPARO MECÂNICO COM MISTURADOR 300 KG, APLICADO EM ÁREAS SECAS MAIORES QUE 15M2, ESPESSURA 7CM. AF_10/2014</v>
          </cell>
          <cell r="C5502" t="str">
            <v>M2</v>
          </cell>
          <cell r="D5502">
            <v>149.31</v>
          </cell>
        </row>
        <row r="5503">
          <cell r="A5503">
            <v>90954</v>
          </cell>
          <cell r="B5503" t="str">
            <v>CONTRAPISO ACÚSTICO EM ARGAMASSA PRONTA, PREPARO MANUAL, APLICADO EM ÁREAS SECAS MAIORES QUE 15M2, ESPESSURA 7CM. AF_10/2014</v>
          </cell>
          <cell r="C5503" t="str">
            <v>M2</v>
          </cell>
          <cell r="D5503">
            <v>162.77000000000001</v>
          </cell>
        </row>
        <row r="5504">
          <cell r="A5504">
            <v>94438</v>
          </cell>
          <cell r="B5504" t="str">
            <v>(COMPOSIÇÃO REPRESENTATIVA) DO SERVIÇO DE CONTRAPISO EM ARGAMASSA TRAÇO 1:4 (CIM E AREIA), EM BETONEIRA 400 L, ESPESSURA 3 CM ÁREAS SECAS E 3 CM ÁREAS MOLHADAS, PARA EDIFICAÇÃO HABITACIONAL UNIFAMILIAR (CASA) E EDIFICAÇÃO PÚBLICA PADRÃO. AF_11/2014</v>
          </cell>
          <cell r="C5504" t="str">
            <v>M2</v>
          </cell>
          <cell r="D5504">
            <v>32.06</v>
          </cell>
        </row>
        <row r="5505">
          <cell r="A5505">
            <v>94439</v>
          </cell>
          <cell r="B550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05" t="str">
            <v>M2</v>
          </cell>
          <cell r="D5505">
            <v>35.69</v>
          </cell>
        </row>
        <row r="5506">
          <cell r="A5506">
            <v>94779</v>
          </cell>
          <cell r="B5506" t="str">
            <v>(COMPOSIÇÃO REPRESENTATIVA) DO SERVIÇO DE CONTRAPISO EM ARGAMASSA TRAÇO 1:4 (CIM E AREIA), EM BETONEIRA 400 L, ESPESSURA 3 CM ÁREAS SECAS E 3 CM ÁREAS MOLHADAS, PARA EDIFICAÇÃO HABITACIONAL MULTIFAMILIAR (PRÉDIO). AF_11/2014</v>
          </cell>
          <cell r="C5506" t="str">
            <v>M2</v>
          </cell>
          <cell r="D5506">
            <v>31.04</v>
          </cell>
        </row>
        <row r="5507">
          <cell r="A5507">
            <v>94782</v>
          </cell>
          <cell r="B550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07" t="str">
            <v>M2</v>
          </cell>
          <cell r="D5507">
            <v>35.06</v>
          </cell>
        </row>
        <row r="5508">
          <cell r="A5508">
            <v>72190</v>
          </cell>
          <cell r="B5508" t="str">
            <v>RODAPE BORRACHA LISO, ALTURA = 7CM, ESPESSURA = 2 MM, PARA ARGAMASSA</v>
          </cell>
          <cell r="C5508" t="str">
            <v>M</v>
          </cell>
          <cell r="D5508">
            <v>29.09</v>
          </cell>
        </row>
        <row r="5509">
          <cell r="A5509">
            <v>87871</v>
          </cell>
          <cell r="B5509" t="str">
            <v>CHAPISCO APLICADO SOMENTE EM ESTRUTURAS DE CONCRETO EM ALVENARIAS INTERNAS, COM DESEMPENADEIRA DENTADA. ARGAMASSA INDUSTRIALIZADA COM PREPARO MANUAL. AF_06/2014</v>
          </cell>
          <cell r="C5509" t="str">
            <v>M2</v>
          </cell>
          <cell r="D5509">
            <v>16.649999999999999</v>
          </cell>
        </row>
        <row r="5510">
          <cell r="A5510">
            <v>87872</v>
          </cell>
          <cell r="B5510" t="str">
            <v>CHAPISCO APLICADO SOMENTE EM ESTRUTURAS DE CONCRETO EM ALVENARIAS INTERNAS, COM DESEMPENADEIRA DENTADA.  ARGAMASSA INDUSTRIALIZADA COM PREPARO EM MISTURADOR 300 KG. AF_06/2014</v>
          </cell>
          <cell r="C5510" t="str">
            <v>M2</v>
          </cell>
          <cell r="D5510">
            <v>15.99</v>
          </cell>
        </row>
        <row r="5511">
          <cell r="A5511">
            <v>87873</v>
          </cell>
          <cell r="B5511" t="str">
            <v>CHAPISCO APLICADO EM ALVENARIAS E ESTRUTURAS DE CONCRETO INTERNAS, COM ROLO PARA TEXTURA ACRÍLICA.  ARGAMASSA TRAÇO 1:4 E EMULSÃO POLIMÉRICA (ADESIVO) COM PREPARO MANUAL. AF_06/2014</v>
          </cell>
          <cell r="C5511" t="str">
            <v>M2</v>
          </cell>
          <cell r="D5511">
            <v>3.91</v>
          </cell>
        </row>
        <row r="5512">
          <cell r="A5512">
            <v>87874</v>
          </cell>
          <cell r="B5512" t="str">
            <v>CHAPISCO APLICADO EM ALVENARIAS E ESTRUTURAS DE CONCRETO INTERNAS, COM ROLO PARA TEXTURA ACRÍLICA.  ARGAMASSA TRAÇO 1:4 E EMULSÃO POLIMÉRICA (ADESIVO) COM PREPARO EM BETONEIRA 400L. AF_06/2014</v>
          </cell>
          <cell r="C5512" t="str">
            <v>M2</v>
          </cell>
          <cell r="D5512">
            <v>3.76</v>
          </cell>
        </row>
        <row r="5513">
          <cell r="A5513">
            <v>87876</v>
          </cell>
          <cell r="B5513" t="str">
            <v>CHAPISCO APLICADO EM ALVENARIAS E ESTRUTURAS DE CONCRETO INTERNAS, COM ROLO PARA TEXTURA ACRÍLICA.  ARGAMASSA INDUSTRIALIZADA COM PREPARO MANUAL. AF_06/2014</v>
          </cell>
          <cell r="C5513" t="str">
            <v>M2</v>
          </cell>
          <cell r="D5513">
            <v>8.9499999999999993</v>
          </cell>
        </row>
        <row r="5514">
          <cell r="A5514">
            <v>87877</v>
          </cell>
          <cell r="B5514" t="str">
            <v>CHAPISCO APLICADO EM ALVENARIAS E ESTRUTURAS DE CONCRETO INTERNAS, COM ROLO PARA TEXTURA ACRÍLICA.  ARGAMASSA INDUSTRIALIZADA COM PREPARO EM MISTURADOR 300 KG. AF_06/2014</v>
          </cell>
          <cell r="C5514" t="str">
            <v>M2</v>
          </cell>
          <cell r="D5514">
            <v>8.6300000000000008</v>
          </cell>
        </row>
        <row r="5515">
          <cell r="A5515">
            <v>87878</v>
          </cell>
          <cell r="B5515" t="str">
            <v>CHAPISCO APLICADO EM ALVENARIAS E ESTRUTURAS DE CONCRETO INTERNAS, COM COLHER DE PEDREIRO.  ARGAMASSA TRAÇO 1:3 COM PREPARO MANUAL. AF_06/2014</v>
          </cell>
          <cell r="C5515" t="str">
            <v>M2</v>
          </cell>
          <cell r="D5515">
            <v>3.32</v>
          </cell>
        </row>
        <row r="5516">
          <cell r="A5516">
            <v>87879</v>
          </cell>
          <cell r="B5516" t="str">
            <v>CHAPISCO APLICADO EM ALVENARIAS E ESTRUTURAS DE CONCRETO INTERNAS, COM COLHER DE PEDREIRO.  ARGAMASSA TRAÇO 1:3 COM PREPARO EM BETONEIRA 400L. AF_06/2014</v>
          </cell>
          <cell r="C5516" t="str">
            <v>M2</v>
          </cell>
          <cell r="D5516">
            <v>2.86</v>
          </cell>
        </row>
        <row r="5517">
          <cell r="A5517">
            <v>87881</v>
          </cell>
          <cell r="B5517" t="str">
            <v>CHAPISCO APLICADO NO TETO, COM ROLO PARA TEXTURA ACRÍLICA. ARGAMASSA TRAÇO 1:4 E EMULSÃO POLIMÉRICA (ADESIVO) COM PREPARO MANUAL. AF_06/2014</v>
          </cell>
          <cell r="C5517" t="str">
            <v>M2</v>
          </cell>
          <cell r="D5517">
            <v>3.82</v>
          </cell>
        </row>
        <row r="5518">
          <cell r="A5518">
            <v>87882</v>
          </cell>
          <cell r="B5518" t="str">
            <v>CHAPISCO APLICADO NO TETO, COM ROLO PARA TEXTURA ACRÍLICA. ARGAMASSA TRAÇO 1:4 E EMULSÃO POLIMÉRICA (ADESIVO) COM PREPARO EM BETONEIRA 400L. AF_06/2014</v>
          </cell>
          <cell r="C5518" t="str">
            <v>M2</v>
          </cell>
          <cell r="D5518">
            <v>3.67</v>
          </cell>
        </row>
        <row r="5519">
          <cell r="A5519">
            <v>87884</v>
          </cell>
          <cell r="B5519" t="str">
            <v>CHAPISCO APLICADO NO TETO, COM ROLO PARA TEXTURA ACRÍLICA. ARGAMASSA INDUSTRIALIZADA COM PREPARO MANUAL. AF_06/2014</v>
          </cell>
          <cell r="C5519" t="str">
            <v>M2</v>
          </cell>
          <cell r="D5519">
            <v>8.86</v>
          </cell>
        </row>
        <row r="5520">
          <cell r="A5520">
            <v>87885</v>
          </cell>
          <cell r="B5520" t="str">
            <v>CHAPISCO APLICADO NO TETO, COM ROLO PARA TEXTURA ACRÍLICA. ARGAMASSA INDUSTRIALIZADA COM PREPARO EM MISTURADOR 300 KG. AF_06/2014</v>
          </cell>
          <cell r="C5520" t="str">
            <v>M2</v>
          </cell>
          <cell r="D5520">
            <v>8.5399999999999991</v>
          </cell>
        </row>
        <row r="5521">
          <cell r="A5521">
            <v>87886</v>
          </cell>
          <cell r="B5521" t="str">
            <v>CHAPISCO APLICADO NO TETO, COM DESEMPENADEIRA DENTADA. ARGAMASSA INDUSTRIALIZADA COM PREPARO MANUAL. AF_06/2014</v>
          </cell>
          <cell r="C5521" t="str">
            <v>M2</v>
          </cell>
          <cell r="D5521">
            <v>21.97</v>
          </cell>
        </row>
        <row r="5522">
          <cell r="A5522">
            <v>87887</v>
          </cell>
          <cell r="B5522" t="str">
            <v>CHAPISCO APLICADO NO TETO, COM DESEMPENADEIRA DENTADA. ARGAMASSA INDUSTRIALIZADA COM PREPARO EM MISTURADOR 300 KG. AF_06/2014</v>
          </cell>
          <cell r="C5522" t="str">
            <v>M2</v>
          </cell>
          <cell r="D5522">
            <v>21.31</v>
          </cell>
        </row>
        <row r="5523">
          <cell r="A5523">
            <v>87888</v>
          </cell>
          <cell r="B5523" t="str">
            <v>CHAPISCO APLICADO EM ALVENARIA (SEM PRESENÇA DE VÃOS) E ESTRUTURAS DE CONCRETO DE FACHADA, COM ROLO PARA TEXTURA ACRÍLICA.  ARGAMASSA TRAÇO 1:4 E EMULSÃO POLIMÉRICA (ADESIVO) COM PREPARO MANUAL. AF_06/2014</v>
          </cell>
          <cell r="C5523" t="str">
            <v>M2</v>
          </cell>
          <cell r="D5523">
            <v>5.05</v>
          </cell>
        </row>
        <row r="5524">
          <cell r="A5524">
            <v>87889</v>
          </cell>
          <cell r="B5524" t="str">
            <v>CHAPISCO APLICADO EM ALVENARIA (SEM PRESENÇA DE VÃOS) E ESTRUTURAS DE CONCRETO DE FACHADA, COM ROLO PARA TEXTURA ACRÍLICA.  ARGAMASSA TRAÇO 1:4 E EMULSÃO POLIMÉRICA (ADESIVO) COM PREPARO EM BETONEIRA 400L. AF_06/2014</v>
          </cell>
          <cell r="C5524" t="str">
            <v>M2</v>
          </cell>
          <cell r="D5524">
            <v>4.9000000000000004</v>
          </cell>
        </row>
        <row r="5525">
          <cell r="A5525">
            <v>87891</v>
          </cell>
          <cell r="B5525" t="str">
            <v>CHAPISCO APLICADO EM ALVENARIA (SEM PRESENÇA DE VÃOS) E ESTRUTURAS DE CONCRETO DE FACHADA, COM ROLO PARA TEXTURA ACRÍLICA.  ARGAMASSA INDUSTRIALIZADA COM PREPARO MANUAL. AF_06/2014</v>
          </cell>
          <cell r="C5525" t="str">
            <v>M2</v>
          </cell>
          <cell r="D5525">
            <v>10.09</v>
          </cell>
        </row>
        <row r="5526">
          <cell r="A5526">
            <v>87892</v>
          </cell>
          <cell r="B5526" t="str">
            <v>CHAPISCO APLICADO EM ALVENARIA (SEM PRESENÇA DE VÃOS) E ESTRUTURAS DE CONCRETO DE FACHADA, COM ROLO PARA TEXTURA ACRÍLICA.  ARGAMASSA INDUSTRIALIZADA COM PREPARO EM MISTURADOR 300 KG. AF_06/2014</v>
          </cell>
          <cell r="C5526" t="str">
            <v>M2</v>
          </cell>
          <cell r="D5526">
            <v>9.77</v>
          </cell>
        </row>
        <row r="5527">
          <cell r="A5527">
            <v>87893</v>
          </cell>
          <cell r="B5527" t="str">
            <v>CHAPISCO APLICADO EM ALVENARIA (SEM PRESENÇA DE VÃOS) E ESTRUTURAS DE CONCRETO DE FACHADA, COM COLHER DE PEDREIRO.  ARGAMASSA TRAÇO 1:3 COM PREPARO MANUAL. AF_06/2014</v>
          </cell>
          <cell r="C5527" t="str">
            <v>M2</v>
          </cell>
          <cell r="D5527">
            <v>5.31</v>
          </cell>
        </row>
        <row r="5528">
          <cell r="A5528">
            <v>87894</v>
          </cell>
          <cell r="B5528" t="str">
            <v>CHAPISCO APLICADO EM ALVENARIA (SEM PRESENÇA DE VÃOS) E ESTRUTURAS DE CONCRETO DE FACHADA, COM COLHER DE PEDREIRO.  ARGAMASSA TRAÇO 1:3 COM PREPARO EM BETONEIRA 400L. AF_06/2014</v>
          </cell>
          <cell r="C5528" t="str">
            <v>M2</v>
          </cell>
          <cell r="D5528">
            <v>4.8499999999999996</v>
          </cell>
        </row>
        <row r="5529">
          <cell r="A5529">
            <v>87896</v>
          </cell>
          <cell r="B5529" t="str">
            <v>CHAPISCO APLICADO EM ALVENARIA (SEM PRESENÇA DE VÃOS) E ESTRUTURAS DE CONCRETO DE FACHADA, COM EQUIPAMENTO DE PROJEÇÃO.  ARGAMASSA TRAÇO 1:3 COM PREPARO MANUAL. AF_06/2014</v>
          </cell>
          <cell r="C5529" t="str">
            <v>M2</v>
          </cell>
          <cell r="D5529">
            <v>4.78</v>
          </cell>
        </row>
        <row r="5530">
          <cell r="A5530">
            <v>87897</v>
          </cell>
          <cell r="B5530" t="str">
            <v>CHAPISCO APLICADO EM ALVENARIA (SEM PRESENÇA DE VÃOS) E ESTRUTURAS DE CONCRETO DE FACHADA, COM EQUIPAMENTO DE PROJEÇÃO.  ARGAMASSA TRAÇO 1:3 COM PREPARO EM BETONEIRA 400 L. AF_06/2014</v>
          </cell>
          <cell r="C5530" t="str">
            <v>M2</v>
          </cell>
          <cell r="D5530">
            <v>4.32</v>
          </cell>
        </row>
        <row r="5531">
          <cell r="A5531">
            <v>87899</v>
          </cell>
          <cell r="B5531" t="str">
            <v>CHAPISCO APLICADO EM ALVENARIA (COM PRESENÇA DE VÃOS) E ESTRUTURAS DE CONCRETO DE FACHADA, COM ROLO PARA TEXTURA ACRÍLICA.  ARGAMASSA TRAÇO 1:4 E EMULSÃO POLIMÉRICA (ADESIVO) COM PREPARO MANUAL. AF_06/2014</v>
          </cell>
          <cell r="C5531" t="str">
            <v>M2</v>
          </cell>
          <cell r="D5531">
            <v>6.05</v>
          </cell>
        </row>
        <row r="5532">
          <cell r="A5532">
            <v>87900</v>
          </cell>
          <cell r="B5532" t="str">
            <v>CHAPISCO APLICADO EM ALVENARIA (COM PRESENÇA DE VÃOS) E ESTRUTURAS DE CONCRETO DE FACHADA, COM ROLO PARA TEXTURA ACRÍLICA.  ARGAMASSA TRAÇO 1:4 E EMULSÃO POLIMÉRICA (ADESIVO) COM PREPARO EM BETONEIRA 400L. AF_06/2014</v>
          </cell>
          <cell r="C5532" t="str">
            <v>M2</v>
          </cell>
          <cell r="D5532">
            <v>5.9</v>
          </cell>
        </row>
        <row r="5533">
          <cell r="A5533">
            <v>87902</v>
          </cell>
          <cell r="B5533" t="str">
            <v>CHAPISCO APLICADO EM ALVENARIA (COM PRESENÇA DE VÃOS) E ESTRUTURAS DE CONCRETO DE FACHADA, COM ROLO PARA TEXTURA ACRÍLICA.  ARGAMASSA INDUSTRIALIZADA COM PREPARO MANUAL. AF_06/2014</v>
          </cell>
          <cell r="C5533" t="str">
            <v>M2</v>
          </cell>
          <cell r="D5533">
            <v>11.09</v>
          </cell>
        </row>
        <row r="5534">
          <cell r="A5534">
            <v>87903</v>
          </cell>
          <cell r="B5534" t="str">
            <v>CHAPISCO APLICADO EM ALVENARIA (COM PRESENÇA DE VÃOS) E ESTRUTURAS DE CONCRETO DE FACHADA, COM ROLO PARA TEXTURA ACRÍLICA.  ARGAMASSA INDUSTRIALIZADA COM PREPARO EM MISTURADOR 300 KG. AF_06/2014</v>
          </cell>
          <cell r="C5534" t="str">
            <v>M2</v>
          </cell>
          <cell r="D5534">
            <v>10.77</v>
          </cell>
        </row>
        <row r="5535">
          <cell r="A5535">
            <v>87904</v>
          </cell>
          <cell r="B5535" t="str">
            <v>CHAPISCO APLICADO EM ALVENARIA (COM PRESENÇA DE VÃOS) E ESTRUTURAS DE CONCRETO DE FACHADA, COM COLHER DE PEDREIRO.  ARGAMASSA TRAÇO 1:3 COM PREPARO MANUAL. AF_06/2014</v>
          </cell>
          <cell r="C5535" t="str">
            <v>M2</v>
          </cell>
          <cell r="D5535">
            <v>6.97</v>
          </cell>
        </row>
        <row r="5536">
          <cell r="A5536">
            <v>87905</v>
          </cell>
          <cell r="B5536" t="str">
            <v>CHAPISCO APLICADO EM ALVENARIA (COM PRESENÇA DE VÃOS) E ESTRUTURAS DE CONCRETO DE FACHADA, COM COLHER DE PEDREIRO.  ARGAMASSA TRAÇO 1:3 COM PREPARO EM BETONEIRA 400L. AF_06/2014</v>
          </cell>
          <cell r="C5536" t="str">
            <v>M2</v>
          </cell>
          <cell r="D5536">
            <v>6.51</v>
          </cell>
        </row>
        <row r="5537">
          <cell r="A5537">
            <v>87907</v>
          </cell>
          <cell r="B5537" t="str">
            <v>CHAPISCO APLICADO EM ALVENARIA (COM PRESENÇA DE VÃOS) E ESTRUTURAS DE CONCRETO DE FACHADA, COM EQUIPAMENTO DE PROJEÇÃO.  ARGAMASSA TRAÇO 1:3 COM PREPARO MANUAL. AF_06/2014</v>
          </cell>
          <cell r="C5537" t="str">
            <v>M2</v>
          </cell>
          <cell r="D5537">
            <v>6.21</v>
          </cell>
        </row>
        <row r="5538">
          <cell r="A5538">
            <v>87908</v>
          </cell>
          <cell r="B5538" t="str">
            <v>CHAPISCO APLICADO EM ALVENARIA (COM PRESENÇA DE VÃOS) E ESTRUTURAS DE CONCRETO DE FACHADA, COM EQUIPAMENTO DE PROJEÇÃO.  ARGAMASSA TRAÇO 1:3 COM PREPARO EM BETONEIRA 400 L. AF_06/2014</v>
          </cell>
          <cell r="C5538" t="str">
            <v>M2</v>
          </cell>
          <cell r="D5538">
            <v>5.75</v>
          </cell>
        </row>
        <row r="5539">
          <cell r="A5539">
            <v>87910</v>
          </cell>
          <cell r="B5539" t="str">
            <v>CHAPISCO APLICADO SOMENTE NA ESTRUTURA DE CONCRETO DA FACHADA, COM DESEMPENADEIRA DENTADA. ARGAMASSA INDUSTRIALIZADA COM PREPARO MANUAL. AF_06/2014</v>
          </cell>
          <cell r="C5539" t="str">
            <v>M2</v>
          </cell>
          <cell r="D5539">
            <v>21.86</v>
          </cell>
        </row>
        <row r="5540">
          <cell r="A5540">
            <v>87911</v>
          </cell>
          <cell r="B5540" t="str">
            <v>CHAPISCO APLICADO SOMENTE NA ESTRUTURA DE CONCRETO DA FACHADA, COM DESEMPENADEIRA DENTADA. ARGAMASSA INDUSTRIALIZADA COM PREPARO EM MISTURADOR 300 KG. AF_06/2014</v>
          </cell>
          <cell r="C5540" t="str">
            <v>M2</v>
          </cell>
          <cell r="D5540">
            <v>21.2</v>
          </cell>
        </row>
        <row r="5541">
          <cell r="A5541">
            <v>5991</v>
          </cell>
          <cell r="B5541" t="str">
            <v>BARRA LISA COM ARGAMASSA TRACO 1:4 (CIMENTO E AREIA GROSSA), ESPESSURA 2,0CM, INCLUSO ADITIVO IMPERMEABILIZANTE, PREPARO MECANICO DA ARGAMASSA</v>
          </cell>
          <cell r="C5541" t="str">
            <v>M2</v>
          </cell>
          <cell r="D5541">
            <v>41.26</v>
          </cell>
        </row>
        <row r="5542">
          <cell r="A5542">
            <v>84023</v>
          </cell>
          <cell r="B5542" t="str">
            <v>BARRA LISA TRACO 1:3 (CIMENTO E AREIA MEDIA), ESPESSURA 1,5CM, PREPARO MANUAL DA ARGAMASSA</v>
          </cell>
          <cell r="C5542" t="str">
            <v>M2</v>
          </cell>
          <cell r="D5542">
            <v>39.79</v>
          </cell>
        </row>
        <row r="5543">
          <cell r="A5543">
            <v>84024</v>
          </cell>
          <cell r="B5543" t="str">
            <v>BARRA LISA TRACO 1:3 (CIMENTO E AREIA MEDIA), ESPESSURA 1,0CM, PREPARO MANUAL DA ARGAMASSA</v>
          </cell>
          <cell r="C5543" t="str">
            <v>M2</v>
          </cell>
          <cell r="D5543">
            <v>37.630000000000003</v>
          </cell>
        </row>
        <row r="5544">
          <cell r="A5544">
            <v>84026</v>
          </cell>
          <cell r="B5544" t="str">
            <v>BARRA LISA TRACO 1:4 (CIMENTO E AREIA MEDIA), ESPESSURA 2,0CM, PREPARO MANUAL DA ARGAMASSA</v>
          </cell>
          <cell r="C5544" t="str">
            <v>M2</v>
          </cell>
          <cell r="D5544">
            <v>46.49</v>
          </cell>
        </row>
        <row r="5545">
          <cell r="A5545">
            <v>84027</v>
          </cell>
          <cell r="B5545" t="str">
            <v>BARRA LISA TRACO 1:3 (CIMENTO E AREIA MEDIA), ESPESSURA 0,5CM, PREPARO MANUAL DA ARGAMASSA</v>
          </cell>
          <cell r="C5545" t="str">
            <v>M2</v>
          </cell>
          <cell r="D5545">
            <v>31.82</v>
          </cell>
        </row>
        <row r="5546">
          <cell r="A5546">
            <v>84028</v>
          </cell>
          <cell r="B5546" t="str">
            <v>BARRA LISA TRACO 1:4 (CIMENTO E AREIA MEDIA), COM CORANTE AMARELO, ESPESSURA 2,0CM, PREPARO MANUAL DA ARGAMASSA</v>
          </cell>
          <cell r="C5546" t="str">
            <v>M2</v>
          </cell>
          <cell r="D5546">
            <v>52.13</v>
          </cell>
        </row>
        <row r="5547">
          <cell r="A5547">
            <v>84072</v>
          </cell>
          <cell r="B5547" t="str">
            <v>BARRA LISA TRACO 1:3 (CIMENTO E AREIA MEDIA NAO PENEIRADA), INCLUSO ADITIVO IMPERMEABILIZANTE, ESPESSURA 0,5CM, PREPARO MANUAL DA ARGAMASSA</v>
          </cell>
          <cell r="C5547" t="str">
            <v>M2</v>
          </cell>
          <cell r="D5547">
            <v>32.29</v>
          </cell>
        </row>
        <row r="5548">
          <cell r="A5548">
            <v>87411</v>
          </cell>
          <cell r="B5548" t="str">
            <v>APLICAÇÃO MANUAL DE GESSO DESEMPENADO (SEM TALISCAS) EM TETO DE AMBIENTES DE ÁREA MAIOR QUE 10M², ESPESSURA DE 0,5CM. AF_06/2014</v>
          </cell>
          <cell r="C5548" t="str">
            <v>M2</v>
          </cell>
          <cell r="D5548">
            <v>12.69</v>
          </cell>
        </row>
        <row r="5549">
          <cell r="A5549">
            <v>87412</v>
          </cell>
          <cell r="B5549" t="str">
            <v>APLICAÇÃO MANUAL DE GESSO DESEMPENADO (SEM TALISCAS) EM TETO DE AMBIENTES DE ÁREA ENTRE 5M² E 10M², ESPESSURA DE 0,5CM. AF_06/2014</v>
          </cell>
          <cell r="C5549" t="str">
            <v>M2</v>
          </cell>
          <cell r="D5549">
            <v>18.13</v>
          </cell>
        </row>
        <row r="5550">
          <cell r="A5550">
            <v>87413</v>
          </cell>
          <cell r="B5550" t="str">
            <v>APLICAÇÃO MANUAL DE GESSO DESEMPENADO (SEM TALISCAS) EM TETO DE AMBIENTES DE ÁREA MENOR QUE 5M², ESPESSURA DE 0,5CM. AF_06/2014</v>
          </cell>
          <cell r="C5550" t="str">
            <v>M2</v>
          </cell>
          <cell r="D5550">
            <v>21.24</v>
          </cell>
        </row>
        <row r="5551">
          <cell r="A5551">
            <v>87414</v>
          </cell>
          <cell r="B5551" t="str">
            <v>APLICAÇÃO MANUAL DE GESSO DESEMPENADO (SEM TALISCAS) EM TETO DE AMBIENTES DE ÁREA MAIOR QUE 10M², ESPESSURA DE 1,0CM. AF_06/2014</v>
          </cell>
          <cell r="C5551" t="str">
            <v>M2</v>
          </cell>
          <cell r="D5551">
            <v>18.84</v>
          </cell>
        </row>
        <row r="5552">
          <cell r="A5552">
            <v>87415</v>
          </cell>
          <cell r="B5552" t="str">
            <v>APLICAÇÃO MANUAL DE GESSO DESEMPENADO (SEM TALISCAS) EM TETO DE AMBIENTES DE ÁREA ENTRE 5M² E 10M², ESPESSURA DE 1,0CM. AF_06/2014</v>
          </cell>
          <cell r="C5552" t="str">
            <v>M2</v>
          </cell>
          <cell r="D5552">
            <v>24.12</v>
          </cell>
        </row>
        <row r="5553">
          <cell r="A5553">
            <v>87416</v>
          </cell>
          <cell r="B5553" t="str">
            <v>APLICAÇÃO MANUAL DE GESSO DESEMPENADO (SEM TALISCAS) EM TETO DE AMBIENTES DE ÁREA MENOR QUE 5M², ESPESSURA DE 1,0CM. AF_06/2014</v>
          </cell>
          <cell r="C5553" t="str">
            <v>M2</v>
          </cell>
          <cell r="D5553">
            <v>27.42</v>
          </cell>
        </row>
        <row r="5554">
          <cell r="A5554">
            <v>87417</v>
          </cell>
          <cell r="B5554" t="str">
            <v>APLICAÇÃO MANUAL DE GESSO DESEMPENADO (SEM TALISCAS) EM PAREDES DE AMBIENTES DE ÁREA MAIOR QUE 10M², ESPESSURA DE 0,5CM. AF_06/2014</v>
          </cell>
          <cell r="C5554" t="str">
            <v>M2</v>
          </cell>
          <cell r="D5554">
            <v>13.46</v>
          </cell>
        </row>
        <row r="5555">
          <cell r="A5555">
            <v>87418</v>
          </cell>
          <cell r="B5555" t="str">
            <v>APLICAÇÃO MANUAL DE GESSO DESEMPENADO (SEM TALISCAS) EM PAREDES DE AMBIENTES DE ÁREA ENTRE 5M² E 10M², ESPESSURA DE 0,5CM. AF_06/2014</v>
          </cell>
          <cell r="C5555" t="str">
            <v>M2</v>
          </cell>
          <cell r="D5555">
            <v>13.86</v>
          </cell>
        </row>
        <row r="5556">
          <cell r="A5556">
            <v>87419</v>
          </cell>
          <cell r="B5556" t="str">
            <v>APLICAÇÃO MANUAL DE GESSO DESEMPENADO (SEM TALISCAS) EM PAREDES DE AMBIENTES DE ÁREA MENOR QUE 5M², ESPESSURA DE 0,5CM. AF_06/2014</v>
          </cell>
          <cell r="C5556" t="str">
            <v>M2</v>
          </cell>
          <cell r="D5556">
            <v>15.04</v>
          </cell>
        </row>
        <row r="5557">
          <cell r="A5557">
            <v>87420</v>
          </cell>
          <cell r="B5557" t="str">
            <v>APLICAÇÃO MANUAL DE GESSO DESEMPENADO (SEM TALISCAS) EM PAREDES DE AMBIENTES DE ÁREA MAIOR QUE 10M², ESPESSURA DE 1,0CM. AF_06/2014</v>
          </cell>
          <cell r="C5557" t="str">
            <v>M2</v>
          </cell>
          <cell r="D5557">
            <v>20.21</v>
          </cell>
        </row>
        <row r="5558">
          <cell r="A5558">
            <v>87421</v>
          </cell>
          <cell r="B5558" t="str">
            <v>APLICAÇÃO MANUAL DE GESSO DESEMPENADO (SEM TALISCAS) EM PAREDES DE AMBIENTES DE ÁREA ENTRE 5M² E 10M², ESPESSURA DE 1,0CM. AF_06/2014</v>
          </cell>
          <cell r="C5558" t="str">
            <v>M2</v>
          </cell>
          <cell r="D5558">
            <v>20.61</v>
          </cell>
        </row>
        <row r="5559">
          <cell r="A5559">
            <v>87422</v>
          </cell>
          <cell r="B5559" t="str">
            <v>APLICAÇÃO MANUAL DE GESSO DESEMPENADO (SEM TALISCAS) EM PAREDES DE AMBIENTES DE ÁREA MENOR QUE 5M², ESPESSURA DE 1,0CM. AF_06/2014</v>
          </cell>
          <cell r="C5559" t="str">
            <v>M2</v>
          </cell>
          <cell r="D5559">
            <v>21.78</v>
          </cell>
        </row>
        <row r="5560">
          <cell r="A5560">
            <v>87423</v>
          </cell>
          <cell r="B5560" t="str">
            <v>APLICAÇÃO MANUAL DE GESSO SARRAFEADO (COM TALISCAS) EM PAREDES DE AMBIENTES DE ÁREA MAIOR QUE 10M², ESPESSURA DE 1,0CM. AF_06/2014</v>
          </cell>
          <cell r="C5560" t="str">
            <v>M2</v>
          </cell>
          <cell r="D5560">
            <v>26.82</v>
          </cell>
        </row>
        <row r="5561">
          <cell r="A5561">
            <v>87424</v>
          </cell>
          <cell r="B5561" t="str">
            <v>APLICAÇÃO MANUAL DE GESSO SARRAFEADO (COM TALISCAS) EM PAREDES DE AMBIENTES DE ÁREA ENTRE 5M² E 10M², ESPESSURA DE 1,0CM. AF_06/2014</v>
          </cell>
          <cell r="C5561" t="str">
            <v>M2</v>
          </cell>
          <cell r="D5561">
            <v>27.42</v>
          </cell>
        </row>
        <row r="5562">
          <cell r="A5562">
            <v>87425</v>
          </cell>
          <cell r="B5562" t="str">
            <v>APLICAÇÃO MANUAL DE GESSO SARRAFEADO (COM TALISCAS) EM PAREDES DE AMBIENTES DE ÁREA MENOR QUE 5M², ESPESSURA DE 1,0CM. AF_06/2014</v>
          </cell>
          <cell r="C5562" t="str">
            <v>M2</v>
          </cell>
          <cell r="D5562">
            <v>28.4</v>
          </cell>
        </row>
        <row r="5563">
          <cell r="A5563">
            <v>87426</v>
          </cell>
          <cell r="B5563" t="str">
            <v>APLICAÇÃO MANUAL DE GESSO SARRAFEADO (COM TALISCAS) EM PAREDES DE AMBIENTES DE ÁREA MAIOR QUE 10M², ESPESSURA DE 1,5CM. AF_06/2014</v>
          </cell>
          <cell r="C5563" t="str">
            <v>M2</v>
          </cell>
          <cell r="D5563">
            <v>31.53</v>
          </cell>
        </row>
        <row r="5564">
          <cell r="A5564">
            <v>87427</v>
          </cell>
          <cell r="B5564" t="str">
            <v>APLICAÇÃO MANUAL DE GESSO SARRAFEADO (COM TALISCAS) EM PAREDES DE AMBIENTES DE ÁREA ENTRE 5M² E 10M², ESPESSURA DE 1,5CM. AF_06/2014</v>
          </cell>
          <cell r="C5564" t="str">
            <v>M2</v>
          </cell>
          <cell r="D5564">
            <v>32.130000000000003</v>
          </cell>
        </row>
        <row r="5565">
          <cell r="A5565">
            <v>87428</v>
          </cell>
          <cell r="B5565" t="str">
            <v>APLICAÇÃO MANUAL DE GESSO SARRAFEADO (COM TALISCAS) EM PAREDES DE AMBIENTES DE ÁREA MENOR QUE 5M², ESPESSURA DE 1,5CM. AF_06/2014</v>
          </cell>
          <cell r="C5565" t="str">
            <v>M2</v>
          </cell>
          <cell r="D5565">
            <v>33.1</v>
          </cell>
        </row>
        <row r="5566">
          <cell r="A5566">
            <v>87429</v>
          </cell>
          <cell r="B5566" t="str">
            <v>APLICAÇÃO DE GESSO PROJETADO COM EQUIPAMENTO DE PROJEÇÃO EM PAREDES DE AMBIENTES DE ÁREA MAIOR QUE 10M², DESEMPENADO (SEM TALISCAS), ESPESSURA DE 0,5CM. AF_06/2014</v>
          </cell>
          <cell r="C5566" t="str">
            <v>M2</v>
          </cell>
          <cell r="D5566">
            <v>15.19</v>
          </cell>
        </row>
        <row r="5567">
          <cell r="A5567">
            <v>87430</v>
          </cell>
          <cell r="B5567" t="str">
            <v>APLICAÇÃO DE GESSO PROJETADO COM EQUIPAMENTO DE PROJEÇÃO EM PAREDES DE AMBIENTES DE ÁREA ENTRE 5M² E 10M², DESEMPENADO (SEM TALISCAS), ESPESSURA DE 0,5CM. AF_06/2014</v>
          </cell>
          <cell r="C5567" t="str">
            <v>M2</v>
          </cell>
          <cell r="D5567">
            <v>15.59</v>
          </cell>
        </row>
        <row r="5568">
          <cell r="A5568">
            <v>87431</v>
          </cell>
          <cell r="B5568" t="str">
            <v>APLICAÇÃO DE GESSO PROJETADO COM EQUIPAMENTO DE PROJEÇÃO EM PAREDES DE AMBIENTES DE ÁREA MENOR QUE 5M², DESEMPENADO (SEM TALISCAS), ESPESSURA DE 0,5CM. AF_06/2014</v>
          </cell>
          <cell r="C5568" t="str">
            <v>M2</v>
          </cell>
          <cell r="D5568">
            <v>15.79</v>
          </cell>
        </row>
        <row r="5569">
          <cell r="A5569">
            <v>87432</v>
          </cell>
          <cell r="B5569" t="str">
            <v>APLICAÇÃO DE GESSO PROJETADO COM EQUIPAMENTO DE PROJEÇÃO EM PAREDES DE AMBIENTES DE ÁREA MAIOR QUE 10M², DESEMPENADO (SEM TALISCAS), ESPESSURA DE 1,0CM. AF_06/2014</v>
          </cell>
          <cell r="C5569" t="str">
            <v>M2</v>
          </cell>
          <cell r="D5569">
            <v>21.89</v>
          </cell>
        </row>
        <row r="5570">
          <cell r="A5570">
            <v>87433</v>
          </cell>
          <cell r="B5570" t="str">
            <v>APLICAÇÃO DE GESSO PROJETADO COM EQUIPAMENTO DE PROJEÇÃO EM PAREDES DE AMBIENTES DE ÁREA ENTRE 5M² E 10M², DESEMPENADO (SEM TALISCAS), ESPESSURA DE 1,0CM. AF_06/2014</v>
          </cell>
          <cell r="C5570" t="str">
            <v>M2</v>
          </cell>
          <cell r="D5570">
            <v>22.7</v>
          </cell>
        </row>
        <row r="5571">
          <cell r="A5571">
            <v>87434</v>
          </cell>
          <cell r="B5571" t="str">
            <v>APLICAÇÃO DE GESSO PROJETADO COM EQUIPAMENTO DE PROJEÇÃO EM PAREDES DE AMBIENTES DE ÁREA MENOR QUE 5M², DESEMPENADO (SEM TALISCAS), ESPESSURA DE 1,0CM. AF_06/2014</v>
          </cell>
          <cell r="C5571" t="str">
            <v>M2</v>
          </cell>
          <cell r="D5571">
            <v>23.26</v>
          </cell>
        </row>
        <row r="5572">
          <cell r="A5572">
            <v>87435</v>
          </cell>
          <cell r="B5572" t="str">
            <v>APLICAÇÃO DE GESSO PROJETADO COM EQUIPAMENTO DE PROJEÇÃO EM PAREDES DE AMBIENTES DE ÁREA MAIOR QUE 10M², SARRAFEADO (COM TALISCAS), ESPESSURA DE 1,0CM. AF_06/2014</v>
          </cell>
          <cell r="C5572" t="str">
            <v>M2</v>
          </cell>
          <cell r="D5572">
            <v>24.43</v>
          </cell>
        </row>
        <row r="5573">
          <cell r="A5573">
            <v>87436</v>
          </cell>
          <cell r="B5573" t="str">
            <v>APLICAÇÃO DE GESSO PROJETADO COM EQUIPAMENTO DE PROJEÇÃO EM PAREDES DE AMBIENTES DE ÁREA ENTRE 5M² E 10M², SARRAFEADO (COM TALISCAS), ESPESSURA DE 1,0CM. AF_06/2014</v>
          </cell>
          <cell r="C5573" t="str">
            <v>M2</v>
          </cell>
          <cell r="D5573">
            <v>25.8</v>
          </cell>
        </row>
        <row r="5574">
          <cell r="A5574">
            <v>87437</v>
          </cell>
          <cell r="B5574" t="str">
            <v>APLICAÇÃO DE GESSO PROJETADO COM EQUIPAMENTO DE PROJEÇÃO EM PAREDES DE AMBIENTES DE ÁREA MENOR QUE 5M², SARRAFEADO (COM TALISCAS), ESPESSURA DE 1,0CM. AF_06/2014</v>
          </cell>
          <cell r="C5574" t="str">
            <v>M2</v>
          </cell>
          <cell r="D5574">
            <v>26.77</v>
          </cell>
        </row>
        <row r="5575">
          <cell r="A5575">
            <v>87438</v>
          </cell>
          <cell r="B5575" t="str">
            <v>APLICAÇÃO DE GESSO PROJETADO COM EQUIPAMENTO DE PROJEÇÃO EM PAREDES DE AMBIENTES DE ÁREA MAIOR QUE 10M², SARRAFEADO (COM TALISCAS), ESPESSURA DE 1,5CM. AF_06/2014</v>
          </cell>
          <cell r="C5575" t="str">
            <v>M2</v>
          </cell>
          <cell r="D5575">
            <v>30.14</v>
          </cell>
        </row>
        <row r="5576">
          <cell r="A5576">
            <v>87439</v>
          </cell>
          <cell r="B5576" t="str">
            <v>APLICAÇÃO DE GESSO PROJETADO COM EQUIPAMENTO DE PROJEÇÃO EM PAREDES DE AMBIENTES DE ÁREA ENTRE 5M² E 10M², SARRAFEADO (COM TALISCAS), ESPESSURA DE 1,5CM. AF_06/2014</v>
          </cell>
          <cell r="C5576" t="str">
            <v>M2</v>
          </cell>
          <cell r="D5576">
            <v>31.88</v>
          </cell>
        </row>
        <row r="5577">
          <cell r="A5577">
            <v>87440</v>
          </cell>
          <cell r="B5577" t="str">
            <v>APLICAÇÃO DE GESSO PROJETADO COM EQUIPAMENTO DE PROJEÇÃO EM PAREDES DE AMBIENTES DE ÁREA MENOR QUE 5M², SARRAFEADO (COM TALISCAS), ESPESSURA DE 1,5CM. AF_06/2014</v>
          </cell>
          <cell r="C5577" t="str">
            <v>M2</v>
          </cell>
          <cell r="D5577">
            <v>32.68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27.52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31.58</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24.64</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23.61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27.67</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20.74</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24.8</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52.28</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49.83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48.95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46.5</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16.55</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21.31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16.16</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18.45</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15.12</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17.41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12.25</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14.54</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32.15</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29.71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28.82</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26.37</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29.04</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40.590000000000003</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59.15</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47.02</v>
          </cell>
        </row>
        <row r="5608">
          <cell r="A5608">
            <v>87781</v>
          </cell>
          <cell r="B5608" t="str">
            <v>EMBOÇO OU MASSA ÚNICA EM ARGAMASSA TRAÇO 1:2:8, PREPARO MANUAL, APLICADA MANUALMENTE EM PANOS DE FACHADA COM PRESENÇA DE VÃOS, ESPESSURA DE 35 MM. AF_06/2014</v>
          </cell>
          <cell r="C5608" t="str">
            <v>M2</v>
          </cell>
          <cell r="D5608">
            <v>51.57</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73.53</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53.46</v>
          </cell>
        </row>
        <row r="5611">
          <cell r="A5611">
            <v>87786</v>
          </cell>
          <cell r="B5611" t="str">
            <v>EMBOÇO OU MASSA ÚNICA EM ARGAMASSA TRAÇO 1:2:8, PREPARO MANUAL, APLICADA MANUALMENTE EM PANOS DE FACHADA COM PRESENÇA DE VÃOS, ESPESSURA DE 45 MM. AF_06/2014</v>
          </cell>
          <cell r="C5611" t="str">
            <v>M2</v>
          </cell>
          <cell r="D5611">
            <v>59.16</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87.92</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69.44</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75.709999999999994</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104.54</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26.28</v>
          </cell>
        </row>
        <row r="5617">
          <cell r="A5617">
            <v>87794</v>
          </cell>
          <cell r="B5617" t="str">
            <v>EMBOÇO OU MASSA ÚNICA EM ARGAMASSA TRAÇO 1:2:8, PREPARO MANUAL, APLICADA MANUALMENTE EM PANOS CEGOS DE FACHADA (SEM PRESENÇA DE VÃOS), ESPESSURA DE 25 MM. AF_06/2014</v>
          </cell>
          <cell r="C5617" t="str">
            <v>M2</v>
          </cell>
          <cell r="D5617">
            <v>29.44</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43.28</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32.479999999999997</v>
          </cell>
        </row>
        <row r="5620">
          <cell r="A5620">
            <v>87799</v>
          </cell>
          <cell r="B5620" t="str">
            <v>EMBOÇO OU MASSA ÚNICA EM ARGAMASSA TRAÇO 1:2:8, PREPARO MANUAL, APLICADA MANUALMENTE EM PANOS CEGOS DE FACHADA (SEM PRESENÇA DE VÃOS), ESPESSURA DE 35 MM. AF_06/2014</v>
          </cell>
          <cell r="C5620" t="str">
            <v>M2</v>
          </cell>
          <cell r="D5620">
            <v>36.72</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56.91</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38.69</v>
          </cell>
        </row>
        <row r="5623">
          <cell r="A5623">
            <v>87803</v>
          </cell>
          <cell r="B5623" t="str">
            <v>EMBOÇO OU MASSA ÚNICA EM ARGAMASSA TRAÇO 1:2:8, PREPARO MANUAL, APLICADA MANUALMENTE EM PANOS CEGOS DE FACHADA (SEM PRESENÇA DE VÃOS), ESPESSURA DE 45 MM. AF_06/2014</v>
          </cell>
          <cell r="C5623" t="str">
            <v>M2</v>
          </cell>
          <cell r="D5623">
            <v>44.01</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70.540000000000006</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44.71</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50.57</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76.989999999999995</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66.209999999999994</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69.37</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82.85</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72.41</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76.650000000000006</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96.48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78.260000000000005</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83.58</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110.11</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113.85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119.71</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145.78</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51.58</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55.46</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73.489999999999995</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58.51</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63.71</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89.49</v>
          </cell>
        </row>
        <row r="5646">
          <cell r="A5646">
            <v>87834</v>
          </cell>
          <cell r="B5646" t="str">
            <v>REVESTIMENTO DECORATIVO MONOCAMADA APLICADO MANUALMENTE EM PANOS CEGOS DA FACHADA DE UM EDIFÍCIO DE ESTRUTURA CONVENCIONAL, COM ACABAMENTO RASPADO. AF_06/2014</v>
          </cell>
          <cell r="C5646" t="str">
            <v>M2</v>
          </cell>
          <cell r="D5646">
            <v>147.25</v>
          </cell>
        </row>
        <row r="5647">
          <cell r="A5647">
            <v>87835</v>
          </cell>
          <cell r="B5647" t="str">
            <v>REVESTIMENTO DECORATIVO MONOCAMADA APLICADO MANUALMENTE EM PANOS CEGOS DA FACHADA DE UM EDIFÍCIO DE ALVENARIA ESTRUTURAL, COM ACABAMENTO RASPADO. AF_06/2014</v>
          </cell>
          <cell r="C5647" t="str">
            <v>M2</v>
          </cell>
          <cell r="D5647">
            <v>101.05</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140.87</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95.41</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153.81</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105.63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145.93</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98.48</v>
          </cell>
        </row>
        <row r="5654">
          <cell r="A5654">
            <v>87842</v>
          </cell>
          <cell r="B5654" t="str">
            <v>REVESTIMENTO DECORATIVO MONOCAMADA APLICADO MANUALMENTE EM SUPERFÍCIES EXTERNAS DA SACADA DE UM EDIFÍCIO DE ESTRUTURA CONVENCIONAL E ACABAMENTO RASPADO. AF_06/2014</v>
          </cell>
          <cell r="C5654" t="str">
            <v>M2</v>
          </cell>
          <cell r="D5654">
            <v>152.79</v>
          </cell>
        </row>
        <row r="5655">
          <cell r="A5655">
            <v>87843</v>
          </cell>
          <cell r="B5655" t="str">
            <v>REVESTIMENTO DECORATIVO MONOCAMADA APLICADO MANUALMENTE EM SUPERFÍCIES EXTERNAS DA SACADA DE UM EDIFÍCIO DE ALVENARIA ESTRUTURAL E ACABAMENTO RASPADO. AF_06/2014</v>
          </cell>
          <cell r="C5655" t="str">
            <v>M2</v>
          </cell>
          <cell r="D5655">
            <v>113.01</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140.94999999999999</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101.93</v>
          </cell>
        </row>
        <row r="5658">
          <cell r="A5658">
            <v>87846</v>
          </cell>
          <cell r="B5658" t="str">
            <v>REVESTIMENTO DECORATIVO MONOCAMADA APLICADO MANUALMENTE EM PANOS CEGOS DA FACHADA DE UM EDIFÍCIO DE ESTRUTURA CONVENCIONAL, COM ACABAMENTO TRAVERTINO. AF_06/2014</v>
          </cell>
          <cell r="C5658" t="str">
            <v>M2</v>
          </cell>
          <cell r="D5658">
            <v>159.55000000000001</v>
          </cell>
        </row>
        <row r="5659">
          <cell r="A5659">
            <v>87847</v>
          </cell>
          <cell r="B5659" t="str">
            <v>REVESTIMENTO DECORATIVO MONOCAMADA APLICADO MANUALMENTE EM PANOS CEGOS DA FACHADA DE UM EDIFÍCIO DE ALVENARIA ESTRUTURAL, COM ACABAMENTO TRAVERTINO. AF_06/2014</v>
          </cell>
          <cell r="C5659" t="str">
            <v>M2</v>
          </cell>
          <cell r="D5659">
            <v>113.35</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152.07</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106.61</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166.13</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117.95</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157.11000000000001</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109.66</v>
          </cell>
        </row>
        <row r="5666">
          <cell r="A5666">
            <v>87854</v>
          </cell>
          <cell r="B5666" t="str">
            <v>REVESTIMENTO DECORATIVO MONOCAMADA APLICADO MANUALMENTE EM SUPERFÍCIES EXTERNAS DA SACADA DE UM EDIFÍCIO DE ESTRUTURA CONVENCIONAL E ACABAMENTO TRAVERTINO. AF_06/2014</v>
          </cell>
          <cell r="C5666" t="str">
            <v>M2</v>
          </cell>
          <cell r="D5666">
            <v>165.08</v>
          </cell>
        </row>
        <row r="5667">
          <cell r="A5667">
            <v>87855</v>
          </cell>
          <cell r="B5667" t="str">
            <v>REVESTIMENTO DECORATIVO MONOCAMADA APLICADO MANUALMENTE EM SUPERFÍCIES EXTERNAS DA SACADA DE UM EDIFÍCIO DE ALVENARIA ESTRUTURAL E ACABAMENTO TRAVERTINO. AF_06/2014</v>
          </cell>
          <cell r="C5667" t="str">
            <v>M2</v>
          </cell>
          <cell r="D5667">
            <v>125.32</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152.15</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113.11</v>
          </cell>
        </row>
        <row r="5670">
          <cell r="A5670">
            <v>87858</v>
          </cell>
          <cell r="B5670" t="str">
            <v>REVESTIMENTO DECORATIVO MONOCAMADA APLICADO MANUALMENTE NAS PAREDES INTERNAS DA SACADA COM ACABAMENTO RASPADO. AF_06/2014</v>
          </cell>
          <cell r="C5670" t="str">
            <v>M2</v>
          </cell>
          <cell r="D5670">
            <v>108.91</v>
          </cell>
        </row>
        <row r="5671">
          <cell r="A5671">
            <v>87859</v>
          </cell>
          <cell r="B5671" t="str">
            <v>REVESTIMENTO DECORATIVO MONOCAMADA APLICADO MANUALMENTE NAS PAREDES INTERNAS DA SACADA COM ACABAMENTO TRAVERTINO. AF_06/2014</v>
          </cell>
          <cell r="C5671" t="str">
            <v>M2</v>
          </cell>
          <cell r="D5671">
            <v>125.98</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25.25</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17.66</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24.79</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33.03</v>
          </cell>
        </row>
        <row r="5676">
          <cell r="A5676">
            <v>90407</v>
          </cell>
          <cell r="B5676" t="str">
            <v>MASSA ÚNICA, PARA RECEBIMENTO DE PINTURA, EM ARGAMASSA TRAÇO 1:2:8, PREPARO MANUAL, APLICADA MANUALMENTE EM TETO, ESPESSURA DE 20MM, COM EXECUÇÃO DE TALISCAS. AF_03/2015</v>
          </cell>
          <cell r="C5676" t="str">
            <v>M2</v>
          </cell>
          <cell r="D5676">
            <v>37.090000000000003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24.31</v>
          </cell>
        </row>
        <row r="5678">
          <cell r="A5678">
            <v>90409</v>
          </cell>
          <cell r="B5678" t="str">
            <v>MASSA ÚNICA, PARA RECEBIMENTO DE PINTURA, EM ARGAMASSA TRAÇO 1:2:8, PREPARO MANUAL, APLICADA MANUALMENTE EM TETO, ESPESSURA DE 10MM, COM EXECUÇÃO DE TALISCAS. AF_03/2015</v>
          </cell>
          <cell r="C5678" t="str">
            <v>M2</v>
          </cell>
          <cell r="D5678">
            <v>26.6</v>
          </cell>
        </row>
        <row r="5679">
          <cell r="A5679">
            <v>84084</v>
          </cell>
          <cell r="B5679" t="str">
            <v>APICOAMENTO MANUAL DE SUPERFICIE DE CONCRETO</v>
          </cell>
          <cell r="C5679" t="str">
            <v>M2</v>
          </cell>
          <cell r="D5679">
            <v>6.5</v>
          </cell>
        </row>
        <row r="5680">
          <cell r="A5680">
            <v>87242</v>
          </cell>
          <cell r="B5680" t="str">
            <v>REVESTIMENTO CERÂMICO PARA PAREDES EXTERNAS EM PASTILHAS DE PORCELANA 5 X 5 CM (PLACAS DE 30 X 30 CM), ALINHADAS A PRUMO, APLICADO EM PANOS COM VÃOS. AF_06/2014</v>
          </cell>
          <cell r="C5680" t="str">
            <v>M2</v>
          </cell>
          <cell r="D5680">
            <v>191.95</v>
          </cell>
        </row>
        <row r="5681">
          <cell r="A5681">
            <v>87243</v>
          </cell>
          <cell r="B5681" t="str">
            <v>REVESTIMENTO CERÂMICO PARA PAREDES EXTERNAS EM PASTILHAS DE PORCELANA 5 X 5 CM (PLACAS DE 30 X 30 CM), ALINHADAS A PRUMO, APLICADO EM PANOS SEM VÃOS. AF_06/2014</v>
          </cell>
          <cell r="C5681" t="str">
            <v>M2</v>
          </cell>
          <cell r="D5681">
            <v>176.3</v>
          </cell>
        </row>
        <row r="5682">
          <cell r="A5682">
            <v>87244</v>
          </cell>
          <cell r="B5682" t="str">
            <v>REVESTIMENTO CERÂMICO PARA PAREDES EXTERNAS EM PASTILHAS DE PORCELANA 5 X 5 CM (PLACAS DE 30 X 30 CM), ALINHADAS A PRUMO, APLICADO EM SUPERFÍCIES EXTERNAS DA SACADA. AF_06/2014</v>
          </cell>
          <cell r="C5682" t="str">
            <v>M2</v>
          </cell>
          <cell r="D5682">
            <v>186.28</v>
          </cell>
        </row>
        <row r="5683">
          <cell r="A5683">
            <v>87245</v>
          </cell>
          <cell r="B5683" t="str">
            <v>REVESTIMENTO CERÂMICO PARA PAREDES EXTERNAS EM PASTILHAS DE PORCELANA 5 X 5 CM (PLACAS DE 30 X 30 CM), ALINHADAS A PRUMO, APLICADO EM SUPERFÍCIES INTERNAS DA SACADA. AF_06/2014</v>
          </cell>
          <cell r="C5683" t="str">
            <v>M2</v>
          </cell>
          <cell r="D5683">
            <v>223.24</v>
          </cell>
        </row>
        <row r="5684">
          <cell r="A5684">
            <v>87264</v>
          </cell>
          <cell r="B5684" t="str">
            <v>REVESTIMENTO CERÂMICO PARA PAREDES INTERNAS COM PLACAS TIPO ESMALTADA EXTRA DE DIMENSÕES 20X20 CM APLICADAS EM AMBIENTES DE ÁREA MENOR QUE 5 M² NA ALTURA INTEIRA DAS PAREDES. AF_06/2014</v>
          </cell>
          <cell r="C5684" t="str">
            <v>M2</v>
          </cell>
          <cell r="D5684">
            <v>43.76</v>
          </cell>
        </row>
        <row r="5685">
          <cell r="A5685">
            <v>87265</v>
          </cell>
          <cell r="B5685" t="str">
            <v>REVESTIMENTO CERÂMICO PARA PAREDES INTERNAS COM PLACAS TIPO ESMALTADA EXTRA DE DIMENSÕES 20X20 CM APLICADAS EM AMBIENTES DE ÁREA MAIOR QUE 5 M² NA ALTURA INTEIRA DAS PAREDES. AF_06/2014</v>
          </cell>
          <cell r="C5685" t="str">
            <v>M2</v>
          </cell>
          <cell r="D5685">
            <v>37.479999999999997</v>
          </cell>
        </row>
        <row r="5686">
          <cell r="A5686">
            <v>87266</v>
          </cell>
          <cell r="B5686" t="str">
            <v>REVESTIMENTO CERÂMICO PARA PAREDES INTERNAS COM PLACAS TIPO ESMALTADA EXTRA DE DIMENSÕES 20X20 CM APLICADAS EM AMBIENTES DE ÁREA MENOR QUE 5 M² A MEIA ALTURA DAS PAREDES. AF_06/2014</v>
          </cell>
          <cell r="C5686" t="str">
            <v>M2</v>
          </cell>
          <cell r="D5686">
            <v>46.02</v>
          </cell>
        </row>
        <row r="5687">
          <cell r="A5687">
            <v>87267</v>
          </cell>
          <cell r="B5687" t="str">
            <v>REVESTIMENTO CERÂMICO PARA PAREDES INTERNAS COM PLACAS TIPO ESMALTADA EXTRA DE DIMENSÕES 20X20 CM APLICADAS EM AMBIENTES DE ÁREA MAIOR QUE 5 M² A MEIA ALTURA DAS PAREDES. AF_06/2014</v>
          </cell>
          <cell r="C5687" t="str">
            <v>M2</v>
          </cell>
          <cell r="D5687">
            <v>43.19</v>
          </cell>
        </row>
        <row r="5688">
          <cell r="A5688">
            <v>87268</v>
          </cell>
          <cell r="B5688" t="str">
            <v>REVESTIMENTO CERÂMICO PARA PAREDES INTERNAS COM PLACAS TIPO ESMALTADA EXTRA DE DIMENSÕES 25X35 CM APLICADAS EM AMBIENTES DE ÁREA MENOR QUE 5 M² NA ALTURA INTEIRA DAS PAREDES. AF_06/2014</v>
          </cell>
          <cell r="C5688" t="str">
            <v>M2</v>
          </cell>
          <cell r="D5688">
            <v>47.42</v>
          </cell>
        </row>
        <row r="5689">
          <cell r="A5689">
            <v>87269</v>
          </cell>
          <cell r="B5689" t="str">
            <v>REVESTIMENTO CERÂMICO PARA PAREDES INTERNAS COM PLACAS TIPO ESMALTADA EXTRA DE DIMENSÕES 25X35 CM APLICADAS EM AMBIENTES DE ÁREA MAIOR QUE 5 M² NA ALTURA INTEIRA DAS PAREDES. AF_06/2014</v>
          </cell>
          <cell r="C5689" t="str">
            <v>M2</v>
          </cell>
          <cell r="D5689">
            <v>40.58</v>
          </cell>
        </row>
        <row r="5690">
          <cell r="A5690">
            <v>87270</v>
          </cell>
          <cell r="B5690" t="str">
            <v>REVESTIMENTO CERÂMICO PARA PAREDES INTERNAS COM PLACAS TIPO ESMALTADA EXTRA DE DIMENSÕES 25X35 CM APLICADAS EM AMBIENTES DE ÁREA MENOR QUE 5 M² A MEIA ALTURA DAS PAREDES. AF_06/2014</v>
          </cell>
          <cell r="C5690" t="str">
            <v>M2</v>
          </cell>
          <cell r="D5690">
            <v>49.32</v>
          </cell>
        </row>
        <row r="5691">
          <cell r="A5691">
            <v>87271</v>
          </cell>
          <cell r="B5691" t="str">
            <v>REVESTIMENTO CERÂMICO PARA PAREDES INTERNAS COM PLACAS TIPO ESMALTADA EXTRA DE DIMENSÕES 25X35 CM APLICADAS EM AMBIENTES DE ÁREA MAIOR QUE 5 M² A MEIA ALTURA DAS PAREDES. AF_06/2014</v>
          </cell>
          <cell r="C5691" t="str">
            <v>M2</v>
          </cell>
          <cell r="D5691">
            <v>46.11</v>
          </cell>
        </row>
        <row r="5692">
          <cell r="A5692">
            <v>87272</v>
          </cell>
          <cell r="B5692" t="str">
            <v>REVESTIMENTO CERÂMICO PARA PAREDES INTERNAS COM PLACAS TIPO ESMALTADA EXTRA  DE DIMENSÕES 33X45 CM APLICADAS EM AMBIENTES DE ÁREA MENOR QUE 5 M² NA ALTURA INTEIRA DAS PAREDES. AF_06/2014</v>
          </cell>
          <cell r="C5692" t="str">
            <v>M2</v>
          </cell>
          <cell r="D5692">
            <v>50.97</v>
          </cell>
        </row>
        <row r="5693">
          <cell r="A5693">
            <v>87273</v>
          </cell>
          <cell r="B5693" t="str">
            <v>REVESTIMENTO CERÂMICO PARA PAREDES INTERNAS COM PLACAS TIPO ESMALTADA EXTRA DE DIMENSÕES 33X45 CM APLICADAS EM AMBIENTES DE ÁREA MAIOR QUE 5 M² NA ALTURA INTEIRA DAS PAREDES. AF_06/2014</v>
          </cell>
          <cell r="C5693" t="str">
            <v>M2</v>
          </cell>
          <cell r="D5693">
            <v>42.59</v>
          </cell>
        </row>
        <row r="5694">
          <cell r="A5694">
            <v>87274</v>
          </cell>
          <cell r="B5694" t="str">
            <v>REVESTIMENTO CERÂMICO PARA PAREDES INTERNAS COM PLACAS TIPO ESMALTADA EXTRA DE DIMENSÕES 33X45 CM APLICADAS EM AMBIENTES DE ÁREA MENOR QUE 5 M² A MEIA ALTURA DAS PAREDES. AF_06/2014</v>
          </cell>
          <cell r="C5694" t="str">
            <v>M2</v>
          </cell>
          <cell r="D5694">
            <v>52.31</v>
          </cell>
        </row>
        <row r="5695">
          <cell r="A5695">
            <v>87275</v>
          </cell>
          <cell r="B5695" t="str">
            <v>REVESTIMENTO CERÂMICO PARA PAREDES INTERNAS COM PLACAS TIPO ESMALTADA EXTRA  DE DIMENSÕES 33X45 CM APLICADAS EM AMBIENTES DE ÁREA MAIOR QUE 5 M² A MEIA ALTURA DAS PAREDES. AF_06/2014</v>
          </cell>
          <cell r="C5695" t="str">
            <v>M2</v>
          </cell>
          <cell r="D5695">
            <v>49.43</v>
          </cell>
        </row>
        <row r="5696">
          <cell r="A5696">
            <v>88786</v>
          </cell>
          <cell r="B5696" t="str">
            <v>REVESTIMENTO CERÂMICO PARA PAREDES EXTERNAS EM PASTILHAS DE PORCELANA 2,5 X 2,5 CM (PLACAS DE 30 X 30 CM), ALINHADAS A PRUMO, APLICADO EM PANOS COM VÃOS. AF_10/2014</v>
          </cell>
          <cell r="C5696" t="str">
            <v>M2</v>
          </cell>
          <cell r="D5696">
            <v>213.74</v>
          </cell>
        </row>
        <row r="5697">
          <cell r="A5697">
            <v>88787</v>
          </cell>
          <cell r="B5697" t="str">
            <v>REVESTIMENTO CERÂMICO PARA PAREDES EXTERNAS EM PASTILHAS DE PORCELANA 2,5 X 2,5 CM (PLACAS DE 30 X 30 CM), ALINHADAS A PRUMO, APLICADO EM PANOS SEM VÃOS. AF_10/2014</v>
          </cell>
          <cell r="C5697" t="str">
            <v>M2</v>
          </cell>
          <cell r="D5697">
            <v>197.12</v>
          </cell>
        </row>
        <row r="5698">
          <cell r="A5698">
            <v>88788</v>
          </cell>
          <cell r="B5698" t="str">
            <v>REVESTIMENTO CERÂMICO PARA PAREDES EXTERNAS EM PASTILHAS DE PORCELANA 2,5 X 2,5 CM (PLACAS DE 30 X 30 CM), ALINHADAS A PRUMO, APLICADO EM SUPERFÍCIES EXTERNAS DA SACADA. AF_10/2014</v>
          </cell>
          <cell r="C5698" t="str">
            <v>M2</v>
          </cell>
          <cell r="D5698">
            <v>207.1</v>
          </cell>
        </row>
        <row r="5699">
          <cell r="A5699">
            <v>88789</v>
          </cell>
          <cell r="B5699" t="str">
            <v>REVESTIMENTO CERÂMICO PARA PAREDES EXTERNAS EM PASTILHAS DE PORCELANA 2,5 X 2,5 CM (PLACAS DE 30 X 30 CM), ALINHADAS A PRUMO, APLICADO EM SUPERFÍCIES INTERNAS DA SACADA. AF_10/2014</v>
          </cell>
          <cell r="C5699" t="str">
            <v>M2</v>
          </cell>
          <cell r="D5699">
            <v>247.38</v>
          </cell>
        </row>
        <row r="5700">
          <cell r="A5700">
            <v>89045</v>
          </cell>
          <cell r="B5700" t="str">
            <v>(COMPOSIÇÃO REPRESENTATIVA) DO SERVIÇO DE REVESTIMENTO CERÂMICO PARA AMBIENTES DE ÁREAS MOLHADAS, MEIA PAREDE OU PAREDE INTEIRA, COM PLACAS TIPO GRÊS OU SEMI-GRÊS, DIMENSÕES 20X20 CM, PARA EDIFICAÇÃO HABITACIONAL MULTIFAMILIAR (PRÉDIO). AF_11/2014</v>
          </cell>
          <cell r="C5700" t="str">
            <v>M2</v>
          </cell>
          <cell r="D5700">
            <v>43.6</v>
          </cell>
        </row>
        <row r="5701">
          <cell r="A5701">
            <v>89170</v>
          </cell>
          <cell r="B5701" t="str">
            <v>(COMPOSIÇÃO REPRESENTATIVA) DO SERVIÇO DE REVESTIMENTO CERÂMICO PARA PAREDES INTERNAS, MEIA PAREDE, OU PAREDE INTEIRA, PLACAS GRÊS OU SEMI-GRÊS DE 20X20 CM, PARA EDIFICAÇÕES HABITACIONAIS UNIFAMILIAR (CASAS) E EDIFICAÇÕES PÚBLICAS PADRÃO. AF_11/2014</v>
          </cell>
          <cell r="C5701" t="str">
            <v>M2</v>
          </cell>
          <cell r="D5701">
            <v>42.02</v>
          </cell>
        </row>
        <row r="5702">
          <cell r="A5702">
            <v>93392</v>
          </cell>
          <cell r="B5702" t="str">
            <v>REVESTIMENTO CERÂMICO PARA PAREDES INTERNAS COM PLACAS TIPO ESMALTADA PADRÃO POPULAR DE DIMENSÕES 20X20 CM, ARGAMASSA TIPO AC I, APLICADAS EM AMBIENTES DE ÁREA MENOR QUE 5 M2 NA ALTURA INTEIRA DAS PAREDES. AF_06/2014</v>
          </cell>
          <cell r="C5702" t="str">
            <v>M2</v>
          </cell>
          <cell r="D5702">
            <v>36.119999999999997</v>
          </cell>
        </row>
        <row r="5703">
          <cell r="A5703">
            <v>93393</v>
          </cell>
          <cell r="B5703" t="str">
            <v>REVESTIMENTO CERÂMICO PARA PAREDES INTERNAS COM PLACAS TIPO ESMALTADA PADRÃO POPULAR DE DIMENSÕES 20X20 CM, ARGAMASSA TIPO AC I, APLICADAS EM AMBIENTES DE ÁREA MAIOR QUE 5 M2 NA ALTURA INTEIRA DAS PAREDES. AF_06/2014</v>
          </cell>
          <cell r="C5703" t="str">
            <v>M2</v>
          </cell>
          <cell r="D5703">
            <v>29.91</v>
          </cell>
        </row>
        <row r="5704">
          <cell r="A5704">
            <v>93394</v>
          </cell>
          <cell r="B5704" t="str">
            <v>REVESTIMENTO CERÂMICO PARA PAREDES INTERNAS COM PLACAS TIPO ESMALTADA PADRÃO POPULAR DE DIMENSÕES 20X20 CM, ARGAMASSA TIPO AC I, APLICADAS EM AMBIENTES DE ÁREA MENOR QUE 5 M2 A MEIA ALTURA DAS PAREDES. AF_06/2014</v>
          </cell>
          <cell r="C5704" t="str">
            <v>M2</v>
          </cell>
          <cell r="D5704">
            <v>38.380000000000003</v>
          </cell>
        </row>
        <row r="5705">
          <cell r="A5705">
            <v>93395</v>
          </cell>
          <cell r="B5705" t="str">
            <v>REVESTIMENTO CERÂMICO PARA PAREDES INTERNAS COM PLACAS TIPO ESMALTADA PADRÃO POPULAR DE DIMENSÕES 20X20 CM, ARGAMASSA TIPO AC I, APLICADAS EM AMBIENTES DE ÁREA MAIOR QUE 5 M2 A MEIA ALTURA DAS PAREDES. AF_06/2014</v>
          </cell>
          <cell r="C5705" t="str">
            <v>M2</v>
          </cell>
          <cell r="D5705">
            <v>35.549999999999997</v>
          </cell>
        </row>
        <row r="5706">
          <cell r="A5706">
            <v>99194</v>
          </cell>
          <cell r="B5706" t="str">
            <v>REVESTIMENTO CERÂMICO PARA PAREDES INTERNAS COM PLACAS TIPO ESMALTADA PADRÃO POPULAR DE DIMENSÕES 20X20 CM, ARGAMASSA TIPO AC III, APLICADAS EM AMBIENTES DE ÁREA MENOR QUE 5 M2 NA ALTURA INTEIRA DAS PAREDES. AF_06/2014</v>
          </cell>
          <cell r="C5706" t="str">
            <v>M2</v>
          </cell>
          <cell r="D5706">
            <v>42</v>
          </cell>
        </row>
        <row r="5707">
          <cell r="A5707">
            <v>99195</v>
          </cell>
          <cell r="B5707" t="str">
            <v>REVESTIMENTO CERÂMICO PARA PAREDES INTERNAS COM PLACAS TIPO ESMALTADA PADRÃO POPULAR DE DIMENSÕES 20X20 CM, ARGAMASSA TIPO AC III, APLICADAS EM AMBIENTES DE ÁREA MAIOR QUE 5 M2 NA ALTURA INTEIRA DAS PAREDES. AF_06/2014</v>
          </cell>
          <cell r="C5707" t="str">
            <v>M2</v>
          </cell>
          <cell r="D5707">
            <v>35.79</v>
          </cell>
        </row>
        <row r="5708">
          <cell r="A5708">
            <v>99196</v>
          </cell>
          <cell r="B5708" t="str">
            <v>REVESTIMENTO CERÂMICO PARA PAREDES INTERNAS COM PLACAS TIPO ESMALTADA PADRÃO POPULAR DE DIMENSÕES 20X20 CM, ARGAMASSA TIPO AC III, APLICADAS EM AMBIENTES DE ÁREA MENOR QUE 5 M2 A MEIA ALTURA DAS PAREDES. AF_06/2014</v>
          </cell>
          <cell r="C5708" t="str">
            <v>M2</v>
          </cell>
          <cell r="D5708">
            <v>44.26</v>
          </cell>
        </row>
        <row r="5709">
          <cell r="A5709">
            <v>99198</v>
          </cell>
          <cell r="B5709" t="str">
            <v>REVESTIMENTO CERÂMICO PARA PAREDES INTERNAS COM PLACAS TIPO ESMALTADA PADRÃO POPULAR DE DIMENSÕES 20X20 CM, ARGAMASSA TIPO AC III, APLICADAS EM AMBIENTES DE ÁREA MAIOR QUE 5 M2 A MEIA ALTURA DAS PAREDES. AF_06/2014</v>
          </cell>
          <cell r="C5709" t="str">
            <v>M2</v>
          </cell>
          <cell r="D5709">
            <v>41.43</v>
          </cell>
        </row>
        <row r="5710">
          <cell r="A5710">
            <v>84088</v>
          </cell>
          <cell r="B5710" t="str">
            <v>PEITORIL EM MARMORE BRANCO, LARGURA DE 15CM, ASSENTADO COM ARGAMASSA TRACO 1:4 (CIMENTO E AREIA MEDIA), PREPARO MANUAL DA ARGAMASSA</v>
          </cell>
          <cell r="C5710" t="str">
            <v>M</v>
          </cell>
          <cell r="D5710">
            <v>83.15</v>
          </cell>
        </row>
        <row r="5711">
          <cell r="A5711">
            <v>84089</v>
          </cell>
          <cell r="B5711" t="str">
            <v>PEITORIL EM MARMORE BRANCO, LARGURA DE 25CM, ASSENTADO COM ARGAMASSA TRACO 1:3 (CIMENTO E AREIA MEDIA), PREPARO MANUAL DA ARGAMASSA</v>
          </cell>
          <cell r="C5711" t="str">
            <v>M</v>
          </cell>
          <cell r="D5711">
            <v>117.56</v>
          </cell>
        </row>
        <row r="5712">
          <cell r="A5712">
            <v>40675</v>
          </cell>
          <cell r="B5712" t="str">
            <v>ASSENTAMENTO DE PEITORIL COM ARGAMASSA DE CIMENTO COLANTE</v>
          </cell>
          <cell r="C5712" t="str">
            <v>M</v>
          </cell>
          <cell r="D5712">
            <v>4.29</v>
          </cell>
        </row>
        <row r="5713">
          <cell r="A5713">
            <v>84093</v>
          </cell>
          <cell r="B5713" t="str">
            <v>TABEIRA DE MADEIRA LEI, 1A QUALIDADE, 2,5X30,0CM PARA BEIRAL DE TELHADO</v>
          </cell>
          <cell r="C5713" t="str">
            <v>M</v>
          </cell>
          <cell r="D5713">
            <v>25.26</v>
          </cell>
        </row>
        <row r="5714">
          <cell r="A5714">
            <v>96112</v>
          </cell>
          <cell r="B5714" t="str">
            <v>FORRO EM MADEIRA PINUS, PARA AMBIENTES RESIDENCIAIS, INCLUSIVE ESTRUTURA DE FIXAÇÃO. AF_05/2017</v>
          </cell>
          <cell r="C5714" t="str">
            <v>M2</v>
          </cell>
          <cell r="D5714">
            <v>88.71</v>
          </cell>
        </row>
        <row r="5715">
          <cell r="A5715">
            <v>96117</v>
          </cell>
          <cell r="B5715" t="str">
            <v>FORRO EM MADEIRA PINUS, PARA AMBIENTES COMERCIAIS, INCLUSIVE ESTRUTURA DE FIXAÇÃO. AF_05/2017</v>
          </cell>
          <cell r="C5715" t="str">
            <v>M2</v>
          </cell>
          <cell r="D5715">
            <v>97.52</v>
          </cell>
        </row>
        <row r="5716">
          <cell r="A5716">
            <v>96122</v>
          </cell>
          <cell r="B5716" t="str">
            <v>ACABAMENTOS PARA FORRO (RODA-FORRO EM MADEIRA PINUS). AF_05/2017</v>
          </cell>
          <cell r="C5716" t="str">
            <v>M</v>
          </cell>
          <cell r="D5716">
            <v>21.79</v>
          </cell>
        </row>
        <row r="5717">
          <cell r="A5717">
            <v>96109</v>
          </cell>
          <cell r="B5717" t="str">
            <v>FORRO EM PLACAS DE GESSO, PARA AMBIENTES RESIDENCIAIS. AF_05/2017_P</v>
          </cell>
          <cell r="C5717" t="str">
            <v>M2</v>
          </cell>
          <cell r="D5717">
            <v>38.1</v>
          </cell>
        </row>
        <row r="5718">
          <cell r="A5718">
            <v>96110</v>
          </cell>
          <cell r="B5718" t="str">
            <v>FORRO EM DRYWALL, PARA AMBIENTES RESIDENCIAIS, INCLUSIVE ESTRUTURA DE FIXAÇÃO. AF_05/2017_P</v>
          </cell>
          <cell r="C5718" t="str">
            <v>M2</v>
          </cell>
          <cell r="D5718">
            <v>57.01</v>
          </cell>
        </row>
        <row r="5719">
          <cell r="A5719">
            <v>96113</v>
          </cell>
          <cell r="B5719" t="str">
            <v>FORRO EM PLACAS DE GESSO, PARA AMBIENTES COMERCIAIS. AF_05/2017_P</v>
          </cell>
          <cell r="C5719" t="str">
            <v>M2</v>
          </cell>
          <cell r="D5719">
            <v>34</v>
          </cell>
        </row>
        <row r="5720">
          <cell r="A5720">
            <v>96114</v>
          </cell>
          <cell r="B5720" t="str">
            <v>FORRO EM DRYWALL, PARA AMBIENTES COMERCIAIS, INCLUSIVE ESTRUTURA DE FIXAÇÃO. AF_05/2017_P</v>
          </cell>
          <cell r="C5720" t="str">
            <v>M2</v>
          </cell>
          <cell r="D5720">
            <v>59.02</v>
          </cell>
        </row>
        <row r="5721">
          <cell r="A5721">
            <v>96120</v>
          </cell>
          <cell r="B5721" t="str">
            <v>ACABAMENTOS PARA FORRO (MOLDURA DE GESSO). AF_05/2017</v>
          </cell>
          <cell r="C5721" t="str">
            <v>M</v>
          </cell>
          <cell r="D5721">
            <v>2.63</v>
          </cell>
        </row>
        <row r="5722">
          <cell r="A5722">
            <v>96123</v>
          </cell>
          <cell r="B5722" t="str">
            <v>ACABAMENTOS PARA FORRO (MOLDURA EM DRYWALL, COM LARGURA DE 15 CM). AF_05/2017_P</v>
          </cell>
          <cell r="C5722" t="str">
            <v>M</v>
          </cell>
          <cell r="D5722">
            <v>24.42</v>
          </cell>
        </row>
        <row r="5723">
          <cell r="A5723">
            <v>99054</v>
          </cell>
          <cell r="B5723" t="str">
            <v>ACABAMENTOS PARA FORRO (SANCA DE GESSO MONTADA NA OBRA). AF_05/2017_P</v>
          </cell>
          <cell r="C5723" t="str">
            <v>M2</v>
          </cell>
          <cell r="D5723">
            <v>46.56</v>
          </cell>
        </row>
        <row r="5724">
          <cell r="A5724">
            <v>72200</v>
          </cell>
          <cell r="B5724" t="str">
            <v>REVESTIMENTO EM LAMINADO MELAMINICO TEXTURIZADO, ESPESSURA 0,8 MM, FIXADO COM COLA</v>
          </cell>
          <cell r="C5724" t="str">
            <v>M2</v>
          </cell>
          <cell r="D5724">
            <v>94.04</v>
          </cell>
        </row>
        <row r="5725">
          <cell r="A5725" t="str">
            <v>73807/1</v>
          </cell>
          <cell r="B5725" t="str">
            <v>CORRIMAO EM MARMORITE, LARGURA 15CM</v>
          </cell>
          <cell r="C5725" t="str">
            <v>M</v>
          </cell>
          <cell r="D5725">
            <v>94.07</v>
          </cell>
        </row>
        <row r="5726">
          <cell r="A5726">
            <v>72201</v>
          </cell>
          <cell r="B5726" t="str">
            <v>RECOLOCACO DE FORROS EM REGUA DE PVC E PERFIS, CONSIDERANDO REAPROVEITAMENTO DO MATERIAL</v>
          </cell>
          <cell r="C5726" t="str">
            <v>M2</v>
          </cell>
          <cell r="D5726">
            <v>11.32</v>
          </cell>
        </row>
        <row r="5727">
          <cell r="A5727">
            <v>96111</v>
          </cell>
          <cell r="B5727" t="str">
            <v>FORRO EM RÉGUAS DE PVC, FRISADO, PARA AMBIENTES RESIDENCIAIS, INCLUSIVE ESTRUTURA DE FIXAÇÃO. AF_05/2017_P</v>
          </cell>
          <cell r="C5727" t="str">
            <v>M2</v>
          </cell>
          <cell r="D5727">
            <v>37.29</v>
          </cell>
        </row>
        <row r="5728">
          <cell r="A5728">
            <v>96116</v>
          </cell>
          <cell r="B5728" t="str">
            <v>FORRO EM RÉGUAS DE PVC, FRISADO, PARA AMBIENTES COMERCIAIS, INCLUSIVE ESTRUTURA DE FIXAÇÃO. AF_05/2017_P</v>
          </cell>
          <cell r="C5728" t="str">
            <v>M2</v>
          </cell>
          <cell r="D5728">
            <v>41.43</v>
          </cell>
        </row>
        <row r="5729">
          <cell r="A5729">
            <v>96121</v>
          </cell>
          <cell r="B5729" t="str">
            <v>ACABAMENTOS PARA FORRO (RODA-FORRO EM PERFIL METÁLICO E PLÁSTICO). AF_05/2017</v>
          </cell>
          <cell r="C5729" t="str">
            <v>M</v>
          </cell>
          <cell r="D5729">
            <v>7.6</v>
          </cell>
        </row>
        <row r="5730">
          <cell r="A5730">
            <v>96485</v>
          </cell>
          <cell r="B5730" t="str">
            <v>FORRO EM RÉGUAS DE PVC, LISO, PARA AMBIENTES RESIDENCIAIS, INCLUSIVE ESTRUTURA DE FIXAÇÃO. AF_05/2017_P</v>
          </cell>
          <cell r="C5730" t="str">
            <v>M2</v>
          </cell>
          <cell r="D5730">
            <v>42.78</v>
          </cell>
        </row>
        <row r="5731">
          <cell r="A5731">
            <v>96486</v>
          </cell>
          <cell r="B5731" t="str">
            <v>FORRO DE PVC, LISO, PARA AMBIENTES COMERCIAIS, INCLUSIVE ESTRUTURA DE FIXAÇÃO. AF_05/2017_P</v>
          </cell>
          <cell r="C5731" t="str">
            <v>M2</v>
          </cell>
          <cell r="D5731">
            <v>47.26</v>
          </cell>
        </row>
        <row r="5732">
          <cell r="A5732">
            <v>72198</v>
          </cell>
          <cell r="B5732" t="str">
            <v>ISOLAMENTO TERMICO COM ARGAMASSA TRACO 1:3 (CIMENTO E AREIA GROSSA NAO PENEIRADA), COM ADICAO DE PEROLAS DE ISOPOR, ESPESSURA 6CM, PREPARO MANUAL DA ARGAMASSA</v>
          </cell>
          <cell r="C5732" t="str">
            <v>M2</v>
          </cell>
          <cell r="D5732">
            <v>110.66</v>
          </cell>
        </row>
        <row r="5733">
          <cell r="A5733" t="str">
            <v>73833/1</v>
          </cell>
          <cell r="B5733" t="str">
            <v>ISOLAMENTO TERMICO COM MANTA DE LA DE VIDRO, ESPESSURA 2,5CM</v>
          </cell>
          <cell r="C5733" t="str">
            <v>M2</v>
          </cell>
          <cell r="D5733">
            <v>65.260000000000005</v>
          </cell>
        </row>
        <row r="5734">
          <cell r="A5734">
            <v>83730</v>
          </cell>
          <cell r="B5734" t="str">
            <v>REPARO ESTRUTURAL DE ESTRUTURAS DE CONCRETO COM ARGAMASSA POLIMERICA DE ALTO DESEMPENHO, E=2 CM</v>
          </cell>
          <cell r="C5734" t="str">
            <v>M2</v>
          </cell>
          <cell r="D5734">
            <v>182.1</v>
          </cell>
        </row>
        <row r="5735">
          <cell r="A5735">
            <v>83736</v>
          </cell>
          <cell r="B5735" t="str">
            <v>REPARO/COLAGEM DE ESTRUTURAS DE CONCRETO COM ADESIVO ESTRUTURAL A BASE DE EPOXI, E=2 MM</v>
          </cell>
          <cell r="C5735" t="str">
            <v>M2</v>
          </cell>
          <cell r="D5735">
            <v>169.7</v>
          </cell>
        </row>
        <row r="5736">
          <cell r="A5736">
            <v>91514</v>
          </cell>
          <cell r="B5736" t="str">
            <v>ESTUCAMENTO DE PANOS DE FACHADA SEM VÃOS DO SISTEMA DE PAREDES DE CONCRETO EM EDIFICAÇÕES DE MÚLTIPLOS PAVIMENTOS. AF_06/2015</v>
          </cell>
          <cell r="C5736" t="str">
            <v>M2</v>
          </cell>
          <cell r="D5736">
            <v>5.32</v>
          </cell>
        </row>
        <row r="5737">
          <cell r="A5737">
            <v>91515</v>
          </cell>
          <cell r="B5737" t="str">
            <v>ESTUCAMENTO DE PANOS DE FACHADA COM VÃOS DO SISTEMA DE PAREDES DE CONCRETO EM EDIFICAÇÕES DE MÚLTIPLOS PAVIMENTOS. AF_06/2015</v>
          </cell>
          <cell r="C5737" t="str">
            <v>M2</v>
          </cell>
          <cell r="D5737">
            <v>7.04</v>
          </cell>
        </row>
        <row r="5738">
          <cell r="A5738">
            <v>91516</v>
          </cell>
          <cell r="B5738" t="str">
            <v>ESTUCAMENTO DE SUPERFÍCIE EXTERNA DA SACADA DO SISTEMA DE PAREDES DE CONCRETO EM EDIFICAÇÕES DE MÚLTIPLOS PAVIMENTOS. AF_06/2015</v>
          </cell>
          <cell r="C5738" t="str">
            <v>M2</v>
          </cell>
          <cell r="D5738">
            <v>10.28</v>
          </cell>
        </row>
        <row r="5739">
          <cell r="A5739">
            <v>91517</v>
          </cell>
          <cell r="B5739" t="str">
            <v>ESTUCAMENTO DE PANOS DE FACHADA SEM VÃOS DO SISTEMA DE PAREDES DE CONCRETO EM EDIFICAÇÕES DE PAVIMENTO ÚNICO. AF_06/2015</v>
          </cell>
          <cell r="C5739" t="str">
            <v>M2</v>
          </cell>
          <cell r="D5739">
            <v>11.45</v>
          </cell>
        </row>
        <row r="5740">
          <cell r="A5740">
            <v>91519</v>
          </cell>
          <cell r="B5740" t="str">
            <v>ESTUCAMENTO DE PANOS DE FACHADA COM VÃOS DO SISTEMA DE PAREDES DE CONCRETO EM EDIFICAÇÕES DE PAVIMENTO ÚNICO. AF_06/2015</v>
          </cell>
          <cell r="C5740" t="str">
            <v>M2</v>
          </cell>
          <cell r="D5740">
            <v>13.15</v>
          </cell>
        </row>
        <row r="5741">
          <cell r="A5741">
            <v>91520</v>
          </cell>
          <cell r="B5741" t="str">
            <v>ESTUCAMENTO DE DENSIDADE BAIXA NAS FACES INTERNAS DE PAREDES DO SISTEMA DE PAREDES DE CONCRETO. AF_06/2015</v>
          </cell>
          <cell r="C5741" t="str">
            <v>M2</v>
          </cell>
          <cell r="D5741">
            <v>1.92</v>
          </cell>
        </row>
        <row r="5742">
          <cell r="A5742">
            <v>91522</v>
          </cell>
          <cell r="B5742" t="str">
            <v>ESTUCAMENTO, PARA QUALQUER REVESTIMENTO, EM TETO DO SISTEMA DE PAREDES DE CONCRETO. AF_06/2015</v>
          </cell>
          <cell r="C5742" t="str">
            <v>M2</v>
          </cell>
          <cell r="D5742">
            <v>2.3199999999999998</v>
          </cell>
        </row>
        <row r="5743">
          <cell r="A5743">
            <v>91525</v>
          </cell>
          <cell r="B5743" t="str">
            <v>ESTUCAMENTO DE DENSIDADE ALTA, NAS FACES INTERNAS DE PAREDES DO SISTEMA DE PAREDES DE CONCRETO. AF_06/2015</v>
          </cell>
          <cell r="C5743" t="str">
            <v>M2</v>
          </cell>
          <cell r="D5743">
            <v>4.28</v>
          </cell>
        </row>
        <row r="5744">
          <cell r="A5744">
            <v>87280</v>
          </cell>
          <cell r="B5744" t="str">
            <v>ARGAMASSA TRAÇO 1:7 (EM VOLUME DE CIMENTO E AREIA MÉDIA ÚMIDA) COM ADIÇÃO DE PLASTIFICANTE PARA EMBOÇO/MASSA ÚNICA/ASSENTAMENTO DE ALVENARIA DE VEDAÇÃO, PREPARO MECÂNICO COM BETONEIRA 400 L. AF_08/2019</v>
          </cell>
          <cell r="C5744" t="str">
            <v>M3</v>
          </cell>
          <cell r="D5744">
            <v>274.7</v>
          </cell>
        </row>
        <row r="5745">
          <cell r="A5745">
            <v>87281</v>
          </cell>
          <cell r="B5745" t="str">
            <v>ARGAMASSA TRAÇO 1:7 (EM VOLUME DE CIMENTO E AREIA MÉDIA ÚMIDA) COM ADIÇÃO DE PLASTIFICANTE PARA EMBOÇO/MASSA ÚNICA/ASSENTAMENTO DE ALVENARIA DE VEDAÇÃO, PREPARO MECÂNICO COM BETONEIRA 600 L. AF_08/2019</v>
          </cell>
          <cell r="C5745" t="str">
            <v>M3</v>
          </cell>
          <cell r="D5745">
            <v>271.93</v>
          </cell>
        </row>
        <row r="5746">
          <cell r="A5746">
            <v>87283</v>
          </cell>
          <cell r="B5746" t="str">
            <v>ARGAMASSA TRAÇO 1:6 (EM VOLUME DE CIMENTO E AREIA MÉDIA ÚMIDA) COM ADIÇÃO DE PLASTIFICANTE PARA EMBOÇO/MASSA ÚNICA/ASSENTAMENTO DE ALVENARIA DE VEDAÇÃO, PREPARO MECÂNICO COM BETONEIRA 400 L. AF_08/2019</v>
          </cell>
          <cell r="C5746" t="str">
            <v>M3</v>
          </cell>
          <cell r="D5746">
            <v>284.85000000000002</v>
          </cell>
        </row>
        <row r="5747">
          <cell r="A5747">
            <v>87284</v>
          </cell>
          <cell r="B5747" t="str">
            <v>ARGAMASSA TRAÇO 1:6 (EM VOLUME DE CIMENTO E AREIA MÉDIA ÚMIDA) COM ADIÇÃO DE PLASTIFICANTE PARA EMBOÇO/MASSA ÚNICA/ASSENTAMENTO DE ALVENARIA DE VEDAÇÃO, PREPARO MECÂNICO COM BETONEIRA 600 L. AF_08/2019</v>
          </cell>
          <cell r="C5747" t="str">
            <v>M3</v>
          </cell>
          <cell r="D5747">
            <v>281.10000000000002</v>
          </cell>
        </row>
        <row r="5748">
          <cell r="A5748">
            <v>87286</v>
          </cell>
          <cell r="B5748" t="str">
            <v>ARGAMASSA TRAÇO 1:1:6 (EM VOLUME DE CIMENTO, CAL E AREIA MÉDIA ÚMIDA) PARA EMBOÇO/MASSA ÚNICA/ASSENTAMENTO DE ALVENARIA DE VEDAÇÃO, PREPARO MECÂNICO COM BETONEIRA 400 L. AF_08/2019</v>
          </cell>
          <cell r="C5748" t="str">
            <v>M3</v>
          </cell>
          <cell r="D5748">
            <v>339.31</v>
          </cell>
        </row>
        <row r="5749">
          <cell r="A5749">
            <v>87287</v>
          </cell>
          <cell r="B5749" t="str">
            <v>ARGAMASSA TRAÇO 1:1:6 (EM VOLUME DE CIMENTO, CAL E AREIA MÉDIA ÚMIDA) PARA EMBOÇO/MASSA ÚNICA/ASSENTAMENTO DE ALVENARIA DE VEDAÇÃO, PREPARO MECÂNICO COM BETONEIRA 600 L. AF_08/2019</v>
          </cell>
          <cell r="C5749" t="str">
            <v>M3</v>
          </cell>
          <cell r="D5749">
            <v>328.41</v>
          </cell>
        </row>
        <row r="5750">
          <cell r="A5750">
            <v>87289</v>
          </cell>
          <cell r="B5750" t="str">
            <v>ARGAMASSA TRAÇO 1:1,5:7,5 (EM VOLUME DE CIMENTO, CAL E AREIA MÉDIA ÚMIDA) PARA EMBOÇO/MASSA ÚNICA/ASSENTAMENTO DE ALVENARIA DE VEDAÇÃO, PREPARO MECÂNICO COM BETONEIRA 400 L. AF_08/2019</v>
          </cell>
          <cell r="C5750" t="str">
            <v>M3</v>
          </cell>
          <cell r="D5750">
            <v>324.37</v>
          </cell>
        </row>
        <row r="5751">
          <cell r="A5751">
            <v>87290</v>
          </cell>
          <cell r="B5751" t="str">
            <v>ARGAMASSA TRAÇO 1:1,5:7,5 (EM VOLUME DE CIMENTO, CAL E AREIA MÉDIA ÚMIDA) PARA EMBOÇO/MASSA ÚNICA/ASSENTAMENTO DE ALVENARIA DE VEDAÇÃO, PREPARO MECÂNICO COM BETONEIRA 600 L. AF_08/2019</v>
          </cell>
          <cell r="C5751" t="str">
            <v>M3</v>
          </cell>
          <cell r="D5751">
            <v>319.51</v>
          </cell>
        </row>
        <row r="5752">
          <cell r="A5752">
            <v>87292</v>
          </cell>
          <cell r="B5752" t="str">
            <v>ARGAMASSA TRAÇO 1:2:8 (EM VOLUME DE CIMENTO, CAL E AREIA MÉDIA ÚMIDA) PARA EMBOÇO/MASSA ÚNICA/ASSENTAMENTO DE ALVENARIA DE VEDAÇÃO, PREPARO MECÂNICO COM BETONEIRA 400 L. AF_08/2019</v>
          </cell>
          <cell r="C5752" t="str">
            <v>M3</v>
          </cell>
          <cell r="D5752">
            <v>328.67</v>
          </cell>
        </row>
        <row r="5753">
          <cell r="A5753">
            <v>87294</v>
          </cell>
          <cell r="B5753" t="str">
            <v>ARGAMASSA TRAÇO 1:2:9 (EM VOLUME DE CIMENTO, CAL E AREIA MÉDIA ÚMIDA) PARA EMBOÇO/MASSA ÚNICA/ASSENTAMENTO DE ALVENARIA DE VEDAÇÃO, PREPARO MECÂNICO COM BETONEIRA 600 L. AF_08/2019</v>
          </cell>
          <cell r="C5753" t="str">
            <v>M3</v>
          </cell>
          <cell r="D5753">
            <v>316.22000000000003</v>
          </cell>
        </row>
        <row r="5754">
          <cell r="A5754">
            <v>87295</v>
          </cell>
          <cell r="B5754" t="str">
            <v>ARGAMASSA TRAÇO 1:3:12 (EM VOLUME DE CIMENTO, CAL E AREIA MÉDIA ÚMIDA) PARA EMBOÇO/MASSA ÚNICA/ASSENTAMENTO DE ALVENARIA DE VEDAÇÃO, PREPARO MECÂNICO COM BETONEIRA 400 L. AF_08/2019</v>
          </cell>
          <cell r="C5754" t="str">
            <v>M3</v>
          </cell>
          <cell r="D5754">
            <v>321.12</v>
          </cell>
        </row>
        <row r="5755">
          <cell r="A5755">
            <v>87296</v>
          </cell>
          <cell r="B5755" t="str">
            <v>ARGAMASSA TRAÇO 1:3:12 (EM VOLUME DE CIMENTO, CAL E AREIA MÉDIA ÚMIDA) PARA EMBOÇO/MASSA ÚNICA/ASSENTAMENTO DE ALVENARIA DE VEDAÇÃO, PREPARO MECÂNICO COM BETONEIRA 600 L. AF_08/2019</v>
          </cell>
          <cell r="C5755" t="str">
            <v>M3</v>
          </cell>
          <cell r="D5755">
            <v>303.64</v>
          </cell>
        </row>
        <row r="5756">
          <cell r="A5756">
            <v>87298</v>
          </cell>
          <cell r="B5756" t="str">
            <v>ARGAMASSA TRAÇO 1:3 (EM VOLUME DE CIMENTO E AREIA MÉDIA ÚMIDA) PARA CONTRAPISO, PREPARO MECÂNICO COM BETONEIRA 400 L. AF_08/2019</v>
          </cell>
          <cell r="C5756" t="str">
            <v>M3</v>
          </cell>
          <cell r="D5756">
            <v>414.23</v>
          </cell>
        </row>
        <row r="5757">
          <cell r="A5757">
            <v>87299</v>
          </cell>
          <cell r="B5757" t="str">
            <v>ARGAMASSA TRAÇO 1:3 (EM VOLUME DE CIMENTO E AREIA MÉDIA ÚMIDA) PARA CONTRAPISO, PREPARO MECÂNICO COM BETONEIRA 600 L. AF_08/2019</v>
          </cell>
          <cell r="C5757" t="str">
            <v>M3</v>
          </cell>
          <cell r="D5757">
            <v>273.12</v>
          </cell>
        </row>
        <row r="5758">
          <cell r="A5758">
            <v>87301</v>
          </cell>
          <cell r="B5758" t="str">
            <v>ARGAMASSA TRAÇO 1:4 (EM VOLUME DE CIMENTO E AREIA MÉDIA ÚMIDA) PARA CONTRAPISO, PREPARO MECÂNICO COM BETONEIRA 400 L. AF_08/2019</v>
          </cell>
          <cell r="C5758" t="str">
            <v>M3</v>
          </cell>
          <cell r="D5758">
            <v>372.79</v>
          </cell>
        </row>
        <row r="5759">
          <cell r="A5759">
            <v>87302</v>
          </cell>
          <cell r="B5759" t="str">
            <v>ARGAMASSA TRAÇO 1:4 (EM VOLUME DE CIMENTO E AREIA MÉDIA ÚMIDA) PARA CONTRAPISO, PREPARO MECÂNICO COM BETONEIRA 600 L. AF_08/2019</v>
          </cell>
          <cell r="C5759" t="str">
            <v>M3</v>
          </cell>
          <cell r="D5759">
            <v>368.02</v>
          </cell>
        </row>
        <row r="5760">
          <cell r="A5760">
            <v>87304</v>
          </cell>
          <cell r="B5760" t="str">
            <v>ARGAMASSA TRAÇO 1:5 (EM VOLUME DE CIMENTO E AREIA MÉDIA ÚMIDA) PARA CONTRAPISO, PREPARO MECÂNICO COM BETONEIRA 400 L. AF_08/2019</v>
          </cell>
          <cell r="C5760" t="str">
            <v>M3</v>
          </cell>
          <cell r="D5760">
            <v>336.13</v>
          </cell>
        </row>
        <row r="5761">
          <cell r="A5761">
            <v>87305</v>
          </cell>
          <cell r="B5761" t="str">
            <v>ARGAMASSA TRAÇO 1:5 (EM VOLUME DE CIMENTO E AREIA MÉDIA ÚMIDA) PARA CONTRAPISO, PREPARO MECÂNICO COM BETONEIRA 600 L. AF_08/2019</v>
          </cell>
          <cell r="C5761" t="str">
            <v>M3</v>
          </cell>
          <cell r="D5761">
            <v>339.35</v>
          </cell>
        </row>
        <row r="5762">
          <cell r="A5762">
            <v>87307</v>
          </cell>
          <cell r="B5762" t="str">
            <v>ARGAMASSA TRAÇO 1:6 (EM VOLUME DE CIMENTO E AREIA MÉDIA ÚMIDA) PARA CONTRAPISO, PREPARO MECÂNICO COM BETONEIRA 400 L. AF_08/2019</v>
          </cell>
          <cell r="C5762" t="str">
            <v>M3</v>
          </cell>
          <cell r="D5762">
            <v>320.24</v>
          </cell>
        </row>
        <row r="5763">
          <cell r="A5763">
            <v>87308</v>
          </cell>
          <cell r="B5763" t="str">
            <v>ARGAMASSA TRAÇO 1:6 (EM VOLUME DE CIMENTO E AREIA MÉDIA ÚMIDA) PARA CONTRAPISO, PREPARO MECÂNICO COM BETONEIRA 600 L. AF_08/2019</v>
          </cell>
          <cell r="C5763" t="str">
            <v>M3</v>
          </cell>
          <cell r="D5763">
            <v>315.29000000000002</v>
          </cell>
        </row>
        <row r="5764">
          <cell r="A5764">
            <v>87310</v>
          </cell>
          <cell r="B5764" t="str">
            <v>ARGAMASSA TRAÇO 1:5 (EM VOLUME DE CIMENTO E AREIA GROSSA ÚMIDA) PARA CHAPISCO CONVENCIONAL, PREPARO MECÂNICO COM BETONEIRA 400 L. AF_08/2019</v>
          </cell>
          <cell r="C5764" t="str">
            <v>M3</v>
          </cell>
          <cell r="D5764">
            <v>261.48</v>
          </cell>
        </row>
        <row r="5765">
          <cell r="A5765">
            <v>87311</v>
          </cell>
          <cell r="B5765" t="str">
            <v>ARGAMASSA TRAÇO 1:5 (EM VOLUME DE CIMENTO E AREIA GROSSA ÚMIDA) PARA CHAPISCO CONVENCIONAL, PREPARO MECÂNICO COM BETONEIRA 600 L. AF_08/2019</v>
          </cell>
          <cell r="C5765" t="str">
            <v>M3</v>
          </cell>
          <cell r="D5765">
            <v>256.2</v>
          </cell>
        </row>
        <row r="5766">
          <cell r="A5766">
            <v>87313</v>
          </cell>
          <cell r="B5766" t="str">
            <v>ARGAMASSA TRAÇO 1:3 (EM VOLUME DE CIMENTO E AREIA GROSSA ÚMIDA) PARA CHAPISCO CONVENCIONAL, PREPARO MECÂNICO COM BETONEIRA 400 L. AF_08/2019</v>
          </cell>
          <cell r="C5766" t="str">
            <v>M3</v>
          </cell>
          <cell r="D5766">
            <v>319.48</v>
          </cell>
        </row>
        <row r="5767">
          <cell r="A5767">
            <v>87314</v>
          </cell>
          <cell r="B5767" t="str">
            <v>ARGAMASSA TRAÇO 1:3 (EM VOLUME DE CIMENTO E AREIA GROSSA ÚMIDA) PARA CHAPISCO CONVENCIONAL, PREPARO MECÂNICO COM BETONEIRA 600 L. AF_08/2019</v>
          </cell>
          <cell r="C5767" t="str">
            <v>M3</v>
          </cell>
          <cell r="D5767">
            <v>315.33999999999997</v>
          </cell>
        </row>
        <row r="5768">
          <cell r="A5768">
            <v>87316</v>
          </cell>
          <cell r="B5768" t="str">
            <v>ARGAMASSA TRAÇO 1:4 (EM VOLUME DE CIMENTO E AREIA GROSSA ÚMIDA) PARA CHAPISCO CONVENCIONAL, PREPARO MECÂNICO COM BETONEIRA 400 L. AF_08/2019</v>
          </cell>
          <cell r="C5768" t="str">
            <v>M3</v>
          </cell>
          <cell r="D5768">
            <v>289.27</v>
          </cell>
        </row>
        <row r="5769">
          <cell r="A5769">
            <v>87317</v>
          </cell>
          <cell r="B5769" t="str">
            <v>ARGAMASSA TRAÇO 1:4 (EM VOLUME DE CIMENTO E AREIA GROSSA ÚMIDA) PARA CHAPISCO CONVENCIONAL, PREPARO MECÂNICO COM BETONEIRA 600 L. AF_08/2019</v>
          </cell>
          <cell r="C5769" t="str">
            <v>M3</v>
          </cell>
          <cell r="D5769">
            <v>280.45999999999998</v>
          </cell>
        </row>
        <row r="5770">
          <cell r="A5770">
            <v>87319</v>
          </cell>
          <cell r="B5770" t="str">
            <v>ARGAMASSA TRAÇO 1:5 (EM VOLUME DE CIMENTO E AREIA GROSSA ÚMIDA) COM ADIÇÃO DE EMULSÃO POLIMÉRICA PARA CHAPISCO ROLADO, PREPARO MECÂNICO COM BETONEIRA 400 L. AF_08/2019</v>
          </cell>
          <cell r="C5770" t="str">
            <v>M3</v>
          </cell>
          <cell r="D5770">
            <v>1885.46</v>
          </cell>
        </row>
        <row r="5771">
          <cell r="A5771">
            <v>87320</v>
          </cell>
          <cell r="B5771" t="str">
            <v>ARGAMASSA TRAÇO 1:5 (EM VOLUME DE CIMENTO E AREIA GROSSA ÚMIDA) COM ADIÇÃO DE EMULSÃO POLIMÉRICA PARA CHAPISCO ROLADO, PREPARO MECÂNICO COM BETONEIRA 600 L. AF_08/2019</v>
          </cell>
          <cell r="C5771" t="str">
            <v>M3</v>
          </cell>
          <cell r="D5771">
            <v>1888.6</v>
          </cell>
        </row>
        <row r="5772">
          <cell r="A5772">
            <v>87322</v>
          </cell>
          <cell r="B5772" t="str">
            <v>ARGAMASSA TRAÇO 1:3 (EM VOLUME DE CIMENTO E AREIA GROSSA ÚMIDA) COM ADIÇÃO DE EMULSÃO POLIMÉRICA PARA CHAPISCO ROLADO, PREPARO MECÂNICO COM BETONEIRA 400 L. AF_08/2019</v>
          </cell>
          <cell r="C5772" t="str">
            <v>M3</v>
          </cell>
          <cell r="D5772">
            <v>1951.28</v>
          </cell>
        </row>
        <row r="5773">
          <cell r="A5773">
            <v>87323</v>
          </cell>
          <cell r="B5773" t="str">
            <v>ARGAMASSA TRAÇO 1:3 (EM VOLUME DE CIMENTO E AREIA GROSSA ÚMIDA) COM ADIÇÃO DE EMULSÃO POLIMÉRICA PARA CHAPISCO ROLADO, PREPARO MECÂNICO COM BETONEIRA 600 L. AF_08/2019</v>
          </cell>
          <cell r="C5773" t="str">
            <v>M3</v>
          </cell>
          <cell r="D5773">
            <v>1949.76</v>
          </cell>
        </row>
        <row r="5774">
          <cell r="A5774">
            <v>87325</v>
          </cell>
          <cell r="B5774" t="str">
            <v>ARGAMASSA TRAÇO 1:4 (EM VOLUME DE CIMENTO E AREIA GROSSA ÚMIDA) COM ADIÇÃO DE EMULSÃO POLIMÉRICA PARA CHAPISCO ROLADO, PREPARO MECÂNICO COM BETONEIRA 400 L. AF_08/2019</v>
          </cell>
          <cell r="C5774" t="str">
            <v>M3</v>
          </cell>
          <cell r="D5774">
            <v>1904.11</v>
          </cell>
        </row>
        <row r="5775">
          <cell r="A5775">
            <v>87326</v>
          </cell>
          <cell r="B5775" t="str">
            <v>ARGAMASSA TRAÇO 1:4 (EM VOLUME DE CIMENTO E AREIA GROSSA ÚMIDA) COM ADIÇÃO DE EMULSÃO POLIMÉRICA PARA CHAPISCO ROLADO, PREPARO MECÂNICO COM BETONEIRA 600 L. AF_08/2019</v>
          </cell>
          <cell r="C5775" t="str">
            <v>M3</v>
          </cell>
          <cell r="D5775">
            <v>1906.7</v>
          </cell>
        </row>
        <row r="5776">
          <cell r="A5776">
            <v>87327</v>
          </cell>
          <cell r="B5776" t="str">
            <v>ARGAMASSA TRAÇO 1:7 (EM VOLUME DE CIMENTO E AREIA MÉDIA ÚMIDA) COM ADIÇÃO DE PLASTIFICANTE PARA EMBOÇO/MASSA ÚNICA/ASSENTAMENTO DE ALVENARIA DE VEDAÇÃO, PREPARO MECÂNICO COM MISTURADOR DE EIXO HORIZONTAL DE 300 KG. AF_08/2019</v>
          </cell>
          <cell r="C5776" t="str">
            <v>M3</v>
          </cell>
          <cell r="D5776">
            <v>290.85000000000002</v>
          </cell>
        </row>
        <row r="5777">
          <cell r="A5777">
            <v>87328</v>
          </cell>
          <cell r="B5777" t="str">
            <v>ARGAMASSA TRAÇO 1:7 (EM VOLUME DE CIMENTO E AREIA MÉDIA ÚMIDA) COM ADIÇÃO DE PLASTIFICANTE PARA EMBOÇO/MASSA ÚNICA/ASSENTAMENTO DE ALVENARIA DE VEDAÇÃO, PREPARO MECÂNICO COM MISTURADOR DE EIXO HORIZONTAL DE 600 KG. AF_08/2019</v>
          </cell>
          <cell r="C5777" t="str">
            <v>M3</v>
          </cell>
          <cell r="D5777">
            <v>252.49</v>
          </cell>
        </row>
        <row r="5778">
          <cell r="A5778">
            <v>87329</v>
          </cell>
          <cell r="B5778" t="str">
            <v>ARGAMASSA TRAÇO 1:6 (EM VOLUME DE CIMENTO E AREIA MÉDIA ÚMIDA) COM ADIÇÃO DE PLASTIFICANTE PARA EMBOÇO/MASSA ÚNICA/ASSENTAMENTO DE ALVENARIA DE VEDAÇÃO, PREPARO MECÂNICO COM MISTURADOR DE EIXO HORIZONTAL DE 300 KG. AF_08/2019</v>
          </cell>
          <cell r="C5778" t="str">
            <v>M3</v>
          </cell>
          <cell r="D5778">
            <v>313.18</v>
          </cell>
        </row>
        <row r="5779">
          <cell r="A5779">
            <v>87330</v>
          </cell>
          <cell r="B5779" t="str">
            <v>ARGAMASSA TRAÇO 1:6 (EM VOLUME DE CIMENTO E AREIA MÉDIA ÚMIDA) COM ADIÇÃO DE PLASTIFICANTE PARA EMBOÇO/MASSA ÚNICA/ASSENTAMENTO DE ALVENARIA DE VEDAÇÃO, PREPARO MECÂNICO COM MISTURADOR DE EIXO HORIZONTAL DE 600 KG. AF_08/2019</v>
          </cell>
          <cell r="C5779" t="str">
            <v>M3</v>
          </cell>
          <cell r="D5779">
            <v>269.57</v>
          </cell>
        </row>
        <row r="5780">
          <cell r="A5780">
            <v>87331</v>
          </cell>
          <cell r="B5780" t="str">
            <v>ARGAMASSA TRAÇO 1:1:6 (EM VOLUME DE CIMENTO, CAL E AREIA MÉDIA ÚMIDA) PARA EMBOÇO/MASSA ÚNICA/ASSENTAMENTO DE ALVENARIA DE VEDAÇÃO, PREPARO MECÂNICO COM MISTURADOR DE EIXO HORIZONTAL DE 300 KG. AF_08/2019</v>
          </cell>
          <cell r="C5780" t="str">
            <v>M3</v>
          </cell>
          <cell r="D5780">
            <v>355.2</v>
          </cell>
        </row>
        <row r="5781">
          <cell r="A5781">
            <v>87332</v>
          </cell>
          <cell r="B5781" t="str">
            <v>ARGAMASSA TRAÇO 1:1:6 (EM VOLUME DE CIMENTO, CAL E AREIA MÉDIA ÚMIDA) PARA EMBOÇO/MASSA ÚNICA/ASSENTAMENTO DE ALVENARIA DE VEDAÇÃO, PREPARO MECÂNICO COM MISTURADOR DE EIXO HORIZONTAL DE 600 KG. AF_08/2019</v>
          </cell>
          <cell r="C5781" t="str">
            <v>M3</v>
          </cell>
          <cell r="D5781">
            <v>315.11</v>
          </cell>
        </row>
        <row r="5782">
          <cell r="A5782">
            <v>87333</v>
          </cell>
          <cell r="B5782" t="str">
            <v>ARGAMASSA TRAÇO 1:1,5:7,5 (EM VOLUME DE CIMENTO, CAL E AREIA MÉDIA ÚMIDA) PARA EMBOÇO/MASSA ÚNICA/ASSENTAMENTO DE ALVENARIA DE VEDAÇÃO, PREPARO MECÂNICO COM MISTURADOR DE EIXO HORIZONTAL DE 300 KG. AF_08/2019</v>
          </cell>
          <cell r="C5782" t="str">
            <v>M3</v>
          </cell>
          <cell r="D5782">
            <v>328.97</v>
          </cell>
        </row>
        <row r="5783">
          <cell r="A5783">
            <v>87334</v>
          </cell>
          <cell r="B5783" t="str">
            <v>ARGAMASSA TRAÇO 1:1,5:7,5 (EM VOLUME DE CIMENTO, CAL E AREIA MÉDIA ÚMIDA) PARA EMBOÇO/MASSA ÚNICA/ASSENTAMENTO DE ALVENARIA DE VEDAÇÃO, PREPARO MECÂNICO COM MISTURADOR DE EIXO HORIZONTAL DE 600 KG. AF_08/2019</v>
          </cell>
          <cell r="C5783" t="str">
            <v>M3</v>
          </cell>
          <cell r="D5783">
            <v>305.05</v>
          </cell>
        </row>
        <row r="5784">
          <cell r="A5784">
            <v>87335</v>
          </cell>
          <cell r="B5784" t="str">
            <v>ARGAMASSA TRAÇO 1:2:8 (EM VOLUME DE CIMENTO, CAL E AREIA MÉDIA ÚMIDA) PARA EMBOÇO/MASSA ÚNICA/ASSENTAMENTO DE ALVENARIA DE VEDAÇÃO, PREPARO MECÂNICO COM MISTURADOR DE EIXO HORIZONTAL DE 300 KG. AF_08/2019</v>
          </cell>
          <cell r="C5784" t="str">
            <v>M3</v>
          </cell>
          <cell r="D5784">
            <v>323.92</v>
          </cell>
        </row>
        <row r="5785">
          <cell r="A5785">
            <v>87336</v>
          </cell>
          <cell r="B5785" t="str">
            <v>ARGAMASSA TRAÇO 1:2:8 (EM VOLUME DE CIMENTO, CAL E AREIA MÉDIA ÚMIDA) PARA EMBOÇO/MASSA ÚNICA/ASSENTAMENTO DE ALVENARIA DE VEDAÇÃO, PREPARO MECÂNICO COM MISTURADOR DE EIXO HORIZONTAL DE 600 KG. AF_08/2019</v>
          </cell>
          <cell r="C5785" t="str">
            <v>M3</v>
          </cell>
          <cell r="D5785">
            <v>312.44</v>
          </cell>
        </row>
        <row r="5786">
          <cell r="A5786">
            <v>87337</v>
          </cell>
          <cell r="B5786" t="str">
            <v>ARGAMASSA TRAÇO 1:2:9 (EM VOLUME DE CIMENTO, CAL E AREIA MÉDIA ÚMIDA) PARA EMBOÇO/MASSA ÚNICA/ASSENTAMENTO DE ALVENARIA DE VEDAÇÃO, PREPARO MECÂNICO COM MISTURADOR DE EIXO HORIZONTAL DE 300 KG. AF_08/2019</v>
          </cell>
          <cell r="C5786" t="str">
            <v>M3</v>
          </cell>
          <cell r="D5786">
            <v>317.33999999999997</v>
          </cell>
        </row>
        <row r="5787">
          <cell r="A5787">
            <v>87338</v>
          </cell>
          <cell r="B5787" t="str">
            <v>ARGAMASSA TRAÇO 1:3:12 (EM VOLUME DE CIMENTO, CAL E AREIA MÉDIA ÚMIDA) PARA EMBOÇO/MASSA ÚNICA/ASSENTAMENTO DE ALVENARIA DE VEDAÇÃO, PREPARO MECÂNICO COM MISTURADOR DE EIXO HORIZONTAL DE 600 KG. AF_08/2019</v>
          </cell>
          <cell r="C5787" t="str">
            <v>M3</v>
          </cell>
          <cell r="D5787">
            <v>303.66000000000003</v>
          </cell>
        </row>
        <row r="5788">
          <cell r="A5788">
            <v>87339</v>
          </cell>
          <cell r="B5788" t="str">
            <v>ARGAMASSA TRAÇO 1:3 (EM VOLUME DE CIMENTO E AREIA MÉDIA ÚMIDA) PARA CONTRAPISO, PREPARO MECÂNICO COM MISTURADOR DE EIXO HORIZONTAL DE 160 KG. AF_08/2019</v>
          </cell>
          <cell r="C5788" t="str">
            <v>M3</v>
          </cell>
          <cell r="D5788">
            <v>497.03</v>
          </cell>
        </row>
        <row r="5789">
          <cell r="A5789">
            <v>87340</v>
          </cell>
          <cell r="B5789" t="str">
            <v>ARGAMASSA TRAÇO 1:3 (EM VOLUME DE CIMENTO E AREIA MÉDIA ÚMIDA) PARA CONTRAPISO, PREPARO MECÂNICO COM MISTURADOR DE EIXO HORIZONTAL DE 300 KG. AF_08/2019</v>
          </cell>
          <cell r="C5789" t="str">
            <v>M3</v>
          </cell>
          <cell r="D5789">
            <v>414.13</v>
          </cell>
        </row>
        <row r="5790">
          <cell r="A5790">
            <v>87341</v>
          </cell>
          <cell r="B5790" t="str">
            <v>ARGAMASSA TRAÇO 1:3 (EM VOLUME DE CIMENTO E AREIA MÉDIA ÚMIDA) PARA CONTRAPISO, PREPARO MECÂNICO COM MISTURADOR DE EIXO HORIZONTAL DE 600 KG. AF_08/2019</v>
          </cell>
          <cell r="C5790" t="str">
            <v>M3</v>
          </cell>
          <cell r="D5790">
            <v>394.3</v>
          </cell>
        </row>
        <row r="5791">
          <cell r="A5791">
            <v>87342</v>
          </cell>
          <cell r="B5791" t="str">
            <v>ARGAMASSA TRAÇO 1:4 (EM VOLUME DE CIMENTO E AREIA MÉDIA ÚMIDA) PARA CONTRAPISO, PREPARO MECÂNICO COM MISTURADOR DE EIXO HORIZONTAL DE 160 KG. AF_08/2019</v>
          </cell>
          <cell r="C5791" t="str">
            <v>M3</v>
          </cell>
          <cell r="D5791">
            <v>421.52</v>
          </cell>
        </row>
        <row r="5792">
          <cell r="A5792">
            <v>87343</v>
          </cell>
          <cell r="B5792" t="str">
            <v>ARGAMASSA TRAÇO 1:4 (EM VOLUME DE CIMENTO E AREIA MÉDIA ÚMIDA) PARA CONTRAPISO, PREPARO MECÂNICO COM MISTURADOR DE EIXO HORIZONTAL DE 300 KG. AF_08/2019</v>
          </cell>
          <cell r="C5792" t="str">
            <v>M3</v>
          </cell>
          <cell r="D5792">
            <v>374.64</v>
          </cell>
        </row>
        <row r="5793">
          <cell r="A5793">
            <v>87344</v>
          </cell>
          <cell r="B5793" t="str">
            <v>ARGAMASSA TRAÇO 1:4 (EM VOLUME DE CIMENTO E AREIA MÉDIA ÚMIDA) PARA CONTRAPISO, PREPARO MECÂNICO COM MISTURADOR DE EIXO HORIZONTAL DE 600 KG. AF_08/2019</v>
          </cell>
          <cell r="C5793" t="str">
            <v>M3</v>
          </cell>
          <cell r="D5793">
            <v>349.61</v>
          </cell>
        </row>
        <row r="5794">
          <cell r="A5794">
            <v>87345</v>
          </cell>
          <cell r="B5794" t="str">
            <v>ARGAMASSA TRAÇO 1:5 (EM VOLUME DE CIMENTO E AREIA MÉDIA ÚMIDA) PARA CONTRAPISO, PREPARO MECÂNICO COM MISTURADOR DE EIXO HORIZONTAL DE 160 KG. AF_08/2019</v>
          </cell>
          <cell r="C5794" t="str">
            <v>M3</v>
          </cell>
          <cell r="D5794">
            <v>377.26</v>
          </cell>
        </row>
        <row r="5795">
          <cell r="A5795">
            <v>87346</v>
          </cell>
          <cell r="B5795" t="str">
            <v>ARGAMASSA TRAÇO 1:5 (EM VOLUME DE CIMENTO E AREIA MÉDIA ÚMIDA) PARA CONTRAPISO, PREPARO MECÂNICO COM MISTURADOR DE EIXO HORIZONTAL DE 300 KG. AF_08/2019</v>
          </cell>
          <cell r="C5795" t="str">
            <v>M3</v>
          </cell>
          <cell r="D5795">
            <v>338.57</v>
          </cell>
        </row>
        <row r="5796">
          <cell r="A5796">
            <v>87347</v>
          </cell>
          <cell r="B5796" t="str">
            <v>ARGAMASSA TRAÇO 1:5 (EM VOLUME DE CIMENTO E AREIA MÉDIA ÚMIDA) PARA CONTRAPISO, PREPARO MECÂNICO COM MISTURADOR DE EIXO HORIZONTAL DE 600 KG. AF_08/2019</v>
          </cell>
          <cell r="C5796" t="str">
            <v>M3</v>
          </cell>
          <cell r="D5796">
            <v>318.89</v>
          </cell>
        </row>
        <row r="5797">
          <cell r="A5797">
            <v>87348</v>
          </cell>
          <cell r="B5797" t="str">
            <v>ARGAMASSA TRAÇO 1:6 (EM VOLUME DE CIMENTO E AREIA MÉDIA ÚMIDA) PARA CONTRAPISO, PREPARO MECÂNICO COM MISTURADOR DE EIXO HORIZONTAL DE 160 KG. AF_08/2019</v>
          </cell>
          <cell r="C5797" t="str">
            <v>M3</v>
          </cell>
          <cell r="D5797">
            <v>344.19</v>
          </cell>
        </row>
        <row r="5798">
          <cell r="A5798">
            <v>87349</v>
          </cell>
          <cell r="B5798" t="str">
            <v>ARGAMASSA TRAÇO 1:6 (EM VOLUME DE CIMENTO E AREIA MÉDIA ÚMIDA) PARA CONTRAPISO, PREPARO MECÂNICO COM MISTURADOR DE EIXO HORIZONTAL DE 600 KG. AF_08/2019</v>
          </cell>
          <cell r="C5798" t="str">
            <v>M3</v>
          </cell>
          <cell r="D5798">
            <v>294.39999999999998</v>
          </cell>
        </row>
        <row r="5799">
          <cell r="A5799">
            <v>87350</v>
          </cell>
          <cell r="B5799" t="str">
            <v>ARGAMASSA TRAÇO 1:5 (EM VOLUME DE CIMENTO E AREIA GROSSA ÚMIDA) PARA CHAPISCO CONVENCIONAL, PREPARO MECÂNICO COM MISTURADOR DE EIXO HORIZONTAL DE 300 KG. AF_08/2019</v>
          </cell>
          <cell r="C5799" t="str">
            <v>M3</v>
          </cell>
          <cell r="D5799">
            <v>293.14999999999998</v>
          </cell>
        </row>
        <row r="5800">
          <cell r="A5800">
            <v>87351</v>
          </cell>
          <cell r="B5800" t="str">
            <v>ARGAMASSA TRAÇO 1:5 (EM VOLUME DE CIMENTO E AREIA GROSSA ÚMIDA) PARA CHAPISCO CONVENCIONAL, PREPARO MECÂNICO COM MISTURADOR DE EIXO HORIZONTAL DE 600 KG. AF_08/2019</v>
          </cell>
          <cell r="C5800" t="str">
            <v>M3</v>
          </cell>
          <cell r="D5800">
            <v>245.97</v>
          </cell>
        </row>
        <row r="5801">
          <cell r="A5801">
            <v>87352</v>
          </cell>
          <cell r="B5801" t="str">
            <v>ARGAMASSA TRAÇO 1:3 (EM VOLUME DE CIMENTO E AREIA GROSSA ÚMIDA) PARA CHAPISCO CONVENCIONAL, PREPARO MECÂNICO COM MISTURADOR DE EIXO HORIZONTAL DE 160 KG. AF_08/2019</v>
          </cell>
          <cell r="C5801" t="str">
            <v>M3</v>
          </cell>
          <cell r="D5801">
            <v>374.74</v>
          </cell>
        </row>
        <row r="5802">
          <cell r="A5802">
            <v>87353</v>
          </cell>
          <cell r="B5802" t="str">
            <v>ARGAMASSA TRAÇO 1:3 (EM VOLUME DE CIMENTO E AREIA GROSSA ÚMIDA) PARA CHAPISCO CONVENCIONAL, PREPARO MECÂNICO COM MISTURADOR DE EIXO HORIZONTAL DE 300 KG. AF_08/2019</v>
          </cell>
          <cell r="C5802" t="str">
            <v>M3</v>
          </cell>
          <cell r="D5802">
            <v>323.57</v>
          </cell>
        </row>
        <row r="5803">
          <cell r="A5803">
            <v>87354</v>
          </cell>
          <cell r="B5803" t="str">
            <v>ARGAMASSA TRAÇO 1:3 (EM VOLUME DE CIMENTO E AREIA GROSSA ÚMIDA) PARA CHAPISCO CONVENCIONAL, PREPARO MECÂNICO COM MISTURADOR DE EIXO HORIZONTAL DE 600 KG. AF_08/2019</v>
          </cell>
          <cell r="C5803" t="str">
            <v>M3</v>
          </cell>
          <cell r="D5803">
            <v>301.37</v>
          </cell>
        </row>
        <row r="5804">
          <cell r="A5804">
            <v>87355</v>
          </cell>
          <cell r="B5804" t="str">
            <v>ARGAMASSA TRAÇO 1:4 (EM VOLUME DE CIMENTO E AREIA GROSSA ÚMIDA) PARA CHAPISCO CONVENCIONAL, PREPARO MECÂNICO COM MISTURADOR DE EIXO HORIZONTAL DE 160 KG. AF_08/2019</v>
          </cell>
          <cell r="C5804" t="str">
            <v>M3</v>
          </cell>
          <cell r="D5804">
            <v>315.92</v>
          </cell>
        </row>
        <row r="5805">
          <cell r="A5805">
            <v>87356</v>
          </cell>
          <cell r="B5805" t="str">
            <v>ARGAMASSA TRAÇO 1:4 (EM VOLUME DE CIMENTO E AREIA GROSSA ÚMIDA) PARA CHAPISCO CONVENCIONAL, PREPARO MECÂNICO COM MISTURADOR DE EIXO HORIZONTAL DE 300 KG. AF_08/2019</v>
          </cell>
          <cell r="C5805" t="str">
            <v>M3</v>
          </cell>
          <cell r="D5805">
            <v>281.27</v>
          </cell>
        </row>
        <row r="5806">
          <cell r="A5806">
            <v>87357</v>
          </cell>
          <cell r="B5806" t="str">
            <v>ARGAMASSA TRAÇO 1:4 (EM VOLUME DE CIMENTO E AREIA GROSSA ÚMIDA) PARA CHAPISCO CONVENCIONAL, PREPARO MECÂNICO COM MISTURADOR DE EIXO HORIZONTAL DE 600 KG. AF_08/2019</v>
          </cell>
          <cell r="C5806" t="str">
            <v>M3</v>
          </cell>
          <cell r="D5806">
            <v>265.39</v>
          </cell>
        </row>
        <row r="5807">
          <cell r="A5807">
            <v>87358</v>
          </cell>
          <cell r="B5807" t="str">
            <v>ARGAMASSA TRAÇO 1:5 (EM VOLUME DE CIMENTO E AREIA GROSSA ÚMIDA) COM ADIÇÃO DE EMULSÃO POLIMÉRICA PARA CHAPISCO ROLADO, PREPARO MECÂNICO COM MISTURADOR DE EIXO HORIZONTAL DE 300 KG. AF_08/2019</v>
          </cell>
          <cell r="C5807" t="str">
            <v>M3</v>
          </cell>
          <cell r="D5807">
            <v>1869.26</v>
          </cell>
        </row>
        <row r="5808">
          <cell r="A5808">
            <v>87359</v>
          </cell>
          <cell r="B5808" t="str">
            <v>ARGAMASSA TRAÇO 1:5 (EM VOLUME DE CIMENTO E AREIA GROSSA ÚMIDA) COM ADIÇÃO DE EMULSÃO POLIMÉRICA PARA CHAPISCO ROLADO, PREPARO MECÂNICO COM MISTURADOR DE EIXO HORIZONTAL DE 600 KG. AF_08/2019</v>
          </cell>
          <cell r="C5808" t="str">
            <v>M3</v>
          </cell>
          <cell r="D5808">
            <v>1849.69</v>
          </cell>
        </row>
        <row r="5809">
          <cell r="A5809">
            <v>87360</v>
          </cell>
          <cell r="B5809" t="str">
            <v>ARGAMASSA TRAÇO 1:3 (EM VOLUME DE CIMENTO E AREIA GROSSA ÚMIDA) COM ADIÇÃO DE EMULSÃO POLIMÉRICA PARA CHAPISCO ROLADO, PREPARO MECÂNICO COM MISTURADOR DE EIXO HORIZONTAL DE 160 KG. AF_08/2019</v>
          </cell>
          <cell r="C5809" t="str">
            <v>M3</v>
          </cell>
          <cell r="D5809">
            <v>1936.89</v>
          </cell>
        </row>
        <row r="5810">
          <cell r="A5810">
            <v>87361</v>
          </cell>
          <cell r="B5810" t="str">
            <v>ARGAMASSA TRAÇO 1:3 (EM VOLUME DE CIMENTO E AREIA GROSSA ÚMIDA) COM ADIÇÃO DE EMULSÃO POLIMÉRICA PARA CHAPISCO ROLADO, PREPARO MECÂNICO COM MISTURADOR DE EIXO HORIZONTAL DE 300 KG. AF_08/2019</v>
          </cell>
          <cell r="C5810" t="str">
            <v>M3</v>
          </cell>
          <cell r="D5810">
            <v>1905.16</v>
          </cell>
        </row>
        <row r="5811">
          <cell r="A5811">
            <v>87362</v>
          </cell>
          <cell r="B5811" t="str">
            <v>ARGAMASSA TRAÇO 1:3 (EM VOLUME DE CIMENTO E AREIA GROSSA ÚMIDA) COM ADIÇÃO DE EMULSÃO POLIMÉRICA PARA CHAPISCO ROLADO, PREPARO MECÂNICO COM MISTURADOR DE EIXO HORIZONTAL DE 600 KG. AF_08/2019</v>
          </cell>
          <cell r="C5811" t="str">
            <v>M3</v>
          </cell>
          <cell r="D5811">
            <v>1902.25</v>
          </cell>
        </row>
        <row r="5812">
          <cell r="A5812">
            <v>87363</v>
          </cell>
          <cell r="B5812" t="str">
            <v>ARGAMASSA TRAÇO 1:4 (EM VOLUME DE CIMENTO E AREIA GROSSA ÚMIDA) COM ADIÇÃO DE EMULSÃO POLIMÉRICA PARA CHAPISCO ROLADO, PREPARO MECÂNICO COM MISTURADOR DE EIXO HORIZONTAL DE 300 KG. AF_08/2019</v>
          </cell>
          <cell r="C5812" t="str">
            <v>M3</v>
          </cell>
          <cell r="D5812">
            <v>1893.37</v>
          </cell>
        </row>
        <row r="5813">
          <cell r="A5813">
            <v>87364</v>
          </cell>
          <cell r="B5813" t="str">
            <v>ARGAMASSA TRAÇO 1:4 (EM VOLUME DE CIMENTO E AREIA GROSSA ÚMIDA) COM ADIÇÃO DE EMULSÃO POLIMÉRICA PARA CHAPISCO ROLADO, PREPARO MECÂNICO COM MISTURADOR DE EIXO HORIZONTAL DE 600 KG. AF_08/2019</v>
          </cell>
          <cell r="C5813" t="str">
            <v>M3</v>
          </cell>
          <cell r="D5813">
            <v>1871.14</v>
          </cell>
        </row>
        <row r="5814">
          <cell r="A5814">
            <v>87365</v>
          </cell>
          <cell r="B5814" t="str">
            <v>ARGAMASSA TRAÇO 1:7 (EM VOLUME DE CIMENTO E AREIA MÉDIA ÚMIDA) COM ADIÇÃO DE PLASTIFICANTE PARA EMBOÇO/MASSA ÚNICA/ASSENTAMENTO DE ALVENARIA DE VEDAÇÃO, PREPARO MANUAL. AF_08/2019</v>
          </cell>
          <cell r="C5814" t="str">
            <v>M3</v>
          </cell>
          <cell r="D5814">
            <v>376</v>
          </cell>
        </row>
        <row r="5815">
          <cell r="A5815">
            <v>87366</v>
          </cell>
          <cell r="B5815" t="str">
            <v>ARGAMASSA TRAÇO 1:6 (EM VOLUME DE CIMENTO E AREIA MÉDIA ÚMIDA) COM ADIÇÃO DE PLASTIFICANTE PARA EMBOÇO/MASSA ÚNICA/ASSENTAMENTO DE ALVENARIA DE VEDAÇÃO, PREPARO MANUAL. AF_08/2019</v>
          </cell>
          <cell r="C5815" t="str">
            <v>M3</v>
          </cell>
          <cell r="D5815">
            <v>396.63</v>
          </cell>
        </row>
        <row r="5816">
          <cell r="A5816">
            <v>87367</v>
          </cell>
          <cell r="B5816" t="str">
            <v>ARGAMASSA TRAÇO 1:1:6 (EM VOLUME DE CIMENTO, CAL E AREIA MÉDIA ÚMIDA) PARA EMBOÇO/MASSA ÚNICA/ASSENTAMENTO DE ALVENARIA DE VEDAÇÃO, PREPARO MANUAL. AF_08/2019</v>
          </cell>
          <cell r="C5816" t="str">
            <v>M3</v>
          </cell>
          <cell r="D5816">
            <v>441.9</v>
          </cell>
        </row>
        <row r="5817">
          <cell r="A5817">
            <v>87368</v>
          </cell>
          <cell r="B5817" t="str">
            <v>ARGAMASSA TRAÇO 1:1,5:7,5 (EM VOLUME DE CIMENTO, CAL E AREIA MÉDIA ÚMIDA) PARA EMBOÇO/MASSA ÚNICA/ASSENTAMENTO DE ALVENARIA DE VEDAÇÃO, PREPARO MANUAL. AF_08/2019</v>
          </cell>
          <cell r="C5817" t="str">
            <v>M3</v>
          </cell>
          <cell r="D5817">
            <v>430.52</v>
          </cell>
        </row>
        <row r="5818">
          <cell r="A5818">
            <v>87369</v>
          </cell>
          <cell r="B5818" t="str">
            <v>ARGAMASSA TRAÇO 1:2:8 (EM VOLUME DE CIMENTO, CAL E AREIA MÉDIA ÚMIDA) PARA EMBOÇO/MASSA ÚNICA/ASSENTAMENTO DE ALVENARIA DE VEDAÇÃO, PREPARO MANUAL. AF_08/2019</v>
          </cell>
          <cell r="C5818" t="str">
            <v>M3</v>
          </cell>
          <cell r="D5818">
            <v>436.61</v>
          </cell>
        </row>
        <row r="5819">
          <cell r="A5819">
            <v>87370</v>
          </cell>
          <cell r="B5819" t="str">
            <v>ARGAMASSA TRAÇO 1:2:9 (EM VOLUME DE CIMENTO, CAL E AREIA MÉDIA ÚMIDA) PARA EMBOÇO/MASSA ÚNICA/ASSENTAMENTO DE ALVENARIA DE VEDAÇÃO, PREPARO MANUAL. AF_08/2019</v>
          </cell>
          <cell r="C5819" t="str">
            <v>M3</v>
          </cell>
          <cell r="D5819">
            <v>422.96</v>
          </cell>
        </row>
        <row r="5820">
          <cell r="A5820">
            <v>87371</v>
          </cell>
          <cell r="B5820" t="str">
            <v>ARGAMASSA TRAÇO 1:3:12 (EM VOLUME DE CIMENTO, CAL E AREIA MÉDIA ÚMIDA) PARA EMBOÇO/MASSA ÚNICA/ASSENTAMENTO DE ALVENARIA DE VEDAÇÃO, PREPARO MANUAL. AF_08/2019</v>
          </cell>
          <cell r="C5820" t="str">
            <v>M3</v>
          </cell>
          <cell r="D5820">
            <v>412.12</v>
          </cell>
        </row>
        <row r="5821">
          <cell r="A5821">
            <v>87372</v>
          </cell>
          <cell r="B5821" t="str">
            <v>ARGAMASSA TRAÇO 1:3 (EM VOLUME DE CIMENTO E AREIA MÉDIA ÚMIDA) PARA CONTRAPISO, PREPARO MANUAL. AF_08/2019</v>
          </cell>
          <cell r="C5821" t="str">
            <v>M3</v>
          </cell>
          <cell r="D5821">
            <v>530.86</v>
          </cell>
        </row>
        <row r="5822">
          <cell r="A5822">
            <v>87373</v>
          </cell>
          <cell r="B5822" t="str">
            <v>ARGAMASSA TRAÇO 1:4 (EM VOLUME DE CIMENTO E AREIA MÉDIA ÚMIDA) PARA CONTRAPISO, PREPARO MANUAL. AF_08/2019</v>
          </cell>
          <cell r="C5822" t="str">
            <v>M3</v>
          </cell>
          <cell r="D5822">
            <v>475.51</v>
          </cell>
        </row>
        <row r="5823">
          <cell r="A5823">
            <v>87374</v>
          </cell>
          <cell r="B5823" t="str">
            <v>ARGAMASSA TRAÇO 1:5 (EM VOLUME DE CIMENTO E AREIA MÉDIA ÚMIDA) PARA CONTRAPISO, PREPARO MANUAL. AF_08/2019</v>
          </cell>
          <cell r="C5823" t="str">
            <v>M3</v>
          </cell>
          <cell r="D5823">
            <v>445.86</v>
          </cell>
        </row>
        <row r="5824">
          <cell r="A5824">
            <v>87375</v>
          </cell>
          <cell r="B5824" t="str">
            <v>ARGAMASSA TRAÇO 1:6 (EM VOLUME DE CIMENTO E AREIA MÉDIA ÚMIDA) PARA CONTRAPISO, PREPARO MANUAL. AF_08/2019</v>
          </cell>
          <cell r="C5824" t="str">
            <v>M3</v>
          </cell>
          <cell r="D5824">
            <v>427.37</v>
          </cell>
        </row>
        <row r="5825">
          <cell r="A5825">
            <v>87376</v>
          </cell>
          <cell r="B5825" t="str">
            <v>ARGAMASSA TRAÇO 1:5 (EM VOLUME DE CIMENTO E AREIA GROSSA ÚMIDA) PARA CHAPISCO CONVENCIONAL, PREPARO MANUAL. AF_08/2019</v>
          </cell>
          <cell r="C5825" t="str">
            <v>M3</v>
          </cell>
          <cell r="D5825">
            <v>369.42</v>
          </cell>
        </row>
        <row r="5826">
          <cell r="A5826">
            <v>87377</v>
          </cell>
          <cell r="B5826" t="str">
            <v>ARGAMASSA TRAÇO 1:3 (EM VOLUME DE CIMENTO E AREIA GROSSA ÚMIDA) PARA CHAPISCO CONVENCIONAL, PREPARO MANUAL. AF_08/2019</v>
          </cell>
          <cell r="C5826" t="str">
            <v>M3</v>
          </cell>
          <cell r="D5826">
            <v>430.92</v>
          </cell>
        </row>
        <row r="5827">
          <cell r="A5827">
            <v>87378</v>
          </cell>
          <cell r="B5827" t="str">
            <v>ARGAMASSA TRAÇO 1:4 (EM VOLUME DE CIMENTO E AREIA GROSSA ÚMIDA) PARA CHAPISCO CONVENCIONAL, PREPARO MANUAL. AF_08/2019</v>
          </cell>
          <cell r="C5827" t="str">
            <v>M3</v>
          </cell>
          <cell r="D5827">
            <v>390.38</v>
          </cell>
        </row>
        <row r="5828">
          <cell r="A5828">
            <v>87379</v>
          </cell>
          <cell r="B5828" t="str">
            <v>ARGAMASSA TRAÇO 1:5 (EM VOLUME DE CIMENTO E AREIA GROSSA ÚMIDA) COM ADIÇÃO DE EMULSÃO POLIMÉRICA PARA CHAPISCO ROLADO, PREPARO MANUAL. AF_08/2019</v>
          </cell>
          <cell r="C5828" t="str">
            <v>M3</v>
          </cell>
          <cell r="D5828">
            <v>1981.49</v>
          </cell>
        </row>
        <row r="5829">
          <cell r="A5829">
            <v>87380</v>
          </cell>
          <cell r="B5829" t="str">
            <v>ARGAMASSA TRAÇO 1:3 (EM VOLUME DE CIMENTO E AREIA GROSSA ÚMIDA) COM ADIÇÃO DE EMULSÃO POLIMÉRICA PARA CHAPISCO ROLADO, PREPARO MANUAL. AF_08/2019</v>
          </cell>
          <cell r="C5829" t="str">
            <v>M3</v>
          </cell>
          <cell r="D5829">
            <v>2039.55</v>
          </cell>
        </row>
        <row r="5830">
          <cell r="A5830">
            <v>87381</v>
          </cell>
          <cell r="B5830" t="str">
            <v>ARGAMASSA TRAÇO 1:4 (EM VOLUME DE CIMENTO E AREIA GROSSA ÚMIDA) COM ADIÇÃO DE EMULSÃO POLIMÉRICA PARA CHAPISCO ROLADO, PREPARO MANUAL. AF_08/2019</v>
          </cell>
          <cell r="C5830" t="str">
            <v>M3</v>
          </cell>
          <cell r="D5830">
            <v>2000.94</v>
          </cell>
        </row>
        <row r="5831">
          <cell r="A5831">
            <v>87382</v>
          </cell>
          <cell r="B5831" t="str">
            <v>ARGAMASSA INDUSTRIALIZADA MULTIUSO PARA REVESTIMENTOS E ASSENTAMENTO DA ALVENARIA, PREPARO COM MISTURADOR DE EIXO HORIZONTAL DE 160 KG. AF_08/2019</v>
          </cell>
          <cell r="C5831" t="str">
            <v>M3</v>
          </cell>
          <cell r="D5831">
            <v>1045.3599999999999</v>
          </cell>
        </row>
        <row r="5832">
          <cell r="A5832">
            <v>87383</v>
          </cell>
          <cell r="B5832" t="str">
            <v>ARGAMASSA INDUSTRIALIZADA MULTIUSO PARA REVESTIMENTOS E ASSENTAMENTO DA ALVENARIA, PREPARO COM MISTURADOR DE EIXO HORIZONTAL DE 300 KG. AF_08/2019</v>
          </cell>
          <cell r="C5832" t="str">
            <v>M3</v>
          </cell>
          <cell r="D5832">
            <v>1040.93</v>
          </cell>
        </row>
        <row r="5833">
          <cell r="A5833">
            <v>87384</v>
          </cell>
          <cell r="B5833" t="str">
            <v>ARGAMASSA INDUSTRIALIZADA MULTIUSO PARA REVESTIMENTOS E ASSENTAMENTO DA ALVENARIA, PREPARO COM MISTURADOR DE EIXO HORIZONTAL DE 600 KG. AF_08/2019</v>
          </cell>
          <cell r="C5833" t="str">
            <v>M3</v>
          </cell>
          <cell r="D5833">
            <v>1035.32</v>
          </cell>
        </row>
        <row r="5834">
          <cell r="A5834">
            <v>87385</v>
          </cell>
          <cell r="B5834" t="str">
            <v>ARGAMASSA PRONTA PARA CONTRAPISO, PREPARO COM MISTURADOR DE EIXO HORIZONTAL DE 160 KG. AF_08/2019</v>
          </cell>
          <cell r="C5834" t="str">
            <v>M3</v>
          </cell>
          <cell r="D5834">
            <v>1503.44</v>
          </cell>
        </row>
        <row r="5835">
          <cell r="A5835">
            <v>87386</v>
          </cell>
          <cell r="B5835" t="str">
            <v>ARGAMASSA PRONTA PARA CONTRAPISO, PREPARO COM MISTURADOR DE EIXO HORIZONTAL DE 300 KG. AF_08/2019</v>
          </cell>
          <cell r="C5835" t="str">
            <v>M3</v>
          </cell>
          <cell r="D5835">
            <v>1498.25</v>
          </cell>
        </row>
        <row r="5836">
          <cell r="A5836">
            <v>87387</v>
          </cell>
          <cell r="B5836" t="str">
            <v>ARGAMASSA PRONTA PARA CONTRAPISO, PREPARO COM MISTURADOR DE EIXO HORIZONTAL DE 600 KG. AF_08/2019</v>
          </cell>
          <cell r="C5836" t="str">
            <v>M3</v>
          </cell>
          <cell r="D5836">
            <v>1496.22</v>
          </cell>
        </row>
        <row r="5837">
          <cell r="A5837">
            <v>87388</v>
          </cell>
          <cell r="B5837" t="str">
            <v>ARGAMASSA PARA REVESTIMENTO DECORATIVO MONOCAMADA (MONOCAPA), PREPARO COM MISTURADOR DE EIXO HORIZONTAL DE 160 KG. AF_08/2019</v>
          </cell>
          <cell r="C5837" t="str">
            <v>M3</v>
          </cell>
          <cell r="D5837">
            <v>3528.33</v>
          </cell>
        </row>
        <row r="5838">
          <cell r="A5838">
            <v>87389</v>
          </cell>
          <cell r="B5838" t="str">
            <v>ARGAMASSA PARA REVESTIMENTO DECORATIVO MONOCAMADA (MONOCAPA), PREPARO COM MISTURADOR DE EIXO HORIZONTAL DE 300 KG. AF_08/2019</v>
          </cell>
          <cell r="C5838" t="str">
            <v>M3</v>
          </cell>
          <cell r="D5838">
            <v>3542.26</v>
          </cell>
        </row>
        <row r="5839">
          <cell r="A5839">
            <v>87390</v>
          </cell>
          <cell r="B5839" t="str">
            <v>ARGAMASSA PARA REVESTIMENTO DECORATIVO MONOCAMADA (MONOCAPA), PREPARO COM MISTURADOR DE EIXO HORIZONTAL DE 600 KG. AF_08/2019</v>
          </cell>
          <cell r="C5839" t="str">
            <v>M3</v>
          </cell>
          <cell r="D5839">
            <v>3561.56</v>
          </cell>
        </row>
        <row r="5840">
          <cell r="A5840">
            <v>87391</v>
          </cell>
          <cell r="B5840" t="str">
            <v>ARGAMASSA INDUSTRIALIZADA PARA CHAPISCO ROLADO, PREPARO COM MISTURADOR DE EIXO HORIZONTAL DE 160 KG. AF_08/2019</v>
          </cell>
          <cell r="C5840" t="str">
            <v>M3</v>
          </cell>
          <cell r="D5840">
            <v>5096.55</v>
          </cell>
        </row>
        <row r="5841">
          <cell r="A5841">
            <v>87393</v>
          </cell>
          <cell r="B5841" t="str">
            <v>ARGAMASSA INDUSTRIALIZADA PARA CHAPISCO ROLADO, PREPARO COM MISTURADOR DE EIXO HORIZONTAL DE 300 KG. AF_08/2019</v>
          </cell>
          <cell r="C5841" t="str">
            <v>M3</v>
          </cell>
          <cell r="D5841">
            <v>5147.51</v>
          </cell>
        </row>
        <row r="5842">
          <cell r="A5842">
            <v>87394</v>
          </cell>
          <cell r="B5842" t="str">
            <v>ARGAMASSA INDUSTRIALIZADA PARA CHAPISCO ROLADO, PREPARO COM MISTURADOR DE EIXO HORIZONTAL DE 600 KG. AF_08/2019</v>
          </cell>
          <cell r="C5842" t="str">
            <v>M3</v>
          </cell>
          <cell r="D5842">
            <v>5199.17</v>
          </cell>
        </row>
        <row r="5843">
          <cell r="A5843">
            <v>87395</v>
          </cell>
          <cell r="B5843" t="str">
            <v>ARGAMASSA INDUSTRIALIZADA PARA CHAPISCO COLANTE, PREPARO COM MISTURADOR DE EIXO HORIZONTAL DE 160 KG. AF_08/2019</v>
          </cell>
          <cell r="C5843" t="str">
            <v>M3</v>
          </cell>
          <cell r="D5843">
            <v>4001.77</v>
          </cell>
        </row>
        <row r="5844">
          <cell r="A5844">
            <v>87396</v>
          </cell>
          <cell r="B5844" t="str">
            <v>ARGAMASSA INDUSTRIALIZADA PARA CHAPISCO COLANTE, PREPARO COM MISTURADOR DE EIXO HORIZONTAL DE 300 KG. AF_08/2019</v>
          </cell>
          <cell r="C5844" t="str">
            <v>M3</v>
          </cell>
          <cell r="D5844">
            <v>4038.03</v>
          </cell>
        </row>
        <row r="5845">
          <cell r="A5845">
            <v>87397</v>
          </cell>
          <cell r="B5845" t="str">
            <v>ARGAMASSA INDUSTRIALIZADA PARA CHAPISCO COLANTE, PREPARO COM MISTURADOR DE EIXO HORIZONTAL DE 600 KG. AF_08/2019</v>
          </cell>
          <cell r="C5845" t="str">
            <v>M3</v>
          </cell>
          <cell r="D5845">
            <v>4075.64</v>
          </cell>
        </row>
        <row r="5846">
          <cell r="A5846">
            <v>87398</v>
          </cell>
          <cell r="B5846" t="str">
            <v>ARGAMASSA INDUSTRIALIZADA MULTIUSO PARA REVESTIMENTOS E ASSENTAMENTO DA ALVENARIA, PREPARO MANUAL. AF_08/2019</v>
          </cell>
          <cell r="C5846" t="str">
            <v>M3</v>
          </cell>
          <cell r="D5846">
            <v>1206.4100000000001</v>
          </cell>
        </row>
        <row r="5847">
          <cell r="A5847">
            <v>87399</v>
          </cell>
          <cell r="B5847" t="str">
            <v>ARGAMASSA PRONTA PARA CONTRAPISO, PREPARO MANUAL. AF_08/2019</v>
          </cell>
          <cell r="C5847" t="str">
            <v>M3</v>
          </cell>
          <cell r="D5847">
            <v>1675.29</v>
          </cell>
        </row>
        <row r="5848">
          <cell r="A5848">
            <v>87401</v>
          </cell>
          <cell r="B5848" t="str">
            <v>ARGAMASSA INDUSTRIALIZADA PARA CHAPISCO ROLADO, PREPARO MANUAL. AF_08/2019</v>
          </cell>
          <cell r="C5848" t="str">
            <v>M3</v>
          </cell>
          <cell r="D5848">
            <v>5363.78</v>
          </cell>
        </row>
        <row r="5849">
          <cell r="A5849">
            <v>87402</v>
          </cell>
          <cell r="B5849" t="str">
            <v>ARGAMASSA INDUSTRIALIZADA PARA CHAPISCO COLANTE, PREPARO MANUAL. AF_08/2019</v>
          </cell>
          <cell r="C5849" t="str">
            <v>M3</v>
          </cell>
          <cell r="D5849">
            <v>4246.58</v>
          </cell>
        </row>
        <row r="5850">
          <cell r="A5850">
            <v>87404</v>
          </cell>
          <cell r="B5850" t="str">
            <v>ARGAMASSA PARA REVESTIMENTO DECORATIVO MONOCAMADA (MONOCAPA), MISTURA E PROJEÇÃO DE 1,5 M3/H DE ARGAMASSA. AF_08/2019</v>
          </cell>
          <cell r="C5850" t="str">
            <v>M3</v>
          </cell>
          <cell r="D5850">
            <v>3668.6</v>
          </cell>
        </row>
        <row r="5851">
          <cell r="A5851">
            <v>87405</v>
          </cell>
          <cell r="B5851" t="str">
            <v>ARGAMASSA PARA REVESTIMENTO DECORATIVO MONOCAMADA (MONOCAPA), MISTURA E PROJEÇÃO DE 2 M3/H DE ARGAMASSA. AF_06/2014</v>
          </cell>
          <cell r="C5851" t="str">
            <v>M3</v>
          </cell>
          <cell r="D5851">
            <v>3677.47</v>
          </cell>
        </row>
        <row r="5852">
          <cell r="A5852">
            <v>87407</v>
          </cell>
          <cell r="B5852" t="str">
            <v>ARGAMASSA INDUSTRIALIZADA PARA REVESTIMENTOS, MISTURA E PROJEÇÃO DE 1,5 M³/H DE ARGAMASSA. AF_08/2019</v>
          </cell>
          <cell r="C5852" t="str">
            <v>M3</v>
          </cell>
          <cell r="D5852">
            <v>1071.17</v>
          </cell>
        </row>
        <row r="5853">
          <cell r="A5853">
            <v>87408</v>
          </cell>
          <cell r="B5853" t="str">
            <v>ARGAMASSA INDUSTRIALIZADA PARA REVESTIMENTOS, MISTURA E PROJEÇÃO DE 2 M³/H DE ARGAMASSA. AF_06/2014</v>
          </cell>
          <cell r="C5853" t="str">
            <v>M3</v>
          </cell>
          <cell r="D5853">
            <v>1061.25</v>
          </cell>
        </row>
        <row r="5854">
          <cell r="A5854">
            <v>87410</v>
          </cell>
          <cell r="B5854" t="str">
            <v>ARGAMASSA À BASE DE GESSO, MISTURA E PROJEÇÃO DE 1,5 M³/H DE ARGAMASSA. AF_08/2019</v>
          </cell>
          <cell r="C5854" t="str">
            <v>M3</v>
          </cell>
          <cell r="D5854">
            <v>765.09</v>
          </cell>
        </row>
        <row r="5855">
          <cell r="A5855">
            <v>88626</v>
          </cell>
          <cell r="B5855" t="str">
            <v>ARGAMASSA TRAÇO 1:0,5:4,5 (EM VOLUME DE CIMENTO, CAL E AREIA MÉDIA ÚMIDA), PREPARO MECÂNICO COM BETONEIRA 400 L. AF_08/2019</v>
          </cell>
          <cell r="C5855" t="str">
            <v>M3</v>
          </cell>
          <cell r="D5855">
            <v>329.77</v>
          </cell>
        </row>
        <row r="5856">
          <cell r="A5856">
            <v>88627</v>
          </cell>
          <cell r="B5856" t="str">
            <v>ARGAMASSA TRAÇO 1:0,5:4,5 (EM VOLUME DE CIMENTO, CAL E AREIA MÉDIA ÚMIDA) PARA ASSENTAMENTO DE ALVENARIA, PREPARO MANUAL. AF_08/2019</v>
          </cell>
          <cell r="C5856" t="str">
            <v>M3</v>
          </cell>
          <cell r="D5856">
            <v>413.85</v>
          </cell>
        </row>
        <row r="5857">
          <cell r="A5857">
            <v>88628</v>
          </cell>
          <cell r="B5857" t="str">
            <v>ARGAMASSA TRAÇO 1:3 (EM VOLUME DE CIMENTO E AREIA MÉDIA ÚMIDA), PREPARO MECÂNICO COM BETONEIRA 400 L. AF_08/2019</v>
          </cell>
          <cell r="C5857" t="str">
            <v>M3</v>
          </cell>
          <cell r="D5857">
            <v>344.6</v>
          </cell>
        </row>
        <row r="5858">
          <cell r="A5858">
            <v>88629</v>
          </cell>
          <cell r="B5858" t="str">
            <v>ARGAMASSA TRAÇO 1:3 (EM VOLUME DE CIMENTO E AREIA MÉDIA ÚMIDA), PREPARO MANUAL. AF_08/2019</v>
          </cell>
          <cell r="C5858" t="str">
            <v>M3</v>
          </cell>
          <cell r="D5858">
            <v>431.86</v>
          </cell>
        </row>
        <row r="5859">
          <cell r="A5859">
            <v>88630</v>
          </cell>
          <cell r="B5859" t="str">
            <v>ARGAMASSA TRAÇO 1:4 (CIMENTO E AREIA MÉDIA), PREPARO MECÂNICO COM BETONEIRA 400 L. AF_08/2014</v>
          </cell>
          <cell r="C5859" t="str">
            <v>M3</v>
          </cell>
          <cell r="D5859">
            <v>293.01</v>
          </cell>
        </row>
        <row r="5860">
          <cell r="A5860">
            <v>88631</v>
          </cell>
          <cell r="B5860" t="str">
            <v>ARGAMASSA TRAÇO 1:4 (EM VOLUME DE CIMENTO E AREIA MÉDIA ÚMIDA), PREPARO MANUAL. AF_08/2019</v>
          </cell>
          <cell r="C5860" t="str">
            <v>M3</v>
          </cell>
          <cell r="D5860">
            <v>388.3</v>
          </cell>
        </row>
        <row r="5861">
          <cell r="A5861">
            <v>88715</v>
          </cell>
          <cell r="B5861" t="str">
            <v>ARGAMASSA TRAÇO 1:2:9 (EM VOLUME DE CIMENTO, CAL E AREIA MÉDIA ÚMIDA) PARA EMBOÇO/MASSA ÚNICA/ASSENTAMENTO DE ALVENARIA DE VEDAÇÃO, PREPARO MECÂNICO COM BETONEIRA 400 L. AF_08/2019</v>
          </cell>
          <cell r="C5861" t="str">
            <v>M3</v>
          </cell>
          <cell r="D5861">
            <v>310.37</v>
          </cell>
        </row>
        <row r="5862">
          <cell r="A5862">
            <v>95563</v>
          </cell>
          <cell r="B5862" t="str">
            <v>ARGAMASSA TRAÇO 1:1,65 (CIMENTO E AREIA MÉDIA), FCK 20 MPA, PREPARO MECÂNICO COM MISTURADOR DUPLO HORIZONTAL DE ALTA TURBULÊNCIA. AF_11/2016</v>
          </cell>
          <cell r="C5862" t="str">
            <v>M3</v>
          </cell>
          <cell r="D5862">
            <v>532.03</v>
          </cell>
        </row>
        <row r="5863">
          <cell r="A5863">
            <v>100464</v>
          </cell>
          <cell r="B5863" t="str">
            <v>ARGAMASSA TRAÇO 1:0,5:4,5  (EM VOLUME DE CIMENTO, CAL E AREIA MÉDIA ÚMIDA), PREPARO MECÂNICO COM MISTURADOR DE EIXO HORIZONTAL DE 160 KG. AF_08/2019</v>
          </cell>
          <cell r="C5863" t="str">
            <v>M3</v>
          </cell>
          <cell r="D5863">
            <v>347.96</v>
          </cell>
        </row>
        <row r="5864">
          <cell r="A5864">
            <v>100465</v>
          </cell>
          <cell r="B5864" t="str">
            <v>ARGAMASSA TRAÇO 1:0,5:4,5  (EM VOLUME DE CIMENTO, CAL E AREIA MÉDIA ÚMIDA), PREPARO MECÂNICO COM MISTURADOR DE EIXO HORIZONTAL DE 300 KG. AF_08/2019</v>
          </cell>
          <cell r="C5864" t="str">
            <v>M3</v>
          </cell>
          <cell r="D5864">
            <v>322.23</v>
          </cell>
        </row>
        <row r="5865">
          <cell r="A5865">
            <v>100466</v>
          </cell>
          <cell r="B5865" t="str">
            <v>ARGAMASSA TRAÇO 1:0,5:4,5  (EM VOLUME DE CIMENTO, CAL E AREIA MÉDIA ÚMIDA), PREPARO MECÂNICO COM MISTURADOR DE EIXO HORIZONTAL DE 600 KG. AF_08/2019</v>
          </cell>
          <cell r="C5865" t="str">
            <v>M3</v>
          </cell>
          <cell r="D5865">
            <v>310.48</v>
          </cell>
        </row>
        <row r="5866">
          <cell r="A5866">
            <v>100468</v>
          </cell>
          <cell r="B5866" t="str">
            <v>ARGAMASSA TRAÇO 1:3 (EM VOLUME DE CIMENTO E AREIA MÉDIA ÚMIDA), PREPARO MECÂNICO COM MISTURADOR DE EIXO HORIZONTAL DE 160 KG. AF_08/2019</v>
          </cell>
          <cell r="C5866" t="str">
            <v>M3</v>
          </cell>
          <cell r="D5866">
            <v>425.19</v>
          </cell>
        </row>
        <row r="5867">
          <cell r="A5867">
            <v>100469</v>
          </cell>
          <cell r="B5867" t="str">
            <v>ARGAMASSA TRAÇO 1:3 (EM VOLUME DE CIMENTO E AREIA MÉDIA ÚMIDA), PREPARO MECÂNICO COM MISTURADOR DE EIXO HORIZONTAL DE 300 KG. AF_08/2019</v>
          </cell>
          <cell r="C5867" t="str">
            <v>M3</v>
          </cell>
          <cell r="D5867">
            <v>338.88</v>
          </cell>
        </row>
        <row r="5868">
          <cell r="A5868">
            <v>100470</v>
          </cell>
          <cell r="B5868" t="str">
            <v>ARGAMASSA TRAÇO 1:3 (EM VOLUME DE CIMENTO E AREIA MÉDIA ÚMIDA), PREPARO MECÂNICO COM MISTURADOR DE EIXO HORIZONTAL DE 600 KG. AF_08/2019</v>
          </cell>
          <cell r="C5868" t="str">
            <v>M3</v>
          </cell>
          <cell r="D5868">
            <v>302.43</v>
          </cell>
        </row>
        <row r="5869">
          <cell r="A5869">
            <v>100472</v>
          </cell>
          <cell r="B5869" t="str">
            <v>ARGAMASSA TRAÇO 1:4 (EM VOLUME DE CIMENTO E AREIA MÉDIA ÚMIDA), PREPARO MECÂNICO COM MISTURADOR DE EIXO HORIZONTAL DE 160 KG. AF_08/2019</v>
          </cell>
          <cell r="C5869" t="str">
            <v>M3</v>
          </cell>
          <cell r="D5869">
            <v>337.27</v>
          </cell>
        </row>
        <row r="5870">
          <cell r="A5870">
            <v>100473</v>
          </cell>
          <cell r="B5870" t="str">
            <v>ARGAMASSA TRAÇO 1:4 (EM VOLUME DE CIMENTO E AREIA MÉDIA ÚMIDA), PREPARO MECÂNICO COM MISTURADOR DE EIXO HORIZONTAL DE 300 KG. AF_08/2019</v>
          </cell>
          <cell r="C5870" t="str">
            <v>M3</v>
          </cell>
          <cell r="D5870">
            <v>304.69</v>
          </cell>
        </row>
        <row r="5871">
          <cell r="A5871">
            <v>100474</v>
          </cell>
          <cell r="B5871" t="str">
            <v>ARGAMASSA TRAÇO 1:4 (EM VOLUME DE CIMENTO E AREIA MÉDIA ÚMIDA), PREPARO MECÂNICO COM MISTURADOR DE EIXO HORIZONTAL DE 600 KG. AF_08/2019</v>
          </cell>
          <cell r="C5871" t="str">
            <v>M3</v>
          </cell>
          <cell r="D5871">
            <v>291.39</v>
          </cell>
        </row>
        <row r="5872">
          <cell r="A5872">
            <v>100475</v>
          </cell>
          <cell r="B5872" t="str">
            <v>ARGAMASSA TRAÇO 1:3 (EM VOLUME DE CIMENTO E AREIA MÉDIA ÚMIDA) COM ADIÇÃO DE IMPERMEABILIZANTE, PREPARO MECÂNICO COM BETONEIRA 400 L. AF_08/2019</v>
          </cell>
          <cell r="C5872" t="str">
            <v>M3</v>
          </cell>
          <cell r="D5872">
            <v>438.19</v>
          </cell>
        </row>
        <row r="5873">
          <cell r="A5873">
            <v>100477</v>
          </cell>
          <cell r="B5873" t="str">
            <v>ARGAMASSA TRAÇO 1:3 (EM VOLUME DE CIMENTO E AREIA MÉDIA ÚMIDA) COM ADIÇÃO DE IMPERMEABILIZANTE, PREPARO MECÂNICO COM MISTURADOR DE EIXO HORIZONTAL DE 160 KG. AF_08/2019</v>
          </cell>
          <cell r="C5873" t="str">
            <v>M3</v>
          </cell>
          <cell r="D5873">
            <v>480.84</v>
          </cell>
        </row>
        <row r="5874">
          <cell r="A5874">
            <v>100478</v>
          </cell>
          <cell r="B5874" t="str">
            <v>ARGAMASSA TRAÇO 1:3 (EM VOLUME DE CIMENTO E AREIA MÉDIA ÚMIDA) COM ADIÇÃO DE IMPERMEABILIZANTE, PREPARO MECÂNICO COM MISTURADOR DE EIXO HORIZONTAL DE 300 KG. AF_08/2019</v>
          </cell>
          <cell r="C5874" t="str">
            <v>M3</v>
          </cell>
          <cell r="D5874">
            <v>430.28</v>
          </cell>
        </row>
        <row r="5875">
          <cell r="A5875">
            <v>100479</v>
          </cell>
          <cell r="B5875" t="str">
            <v>ARGAMASSA TRAÇO 1:3 (EM VOLUME DE CIMENTO E AREIA MÉDIA ÚMIDA) COM ADIÇÃO DE IMPERMEABILIZANTE, PREPARO MECÂNICO COM MISTURADOR DE EIXO HORIZONTAL DE 600 KG. AF_08/2019</v>
          </cell>
          <cell r="C5875" t="str">
            <v>M3</v>
          </cell>
          <cell r="D5875">
            <v>420.73</v>
          </cell>
        </row>
        <row r="5876">
          <cell r="A5876">
            <v>100480</v>
          </cell>
          <cell r="B5876" t="str">
            <v>ARGAMASSA TRAÇO 1:3 (EM VOLUME DE CIMENTO E AREIA MÉDIA ÚMIDA) COM ADIÇÃO DE IMPERMEABILIZANTE, PREPARO MANUAL. AF_08/2019</v>
          </cell>
          <cell r="C5876" t="str">
            <v>M3</v>
          </cell>
          <cell r="D5876">
            <v>525.32000000000005</v>
          </cell>
        </row>
        <row r="5877">
          <cell r="A5877">
            <v>100481</v>
          </cell>
          <cell r="B5877" t="str">
            <v>ARGAMASSA TRAÇO 1:4 (EM VOLUME DE CIMENTO E AREIA MÉDIA ÚMIDA) COM ADIÇÃO DE IMPERMEABILIZANTE, PREPARO MECÂNICO COM BETONEIRA 400 L. AF_08/2019</v>
          </cell>
          <cell r="C5877" t="str">
            <v>M3</v>
          </cell>
          <cell r="D5877">
            <v>377.5</v>
          </cell>
        </row>
        <row r="5878">
          <cell r="A5878">
            <v>100483</v>
          </cell>
          <cell r="B5878" t="str">
            <v>ARGAMASSA TRAÇO 1:4 (EM VOLUME DE CIMENTO E AREIA MÉDIA ÚMIDA) COM ADIÇÃO DE IMPERMEABILIZANTE, PREPARO MECÂNICO COM MISTURADOR DE EIXO HORIZONTAL DE 160 KG. AF_08/2019</v>
          </cell>
          <cell r="C5878" t="str">
            <v>M3</v>
          </cell>
          <cell r="D5878">
            <v>409.49</v>
          </cell>
        </row>
        <row r="5879">
          <cell r="A5879">
            <v>100484</v>
          </cell>
          <cell r="B5879" t="str">
            <v>ARGAMASSA TRAÇO 1:4 (EM VOLUME DE CIMENTO E AREIA MÉDIA ÚMIDA) COM ADIÇÃO DE IMPERMEABILIZANTE, PREPARO MECÂNICO COM MISTURADOR DE EIXO HORIZONTAL DE 300 KG. AF_08/2019</v>
          </cell>
          <cell r="C5879" t="str">
            <v>M3</v>
          </cell>
          <cell r="D5879">
            <v>377.59</v>
          </cell>
        </row>
        <row r="5880">
          <cell r="A5880">
            <v>100485</v>
          </cell>
          <cell r="B5880" t="str">
            <v>ARGAMASSA TRAÇO 1:4 (EM VOLUME DE CIMENTO E AREIA MÉDIA ÚMIDA) COM ADIÇÃO DE IMPERMEABILIZANTE, PREPARO MECÂNICO COM MISTURADOR DE EIXO HORIZONTAL DE 600 KG. AF_08/2019</v>
          </cell>
          <cell r="C5880" t="str">
            <v>M3</v>
          </cell>
          <cell r="D5880">
            <v>365.75</v>
          </cell>
        </row>
        <row r="5881">
          <cell r="A5881">
            <v>100486</v>
          </cell>
          <cell r="B5881" t="str">
            <v>ARGAMASSA TRAÇO 1:4 (EM VOLUME DE CIMENTO E AREIA MÉDIA ÚMIDA) COM ADIÇÃO DE IMPERMEABILIZANTE, PREPARO MANUAL. AF_08/2019</v>
          </cell>
          <cell r="C5881" t="str">
            <v>M3</v>
          </cell>
          <cell r="D5881">
            <v>466.79</v>
          </cell>
        </row>
        <row r="5882">
          <cell r="A5882">
            <v>100487</v>
          </cell>
          <cell r="B5882" t="str">
            <v>ARGAMASSA TRAÇO 1:2:9 (EM VOLUME DE CIMENTO, CAL E AREIA MÉDIA ÚMIDA) PARA EMBOÇO/MASSA ÚNICA/ASSENTAMENTO DE ALVENARIA DE VEDAÇÃO, PREPARO MECÂNICO COM MISTURADOR DE EIXO HORIZONTAL DE 600 KG. AF_08/2019</v>
          </cell>
          <cell r="C5882" t="str">
            <v>M3</v>
          </cell>
          <cell r="D5882">
            <v>295.95999999999998</v>
          </cell>
        </row>
        <row r="5883">
          <cell r="A5883">
            <v>100488</v>
          </cell>
          <cell r="B5883" t="str">
            <v>ARGAMASSA TRAÇO 1:0,5:4,5 (EM VOLUME DE CIMENTO, CAL E AREIA MÉDIA ÚMIDA), PREPARO MECÂNICO COM BETONEIRA 600 L. AF_08/2019</v>
          </cell>
          <cell r="C5883" t="str">
            <v>M3</v>
          </cell>
          <cell r="D5883">
            <v>325.58999999999997</v>
          </cell>
        </row>
        <row r="5884">
          <cell r="A5884">
            <v>100489</v>
          </cell>
          <cell r="B5884" t="str">
            <v>ARGAMASSA TRAÇO 1:3 (EM VOLUME DE CIMENTO E AREIA MÉDIA ÚMIDA), PREPARO MECÂNICO COM BETONEIRA 600 L. AF_08/2019</v>
          </cell>
          <cell r="C5884" t="str">
            <v>M3</v>
          </cell>
          <cell r="D5884">
            <v>344.97</v>
          </cell>
        </row>
        <row r="5885">
          <cell r="A5885">
            <v>100490</v>
          </cell>
          <cell r="B5885" t="str">
            <v>ARGAMASSA TRAÇO 1:4 (EM VOLUME DE CIMENTO E AREIA MÉDIA ÚMIDA), PREPARO MECÂNICO COM BETONEIRA 600 L. AF_08/2019</v>
          </cell>
          <cell r="C5885" t="str">
            <v>M3</v>
          </cell>
          <cell r="D5885">
            <v>303.58999999999997</v>
          </cell>
        </row>
        <row r="5886">
          <cell r="A5886">
            <v>100491</v>
          </cell>
          <cell r="B5886" t="str">
            <v>ARGAMASSA TRAÇO 1:3 (EM VOLUME DE CIMENTO E AREIA MÉDIA ÚMIDA) COM ADIÇÃO DE IMPERMEABILIZANTE, PREPARO MECÂNICO COM BETONEIRA 600 L. AF_08/2019</v>
          </cell>
          <cell r="C5886" t="str">
            <v>M3</v>
          </cell>
          <cell r="D5886">
            <v>439.59</v>
          </cell>
        </row>
        <row r="5887">
          <cell r="A5887">
            <v>100492</v>
          </cell>
          <cell r="B5887" t="str">
            <v>ARGAMASSA TRAÇO 1:4 (EM VOLUME DE CIMENTO E AREIA MÉDIA ÚMIDA) COM ADIÇÃO DE IMPERMEABILIZANTE, PREPARO MECÂNICO COM BETONEIRA 600 L. AF_08/2019</v>
          </cell>
          <cell r="C5887" t="str">
            <v>M3</v>
          </cell>
          <cell r="D5887">
            <v>379.06</v>
          </cell>
        </row>
        <row r="5888">
          <cell r="A5888">
            <v>92121</v>
          </cell>
          <cell r="B5888" t="str">
            <v>PENEIRAMENTO DE AREIA COM PENEIRA ELÉTRICA. AF_11/2015</v>
          </cell>
          <cell r="C5888" t="str">
            <v>M3</v>
          </cell>
          <cell r="D5888">
            <v>23.1</v>
          </cell>
        </row>
        <row r="5889">
          <cell r="A5889">
            <v>92122</v>
          </cell>
          <cell r="B5889" t="str">
            <v>PENEIRAMENTO DE AREIA COM PENEIRA MANUAL. AF_11/2015</v>
          </cell>
          <cell r="C5889" t="str">
            <v>M3</v>
          </cell>
          <cell r="D5889">
            <v>38.99</v>
          </cell>
        </row>
        <row r="5890">
          <cell r="A5890">
            <v>92123</v>
          </cell>
          <cell r="B5890" t="str">
            <v>ENSACAMENTO DE AREIA. AF_11/2015</v>
          </cell>
          <cell r="C5890" t="str">
            <v>M3</v>
          </cell>
          <cell r="D5890">
            <v>37.21</v>
          </cell>
        </row>
        <row r="5891">
          <cell r="A5891">
            <v>100195</v>
          </cell>
          <cell r="B5891" t="str">
            <v>TRANSPORTE HORIZONTAL MANUAL, DE SACOS DE 50 KG (UNIDADE: KGXKM). AF_07/2019</v>
          </cell>
          <cell r="C5891" t="str">
            <v>KGXKM</v>
          </cell>
          <cell r="D5891">
            <v>0.59</v>
          </cell>
        </row>
        <row r="5892">
          <cell r="A5892">
            <v>100196</v>
          </cell>
          <cell r="B5892" t="str">
            <v>TRANSPORTE HORIZONTAL MANUAL, DE SACOS DE 30 KG (UNIDADE: KGXKM). AF_07/2019</v>
          </cell>
          <cell r="C5892" t="str">
            <v>KGXKM</v>
          </cell>
          <cell r="D5892">
            <v>0.99</v>
          </cell>
        </row>
        <row r="5893">
          <cell r="A5893">
            <v>100197</v>
          </cell>
          <cell r="B5893" t="str">
            <v>TRANSPORTE HORIZONTAL MANUAL, DE SACOS DE 20 KG (UNIDADE: KGXKM). AF_07/2019</v>
          </cell>
          <cell r="C5893" t="str">
            <v>KGXKM</v>
          </cell>
          <cell r="D5893">
            <v>1.49</v>
          </cell>
        </row>
        <row r="5894">
          <cell r="A5894">
            <v>100198</v>
          </cell>
          <cell r="B5894" t="str">
            <v>TRANSPORTE HORIZONTAL COM CARRINHO PLATAFORMA, DE SACOS DE 50 KG (UNIDADE: KGXKM). AF_07/2019</v>
          </cell>
          <cell r="C5894" t="str">
            <v>KGXKM</v>
          </cell>
          <cell r="D5894">
            <v>0.2</v>
          </cell>
        </row>
        <row r="5895">
          <cell r="A5895">
            <v>100199</v>
          </cell>
          <cell r="B5895" t="str">
            <v>TRANSPORTE HORIZONTAL COM CARRINHO PLATAFORMA, DE SACOS DE 30 KG (UNIDADE: KGXKM). AF_07/2019</v>
          </cell>
          <cell r="C5895" t="str">
            <v>KGXKM</v>
          </cell>
          <cell r="D5895">
            <v>0.25</v>
          </cell>
        </row>
        <row r="5896">
          <cell r="A5896">
            <v>100200</v>
          </cell>
          <cell r="B5896" t="str">
            <v>TRANSPORTE HORIZONTAL COM CARRINHO PLATAFORMA, DE SACOS DE 20 KG (UNIDADE: KGXKM). AF_07/2019</v>
          </cell>
          <cell r="C5896" t="str">
            <v>KGXKM</v>
          </cell>
          <cell r="D5896">
            <v>0.3</v>
          </cell>
        </row>
        <row r="5897">
          <cell r="A5897">
            <v>100201</v>
          </cell>
          <cell r="B5897" t="str">
            <v>TRANSPORTE HORIZONTAL COM CARRINHO DE MÃO, DE SACOS DE 50 KG (UNIDADE: KGXKM). AF_07/2019</v>
          </cell>
          <cell r="C5897" t="str">
            <v>KGXKM</v>
          </cell>
          <cell r="D5897">
            <v>0.6</v>
          </cell>
        </row>
        <row r="5898">
          <cell r="A5898">
            <v>100202</v>
          </cell>
          <cell r="B5898" t="str">
            <v>TRANSPORTE HORIZONTAL COM CARRINHO DE MÃO, DE SACOS DE 30 KG (UNIDADE: KGXKM). AF_07/2019</v>
          </cell>
          <cell r="C5898" t="str">
            <v>KGXKM</v>
          </cell>
          <cell r="D5898">
            <v>0.7</v>
          </cell>
        </row>
        <row r="5899">
          <cell r="A5899">
            <v>100203</v>
          </cell>
          <cell r="B5899" t="str">
            <v>TRANSPORTE HORIZONTAL COM CARRINHO DE MÃO, DE SACOS DE 20 KG (UNIDADE: KGXKM). AF_07/2019</v>
          </cell>
          <cell r="C5899" t="str">
            <v>KGXKM</v>
          </cell>
          <cell r="D5899">
            <v>0.83</v>
          </cell>
        </row>
        <row r="5900">
          <cell r="A5900">
            <v>100204</v>
          </cell>
          <cell r="B5900" t="str">
            <v>TRANSPORTE HORIZONTAL COM MANIPULADOR TELESCÓPICO, DE PÁLETE DE SACOS (UNIDADE: KGXKM). AF_07/2019</v>
          </cell>
          <cell r="C5900" t="str">
            <v>KGXKM</v>
          </cell>
          <cell r="D5900">
            <v>0.08</v>
          </cell>
        </row>
        <row r="5901">
          <cell r="A5901">
            <v>100205</v>
          </cell>
          <cell r="B5901" t="str">
            <v>TRANSPORTE HORIZONTAL COM JERICA DE 60 L, DE MASSA/ GRANEL (UNIDADE: M3XKM). AF_07/2019</v>
          </cell>
          <cell r="C5901" t="str">
            <v>M3XKM</v>
          </cell>
          <cell r="D5901">
            <v>1110.6600000000001</v>
          </cell>
        </row>
        <row r="5902">
          <cell r="A5902">
            <v>100206</v>
          </cell>
          <cell r="B5902" t="str">
            <v>TRANSPORTE HORIZONTAL COM JERICA DE 90 L, DE MASSA/ GRANEL (UNIDADE: M3XKM). AF_07/2019</v>
          </cell>
          <cell r="C5902" t="str">
            <v>M3XKM</v>
          </cell>
          <cell r="D5902">
            <v>802.82</v>
          </cell>
        </row>
        <row r="5903">
          <cell r="A5903">
            <v>100207</v>
          </cell>
          <cell r="B5903" t="str">
            <v>TRANSPORTE HORIZONTAL COM CARREGADEIRA, DE MASSA/ GRANEL (UNIDADE: M3XKM). AF_07/2019</v>
          </cell>
          <cell r="C5903" t="str">
            <v>M3XKM</v>
          </cell>
          <cell r="D5903">
            <v>266.49</v>
          </cell>
        </row>
        <row r="5904">
          <cell r="A5904">
            <v>100208</v>
          </cell>
          <cell r="B5904" t="str">
            <v>TRANSPORTE HORIZONTAL MANUAL, DE BLOCOS VAZADOS DE CONCRETO OU CERÂMICO DE 19X19X39CM (UNIDADE: BLOCOXKM). AF_07/2019</v>
          </cell>
          <cell r="C5904" t="str">
            <v>UNXKM</v>
          </cell>
          <cell r="D5904">
            <v>14.69</v>
          </cell>
        </row>
        <row r="5905">
          <cell r="A5905">
            <v>100209</v>
          </cell>
          <cell r="B5905" t="str">
            <v>TRANSPORTE HORIZONTAL MANUAL, DE BLOCOS CERÂMICOS FURADOS NA HORIZONTAL DE 9X19X19CM (UNIDADE: BLOCOXKM). AF_07/2019</v>
          </cell>
          <cell r="C5905" t="str">
            <v>UNXKM</v>
          </cell>
          <cell r="D5905">
            <v>7.34</v>
          </cell>
        </row>
        <row r="5906">
          <cell r="A5906">
            <v>100210</v>
          </cell>
          <cell r="B5906" t="str">
            <v>TRANSPORTE HORIZONTAL COM CARRINHO DE MÃO, DE BLOCOS VAZADOS DE CONCRETO OU CERÂMICO DE 19X19X39CM (UNIDADE: BLOCOXKM). AF_07/2019</v>
          </cell>
          <cell r="C5906" t="str">
            <v>UNXKM</v>
          </cell>
          <cell r="D5906">
            <v>13.53</v>
          </cell>
        </row>
        <row r="5907">
          <cell r="A5907">
            <v>100211</v>
          </cell>
          <cell r="B5907" t="str">
            <v>TRANSPORTE HORIZONTAL COM CARRINHO DE MÃO, DE BLOCOS CERÂMICOS FURADOS NA HORIZONTAL DE 9X19X19CM (UNIDADE: BLOCOXKM). AF_07/2019</v>
          </cell>
          <cell r="C5907" t="str">
            <v>UNXKM</v>
          </cell>
          <cell r="D5907">
            <v>5.22</v>
          </cell>
        </row>
        <row r="5908">
          <cell r="A5908">
            <v>100212</v>
          </cell>
          <cell r="B5908" t="str">
            <v>TRANSPORTE HORIZONTAL COM CARRINHO PLATAFORMA, DE BLOCOS VAZADOS DE CONCRETO OU CERÂMICO DE 19X19X39CM (UNIDADE: BLOCOXKM). AF_07/2019</v>
          </cell>
          <cell r="C5908" t="str">
            <v>UNXKM</v>
          </cell>
          <cell r="D5908">
            <v>5.76</v>
          </cell>
        </row>
        <row r="5909">
          <cell r="A5909">
            <v>100213</v>
          </cell>
          <cell r="B5909" t="str">
            <v>TRANSPORTE HORIZONTAL COM CARRINHO PLATAFORMA, DE BLOCOS CERÂMICOS FURADOS NA HORIZONTAL DE 9X19X19CM (UNIDADE: BLOCOXKM). AF_07/2019</v>
          </cell>
          <cell r="C5909" t="str">
            <v>UNXKM</v>
          </cell>
          <cell r="D5909">
            <v>2.0699999999999998</v>
          </cell>
        </row>
        <row r="5910">
          <cell r="A5910">
            <v>100214</v>
          </cell>
          <cell r="B5910" t="str">
            <v>TRANSPORTE HORIZONTAL COM CARRINHO MINI PÁLETES, DE BLOCOS VAZADOS DE CONCRETO DE 19X19X39CM (UNIDADE: BLOCOXKM). AF_07/2019</v>
          </cell>
          <cell r="C5910" t="str">
            <v>UNXKM</v>
          </cell>
          <cell r="D5910">
            <v>3.18</v>
          </cell>
        </row>
        <row r="5911">
          <cell r="A5911">
            <v>100215</v>
          </cell>
          <cell r="B5911" t="str">
            <v>TRANSPORTE HORIZONTAL COM CARRINHO MINI PÁLETES, DE BLOCOS CERÂMICOS FURADOS NA VERTICAL DE 19X19X39CM (UNIDADE: BLOCOXKM). AF_07/2019</v>
          </cell>
          <cell r="C5911" t="str">
            <v>UNXKM</v>
          </cell>
          <cell r="D5911">
            <v>2.72</v>
          </cell>
        </row>
        <row r="5912">
          <cell r="A5912">
            <v>100216</v>
          </cell>
          <cell r="B5912" t="str">
            <v>TRANSPORTE HORIZONTAL COM CARRINHO MINI PÁLETES, DE BLOCOS CERÂMICOS FURADOS NA HORIZONTAL DE 9X19X19CM (UNIDADE: BLOCOXKM). AF_07/2019</v>
          </cell>
          <cell r="C5912" t="str">
            <v>UNXKM</v>
          </cell>
          <cell r="D5912">
            <v>0.73</v>
          </cell>
        </row>
        <row r="5913">
          <cell r="A5913">
            <v>100217</v>
          </cell>
          <cell r="B5913" t="str">
            <v>TRANSPORTE HORIZONTAL COM MANIPULADOR TELESCÓPICO, DE BLOCOS VAZADOS DE CONCRETO DE 19X19X39CM (UNIDADE: BLOCOXKM). AF_07/2019</v>
          </cell>
          <cell r="C5913" t="str">
            <v>UNXKM</v>
          </cell>
          <cell r="D5913">
            <v>2.13</v>
          </cell>
        </row>
        <row r="5914">
          <cell r="A5914">
            <v>100218</v>
          </cell>
          <cell r="B5914" t="str">
            <v>TRANSPORTE HORIZONTAL COM MANIPULADOR TELESCÓPICO, DE BLOCOS CERÂMICOS FURADOS NA VERTICAL DE 19X19X39CM (UNIDADE: BLOCOXKM). AF_07/2019</v>
          </cell>
          <cell r="C5914" t="str">
            <v>UNXKM</v>
          </cell>
          <cell r="D5914">
            <v>1.46</v>
          </cell>
        </row>
        <row r="5915">
          <cell r="A5915">
            <v>100219</v>
          </cell>
          <cell r="B5915" t="str">
            <v>TRANSPORTE HORIZONTAL COM MANIPULADOR TELESCÓPICO, DE BLOCOS CERÂMICOS FURADOS NA HORIZONTAL DE 9X19X19CM (UNIDADE: BLOCOXKM). AF_07/2019</v>
          </cell>
          <cell r="C5915" t="str">
            <v>UNXKM</v>
          </cell>
          <cell r="D5915">
            <v>0.32</v>
          </cell>
        </row>
        <row r="5916">
          <cell r="A5916">
            <v>100220</v>
          </cell>
          <cell r="B5916" t="str">
            <v>TRANSPORTE HORIZONTAL MANUAL, DE CAIXA COM REVESTIMENTO CERÂMICO (UNIDADE: M2XKM). AF_07/2019</v>
          </cell>
          <cell r="C5916" t="str">
            <v>M2XKM</v>
          </cell>
          <cell r="D5916">
            <v>21.1</v>
          </cell>
        </row>
        <row r="5917">
          <cell r="A5917">
            <v>100221</v>
          </cell>
          <cell r="B5917" t="str">
            <v>TRANSPORTE HORIZONTAL COM CARRINHO DE MÃO, DE CAIXA COM REVESTIMENTO CERÂMICO (UNIDADE: M2XKM). AF_07/2019</v>
          </cell>
          <cell r="C5917" t="str">
            <v>M2XKM</v>
          </cell>
          <cell r="D5917">
            <v>23.92</v>
          </cell>
        </row>
        <row r="5918">
          <cell r="A5918">
            <v>100222</v>
          </cell>
          <cell r="B5918" t="str">
            <v>TRANSPORTE HORIZONTAL COM CARRINHO PLATAFORMA, DE CAIXA COM REVESTIMENTO CERÂMICO (UNIDADE: M2XKM). AF_07/2019</v>
          </cell>
          <cell r="C5918" t="str">
            <v>M2XKM</v>
          </cell>
          <cell r="D5918">
            <v>9.06</v>
          </cell>
        </row>
        <row r="5919">
          <cell r="A5919">
            <v>100223</v>
          </cell>
          <cell r="B5919" t="str">
            <v>TRANSPORTE HORIZONTAL COM CARRINHO MINI PÁLETES, DE CAIXA COM REVESTIMENTO CERÂMICO (UNIDADE: M2XKM). AF_07/2019</v>
          </cell>
          <cell r="C5919" t="str">
            <v>M2XKM</v>
          </cell>
          <cell r="D5919">
            <v>4.24</v>
          </cell>
        </row>
        <row r="5920">
          <cell r="A5920">
            <v>100224</v>
          </cell>
          <cell r="B5920" t="str">
            <v>TRANSPORTE HORIZONTAL COM MANIPULADOR TELESCÓPICO, DE CAIXA COM REVESTIMENTO CERÂMICO (UNIDADE: M2XKM). AF_07/2019</v>
          </cell>
          <cell r="C5920" t="str">
            <v>M2XKM</v>
          </cell>
          <cell r="D5920">
            <v>2.13</v>
          </cell>
        </row>
        <row r="5921">
          <cell r="A5921">
            <v>100225</v>
          </cell>
          <cell r="B5921" t="str">
            <v>TRANSPORTE HORIZONTAL MANUAL, DE LATA DE 18 LITROS (UNIDADE: LXKM). AF_07/2019</v>
          </cell>
          <cell r="C5921" t="str">
            <v>LXKM</v>
          </cell>
          <cell r="D5921">
            <v>1.65</v>
          </cell>
        </row>
        <row r="5922">
          <cell r="A5922">
            <v>100226</v>
          </cell>
          <cell r="B5922" t="str">
            <v>TRANSPORTE HORIZONTAL COM CARRINHO PLATAFORMA, DE LATA DE 18 LITROS (UNIDADE: LXKM). AF_07/2019</v>
          </cell>
          <cell r="C5922" t="str">
            <v>LXKM</v>
          </cell>
          <cell r="D5922">
            <v>0.52</v>
          </cell>
        </row>
        <row r="5923">
          <cell r="A5923">
            <v>100227</v>
          </cell>
          <cell r="B5923" t="str">
            <v>TRANSPORTE HORIZONTAL COM CARRINHO RACIONAL, DE LATA DE 18 LITROS (UNIDADE: LXKM). AF_07/2019</v>
          </cell>
          <cell r="C5923" t="str">
            <v>LXKM</v>
          </cell>
          <cell r="D5923">
            <v>0.77</v>
          </cell>
        </row>
        <row r="5924">
          <cell r="A5924">
            <v>100228</v>
          </cell>
          <cell r="B5924" t="str">
            <v>TRANSPORTE HORIZONTAL COM MANIPULADOR TELESCÓPICO, DE LATA DE 18 LITROS (UNIDADE: LXKM). AF_07/2019</v>
          </cell>
          <cell r="C5924" t="str">
            <v>LXKM</v>
          </cell>
          <cell r="D5924">
            <v>0.2</v>
          </cell>
        </row>
        <row r="5925">
          <cell r="A5925">
            <v>100229</v>
          </cell>
          <cell r="B5925" t="str">
            <v>TRANSPORTE VERTICAL MANUAL, 1 PAVIMENTO, DE SACOS DE 50 KG (UNIDADE: KG). AF_07/2019</v>
          </cell>
          <cell r="C5925" t="str">
            <v>KG</v>
          </cell>
          <cell r="D5925">
            <v>0.01</v>
          </cell>
        </row>
        <row r="5926">
          <cell r="A5926">
            <v>100230</v>
          </cell>
          <cell r="B5926" t="str">
            <v>TRANSPORTE VERTICAL MANUAL, 1 PAVIMENTO, DE SACOS DE 30 KG (UNIDADE: KG). AF_07/2019</v>
          </cell>
          <cell r="C5926" t="str">
            <v>KG</v>
          </cell>
          <cell r="D5926">
            <v>0.01</v>
          </cell>
        </row>
        <row r="5927">
          <cell r="A5927">
            <v>100231</v>
          </cell>
          <cell r="B5927" t="str">
            <v>TRANSPORTE VERTICAL MANUAL, 1 PAVIMENTO, DE SACOS DE 20 KG (UNIDADE: KG). AF_07/2019</v>
          </cell>
          <cell r="C5927" t="str">
            <v>KG</v>
          </cell>
          <cell r="D5927">
            <v>0.02</v>
          </cell>
        </row>
        <row r="5928">
          <cell r="A5928">
            <v>100232</v>
          </cell>
          <cell r="B5928" t="str">
            <v>TRANSPORTE VERTICAL MANUAL, 1 PAVIMENTO, DE BLOCOS VAZADOS DE CONCRETO OU CERÂMICO DE 19X19X39CM (UNIDADE: BLOCO). AF_07/2019</v>
          </cell>
          <cell r="C5928" t="str">
            <v>UN</v>
          </cell>
          <cell r="D5928">
            <v>0.27</v>
          </cell>
        </row>
        <row r="5929">
          <cell r="A5929">
            <v>100233</v>
          </cell>
          <cell r="B5929" t="str">
            <v>TRANSPORTE VERTICAL MANUAL, 1 PAVIMENTO, DE BLOCOS CERÂMICOS FURADOS NA HORIZONTAL DE 9X19X19CM (UNIDADE: BLOCO). AF_07/2019</v>
          </cell>
          <cell r="C5929" t="str">
            <v>UN</v>
          </cell>
          <cell r="D5929">
            <v>0.13</v>
          </cell>
        </row>
        <row r="5930">
          <cell r="A5930">
            <v>100234</v>
          </cell>
          <cell r="B5930" t="str">
            <v>TRANSPORTE VERTICAL MANUAL, 1 PAVIMENTO, DE CAIXA COM REVESTIMENTO CERÂMICO (UNIDADE: M2). AF_07/2019</v>
          </cell>
          <cell r="C5930" t="str">
            <v>M2</v>
          </cell>
          <cell r="D5930">
            <v>0.41</v>
          </cell>
        </row>
        <row r="5931">
          <cell r="A5931">
            <v>100235</v>
          </cell>
          <cell r="B5931" t="str">
            <v>TRANSPORTE VERTICAL MANUAL, 1 PAVIMENTO, DE LATA DE 18 LITROS (UNIDADE: L). AF_07/2019</v>
          </cell>
          <cell r="C5931" t="str">
            <v>L</v>
          </cell>
          <cell r="D5931">
            <v>0.03</v>
          </cell>
        </row>
        <row r="5932">
          <cell r="A5932">
            <v>100236</v>
          </cell>
          <cell r="B5932" t="str">
            <v>TRANSPORTE HORIZONTAL MANUAL, DE TUBO DE PVC SOLDÁVEL COM DIÂMETRO MENOR OU IGUAL A 60 MM (UNIDADE: MXKM). AF_07/2019</v>
          </cell>
          <cell r="C5932" t="str">
            <v>MXKM</v>
          </cell>
          <cell r="D5932">
            <v>2.1</v>
          </cell>
        </row>
        <row r="5933">
          <cell r="A5933">
            <v>100237</v>
          </cell>
          <cell r="B5933" t="str">
            <v>TRANSPORTE HORIZONTAL MANUAL, DE TUBO DE PVC SOLDÁVEL COM DIÂMETRO MAIOR QUE 60 MM E MENOR OU IGUAL A 85 MM (UNIDADE: MXKM). AF_07/2019</v>
          </cell>
          <cell r="C5933" t="str">
            <v>MXKM</v>
          </cell>
          <cell r="D5933">
            <v>2.52</v>
          </cell>
        </row>
        <row r="5934">
          <cell r="A5934">
            <v>100238</v>
          </cell>
          <cell r="B5934" t="str">
            <v>TRANSPORTE HORIZONTAL MANUAL, DE TUBO DE CPVC COM DIÂMETRO MENOR OU IGUAL A 73 MM (UNIDADE: MXKM). AF_07/2019</v>
          </cell>
          <cell r="C5934" t="str">
            <v>MXKM</v>
          </cell>
          <cell r="D5934">
            <v>4.04</v>
          </cell>
        </row>
        <row r="5935">
          <cell r="A5935">
            <v>100239</v>
          </cell>
          <cell r="B5935" t="str">
            <v>TRANSPORTE HORIZONTAL MANUAL, DE TUBO DE CPVC COM DIÂMETRO MAIOR QUE 73 MM E MENOR OU IGUAL A 89 MM (UNIDADE: MXKM). AF_07/2019</v>
          </cell>
          <cell r="C5935" t="str">
            <v>MXKM</v>
          </cell>
          <cell r="D5935">
            <v>5.05</v>
          </cell>
        </row>
        <row r="5936">
          <cell r="A5936">
            <v>100240</v>
          </cell>
          <cell r="B5936" t="str">
            <v>TRANSPORTE HORIZONTAL MANUAL, DE TUBO DE PPR - PN12 OU PN25 - COM DIÂMETRO MENOR OU IGUAL A 50 MM (UNIDADE: MXKM). AF_07/2019</v>
          </cell>
          <cell r="C5936" t="str">
            <v>MXKM</v>
          </cell>
          <cell r="D5936">
            <v>3.02</v>
          </cell>
        </row>
        <row r="5937">
          <cell r="A5937">
            <v>100241</v>
          </cell>
          <cell r="B5937" t="str">
            <v>TRANSPORTE HORIZONTAL MANUAL, DE TUBO DE PPR - PN12 OU PN25 - COM DIÂMETRO MAIOR QUE 50 MM E MENOR OU IGUAL A 75 MM (UNIDADE: MXKM). AF_07/2019</v>
          </cell>
          <cell r="C5937" t="str">
            <v>MXKM</v>
          </cell>
          <cell r="D5937">
            <v>5.05</v>
          </cell>
        </row>
        <row r="5938">
          <cell r="A5938">
            <v>100242</v>
          </cell>
          <cell r="B5938" t="str">
            <v>TRANSPORTE HORIZONTAL MANUAL, DE TUBO DE PPR - PN12 OU PN25 - COM DIÂMETRO MAIOR QUE 75 MM E MENOR OU IGUAL A 110 MM (UNIDADE: MXKM). AF_07/2019</v>
          </cell>
          <cell r="C5938" t="str">
            <v>MXKM</v>
          </cell>
          <cell r="D5938">
            <v>14.92</v>
          </cell>
        </row>
        <row r="5939">
          <cell r="A5939">
            <v>100243</v>
          </cell>
          <cell r="B5939" t="str">
            <v>TRANSPORTE HORIZONTAL MANUAL, DE TUBO DE COBRE - CLASSE E - COM DIÂMETRO MENOR OU IGUAL A 54 MM (UNIDADE: MXKM). AF_07/2019</v>
          </cell>
          <cell r="C5939" t="str">
            <v>MXKM</v>
          </cell>
          <cell r="D5939">
            <v>2.42</v>
          </cell>
        </row>
        <row r="5940">
          <cell r="A5940">
            <v>100244</v>
          </cell>
          <cell r="B5940" t="str">
            <v>TRANSPORTE HORIZONTAL MANUAL, DE TUBO DE COBRE - CLASSE E - COM DIÂMETRO MAIOR QUE 54 MM E MENOR OU IGUAL A 79 MM (UNIDADE: MXKM). AF_07/2019</v>
          </cell>
          <cell r="C5940" t="str">
            <v>MXKM</v>
          </cell>
          <cell r="D5940">
            <v>3.02</v>
          </cell>
        </row>
        <row r="5941">
          <cell r="A5941">
            <v>100245</v>
          </cell>
          <cell r="B5941" t="str">
            <v>TRANSPORTE HORIZONTAL MANUAL, DE TUBO DE COBRE - CLASSE E - COM DIÂMETRO MAIOR QUE 79 MM E MENOR OU IGUAL A 104 MM (UNIDADE: MXKM). AF_07/2019</v>
          </cell>
          <cell r="C5941" t="str">
            <v>MXKM</v>
          </cell>
          <cell r="D5941">
            <v>6.06</v>
          </cell>
        </row>
        <row r="5942">
          <cell r="A5942">
            <v>100246</v>
          </cell>
          <cell r="B5942" t="str">
            <v>TRANSPORTE HORIZONTAL MANUAL, DE TUBO DE PVC SÉRIE NORMAL - ESGOTO PREDIAL, OU REFORÇADO PARA ESGOTO OU ÁGUAS PLUVIAIS PREDIAL, COM DIÂMETRO MENOR OU IGUAL A 75 MM (UNIDADE: MXKM). AF_07/2019</v>
          </cell>
          <cell r="C5942" t="str">
            <v>MXKM</v>
          </cell>
          <cell r="D5942">
            <v>2.0099999999999998</v>
          </cell>
        </row>
        <row r="5943">
          <cell r="A5943">
            <v>100247</v>
          </cell>
          <cell r="B5943" t="str">
            <v>TRANSPORTE HORIZONTAL MANUAL, DE TUBO DE PVC SÉRIE NORMAL - ESGOTO PREDIAL, OU REFORÇADO PARA ESGOTO OU ÁGUAS PLUVIAIS PREDIAL, COM DIÂMETRO MAIOR QUE 75 MM E MENOR OU IGUAL A 100 MM (UNIDADE: MXKM). AF_07/2019</v>
          </cell>
          <cell r="C5943" t="str">
            <v>MXKM</v>
          </cell>
          <cell r="D5943">
            <v>2.52</v>
          </cell>
        </row>
        <row r="5944">
          <cell r="A5944">
            <v>100248</v>
          </cell>
          <cell r="B5944" t="str">
            <v>TRANSPORTE HORIZONTAL MANUAL, DE TUBO DE PVC SÉRIE NORMAL - ESGOTO PREDIAL, OU REFORÇADO PARA ESGOTO OU ÁGUAS PLUVIAIS PREDIAL, COM DIÂMETRO MAIOR QUE 100 MM E MENOR OU IGUAL A 150 MM (UNIDADE: MXKM). AF_07/2019</v>
          </cell>
          <cell r="C5944" t="str">
            <v>MXKM</v>
          </cell>
          <cell r="D5944">
            <v>9.94</v>
          </cell>
        </row>
        <row r="5945">
          <cell r="A5945">
            <v>100249</v>
          </cell>
          <cell r="B5945" t="str">
            <v>TRANSPORTE HORIZONTAL MANUAL, DE TUBO DE AÇO CARBONO LEVE OU MÉDIO, PRETO OU GALVANIZADO, COM DIÂMETRO MENOR OU IGUAL A 20 MM (UNIDADE: MXKM). AF_07/2019</v>
          </cell>
          <cell r="C5945" t="str">
            <v>MXKM</v>
          </cell>
          <cell r="D5945">
            <v>2.0099999999999998</v>
          </cell>
        </row>
        <row r="5946">
          <cell r="A5946">
            <v>100250</v>
          </cell>
          <cell r="B5946" t="str">
            <v>TRANSPORTE HORIZONTAL MANUAL, DE TUBO DE AÇO CARBONO LEVE OU MÉDIO, PRETO OU GALVANIZADO, COM DIÂMETRO MAIOR QUE 20 MM E MENOR OU IGUAL A 32 MM (UNIDADE: MXKM). AF_07/2019</v>
          </cell>
          <cell r="C5946" t="str">
            <v>MXKM</v>
          </cell>
          <cell r="D5946">
            <v>3.36</v>
          </cell>
        </row>
        <row r="5947">
          <cell r="A5947">
            <v>100251</v>
          </cell>
          <cell r="B5947" t="str">
            <v>TRANSPORTE HORIZONTAL MANUAL, DE TUBO DE AÇO CARBONO LEVE OU MÉDIO, PRETO OU GALVANIZADO, COM DIÂMETRO MAIOR QUE 32 MM E MENOR OU IGUAL A 65 MM (UNIDADE: MXKM). AF_07/2019</v>
          </cell>
          <cell r="C5947" t="str">
            <v>MXKM</v>
          </cell>
          <cell r="D5947">
            <v>9.94</v>
          </cell>
        </row>
        <row r="5948">
          <cell r="A5948">
            <v>100252</v>
          </cell>
          <cell r="B5948" t="str">
            <v>TRANSPORTE HORIZONTAL MANUAL, DE TUBO DE AÇO CARBONO LEVE OU MÉDIO, PRETO OU GALVANIZADO, COM DIÂMETRO MAIOR QUE 65 MM E MENOR OU IGUAL A 90 MM (UNIDADE: MXKM). AF_07/2019</v>
          </cell>
          <cell r="C5948" t="str">
            <v>MXKM</v>
          </cell>
          <cell r="D5948">
            <v>14.92</v>
          </cell>
        </row>
        <row r="5949">
          <cell r="A5949">
            <v>100253</v>
          </cell>
          <cell r="B5949" t="str">
            <v>TRANSPORTE HORIZONTAL MANUAL, DE TUBO DE AÇO CARBONO LEVE OU MÉDIO, PRETO OU GALVANIZADO, COM DIÂMETRO MAIOR QUE 90 MM E MENOR OU IGUAL A 125 MM (UNIDADE: MXKM). AF_07/2019</v>
          </cell>
          <cell r="C5949" t="str">
            <v>MXKM</v>
          </cell>
          <cell r="D5949">
            <v>19.89</v>
          </cell>
        </row>
        <row r="5950">
          <cell r="A5950">
            <v>100254</v>
          </cell>
          <cell r="B5950" t="str">
            <v>TRANSPORTE HORIZONTAL MANUAL, DE TUBO DE AÇO CARBONO LEVE OU MÉDIO, PRETO OU GALVANIZADO, COM DIÂMETRO MAIOR QUE 125 MM E MENOR OU IGUAL A 150 MM (UNIDADE: MXKM). AF_07/2019</v>
          </cell>
          <cell r="C5950" t="str">
            <v>MXKM</v>
          </cell>
          <cell r="D5950">
            <v>29.84</v>
          </cell>
        </row>
        <row r="5951">
          <cell r="A5951">
            <v>100255</v>
          </cell>
          <cell r="B5951" t="str">
            <v>TRANSPORTE HORIZONTAL MANUAL, DE TÁBUAS DE MADEIRA COM SEÇÃO TRANSVERSAL DE 2,5 X 25 CM E 2,5 X 30 CM (UNIDADE: MXKM). AF_07/2019</v>
          </cell>
          <cell r="C5951" t="str">
            <v>MXKM</v>
          </cell>
          <cell r="D5951">
            <v>10.09</v>
          </cell>
        </row>
        <row r="5952">
          <cell r="A5952">
            <v>100256</v>
          </cell>
          <cell r="B5952" t="str">
            <v>TRANSPORTE HORIZONTAL MANUAL, DE CAIBROS DE MADEIRA COM SEÇÃO TRANSVERSAL DE 7,5 X 6 CM E 6 X 8 CM (UNIDADE: MXKM). AF_07/2019</v>
          </cell>
          <cell r="C5952" t="str">
            <v>MXKM</v>
          </cell>
          <cell r="D5952">
            <v>6.73</v>
          </cell>
        </row>
        <row r="5953">
          <cell r="A5953">
            <v>100257</v>
          </cell>
          <cell r="B5953" t="str">
            <v>TRANSPORTE HORIZONTAL MANUAL, DE RIPAS DE MADEIRA COM SEÇÃO TRANSVERSAL DE 1 X 5 CM E 2 X 5 CM (UNIDADE: MXKM). AF_07/2019</v>
          </cell>
          <cell r="C5953" t="str">
            <v>MXKM</v>
          </cell>
          <cell r="D5953">
            <v>4.04</v>
          </cell>
        </row>
        <row r="5954">
          <cell r="A5954">
            <v>100258</v>
          </cell>
          <cell r="B5954" t="str">
            <v>TRANSPORTE HORIZONTAL MANUAL, DE VIGAS DE MADEIRA COM SEÇÃO TRANSVERSAL DE 5 X 12 CM (UNIDADE: MXKM). AF_07/2019</v>
          </cell>
          <cell r="C5954" t="str">
            <v>MXKM</v>
          </cell>
          <cell r="D5954">
            <v>10.09</v>
          </cell>
        </row>
        <row r="5955">
          <cell r="A5955">
            <v>100259</v>
          </cell>
          <cell r="B5955" t="str">
            <v>TRANSPORTE HORIZONTAL MANUAL, DE VIGAS DE MADEIRA COM SEÇÃO TRANSVERSAL DE 6 X 16 CM (UNIDADE: MXKM). AF_07/2019</v>
          </cell>
          <cell r="C5955" t="str">
            <v>MXKM</v>
          </cell>
          <cell r="D5955">
            <v>19.89</v>
          </cell>
        </row>
        <row r="5956">
          <cell r="A5956">
            <v>100260</v>
          </cell>
          <cell r="B5956" t="str">
            <v>TRANSPORTE HORIZONTAL MANUAL, DE VERGALHÕES DE AÇO COM DIÂMETRO DE 5 MM (UNIDADE: KGXKM). AF_07/2019</v>
          </cell>
          <cell r="C5956" t="str">
            <v>KGXKM</v>
          </cell>
          <cell r="D5956">
            <v>6.55</v>
          </cell>
        </row>
        <row r="5957">
          <cell r="A5957">
            <v>100261</v>
          </cell>
          <cell r="B5957" t="str">
            <v>TRANSPORTE HORIZONTAL MANUAL, DE VERGALHÕES DE AÇO COM DIÂMETRO DE 6,3 MM (UNIDADE: KGXKM). AF_07/2019</v>
          </cell>
          <cell r="C5957" t="str">
            <v>KGXKM</v>
          </cell>
          <cell r="D5957">
            <v>4.12</v>
          </cell>
        </row>
        <row r="5958">
          <cell r="A5958">
            <v>100262</v>
          </cell>
          <cell r="B5958" t="str">
            <v>TRANSPORTE HORIZONTAL MANUAL, DE VERGALHÕES DE AÇO COM DIÂMETRO DE 8 MM (UNIDADE: KGXKM). AF_07/2019</v>
          </cell>
          <cell r="C5958" t="str">
            <v>KGXKM</v>
          </cell>
          <cell r="D5958">
            <v>2.5499999999999998</v>
          </cell>
        </row>
        <row r="5959">
          <cell r="A5959">
            <v>100263</v>
          </cell>
          <cell r="B5959" t="str">
            <v>TRANSPORTE HORIZONTAL MANUAL, DE VERGALHÕES DE AÇO COM DIÂMETRO DE 10 MM; 12,5 MM; 16 MM; 20 MM; 25 MM OU 32 MM (UNIDADE: KGXKM). AF_07/2019</v>
          </cell>
          <cell r="C5959" t="str">
            <v>KGXKM</v>
          </cell>
          <cell r="D5959">
            <v>1.63</v>
          </cell>
        </row>
        <row r="5960">
          <cell r="A5960">
            <v>100264</v>
          </cell>
          <cell r="B5960" t="str">
            <v>TRANSPORTE HORIZONTAL MANUAL, DE JANELA (UNIDADE: M2XKM). AF_07/2019</v>
          </cell>
          <cell r="C5960" t="str">
            <v>M2XKM</v>
          </cell>
          <cell r="D5960">
            <v>29.79</v>
          </cell>
        </row>
        <row r="5961">
          <cell r="A5961">
            <v>100265</v>
          </cell>
          <cell r="B5961" t="str">
            <v>TRANSPORTE VERTICAL MANUAL, 1 PAVIMENTO, DE JANELA (UNIDADE: M2). AF_07/2019</v>
          </cell>
          <cell r="C5961" t="str">
            <v>M2</v>
          </cell>
          <cell r="D5961">
            <v>0.62</v>
          </cell>
        </row>
        <row r="5962">
          <cell r="A5962">
            <v>100266</v>
          </cell>
          <cell r="B5962" t="str">
            <v>TRANSPORTE HORIZONTAL MANUAL, DE PORTA (UNIDADE: UNIDXKM). AF_07/2019</v>
          </cell>
          <cell r="C5962" t="str">
            <v>UNXKM</v>
          </cell>
          <cell r="D5962">
            <v>63.32</v>
          </cell>
        </row>
        <row r="5963">
          <cell r="A5963">
            <v>100267</v>
          </cell>
          <cell r="B5963" t="str">
            <v>TRANSPORTE VERTICAL MANUAL, 1 PAVIMENTO, DE PORTA (UNIDADE: UNID). AF_07/2019</v>
          </cell>
          <cell r="C5963" t="str">
            <v>UN</v>
          </cell>
          <cell r="D5963">
            <v>1.25</v>
          </cell>
        </row>
        <row r="5964">
          <cell r="A5964">
            <v>100268</v>
          </cell>
          <cell r="B5964" t="str">
            <v>TRANSPORTE HORIZONTAL MANUAL, DE BANCADA DE MÁRMORE OU GRANITO PARA COZINHA/LAVATÓRIO OU MÁRMORE SINTÉTICO COM CUBA INTEGRADA (UNIDADE: UNIDXKM). AF_07/2019</v>
          </cell>
          <cell r="C5964" t="str">
            <v>UNXKM</v>
          </cell>
          <cell r="D5964">
            <v>63.32</v>
          </cell>
        </row>
        <row r="5965">
          <cell r="A5965">
            <v>100269</v>
          </cell>
          <cell r="B5965" t="str">
            <v>TRANSPORTE VERTICAL, BANCADA DE MÁRMORE OU GRANITO PARA COZINHA/LAVATÓRIO OU MÁRMORE SINTÉTICO COM CUBA INTEGRADA, MANUAL, 1 PAVIMENTO, (UNIDADE: UNID). AF_07/2019</v>
          </cell>
          <cell r="C5965" t="str">
            <v>UN</v>
          </cell>
          <cell r="D5965">
            <v>1.25</v>
          </cell>
        </row>
        <row r="5966">
          <cell r="A5966">
            <v>100270</v>
          </cell>
          <cell r="B5966" t="str">
            <v>TRANSPORTE HORIZONTAL COM CARRINHO PLATAFORMA, DE BANCADA DE MÁRMORE OU GRANITO PARA COZINHA/LAVATÓRIO OU MÁRMORE SINTÉTICO COM CUBA INTEGRADA (UNIDADE: UNIDXKM). AF_07/2019</v>
          </cell>
          <cell r="C5966" t="str">
            <v>UNXKM</v>
          </cell>
          <cell r="D5966">
            <v>47.46</v>
          </cell>
        </row>
        <row r="5967">
          <cell r="A5967">
            <v>100271</v>
          </cell>
          <cell r="B5967" t="str">
            <v>TRANSPORTE HORIZONTAL MANUAL, DE VIDRO (UNIDADE: M2XKM). AF_07/2019</v>
          </cell>
          <cell r="C5967" t="str">
            <v>M2XKM</v>
          </cell>
          <cell r="D5967">
            <v>47.49</v>
          </cell>
        </row>
        <row r="5968">
          <cell r="A5968">
            <v>100272</v>
          </cell>
          <cell r="B5968" t="str">
            <v>TRANSPORTE VERTICAL MANUAL, 1 PAVIMENTO, DE VIDRO (UNIDADE: M2). AF_07/2019</v>
          </cell>
          <cell r="C5968" t="str">
            <v>M2</v>
          </cell>
          <cell r="D5968">
            <v>0.94</v>
          </cell>
        </row>
        <row r="5969">
          <cell r="A5969">
            <v>100273</v>
          </cell>
          <cell r="B5969" t="str">
            <v>TRANSPORTE HORIZONTAL MANUAL, DE TELA DE AÇO (UNIDADE: KGXKM). AF_07/2019</v>
          </cell>
          <cell r="C5969" t="str">
            <v>KGXKM</v>
          </cell>
          <cell r="D5969">
            <v>2.4700000000000002</v>
          </cell>
        </row>
        <row r="5970">
          <cell r="A5970">
            <v>100274</v>
          </cell>
          <cell r="B5970" t="str">
            <v>TRANSPORTE HORIZONTAL MANUAL, DE COMPENSADO DE MADEIRA (UNIDADE: M2XKM). AF_07/2019</v>
          </cell>
          <cell r="C5970" t="str">
            <v>M2XKM</v>
          </cell>
          <cell r="D5970">
            <v>21.12</v>
          </cell>
        </row>
        <row r="5971">
          <cell r="A5971">
            <v>100275</v>
          </cell>
          <cell r="B5971" t="str">
            <v>TRANSPORTE HORIZONTAL MANUAL, DE TELHA TERMOACÚSTICA OU TELHA DE AÇO ZINCADO (UNIDADE: M2XKM). AF_07/2019</v>
          </cell>
          <cell r="C5971" t="str">
            <v>M2XKM</v>
          </cell>
          <cell r="D5971">
            <v>13.65</v>
          </cell>
        </row>
        <row r="5972">
          <cell r="A5972">
            <v>100276</v>
          </cell>
          <cell r="B5972" t="str">
            <v>TRANSPORTE HORIZONTAL MANUAL, DE TELHA DE FIBROCIMENTO OU TELHA ESTRUTURAL DE FIBROCIMENTO, CANALETE 90 OU KALHETÃO (UNIDADE: M2XKM). AF_07/2019</v>
          </cell>
          <cell r="C5972" t="str">
            <v>M2XKM</v>
          </cell>
          <cell r="D5972">
            <v>24.91</v>
          </cell>
        </row>
        <row r="5973">
          <cell r="A5973">
            <v>100277</v>
          </cell>
          <cell r="B5973" t="str">
            <v>TRANSPORTE HORIZONTAL COM MANIPULADOR TELESCÓPICO, DE TELHAS TERMOACÚSTICAS, FIBROCIMENTO, AÇO ZINCADO, FIBROCIMENTO ESTRUTURAL, CANALETE 90 OU KALHETÃO (UNIDADE: M2XKM). AF_07/2019</v>
          </cell>
          <cell r="C5973" t="str">
            <v>M2XKM</v>
          </cell>
          <cell r="D5973">
            <v>1.36</v>
          </cell>
        </row>
        <row r="5974">
          <cell r="A5974">
            <v>100278</v>
          </cell>
          <cell r="B5974" t="str">
            <v>TRANSPORTE HORIZONTAL MANUAL, DE BACIA SANITÁRIA, CAIXA ACOPLADA, TANQUE OU PIA (UNIDADE: UNIDXKM). AF_07/2019</v>
          </cell>
          <cell r="C5974" t="str">
            <v>UNXKM</v>
          </cell>
          <cell r="D5974">
            <v>30.29</v>
          </cell>
        </row>
        <row r="5975">
          <cell r="A5975">
            <v>100279</v>
          </cell>
          <cell r="B5975" t="str">
            <v>TRANSPORTE VERTICAL MANUAL, 1 PAVIMENTO, DE BACIA SANITÁRIA, CAIXA ACOPLADA, TANQUE OU PIA (UNIDADE: UNID). AF_07/2019</v>
          </cell>
          <cell r="C5975" t="str">
            <v>UN</v>
          </cell>
          <cell r="D5975">
            <v>0.57999999999999996</v>
          </cell>
        </row>
        <row r="5976">
          <cell r="A5976">
            <v>100280</v>
          </cell>
          <cell r="B5976" t="str">
            <v>TRANSPORTE HORIZONTAL COM CARRINHO PLATAFORMA, DE BACIA SANITÁRIA, CAIXA ACOPLADA, TANQUE OU PIA (UNIDADE: UNIDXKM). AF_07/2019</v>
          </cell>
          <cell r="C5976" t="str">
            <v>UNXKM</v>
          </cell>
          <cell r="D5976">
            <v>13.91</v>
          </cell>
        </row>
        <row r="5977">
          <cell r="A5977">
            <v>100281</v>
          </cell>
          <cell r="B5977" t="str">
            <v>TRANSPORTE HORIZONTAL COM MANIPULADOR TELESCÓPICO, DE BACIA SANITÁRIA, CAIXA ACOPLADA, TANQUE OU PIA (UNIDADE: UNIDXKM). AF_07/2019</v>
          </cell>
          <cell r="C5977" t="str">
            <v>UNXKM</v>
          </cell>
          <cell r="D5977">
            <v>2.61</v>
          </cell>
        </row>
        <row r="5978">
          <cell r="A5978">
            <v>100282</v>
          </cell>
          <cell r="B5978" t="str">
            <v>TRANSPORTE HORIZONTAL MANUAL, DE TELHA DE CONCRETO OU CERÂMICA (UNIDADE: M2XKM). AF_07/2019</v>
          </cell>
          <cell r="C5978" t="str">
            <v>M2XKM</v>
          </cell>
          <cell r="D5978">
            <v>118.64</v>
          </cell>
        </row>
        <row r="5979">
          <cell r="A5979">
            <v>100283</v>
          </cell>
          <cell r="B5979" t="str">
            <v>TRANSPORTE HORIZONTAL COM CARRINHO PLATAFORMA, DE TELHA DE CONCRETO OU CERÂMICA (UNIDADE: M2XKM). AF_07/2019</v>
          </cell>
          <cell r="C5979" t="str">
            <v>M2XKM</v>
          </cell>
          <cell r="D5979">
            <v>19.16</v>
          </cell>
        </row>
        <row r="5980">
          <cell r="A5980">
            <v>100284</v>
          </cell>
          <cell r="B5980" t="str">
            <v>TRANSPORTE HORIZONTAL COM MANIPULADOR TELESCÓPICO, DE TELHA DE CONCRETO OU CERÂMICA (UNIDADE: M2XKM). AF_07/2019</v>
          </cell>
          <cell r="C5980" t="str">
            <v>M2XKM</v>
          </cell>
          <cell r="D5980">
            <v>7.64</v>
          </cell>
        </row>
        <row r="5981">
          <cell r="A5981">
            <v>100285</v>
          </cell>
          <cell r="B5981" t="str">
            <v>TRANSPORTE HORIZONTAL MANUAL, DE BARRAMENTO BLINDADO (UNIDADE: MXKM). AF_07/2019</v>
          </cell>
          <cell r="C5981" t="str">
            <v>MXKM</v>
          </cell>
          <cell r="D5981">
            <v>31.87</v>
          </cell>
        </row>
        <row r="5982">
          <cell r="A5982">
            <v>100286</v>
          </cell>
          <cell r="B5982" t="str">
            <v>TRANSPORTE HORIZONTAL COM CARRINHO PLATAFORMA, DE BARRAMENTO BLINDADO (UNIDADE: MXKM). AF_07/2019</v>
          </cell>
          <cell r="C5982" t="str">
            <v>MXKM</v>
          </cell>
          <cell r="D5982">
            <v>10.38</v>
          </cell>
        </row>
        <row r="5983">
          <cell r="A5983">
            <v>100287</v>
          </cell>
          <cell r="B5983" t="str">
            <v>TRANSPORTE HORIZONTAL MANUAL, DE CALHA QUADRADA NÚMERO 24  CORTE 33 (UNIDADE: MXKM). AF_07/2019</v>
          </cell>
          <cell r="C5983" t="str">
            <v>MXKM</v>
          </cell>
          <cell r="D5983">
            <v>9.94</v>
          </cell>
        </row>
        <row r="5984">
          <cell r="A5984">
            <v>84117</v>
          </cell>
          <cell r="B5984" t="str">
            <v>RASPAGEM / CALAFETACAO TACOS MADEIRA 1 DEMAO CERA</v>
          </cell>
          <cell r="C5984" t="str">
            <v>M2</v>
          </cell>
          <cell r="D5984">
            <v>19.73</v>
          </cell>
        </row>
        <row r="5985">
          <cell r="A5985">
            <v>84120</v>
          </cell>
          <cell r="B5985" t="str">
            <v>ENCERAMENTO MANUAL EM MADEIRA - 3 DEMAOS</v>
          </cell>
          <cell r="C5985" t="str">
            <v>M2</v>
          </cell>
          <cell r="D5985">
            <v>13.12</v>
          </cell>
        </row>
        <row r="5986">
          <cell r="A5986">
            <v>99802</v>
          </cell>
          <cell r="B5986" t="str">
            <v>LIMPEZA DE PISO CERÂMICO OU PORCELANATO COM VASSOURA A SECO. AF_04/2019</v>
          </cell>
          <cell r="C5986" t="str">
            <v>M2</v>
          </cell>
          <cell r="D5986">
            <v>0.4</v>
          </cell>
        </row>
        <row r="5987">
          <cell r="A5987">
            <v>99803</v>
          </cell>
          <cell r="B5987" t="str">
            <v>LIMPEZA DE PISO CERÂMICO OU PORCELANATO COM PANO ÚMIDO. AF_04/2019</v>
          </cell>
          <cell r="C5987" t="str">
            <v>M2</v>
          </cell>
          <cell r="D5987">
            <v>1.57</v>
          </cell>
        </row>
        <row r="5988">
          <cell r="A5988">
            <v>99805</v>
          </cell>
          <cell r="B5988" t="str">
            <v>LIMPEZA DE PISO CERÂMICO OU COM PEDRAS RÚSTICAS UTILIZANDO ÁCIDO MURIÁTICO. AF_04/2019</v>
          </cell>
          <cell r="C5988" t="str">
            <v>M2</v>
          </cell>
          <cell r="D5988">
            <v>8.2100000000000009</v>
          </cell>
        </row>
        <row r="5989">
          <cell r="A5989">
            <v>99806</v>
          </cell>
          <cell r="B5989" t="str">
            <v>LIMPEZA DE REVESTIMENTO CERÂMICO EM PAREDE COM PANO ÚMIDO AF_04/2019</v>
          </cell>
          <cell r="C5989" t="str">
            <v>M2</v>
          </cell>
          <cell r="D5989">
            <v>0.65</v>
          </cell>
        </row>
        <row r="5990">
          <cell r="A5990">
            <v>99808</v>
          </cell>
          <cell r="B5990" t="str">
            <v>LIMPEZA DE REVESTIMENTO CERÂMICO EM PAREDE UTILIZANDO ÁCIDO MURIÁTICO. AF_04/2019</v>
          </cell>
          <cell r="C5990" t="str">
            <v>M2</v>
          </cell>
          <cell r="D5990">
            <v>2.68</v>
          </cell>
        </row>
        <row r="5991">
          <cell r="A5991">
            <v>99809</v>
          </cell>
          <cell r="B5991" t="str">
            <v>LIMPEZA DE PISO DE LADRILHO HIDRÁULICO COM PANO ÚMIDO. AF_04/2019</v>
          </cell>
          <cell r="C5991" t="str">
            <v>M2</v>
          </cell>
          <cell r="D5991">
            <v>4.4800000000000004</v>
          </cell>
        </row>
        <row r="5992">
          <cell r="A5992">
            <v>99811</v>
          </cell>
          <cell r="B5992" t="str">
            <v>LIMPEZA DE CONTRAPISO COM VASSOURA A SECO. AF_04/2019</v>
          </cell>
          <cell r="C5992" t="str">
            <v>M2</v>
          </cell>
          <cell r="D5992">
            <v>2.68</v>
          </cell>
        </row>
        <row r="5993">
          <cell r="A5993">
            <v>99812</v>
          </cell>
          <cell r="B5993" t="str">
            <v>LIMPEZA DE LADRILHO HIDRÁULICO EM PAREDE COM PANO ÚMIDO. AF_04/2019</v>
          </cell>
          <cell r="C5993" t="str">
            <v>M2</v>
          </cell>
          <cell r="D5993">
            <v>0.86</v>
          </cell>
        </row>
        <row r="5994">
          <cell r="A5994">
            <v>99814</v>
          </cell>
          <cell r="B5994" t="str">
            <v>LIMPEZA DE SUPERFÍCIE COM JATO DE ALTA PRESSÃO. AF_04/2019</v>
          </cell>
          <cell r="C5994" t="str">
            <v>M2</v>
          </cell>
          <cell r="D5994">
            <v>1.46</v>
          </cell>
        </row>
        <row r="5995">
          <cell r="A5995">
            <v>99822</v>
          </cell>
          <cell r="B5995" t="str">
            <v>LIMPEZA DE PORTA DE MADEIRA. AF_04/2019</v>
          </cell>
          <cell r="C5995" t="str">
            <v>M2</v>
          </cell>
          <cell r="D5995">
            <v>0.76</v>
          </cell>
        </row>
        <row r="5996">
          <cell r="A5996">
            <v>99826</v>
          </cell>
          <cell r="B5996" t="str">
            <v>LIMPEZA DE FORRO REMOVÍVEL COM PANO ÚMIDO. AF_04/2019</v>
          </cell>
          <cell r="C5996" t="str">
            <v>M2</v>
          </cell>
          <cell r="D5996">
            <v>1.17</v>
          </cell>
        </row>
        <row r="5997">
          <cell r="A5997" t="str">
            <v>74163/1</v>
          </cell>
          <cell r="B5997" t="str">
            <v>PERFURACAO DE POCO COM PERFURATRIZ PNEUMATICA</v>
          </cell>
          <cell r="C5997" t="str">
            <v>M</v>
          </cell>
          <cell r="D5997">
            <v>41.59</v>
          </cell>
        </row>
        <row r="5998">
          <cell r="A5998" t="str">
            <v>74163/2</v>
          </cell>
          <cell r="B5998" t="str">
            <v>PERFURACAO DE POCO COM PERFURATRIZ A PERCUSSAO</v>
          </cell>
          <cell r="C5998" t="str">
            <v>M</v>
          </cell>
          <cell r="D5998">
            <v>69.819999999999993</v>
          </cell>
        </row>
        <row r="5999">
          <cell r="A5999">
            <v>84127</v>
          </cell>
          <cell r="B5999" t="str">
            <v>REVESTIMENTO DE POCOS C/ TUBOS DE CONCRETO</v>
          </cell>
          <cell r="C5999" t="str">
            <v>M</v>
          </cell>
          <cell r="D5999">
            <v>373.15</v>
          </cell>
        </row>
        <row r="6000">
          <cell r="A6000">
            <v>40841</v>
          </cell>
          <cell r="B6000" t="str">
            <v>ABRACADEIRA P/POCOS PROFUNDOS</v>
          </cell>
          <cell r="C6000" t="str">
            <v>UN</v>
          </cell>
          <cell r="D6000">
            <v>110.42</v>
          </cell>
        </row>
        <row r="6001">
          <cell r="A6001">
            <v>71516</v>
          </cell>
          <cell r="B6001" t="str">
            <v>CONJUNTO DE MANGUEIRA PARA COMBATE A INCENDIO EM FIBRA DE POLIESTER PURA, COM 1.1/2", REVESTIDA INTERNAMENTE, COM 2 LANCES DE 15M CADA</v>
          </cell>
          <cell r="C6001" t="str">
            <v>UN</v>
          </cell>
          <cell r="D6001">
            <v>500</v>
          </cell>
        </row>
        <row r="6002">
          <cell r="A6002">
            <v>73361</v>
          </cell>
          <cell r="B6002" t="str">
            <v>CONCRETO CICLOPICO FCK=10MPA 30% PEDRA DE MAO INCLUSIVE LANCAMENTO</v>
          </cell>
          <cell r="C6002" t="str">
            <v>M3</v>
          </cell>
          <cell r="D6002">
            <v>369.13</v>
          </cell>
        </row>
        <row r="6003">
          <cell r="A6003">
            <v>73714</v>
          </cell>
          <cell r="B6003" t="str">
            <v>CAIXA PARA RALO C OM GRELHA FOFO 135 KG DE ALV TIJOLO MACICO (7X10X20) PAREDES DE UMA VEZ (0.20 M) DE 0.90X1.20X1.50 M (EXTERNA) COM ARGAMASSA 1:4 CIMENTO:AREIA, BASE CONC FCK=10 MPA, EXCLUSIVE ESCAVACAO E REATERRO.</v>
          </cell>
          <cell r="C6003" t="str">
            <v>UN</v>
          </cell>
          <cell r="D6003">
            <v>1378.93</v>
          </cell>
        </row>
        <row r="6004">
          <cell r="A6004">
            <v>86957</v>
          </cell>
          <cell r="B6004" t="str">
            <v>MÃO FRANCESA EM BARRA DE FERRO CHATO RETANGULAR 2" X 1/4", REFORÇADA, 40 X 30 CM</v>
          </cell>
          <cell r="C6004" t="str">
            <v>UN</v>
          </cell>
          <cell r="D6004">
            <v>21.52</v>
          </cell>
        </row>
        <row r="6005">
          <cell r="A6005">
            <v>86958</v>
          </cell>
          <cell r="B6005" t="str">
            <v>MÃO FRANCESA EM BARRA DE FERRO CHATO RETANGULAR 2" X 1/4", REFORÇADA, 30 X 25 CM</v>
          </cell>
          <cell r="C6005" t="str">
            <v>UN</v>
          </cell>
          <cell r="D6005">
            <v>17.559999999999999</v>
          </cell>
        </row>
        <row r="6006">
          <cell r="A6006">
            <v>97010</v>
          </cell>
          <cell r="B6006" t="str">
            <v>GUARDA-CORPO FIXADO EM FÔRMA DE MADEIRA COM TRAVESSÕES EM MADEIRA PREGADA E FECHAMENTO EM TELA DE POLIPROPILENO PARA EDIFICAÇÕES COM ATÉ 2 PAVIMENTOS. AF_11/2017</v>
          </cell>
          <cell r="C6006" t="str">
            <v>M</v>
          </cell>
          <cell r="D6006">
            <v>33.409999999999997</v>
          </cell>
        </row>
        <row r="6007">
          <cell r="A6007">
            <v>97011</v>
          </cell>
          <cell r="B6007" t="str">
            <v>GUARDA-CORPO FIXADO EM FÔRMA DE MADEIRA COM TRAVESSÕES EM MADEIRA PREGADA E FECHAMENTO EM TELA DE POLIPROPILENO PARA EDIFICAÇÕES COM  3 PAVIMENTOS. AF_11/2017</v>
          </cell>
          <cell r="C6007" t="str">
            <v>M</v>
          </cell>
          <cell r="D6007">
            <v>27.05</v>
          </cell>
        </row>
        <row r="6008">
          <cell r="A6008">
            <v>97012</v>
          </cell>
          <cell r="B6008" t="str">
            <v>GUARDA-CORPO FIXADO EM FÔRMA DE MADEIRA COM TRAVESSÕES EM MADEIRA PREGADA E FECHAMENTO EM TELA DE POLIPROPILENO PARA EDIFICAÇÕES COM ALTURA IGUAL OU SUPERIOR A 4 PAVIMENTOS. AF_11/2017</v>
          </cell>
          <cell r="C6008" t="str">
            <v>M</v>
          </cell>
          <cell r="D6008">
            <v>23.86</v>
          </cell>
        </row>
        <row r="6009">
          <cell r="A6009">
            <v>97013</v>
          </cell>
          <cell r="B6009" t="str">
            <v>GUARDA-CORPO FIXADO EM FÔRMA DE MADEIRA COM TRAVESSÕES EM MADEIRA PREGADA E FECHAMENTO EM PAINEL COMPENSADO PARA EDIFICAÇÕES COM ATÉ 2 PAVIMENTOS. AF_11/2017</v>
          </cell>
          <cell r="C6009" t="str">
            <v>M</v>
          </cell>
          <cell r="D6009">
            <v>47.28</v>
          </cell>
        </row>
        <row r="6010">
          <cell r="A6010">
            <v>97014</v>
          </cell>
          <cell r="B6010" t="str">
            <v>GUARDA-CORPO FIXADO EM FÔRMA DE MADEIRA COM TRAVESSÕES EM MADEIRA PREGADA E FECHAMENTO EM PAINEL COMPENSADO PARA EDIFICAÇÕES COM 3 PAVIMENTOS. AF_11/2017</v>
          </cell>
          <cell r="C6010" t="str">
            <v>M</v>
          </cell>
          <cell r="D6010">
            <v>36.5</v>
          </cell>
        </row>
        <row r="6011">
          <cell r="A6011">
            <v>97015</v>
          </cell>
          <cell r="B6011" t="str">
            <v>GUARDA-CORPO FIXADO EM FÔRMA DE MADEIRA COM TRAVESSÕES EM MADEIRA PREGADA E FECHAMENTO EM PAINEL COMPENSADO PARA EDIFICAÇÕES COM ALTURA IGUAL OU SUPERIOR A 4 PAVIMENTOS. AF_11/2017</v>
          </cell>
          <cell r="C6011" t="str">
            <v>M</v>
          </cell>
          <cell r="D6011">
            <v>31.06</v>
          </cell>
        </row>
        <row r="6012">
          <cell r="A6012">
            <v>97016</v>
          </cell>
          <cell r="B6012" t="str">
            <v>GUARDA-CORPO FIXADO EM FÔRMA DE MADEIRA COM TRAVESSÕES EM MADEIRA PREGADA PRÉ-MONTADA E ENCAIXE NA FÔRMA. PARA EDIFICAÇÕES COM ATÉ 2 PAVIMENTOS. AF_11/2017</v>
          </cell>
          <cell r="C6012" t="str">
            <v>M</v>
          </cell>
          <cell r="D6012">
            <v>28.05</v>
          </cell>
        </row>
        <row r="6013">
          <cell r="A6013">
            <v>97017</v>
          </cell>
          <cell r="B6013" t="str">
            <v>GUARDA-CORPO FIXADO EM FÔRMA DE MADEIRA COM TRAVESSÕES EM MADEIRA PREGADA PRÉ-MONTADA E ENCAIXE NA FÔRMA PARA EDIFICAÇÕES COM 3 PAVIMENTOS. AF_11/2017</v>
          </cell>
          <cell r="C6013" t="str">
            <v>M</v>
          </cell>
          <cell r="D6013">
            <v>22.01</v>
          </cell>
        </row>
        <row r="6014">
          <cell r="A6014">
            <v>97018</v>
          </cell>
          <cell r="B6014" t="str">
            <v>GUARDA-CORPO FIXADO EM FÔRMA DE MADEIRA COM TRAVESSÕES EM MADEIRA PREGADA PRÉ-MONTADA E ENCAIXE NA FÔRMA. PARA EDIFICAÇÕES COM ALTURA IGUAL OU SUPERIOR A 4 PAVIMENTOS. AF_11/2017</v>
          </cell>
          <cell r="C6014" t="str">
            <v>M</v>
          </cell>
          <cell r="D6014">
            <v>18.86</v>
          </cell>
        </row>
        <row r="6015">
          <cell r="A6015">
            <v>97031</v>
          </cell>
          <cell r="B6015"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5" t="str">
            <v>M</v>
          </cell>
          <cell r="D6015">
            <v>51.81</v>
          </cell>
        </row>
        <row r="6016">
          <cell r="A6016">
            <v>97032</v>
          </cell>
          <cell r="B6016" t="str">
            <v>GUARDA-CORPO EM LAJE PÓS-DESFÔRMA, PARA ESTRUTURAS EM CONCRETO, COM ESCORAS DE MADEIRA ESTRONCADAS NA ESTRUTURA, TRAVESSÕES DE MADEIRA PREGADOS E FECHAMENTO EM TELA DE POLIPROPILENO PARA EDIFICAÇÕES ACIMA DE 4 PAV. (2 MONTAGENS POR OBRA). AF_11/2017</v>
          </cell>
          <cell r="C6016" t="str">
            <v>M</v>
          </cell>
          <cell r="D6016">
            <v>33.520000000000003</v>
          </cell>
        </row>
        <row r="6017">
          <cell r="A6017">
            <v>97033</v>
          </cell>
          <cell r="B6017" t="str">
            <v>GUARDA-CORPO EM LAJE PÓS-DESFORMA, PARA ESTRUTURAS EM CONCRETO, COM ESCORAS METÁLICAS ESTRONCADAS NA ESTRUTURA, TRAVESSÕES DE MADEIRA E FECHAMENTO EM TELA DE POLIPROPILENO PARA EDIFICAÇÕES COM ALTURA ATÉ 4 PAVIMENTOS (1 MONTAGEM POR OBRA). AF_11/2017</v>
          </cell>
          <cell r="C6017" t="str">
            <v>M</v>
          </cell>
          <cell r="D6017">
            <v>57.72</v>
          </cell>
        </row>
        <row r="6018">
          <cell r="A6018">
            <v>97034</v>
          </cell>
          <cell r="B6018" t="str">
            <v>GUARDA-CORPO EM LAJE PÓS-DESFORMA, PARA ESTRUTURAS EM CONCRETO, COM ESCORAS METÁLICAS ESTRONCADAS NA ESTRUTURA, TRAVESSÕES DE MADEIRA E FECHAMENTO EM TELA DE POLIPROPILENO PARA EDIFICAÇÕES ACIMA DE 4 PAVIMENTOS (2 MONTAGENS POR OBRA). AF_11/2017</v>
          </cell>
          <cell r="C6018" t="str">
            <v>M</v>
          </cell>
          <cell r="D6018">
            <v>35.74</v>
          </cell>
        </row>
        <row r="6019">
          <cell r="A6019">
            <v>97039</v>
          </cell>
          <cell r="B6019" t="str">
            <v>FECHAMENTO REMOVÍVEL DE VÃO DE PORTAS, EM MADEIRA (VÃO DO ELEVADOR)  1 MONTAGEM EM OBRA. AF_11/2017</v>
          </cell>
          <cell r="C6019" t="str">
            <v>M2</v>
          </cell>
          <cell r="D6019">
            <v>30.71</v>
          </cell>
        </row>
        <row r="6020">
          <cell r="A6020">
            <v>97040</v>
          </cell>
          <cell r="B6020" t="str">
            <v>FECHAMENTO REMOVÍVEL DE ABERTURA DE CAIXILHO, EM MADEIRA  4 MONTAGENS EM OBRA. AF_11/2017</v>
          </cell>
          <cell r="C6020" t="str">
            <v>M2</v>
          </cell>
          <cell r="D6020">
            <v>11.91</v>
          </cell>
        </row>
        <row r="6021">
          <cell r="A6021">
            <v>97041</v>
          </cell>
          <cell r="B6021" t="str">
            <v>FECHAMENTO REMOVÍVEL DE ABERTURA NO PISO, EM MADEIRA  1 MONTAGEM EM OBRA. AF_11/2017</v>
          </cell>
          <cell r="C6021" t="str">
            <v>M2</v>
          </cell>
          <cell r="D6021">
            <v>95.97</v>
          </cell>
        </row>
        <row r="6022">
          <cell r="A6022">
            <v>97046</v>
          </cell>
          <cell r="B6022" t="str">
            <v>PONTEIRAS DE PROTEÇÃO DE VERGALHÕES EXPOSTOS EM FUNDAÇÕES. AF_11/2017</v>
          </cell>
          <cell r="C6022" t="str">
            <v>M2</v>
          </cell>
          <cell r="D6022">
            <v>0.25</v>
          </cell>
        </row>
        <row r="6023">
          <cell r="A6023">
            <v>97047</v>
          </cell>
          <cell r="B6023" t="str">
            <v>PONTEIRAS DE PROTEÇÃO DE VERGALHÕES EXPOSTOS EM ESTRUTURAS DE CONCRETO ARMADO CONVENCIONAL. AF_11/2017</v>
          </cell>
          <cell r="C6023" t="str">
            <v>M2</v>
          </cell>
          <cell r="D6023">
            <v>0.09</v>
          </cell>
        </row>
        <row r="6024">
          <cell r="A6024">
            <v>97048</v>
          </cell>
          <cell r="B6024" t="str">
            <v>PONTEIRAS DE PROTEÇÃO DE VERGALHÕES EXPOSTOS EM ALVENARIA ESTRUTURAL. AF_11/2017</v>
          </cell>
          <cell r="C6024" t="str">
            <v>M2</v>
          </cell>
          <cell r="D6024">
            <v>7.0000000000000007E-2</v>
          </cell>
        </row>
        <row r="6025">
          <cell r="A6025">
            <v>97051</v>
          </cell>
          <cell r="B6025" t="str">
            <v>SINALIZAÇÃO COM FITA FIXADA NA ESTRUTURA. AF_11/2017</v>
          </cell>
          <cell r="C6025" t="str">
            <v>M</v>
          </cell>
          <cell r="D6025">
            <v>0.51</v>
          </cell>
        </row>
        <row r="6026">
          <cell r="A6026">
            <v>97053</v>
          </cell>
          <cell r="B6026" t="str">
            <v>SINALIZAÇÃO COM FITA FIXADA EM CONE PLÁSTICO, INCLUINDO CONE. AF_11/2017</v>
          </cell>
          <cell r="C6026" t="str">
            <v>M</v>
          </cell>
          <cell r="D6026">
            <v>17.940000000000001</v>
          </cell>
        </row>
        <row r="6027">
          <cell r="A6027">
            <v>97062</v>
          </cell>
          <cell r="B6027" t="str">
            <v>COLOCAÇÃO DE TELA EM ANDAIME FACHADEIRO. AF_11/2017</v>
          </cell>
          <cell r="C6027" t="str">
            <v>M2</v>
          </cell>
          <cell r="D6027">
            <v>5.05</v>
          </cell>
        </row>
        <row r="6028">
          <cell r="A6028">
            <v>97063</v>
          </cell>
          <cell r="B6028" t="str">
            <v>MONTAGEM E DESMONTAGEM DE ANDAIME MODULAR FACHADEIRO, COM PISO METÁLICO, PARA EDIFICAÇÕES COM MÚLTIPLOS PAVIMENTOS (EXCLUSIVE ANDAIME E LIMPEZA). AF_11/2017</v>
          </cell>
          <cell r="C6028" t="str">
            <v>M2</v>
          </cell>
          <cell r="D6028">
            <v>6.9</v>
          </cell>
        </row>
        <row r="6029">
          <cell r="A6029">
            <v>97064</v>
          </cell>
          <cell r="B6029" t="str">
            <v>MONTAGEM E DESMONTAGEM DE ANDAIME TUBULAR TIPO TORRE (EXCLUSIVE ANDAIME E LIMPEZA). AF_11/2017</v>
          </cell>
          <cell r="C6029" t="str">
            <v>M</v>
          </cell>
          <cell r="D6029">
            <v>12.89</v>
          </cell>
        </row>
        <row r="6030">
          <cell r="A6030">
            <v>97065</v>
          </cell>
          <cell r="B6030" t="str">
            <v>MONTAGEM E DESMONTAGEM DE ANDAIME MULTIDIRECIONAL (EXCLUSIVE ANDAIME E LIMPEZA). AF_11/2017</v>
          </cell>
          <cell r="C6030" t="str">
            <v>M3</v>
          </cell>
          <cell r="D6030">
            <v>4.6100000000000003</v>
          </cell>
        </row>
        <row r="6031">
          <cell r="A6031">
            <v>97066</v>
          </cell>
          <cell r="B6031" t="str">
            <v>COBERTURA PARA PROTEÇÃO DE PEDESTRES SOBRE ESTRUTURA DE ANDAIME, INCLUSIVE MONTAGEM E DESMONTAGEM. AF_11/2017</v>
          </cell>
          <cell r="C6031" t="str">
            <v>M2</v>
          </cell>
          <cell r="D6031">
            <v>52.93</v>
          </cell>
        </row>
        <row r="6032">
          <cell r="A6032">
            <v>97067</v>
          </cell>
          <cell r="B6032" t="str">
            <v>PLATAFORMA DE PROTEÇÃO PRINCIPAL PARA ALVENARIA ESTRUTURAL PARA SER APOIADA EM ANDAIME, INCLUSIVE MONTAGEM E DESMONTAGEM. AF_11/2017</v>
          </cell>
          <cell r="C6032" t="str">
            <v>M</v>
          </cell>
          <cell r="D6032">
            <v>416.85</v>
          </cell>
        </row>
        <row r="6033">
          <cell r="A6033" t="str">
            <v>73916/2</v>
          </cell>
          <cell r="B6033" t="str">
            <v>PLACA ESMALTADA PARA IDENTIFICAÇÃO NR DE RUA, DIMENSÕES 45X25CM</v>
          </cell>
          <cell r="C6033" t="str">
            <v>UN</v>
          </cell>
          <cell r="D6033">
            <v>105.9</v>
          </cell>
        </row>
        <row r="6034">
          <cell r="A6034">
            <v>73672</v>
          </cell>
          <cell r="B6034" t="str">
            <v>DESMATAMENTO E LIMPEZA MECANIZADA DE TERRENO COM ARVORES ATE Ø 15CM, UTILIZANDO TRATOR DE ESTEIRAS</v>
          </cell>
          <cell r="C6034" t="str">
            <v>M2</v>
          </cell>
          <cell r="D6034">
            <v>0.34</v>
          </cell>
        </row>
        <row r="6035">
          <cell r="A6035" t="str">
            <v>73822/2</v>
          </cell>
          <cell r="B6035" t="str">
            <v>LIMPEZA MECANIZADA DE TERRENO COM REMOCAO DE CAMADA VEGETAL, UTILIZANDO MOTONIVELADORA</v>
          </cell>
          <cell r="C6035" t="str">
            <v>M2</v>
          </cell>
          <cell r="D6035">
            <v>0.49</v>
          </cell>
        </row>
        <row r="6036">
          <cell r="A6036" t="str">
            <v>73859/1</v>
          </cell>
          <cell r="B6036" t="str">
            <v>DESMATAMENTO E LIMPEZA MECANIZADA DE TERRENO COM REMOCAO DE CAMADA VEGETAL, UTILIZANDO TRATOR DE ESTEIRAS</v>
          </cell>
          <cell r="C6036" t="str">
            <v>M2</v>
          </cell>
          <cell r="D6036">
            <v>0.13</v>
          </cell>
        </row>
        <row r="6037">
          <cell r="A6037" t="str">
            <v>73859/2</v>
          </cell>
          <cell r="B6037" t="str">
            <v>CAPINA E LIMPEZA MANUAL DE TERRENO</v>
          </cell>
          <cell r="C6037" t="str">
            <v>M2</v>
          </cell>
          <cell r="D6037">
            <v>1.3</v>
          </cell>
        </row>
        <row r="6038">
          <cell r="A6038">
            <v>85331</v>
          </cell>
          <cell r="B6038" t="str">
            <v>CORTE DE CAPOEIRA FINA A FOICE</v>
          </cell>
          <cell r="C6038" t="str">
            <v>M2</v>
          </cell>
          <cell r="D6038">
            <v>1.25</v>
          </cell>
        </row>
        <row r="6039">
          <cell r="A6039">
            <v>85422</v>
          </cell>
          <cell r="B6039" t="str">
            <v>PREPARO MANUAL DE TERRENO S/ RASPAGEM SUPERFICIAL</v>
          </cell>
          <cell r="C6039" t="str">
            <v>M2</v>
          </cell>
          <cell r="D6039">
            <v>6.5</v>
          </cell>
        </row>
        <row r="6040">
          <cell r="A6040" t="str">
            <v>74220/1</v>
          </cell>
          <cell r="B6040" t="str">
            <v>TAPUME DE CHAPA DE MADEIRA COMPENSADA, E= 6MM, COM PINTURA A CAL E REAPROVEITAMENTO DE 2X</v>
          </cell>
          <cell r="C6040" t="str">
            <v>M2</v>
          </cell>
          <cell r="D6040">
            <v>54.22</v>
          </cell>
        </row>
        <row r="6041">
          <cell r="A6041" t="str">
            <v>74221/1</v>
          </cell>
          <cell r="B6041" t="str">
            <v>SINALIZACAO DE TRANSITO - NOTURNA</v>
          </cell>
          <cell r="C6041" t="str">
            <v>M</v>
          </cell>
          <cell r="D6041">
            <v>2.5299999999999998</v>
          </cell>
        </row>
        <row r="6042">
          <cell r="A6042" t="str">
            <v>74219/1</v>
          </cell>
          <cell r="B6042" t="str">
            <v>PASSADICOS COM TABUAS DE MADEIRA PARA PEDESTRES</v>
          </cell>
          <cell r="C6042" t="str">
            <v>M2</v>
          </cell>
          <cell r="D6042">
            <v>51.24</v>
          </cell>
        </row>
        <row r="6043">
          <cell r="A6043" t="str">
            <v>74219/2</v>
          </cell>
          <cell r="B6043" t="str">
            <v>PASSADICOS COM TABUAS DE MADEIRA PARA VEICULOS</v>
          </cell>
          <cell r="C6043" t="str">
            <v>M2</v>
          </cell>
          <cell r="D6043">
            <v>48.79</v>
          </cell>
        </row>
        <row r="6044">
          <cell r="A6044">
            <v>84126</v>
          </cell>
          <cell r="B6044" t="str">
            <v>CHAPA DE ACO CARBONO 3/8 (COLOC/ USO/ RETIR) P/ PASS VEICULO SOBRE VALA MEDIDA P/ AREA CHAPA EM CADA APLICACAO</v>
          </cell>
          <cell r="C6044" t="str">
            <v>M2</v>
          </cell>
          <cell r="D6044">
            <v>38.31</v>
          </cell>
        </row>
        <row r="6045">
          <cell r="A6045">
            <v>85421</v>
          </cell>
          <cell r="B6045" t="str">
            <v>REMOCAO DE VIDRO COMUM</v>
          </cell>
          <cell r="C6045" t="str">
            <v>M2</v>
          </cell>
          <cell r="D6045">
            <v>13.01</v>
          </cell>
        </row>
        <row r="6046">
          <cell r="A6046">
            <v>97621</v>
          </cell>
          <cell r="B6046" t="str">
            <v>DEMOLIÇÃO DE ALVENARIA DE BLOCO FURADO, DE FORMA MANUAL, COM REAPROVEITAMENTO. AF_12/2017</v>
          </cell>
          <cell r="C6046" t="str">
            <v>M3</v>
          </cell>
          <cell r="D6046">
            <v>86.89</v>
          </cell>
        </row>
        <row r="6047">
          <cell r="A6047">
            <v>97622</v>
          </cell>
          <cell r="B6047" t="str">
            <v>DEMOLIÇÃO DE ALVENARIA DE BLOCO FURADO, DE FORMA MANUAL, SEM REAPROVEITAMENTO. AF_12/2017</v>
          </cell>
          <cell r="C6047" t="str">
            <v>M3</v>
          </cell>
          <cell r="D6047">
            <v>42.35</v>
          </cell>
        </row>
        <row r="6048">
          <cell r="A6048">
            <v>97623</v>
          </cell>
          <cell r="B6048" t="str">
            <v>DEMOLIÇÃO DE ALVENARIA DE TIJOLO MACIÇO, DE FORMA MANUAL, COM REAPROVEITAMENTO. AF_12/2017</v>
          </cell>
          <cell r="C6048" t="str">
            <v>M3</v>
          </cell>
          <cell r="D6048">
            <v>129.72999999999999</v>
          </cell>
        </row>
        <row r="6049">
          <cell r="A6049">
            <v>97624</v>
          </cell>
          <cell r="B6049" t="str">
            <v>DEMOLIÇÃO DE ALVENARIA DE TIJOLO MACIÇO, DE FORMA MANUAL, SEM REAPROVEITAMENTO. AF_12/2017</v>
          </cell>
          <cell r="C6049" t="str">
            <v>M3</v>
          </cell>
          <cell r="D6049">
            <v>79.62</v>
          </cell>
        </row>
        <row r="6050">
          <cell r="A6050">
            <v>97625</v>
          </cell>
          <cell r="B6050" t="str">
            <v>DEMOLIÇÃO DE ALVENARIA PARA QUALQUER TIPO DE BLOCO, DE FORMA MECANIZADA, SEM REAPROVEITAMENTO. AF_12/2017</v>
          </cell>
          <cell r="C6050" t="str">
            <v>M3</v>
          </cell>
          <cell r="D6050">
            <v>38.31</v>
          </cell>
        </row>
        <row r="6051">
          <cell r="A6051">
            <v>97626</v>
          </cell>
          <cell r="B6051" t="str">
            <v>DEMOLIÇÃO DE PILARES E VIGAS EM CONCRETO ARMADO, DE FORMA MANUAL, SEM REAPROVEITAMENTO. AF_12/2017</v>
          </cell>
          <cell r="C6051" t="str">
            <v>M3</v>
          </cell>
          <cell r="D6051">
            <v>439.25</v>
          </cell>
        </row>
        <row r="6052">
          <cell r="A6052">
            <v>97627</v>
          </cell>
          <cell r="B6052" t="str">
            <v>DEMOLIÇÃO DE PILARES E VIGAS EM CONCRETO ARMADO, DE FORMA MECANIZADA COM MARTELETE, SEM REAPROVEITAMENTO. AF_12/2017</v>
          </cell>
          <cell r="C6052" t="str">
            <v>M3</v>
          </cell>
          <cell r="D6052">
            <v>186.41</v>
          </cell>
        </row>
        <row r="6053">
          <cell r="A6053">
            <v>97628</v>
          </cell>
          <cell r="B6053" t="str">
            <v>DEMOLIÇÃO DE LAJES, DE FORMA MANUAL, SEM REAPROVEITAMENTO. AF_12/2017</v>
          </cell>
          <cell r="C6053" t="str">
            <v>M3</v>
          </cell>
          <cell r="D6053">
            <v>209.3</v>
          </cell>
        </row>
        <row r="6054">
          <cell r="A6054">
            <v>97629</v>
          </cell>
          <cell r="B6054" t="str">
            <v>DEMOLIÇÃO DE LAJES, DE FORMA MECANIZADA COM MARTELETE, SEM REAPROVEITAMENTO. AF_12/2017</v>
          </cell>
          <cell r="C6054" t="str">
            <v>M3</v>
          </cell>
          <cell r="D6054">
            <v>88.11</v>
          </cell>
        </row>
        <row r="6055">
          <cell r="A6055">
            <v>97631</v>
          </cell>
          <cell r="B6055" t="str">
            <v>DEMOLIÇÃO DE ARGAMASSAS, DE FORMA MANUAL, SEM REAPROVEITAMENTO. AF_12/2017</v>
          </cell>
          <cell r="C6055" t="str">
            <v>M2</v>
          </cell>
          <cell r="D6055">
            <v>2.46</v>
          </cell>
        </row>
        <row r="6056">
          <cell r="A6056">
            <v>97632</v>
          </cell>
          <cell r="B6056" t="str">
            <v>DEMOLIÇÃO DE RODAPÉ CERÂMICO, DE FORMA MANUAL, SEM REAPROVEITAMENTO. AF_12/2017</v>
          </cell>
          <cell r="C6056" t="str">
            <v>M</v>
          </cell>
          <cell r="D6056">
            <v>1.93</v>
          </cell>
        </row>
        <row r="6057">
          <cell r="A6057">
            <v>97633</v>
          </cell>
          <cell r="B6057" t="str">
            <v>DEMOLIÇÃO DE REVESTIMENTO CERÂMICO, DE FORMA MANUAL, SEM REAPROVEITAMENTO. AF_12/2017</v>
          </cell>
          <cell r="C6057" t="str">
            <v>M2</v>
          </cell>
          <cell r="D6057">
            <v>16.829999999999998</v>
          </cell>
        </row>
        <row r="6058">
          <cell r="A6058">
            <v>97634</v>
          </cell>
          <cell r="B6058" t="str">
            <v>DEMOLIÇÃO DE REVESTIMENTO CERÂMICO, DE FORMA MECANIZADA COM MARTELETE, SEM REAPROVEITAMENTO. AF_12/2017</v>
          </cell>
          <cell r="C6058" t="str">
            <v>M2</v>
          </cell>
          <cell r="D6058">
            <v>8.7200000000000006</v>
          </cell>
        </row>
        <row r="6059">
          <cell r="A6059">
            <v>97635</v>
          </cell>
          <cell r="B6059" t="str">
            <v>DEMOLIÇÃO DE PAVIMENTO INTERTRAVADO, DE FORMA MANUAL, COM REAPROVEITAMENTO. AF_12/2017</v>
          </cell>
          <cell r="C6059" t="str">
            <v>M2</v>
          </cell>
          <cell r="D6059">
            <v>11.72</v>
          </cell>
        </row>
        <row r="6060">
          <cell r="A6060">
            <v>97636</v>
          </cell>
          <cell r="B6060" t="str">
            <v>DEMOLIÇÃO PARCIAL DE PAVIMENTO ASFÁLTICO, DE FORMA MECANIZADA, SEM REAPROVEITAMENTO. AF_12/2017</v>
          </cell>
          <cell r="C6060" t="str">
            <v>M2</v>
          </cell>
          <cell r="D6060">
            <v>9.27</v>
          </cell>
        </row>
        <row r="6061">
          <cell r="A6061">
            <v>97637</v>
          </cell>
          <cell r="B6061" t="str">
            <v>REMOÇÃO DE TAPUME/ CHAPAS METÁLICAS E DE MADEIRA, DE FORMA MANUAL, SEM REAPROVEITAMENTO. AF_12/2017</v>
          </cell>
          <cell r="C6061" t="str">
            <v>M2</v>
          </cell>
          <cell r="D6061">
            <v>1.89</v>
          </cell>
        </row>
        <row r="6062">
          <cell r="A6062">
            <v>97638</v>
          </cell>
          <cell r="B6062" t="str">
            <v>REMOÇÃO DE CHAPAS E PERFIS DE DRYWALL, DE FORMA MANUAL, SEM REAPROVEITAMENTO. AF_12/2017</v>
          </cell>
          <cell r="C6062" t="str">
            <v>M2</v>
          </cell>
          <cell r="D6062">
            <v>5.5</v>
          </cell>
        </row>
        <row r="6063">
          <cell r="A6063">
            <v>97639</v>
          </cell>
          <cell r="B6063" t="str">
            <v>REMOÇÃO DE PLACAS E PILARETES DE CONCRETO, DE FORMA MANUAL, SEM REAPROVEITAMENTO. AF_12/2017</v>
          </cell>
          <cell r="C6063" t="str">
            <v>M2</v>
          </cell>
          <cell r="D6063">
            <v>14.83</v>
          </cell>
        </row>
        <row r="6064">
          <cell r="A6064">
            <v>97640</v>
          </cell>
          <cell r="B6064" t="str">
            <v>REMOÇÃO DE FORROS DE DRYWALL, PVC E FIBROMINERAL, DE FORMA MANUAL, SEM REAPROVEITAMENTO. AF_12/2017</v>
          </cell>
          <cell r="C6064" t="str">
            <v>M2</v>
          </cell>
          <cell r="D6064">
            <v>1.19</v>
          </cell>
        </row>
        <row r="6065">
          <cell r="A6065">
            <v>97641</v>
          </cell>
          <cell r="B6065" t="str">
            <v>REMOÇÃO DE FORRO DE GESSO, DE FORMA MANUAL, SEM REAPROVEITAMENTO. AF_12/2017</v>
          </cell>
          <cell r="C6065" t="str">
            <v>M2</v>
          </cell>
          <cell r="D6065">
            <v>3.7</v>
          </cell>
        </row>
        <row r="6066">
          <cell r="A6066">
            <v>97642</v>
          </cell>
          <cell r="B6066" t="str">
            <v>REMOÇÃO DE TRAMA METÁLICA OU DE MADEIRA PARA FORRO, DE FORMA MANUAL, SEM REAPROVEITAMENTO. AF_12/2017</v>
          </cell>
          <cell r="C6066" t="str">
            <v>M2</v>
          </cell>
          <cell r="D6066">
            <v>2.14</v>
          </cell>
        </row>
        <row r="6067">
          <cell r="A6067">
            <v>97643</v>
          </cell>
          <cell r="B6067" t="str">
            <v>REMOÇÃO DE PISO DE MADEIRA (ASSOALHO E BARROTE), DE FORMA MANUAL, SEM REAPROVEITAMENTO. AF_12/2017</v>
          </cell>
          <cell r="C6067" t="str">
            <v>M2</v>
          </cell>
          <cell r="D6067">
            <v>18.21</v>
          </cell>
        </row>
        <row r="6068">
          <cell r="A6068">
            <v>97644</v>
          </cell>
          <cell r="B6068" t="str">
            <v>REMOÇÃO DE PORTAS, DE FORMA MANUAL, SEM REAPROVEITAMENTO. AF_12/2017</v>
          </cell>
          <cell r="C6068" t="str">
            <v>M2</v>
          </cell>
          <cell r="D6068">
            <v>6.85</v>
          </cell>
        </row>
        <row r="6069">
          <cell r="A6069">
            <v>97645</v>
          </cell>
          <cell r="B6069" t="str">
            <v>REMOÇÃO DE JANELAS, DE FORMA MANUAL, SEM REAPROVEITAMENTO. AF_12/2017</v>
          </cell>
          <cell r="C6069" t="str">
            <v>M2</v>
          </cell>
          <cell r="D6069">
            <v>19.88</v>
          </cell>
        </row>
        <row r="6070">
          <cell r="A6070">
            <v>97647</v>
          </cell>
          <cell r="B6070" t="str">
            <v>REMOÇÃO DE TELHAS, DE FIBROCIMENTO, METÁLICA E CERÂMICA, DE FORMA MANUAL, SEM REAPROVEITAMENTO. AF_12/2017</v>
          </cell>
          <cell r="C6070" t="str">
            <v>M2</v>
          </cell>
          <cell r="D6070">
            <v>2.63</v>
          </cell>
        </row>
        <row r="6071">
          <cell r="A6071">
            <v>97648</v>
          </cell>
          <cell r="B6071" t="str">
            <v>REMOÇÃO DE PROTEÇÃO TÉRMICA PARA COBERTURA EM EPS, DE FORMA MANUAL, SEM REAPROVEITAMENTO. AF_12/2017</v>
          </cell>
          <cell r="C6071" t="str">
            <v>M2</v>
          </cell>
          <cell r="D6071">
            <v>1.51</v>
          </cell>
        </row>
        <row r="6072">
          <cell r="A6072">
            <v>97649</v>
          </cell>
          <cell r="B6072" t="str">
            <v>REMOÇÃO DE TELHAS DE FIBROCIMENTO, METÁLICA E CERÂMICA, DE FORMA MECANIZADA, COM USO DE GUINDASTE, SEM REAPROVEITAMENTO. AF_12/2017</v>
          </cell>
          <cell r="C6072" t="str">
            <v>M2</v>
          </cell>
          <cell r="D6072">
            <v>3.22</v>
          </cell>
        </row>
        <row r="6073">
          <cell r="A6073">
            <v>97650</v>
          </cell>
          <cell r="B6073" t="str">
            <v>REMOÇÃO DE TRAMA DE MADEIRA PARA COBERTURA, DE FORMA MANUAL, SEM REAPROVEITAMENTO. AF_12/2017</v>
          </cell>
          <cell r="C6073" t="str">
            <v>M2</v>
          </cell>
          <cell r="D6073">
            <v>5.67</v>
          </cell>
        </row>
        <row r="6074">
          <cell r="A6074">
            <v>97651</v>
          </cell>
          <cell r="B6074" t="str">
            <v>REMOÇÃO DE TESOURAS DE MADEIRA, COM VÃO MENOR QUE 8M, DE FORMA MANUAL, SEM REAPROVEITAMENTO. AF_12/2017</v>
          </cell>
          <cell r="C6074" t="str">
            <v>UN</v>
          </cell>
          <cell r="D6074">
            <v>62.71</v>
          </cell>
        </row>
        <row r="6075">
          <cell r="A6075">
            <v>97652</v>
          </cell>
          <cell r="B6075" t="str">
            <v>REMOÇÃO DE TESOURAS DE MADEIRA, COM VÃO MAIOR OU IGUAL A 8M, DE FORMA MANUAL, SEM REAPROVEITAMENTO. AF_12/2017</v>
          </cell>
          <cell r="C6075" t="str">
            <v>UN</v>
          </cell>
          <cell r="D6075">
            <v>142.18</v>
          </cell>
        </row>
        <row r="6076">
          <cell r="A6076">
            <v>97653</v>
          </cell>
          <cell r="B6076" t="str">
            <v>REMOÇÃO DE TESOURAS DE MADEIRA, COM VÃO MENOR QUE 8M, DE FORMA MECANIZADA, COM REAPROVEITAMENTO. AF_12/2017</v>
          </cell>
          <cell r="C6076" t="str">
            <v>UN</v>
          </cell>
          <cell r="D6076">
            <v>83.34</v>
          </cell>
        </row>
        <row r="6077">
          <cell r="A6077">
            <v>97654</v>
          </cell>
          <cell r="B6077" t="str">
            <v>REMOÇÃO DE TESOURAS DE MADEIRA, COM VÃO MAIOR OU IGUAL A 8M, DE FORMA MECANIZADA, COM REAPROVEITAMENTO. AF_12/2017</v>
          </cell>
          <cell r="C6077" t="str">
            <v>UN</v>
          </cell>
          <cell r="D6077">
            <v>105.11</v>
          </cell>
        </row>
        <row r="6078">
          <cell r="A6078">
            <v>97655</v>
          </cell>
          <cell r="B6078" t="str">
            <v>REMOÇÃO DE TRAMA METÁLICA PARA COBERTURA, DE FORMA MANUAL, SEM REAPROVEITAMENTO. AF_12/2017</v>
          </cell>
          <cell r="C6078" t="str">
            <v>M2</v>
          </cell>
          <cell r="D6078">
            <v>16.920000000000002</v>
          </cell>
        </row>
        <row r="6079">
          <cell r="A6079">
            <v>97656</v>
          </cell>
          <cell r="B6079" t="str">
            <v>REMOÇÃO DE TESOURAS METÁLICAS, COM VÃO MENOR QUE 8M, DE FORMA MANUAL, SEM REAPROVEITAMENTO. AF_12/2017</v>
          </cell>
          <cell r="C6079" t="str">
            <v>UN</v>
          </cell>
          <cell r="D6079">
            <v>168.38</v>
          </cell>
        </row>
        <row r="6080">
          <cell r="A6080">
            <v>97657</v>
          </cell>
          <cell r="B6080" t="str">
            <v>REMOÇÃO DE TESOURAS METÁLICAS, COM VÃO MAIOR OU IGUAL A 8M, DE FORMA MANUAL, SEM REAPROVEITAMENTO. AF_12/2017</v>
          </cell>
          <cell r="C6080" t="str">
            <v>UN</v>
          </cell>
          <cell r="D6080">
            <v>333.76</v>
          </cell>
        </row>
        <row r="6081">
          <cell r="A6081">
            <v>97658</v>
          </cell>
          <cell r="B6081" t="str">
            <v>REMOÇÃO DE TESOURAS METÁLICAS, COM VÃO MENOR QUE 8M, DE FORMA MECANIZADA, COM REAPROVEITAMENTO. AF_12/2017</v>
          </cell>
          <cell r="C6081" t="str">
            <v>UN</v>
          </cell>
          <cell r="D6081">
            <v>124.25</v>
          </cell>
        </row>
        <row r="6082">
          <cell r="A6082">
            <v>97659</v>
          </cell>
          <cell r="B6082" t="str">
            <v>REMOÇÃO DE TESOURAS METÁLICAS, COM VÃO MAIOR OU IGUAL A 8M, DE FORMA MECANIZADA, COM REAPROVEITAMENTO. AF_12/2017</v>
          </cell>
          <cell r="C6082" t="str">
            <v>UN</v>
          </cell>
          <cell r="D6082">
            <v>171.36</v>
          </cell>
        </row>
        <row r="6083">
          <cell r="A6083">
            <v>97660</v>
          </cell>
          <cell r="B6083" t="str">
            <v>REMOÇÃO DE INTERRUPTORES/TOMADAS ELÉTRICAS, DE FORMA MANUAL, SEM REAPROVEITAMENTO. AF_12/2017</v>
          </cell>
          <cell r="C6083" t="str">
            <v>UN</v>
          </cell>
          <cell r="D6083">
            <v>0.49</v>
          </cell>
        </row>
        <row r="6084">
          <cell r="A6084">
            <v>97661</v>
          </cell>
          <cell r="B6084" t="str">
            <v>REMOÇÃO DE CABOS ELÉTRICOS, DE FORMA MANUAL, SEM REAPROVEITAMENTO. AF_12/2017</v>
          </cell>
          <cell r="C6084" t="str">
            <v>M</v>
          </cell>
          <cell r="D6084">
            <v>0.5</v>
          </cell>
        </row>
        <row r="6085">
          <cell r="A6085">
            <v>97662</v>
          </cell>
          <cell r="B6085" t="str">
            <v>REMOÇÃO DE TUBULAÇÕES (TUBOS E CONEXÕES) DE ÁGUA FRIA, DE FORMA MANUAL, SEM REAPROVEITAMENTO. AF_12/2017</v>
          </cell>
          <cell r="C6085" t="str">
            <v>M</v>
          </cell>
          <cell r="D6085">
            <v>0.36</v>
          </cell>
        </row>
        <row r="6086">
          <cell r="A6086">
            <v>97663</v>
          </cell>
          <cell r="B6086" t="str">
            <v>REMOÇÃO DE LOUÇAS, DE FORMA MANUAL, SEM REAPROVEITAMENTO. AF_12/2017</v>
          </cell>
          <cell r="C6086" t="str">
            <v>UN</v>
          </cell>
          <cell r="D6086">
            <v>9.17</v>
          </cell>
        </row>
        <row r="6087">
          <cell r="A6087">
            <v>97664</v>
          </cell>
          <cell r="B6087" t="str">
            <v>REMOÇÃO DE ACESSÓRIOS, DE FORMA MANUAL, SEM REAPROVEITAMENTO. AF_12/2017</v>
          </cell>
          <cell r="C6087" t="str">
            <v>UN</v>
          </cell>
          <cell r="D6087">
            <v>1.1399999999999999</v>
          </cell>
        </row>
        <row r="6088">
          <cell r="A6088">
            <v>97665</v>
          </cell>
          <cell r="B6088" t="str">
            <v>REMOÇÃO DE LUMINÁRIAS, DE FORMA MANUAL, SEM REAPROVEITAMENTO. AF_12/2017</v>
          </cell>
          <cell r="C6088" t="str">
            <v>UN</v>
          </cell>
          <cell r="D6088">
            <v>0.96</v>
          </cell>
        </row>
        <row r="6089">
          <cell r="A6089">
            <v>97666</v>
          </cell>
          <cell r="B6089" t="str">
            <v>REMOÇÃO DE METAIS SANITÁRIOS, DE FORMA MANUAL, SEM REAPROVEITAMENTO. AF_12/2017</v>
          </cell>
          <cell r="C6089" t="str">
            <v>UN</v>
          </cell>
          <cell r="D6089">
            <v>6.68</v>
          </cell>
        </row>
        <row r="6090">
          <cell r="A6090">
            <v>85423</v>
          </cell>
          <cell r="B6090" t="str">
            <v>ISOLAMENTO DE OBRA COM TELA PLASTICA COM MALHA DE 5MM</v>
          </cell>
          <cell r="C6090" t="str">
            <v>M2</v>
          </cell>
          <cell r="D6090">
            <v>6.84</v>
          </cell>
        </row>
        <row r="6091">
          <cell r="A6091">
            <v>85424</v>
          </cell>
          <cell r="B6091" t="str">
            <v>ISOLAMENTO DE OBRA COM TELA PLASTICA COM MALHA DE 5MM E ESTRUTURA DE MADEIRA PONTALETEADA</v>
          </cell>
          <cell r="C6091" t="str">
            <v>M2</v>
          </cell>
          <cell r="D6091">
            <v>20.88</v>
          </cell>
        </row>
        <row r="6092">
          <cell r="A6092">
            <v>95967</v>
          </cell>
          <cell r="B6092" t="str">
            <v>SERVIÇOS TÉCNICOS ESPECIALIZADOS PARA ACOMPANHAMENTO DE EXECUÇÃO DE FUNDAÇÕES PROFUNDAS E ESTRUTURAS DE CONTENÇÃO</v>
          </cell>
          <cell r="C6092" t="str">
            <v>H</v>
          </cell>
          <cell r="D6092">
            <v>130.4</v>
          </cell>
        </row>
        <row r="6093">
          <cell r="A6093">
            <v>99058</v>
          </cell>
          <cell r="B6093" t="str">
            <v>LOCAÇÃO DE PONTO PARA REFERÊNCIA TOPOGRÁFICA. AF_10/2018</v>
          </cell>
          <cell r="C6093" t="str">
            <v>UN</v>
          </cell>
          <cell r="D6093">
            <v>6.29</v>
          </cell>
        </row>
        <row r="6094">
          <cell r="A6094">
            <v>99059</v>
          </cell>
          <cell r="B6094" t="str">
            <v>LOCACAO CONVENCIONAL DE OBRA, UTILIZANDO GABARITO DE TÁBUAS CORRIDAS PONTALETADAS A CADA 2,00M -  2 UTILIZAÇÕES. AF_10/2018</v>
          </cell>
          <cell r="C6094" t="str">
            <v>M</v>
          </cell>
          <cell r="D6094">
            <v>35.369999999999997</v>
          </cell>
        </row>
        <row r="6095">
          <cell r="A6095">
            <v>99060</v>
          </cell>
          <cell r="B6095" t="str">
            <v>CAVALETE DE OBRA COM ALTURA DE 1,00 M - 2 UTILIZAÇÕES. AF_10/2018</v>
          </cell>
          <cell r="C6095" t="str">
            <v>UN</v>
          </cell>
          <cell r="D6095">
            <v>89.83</v>
          </cell>
        </row>
        <row r="6096">
          <cell r="A6096">
            <v>99061</v>
          </cell>
          <cell r="B6096" t="str">
            <v>CAVALETE DE OBRA COM ALTURA DE 0,50 M - 2 UTILIZAÇÕES. AF_10/2018</v>
          </cell>
          <cell r="C6096" t="str">
            <v>UN</v>
          </cell>
          <cell r="D6096">
            <v>62.5</v>
          </cell>
        </row>
        <row r="6097">
          <cell r="A6097">
            <v>99062</v>
          </cell>
          <cell r="B6097" t="str">
            <v>MARCAÇÃO DE PONTOS EM GABARITO OU CAVALETE. AF_10/2018</v>
          </cell>
          <cell r="C6097" t="str">
            <v>UN</v>
          </cell>
          <cell r="D6097">
            <v>1.86</v>
          </cell>
        </row>
        <row r="6098">
          <cell r="A6098">
            <v>99063</v>
          </cell>
          <cell r="B6098" t="str">
            <v>LOCAÇÃO DE REDE DE ÁGUA OU ESGOTO. AF_10/2018</v>
          </cell>
          <cell r="C6098" t="str">
            <v>M</v>
          </cell>
          <cell r="D6098">
            <v>3.12</v>
          </cell>
        </row>
        <row r="6099">
          <cell r="A6099">
            <v>99064</v>
          </cell>
          <cell r="B6099" t="str">
            <v>LOCAÇÃO DE PAVIMENTAÇÃO. AF_10/2018</v>
          </cell>
          <cell r="C6099" t="str">
            <v>M</v>
          </cell>
          <cell r="D6099">
            <v>0.31</v>
          </cell>
        </row>
        <row r="6100">
          <cell r="A6100">
            <v>78472</v>
          </cell>
          <cell r="B6100" t="str">
            <v>SERVICOS TOPOGRAFICOS PARA PAVIMENTACAO, INCLUSIVE NOTA DE SERVICOS, ACOMPANHAMENTO E GREIDE</v>
          </cell>
          <cell r="C6100" t="str">
            <v>M2</v>
          </cell>
          <cell r="D6100">
            <v>0.31</v>
          </cell>
        </row>
        <row r="6101">
          <cell r="A6101">
            <v>93588</v>
          </cell>
          <cell r="B6101" t="str">
            <v>TRANSPORTE COM CAMINHÃO BASCULANTE DE 10 M3, EM VIA URBANA EM LEITO NATURAL (UNIDADE: M3XKM). AF_04/2016</v>
          </cell>
          <cell r="C6101" t="str">
            <v>M3XKM</v>
          </cell>
          <cell r="D6101">
            <v>1.63</v>
          </cell>
        </row>
        <row r="6102">
          <cell r="A6102">
            <v>93589</v>
          </cell>
          <cell r="B6102" t="str">
            <v>TRANSPORTE COM CAMINHÃO BASCULANTE DE 10 M3, EM VIA URBANA EM REVESTIMENTO PRIMÁRIO (UNIDADE: M3XKM). AF_04/2016</v>
          </cell>
          <cell r="C6102" t="str">
            <v>M3XKM</v>
          </cell>
          <cell r="D6102">
            <v>1.24</v>
          </cell>
        </row>
        <row r="6103">
          <cell r="A6103">
            <v>93590</v>
          </cell>
          <cell r="B6103" t="str">
            <v>TRANSPORTE COM CAMINHÃO BASCULANTE DE 10 M3, EM VIA URBANA PAVIMENTADA, DMT ACIMA DE 30KM (UNIDADE: M3XKM). AF_04/2016</v>
          </cell>
          <cell r="C6103" t="str">
            <v>M3XKM</v>
          </cell>
          <cell r="D6103">
            <v>0.82</v>
          </cell>
        </row>
        <row r="6104">
          <cell r="A6104">
            <v>93591</v>
          </cell>
          <cell r="B6104" t="str">
            <v>TRANSPORTE COM CAMINHÃO BASCULANTE DE 14 M3, EM VIA URBANA EM LEITO NATURAL (UNIDADE: M3XKM). AF_04/2016</v>
          </cell>
          <cell r="C6104" t="str">
            <v>M3XKM</v>
          </cell>
          <cell r="D6104">
            <v>1.48</v>
          </cell>
        </row>
        <row r="6105">
          <cell r="A6105">
            <v>93592</v>
          </cell>
          <cell r="B6105" t="str">
            <v>TRANSPORTE COM CAMINHÃO BASCULANTE DE 14 M3, EM VIA URBANA EM REVESTIMENTO PRIMÁRIO (UNIDADE: M3XKM). AF_04/2016</v>
          </cell>
          <cell r="C6105" t="str">
            <v>M3XKM</v>
          </cell>
          <cell r="D6105">
            <v>1.1399999999999999</v>
          </cell>
        </row>
        <row r="6106">
          <cell r="A6106">
            <v>93593</v>
          </cell>
          <cell r="B6106" t="str">
            <v>TRANSPORTE COM CAMINHÃO BASCULANTE DE 14 M3, EM VIA URBANA PAVIMENTADA, DMT ACIMA DE 30 KM (UNIDADE: M3XKM). AF_04/2016</v>
          </cell>
          <cell r="C6106" t="str">
            <v>M3XKM</v>
          </cell>
          <cell r="D6106">
            <v>0.75</v>
          </cell>
        </row>
        <row r="6107">
          <cell r="A6107">
            <v>93594</v>
          </cell>
          <cell r="B6107" t="str">
            <v>TRANSPORTE COM CAMINHÃO BASCULANTE DE 10 M3, EM VIA URBANA EM LEITO NATURAL (UNIDADE: TXKM). AF_04/2016</v>
          </cell>
          <cell r="C6107" t="str">
            <v>TXKM</v>
          </cell>
          <cell r="D6107">
            <v>1.0900000000000001</v>
          </cell>
        </row>
        <row r="6108">
          <cell r="A6108">
            <v>93595</v>
          </cell>
          <cell r="B6108" t="str">
            <v>TRANSPORTE COM CAMINHÃO BASCULANTE DE 10 M3, EM VIA URBANA EM REVESTIMENTO PRIMÁRIO (UNIDADE: TXKM). AF_04/2016</v>
          </cell>
          <cell r="C6108" t="str">
            <v>TXKM</v>
          </cell>
          <cell r="D6108">
            <v>0.82</v>
          </cell>
        </row>
        <row r="6109">
          <cell r="A6109">
            <v>93596</v>
          </cell>
          <cell r="B6109" t="str">
            <v>TRANSPORTE COM CAMINHÃO BASCULANTE DE 10 M3, EM VIA URBANA PAVIMENTADA, DMT ACIMA DE 30 KM (UNIDADE: TXKM). AF_04/2016</v>
          </cell>
          <cell r="C6109" t="str">
            <v>TXKM</v>
          </cell>
          <cell r="D6109">
            <v>0.55000000000000004</v>
          </cell>
        </row>
        <row r="6110">
          <cell r="A6110">
            <v>93597</v>
          </cell>
          <cell r="B6110" t="str">
            <v>TRANSPORTE COM CAMINHÃO BASCULANTE DE 14 M3, EM VIA URBANA EM LEITO NATURAL (UNIDADE: TXKM). AF_04/2016</v>
          </cell>
          <cell r="C6110" t="str">
            <v>TXKM</v>
          </cell>
          <cell r="D6110">
            <v>0.99</v>
          </cell>
        </row>
        <row r="6111">
          <cell r="A6111">
            <v>93598</v>
          </cell>
          <cell r="B6111" t="str">
            <v>TRANSPORTE COM CAMINHÃO BASCULANTE DE 14 M3, EM VIA URBANA EM REVESTIMENTO PRIMÁRIO (UNIDADE: TXKM). AF_04/2016</v>
          </cell>
          <cell r="C6111" t="str">
            <v>TXKM</v>
          </cell>
          <cell r="D6111">
            <v>0.75</v>
          </cell>
        </row>
        <row r="6112">
          <cell r="A6112">
            <v>93599</v>
          </cell>
          <cell r="B6112" t="str">
            <v>TRANSPORTE COM CAMINHÃO BASCULANTE DE 14 M3, EM VIA URBANA PAVIMENTADA, DMT ACIMA DE 30 KM (UNIDADE: TXKM). AF_04/2016</v>
          </cell>
          <cell r="C6112" t="str">
            <v>TXKM</v>
          </cell>
          <cell r="D6112">
            <v>0.5</v>
          </cell>
        </row>
        <row r="6113">
          <cell r="A6113">
            <v>95425</v>
          </cell>
          <cell r="B6113" t="str">
            <v>TRANSPORTE COM CAMINHÃO BASCULANTE DE 18 M3, EM VIA URBANA EM LEITO NATURAL (UNIDADE: M3XKM). AF_09/2016</v>
          </cell>
          <cell r="C6113" t="str">
            <v>M3XKM</v>
          </cell>
          <cell r="D6113">
            <v>1.28</v>
          </cell>
        </row>
        <row r="6114">
          <cell r="A6114">
            <v>95426</v>
          </cell>
          <cell r="B6114" t="str">
            <v>TRANSPORTE COM CAMINHÃO BASCULANTE DE 18 M3, EM VIA URBANA EM REVESTIMENTO PRIMÁRIO (UNIDADE: M3XKM). AF_09/2016</v>
          </cell>
          <cell r="C6114" t="str">
            <v>M3XKM</v>
          </cell>
          <cell r="D6114">
            <v>0.98</v>
          </cell>
        </row>
        <row r="6115">
          <cell r="A6115">
            <v>95427</v>
          </cell>
          <cell r="B6115" t="str">
            <v>TRANSPORTE COM CAMINHÃO BASCULANTE DE 18 M3, EM VIA URBANA PAVIMENTADA, DMT ACIMA DE 30 KM(UNIDADE: M3XKM). AF_09/2016</v>
          </cell>
          <cell r="C6115" t="str">
            <v>M3XKM</v>
          </cell>
          <cell r="D6115">
            <v>0.65</v>
          </cell>
        </row>
        <row r="6116">
          <cell r="A6116">
            <v>95428</v>
          </cell>
          <cell r="B6116" t="str">
            <v>TRANSPORTE COM CAMINHÃO BASCULANTE DE 18 M3, EM VIA URBANA EM LEITO NATURAL (UNIDADE: TXKM). AF_09/2016</v>
          </cell>
          <cell r="C6116" t="str">
            <v>TXKM</v>
          </cell>
          <cell r="D6116">
            <v>0.85</v>
          </cell>
        </row>
        <row r="6117">
          <cell r="A6117">
            <v>95429</v>
          </cell>
          <cell r="B6117" t="str">
            <v>TRANSPORTE COM CAMINHÃO BASCULANTE DE 18 M3, EM VIA URBANA EM REVESTIMENTO PRIMÁRIO (UNIDADE: TXKM). AF_09/2016</v>
          </cell>
          <cell r="C6117" t="str">
            <v>TXKM</v>
          </cell>
          <cell r="D6117">
            <v>0.65</v>
          </cell>
        </row>
        <row r="6118">
          <cell r="A6118">
            <v>95430</v>
          </cell>
          <cell r="B6118" t="str">
            <v>TRANSPORTE COM CAMINHÃO BASCULANTE DE 18 M3, EM VIA URBANA PAVIMENTADA, DMT ACIMA DE 30 KM (UNIDADE: TXKM). AF_09/2016</v>
          </cell>
          <cell r="C6118" t="str">
            <v>TXKM</v>
          </cell>
          <cell r="D6118">
            <v>0.43</v>
          </cell>
        </row>
        <row r="6119">
          <cell r="A6119">
            <v>95875</v>
          </cell>
          <cell r="B6119" t="str">
            <v>TRANSPORTE COM CAMINHÃO BASCULANTE DE 10 M3, EM VIA URBANA PAVIMENTADA, DMT ATÉ 30 KM (UNIDADE: M3XKM). AF_12/2016</v>
          </cell>
          <cell r="C6119" t="str">
            <v>M3XKM</v>
          </cell>
          <cell r="D6119">
            <v>1.17</v>
          </cell>
        </row>
        <row r="6120">
          <cell r="A6120">
            <v>95876</v>
          </cell>
          <cell r="B6120" t="str">
            <v>TRANSPORTE COM CAMINHÃO BASCULANTE DE 14 M3, EM VIA URBANA PAVIMENTADA, DMT ATÉ 30 KM (UNIDADE: M3XKM). AF_12/2016</v>
          </cell>
          <cell r="C6120" t="str">
            <v>M3XKM</v>
          </cell>
          <cell r="D6120">
            <v>1.06</v>
          </cell>
        </row>
        <row r="6121">
          <cell r="A6121">
            <v>95877</v>
          </cell>
          <cell r="B6121" t="str">
            <v>TRANSPORTE COM CAMINHÃO BASCULANTE DE 18 M3, EM VIA URBANA PAVIMENTADA, DMT ATÉ 30 KM (UNIDADE: M3XKM). AF_12/2016</v>
          </cell>
          <cell r="C6121" t="str">
            <v>M3XKM</v>
          </cell>
          <cell r="D6121">
            <v>0.91</v>
          </cell>
        </row>
        <row r="6122">
          <cell r="A6122">
            <v>95878</v>
          </cell>
          <cell r="B6122" t="str">
            <v>TRANSPORTE COM CAMINHÃO BASCULANTE DE 10 M3, EM VIA URBANA PAVIMENTADA, DMT ATÉ 30 KM (UNIDADE: TXKM). AF_12/2016</v>
          </cell>
          <cell r="C6122" t="str">
            <v>TXKM</v>
          </cell>
          <cell r="D6122">
            <v>0.77</v>
          </cell>
        </row>
        <row r="6123">
          <cell r="A6123">
            <v>95879</v>
          </cell>
          <cell r="B6123" t="str">
            <v>TRANSPORTE COM CAMINHÃO BASCULANTE DE 14 M3, EM VIA URBANA PAVIMENTADA, DMT ATÉ 30 KM (UNIDADE: TXKM). AF_12/2016</v>
          </cell>
          <cell r="C6123" t="str">
            <v>TXKM</v>
          </cell>
          <cell r="D6123">
            <v>0.71</v>
          </cell>
        </row>
        <row r="6124">
          <cell r="A6124">
            <v>95880</v>
          </cell>
          <cell r="B6124" t="str">
            <v>TRANSPORTE COM CAMINHÃO BASCULANTE DE 18 M3, EM VIA URBANA PAVIMENTADA, DMT ATÉ 30 KM (UNIDADE: TXKM). AF_12/2016</v>
          </cell>
          <cell r="C6124" t="str">
            <v>TXKM</v>
          </cell>
          <cell r="D6124">
            <v>0.61</v>
          </cell>
        </row>
        <row r="6125">
          <cell r="A6125">
            <v>93176</v>
          </cell>
          <cell r="B6125" t="str">
            <v>TRANSPORTE DE MATERIAL ASFALTICO, COM CAMINHÃO COM CAPACIDADE DE 30000 L EM RODOVIA PAVIMENTADA PARA DISTÂNCIAS MÉDIAS DE TRANSPORTE SUPERIORES A 100 KM. AF_02/2016</v>
          </cell>
          <cell r="C6125" t="str">
            <v>TXKM</v>
          </cell>
          <cell r="D6125">
            <v>0.5</v>
          </cell>
        </row>
        <row r="6126">
          <cell r="A6126">
            <v>93177</v>
          </cell>
          <cell r="B6126" t="str">
            <v>TRANSPORTE DE MATERIAL ASFALTICO, COM CAMINHÃO COM CAPACIDADE DE 20000 L EM RODOVIA PAVIMENTADA PARA DISTÂNCIAS MÉDIAS DE TRANSPORTE IGUAL OU INFERIOR A 100 KM. AF_02/2016</v>
          </cell>
          <cell r="C6126" t="str">
            <v>TXKM</v>
          </cell>
          <cell r="D6126">
            <v>1.74</v>
          </cell>
        </row>
        <row r="6127">
          <cell r="A6127">
            <v>93178</v>
          </cell>
          <cell r="B6127" t="str">
            <v>TRANSPORTE DE MATERIAL ASFALTICO, COM CAMINHÃO COM CAPACIDADE DE 30000 L EM RODOVIA NÃO PAVIMENTADA PARA DISTÂNCIAS MÉDIAS DE TRANSPORTE SUPERIORES A 100 KM. AF_02/2016</v>
          </cell>
          <cell r="C6127" t="str">
            <v>TXKM</v>
          </cell>
          <cell r="D6127">
            <v>0.56999999999999995</v>
          </cell>
        </row>
        <row r="6128">
          <cell r="A6128">
            <v>93179</v>
          </cell>
          <cell r="B6128" t="str">
            <v>TRANSPORTE DE MATERIAL ASFALTICO, COM CAMINHÃO COM CAPACIDADE DE 20000 L EM RODOVIA NÃO PAVIMENTADA PARA DISTÂNCIAS MÉDIAS DE TRANSPORTE IGUAL OU INFERIOR A 100 KM. AF_02/2016</v>
          </cell>
          <cell r="C6128" t="str">
            <v>TXKM</v>
          </cell>
          <cell r="D6128">
            <v>1.94</v>
          </cell>
        </row>
        <row r="6129">
          <cell r="A6129" t="str">
            <v>74038/1</v>
          </cell>
          <cell r="B6129" t="str">
            <v>PORTAO COM MOUROES DE MADEIRA ROLICA, DIAMETRO 11CM, COM 5 FIOS DE ARAME FARPADO Nº 14 CLASSE 250, SEM DOBRADICAS</v>
          </cell>
          <cell r="C6129" t="str">
            <v>M</v>
          </cell>
          <cell r="D6129">
            <v>28.27</v>
          </cell>
        </row>
        <row r="6130">
          <cell r="A6130" t="str">
            <v>74039/1</v>
          </cell>
          <cell r="B6130" t="str">
            <v>CERCA COM MOUROES DE MADEIRA ROLICA, DIAMETRO 11CM, ESPACAMENTO DE 2M, ALTURA LIVRE DE 1M, CRAVADOS 0,5M, COM 5 FIOS DE ARAME FARPADO Nº 14 CLASSE 250</v>
          </cell>
          <cell r="C6130" t="str">
            <v>M</v>
          </cell>
          <cell r="D6130">
            <v>28.27</v>
          </cell>
        </row>
        <row r="6131">
          <cell r="A6131" t="str">
            <v>74142/1</v>
          </cell>
          <cell r="B6131" t="str">
            <v>CERCA COM MOUROES DE CONCRETO, RETO, ESPACAMENTO DE 3M, CRAVADOS 0,5M, COM 4 FIOS DE ARAME FARPADO Nº 14 CLASSE 250</v>
          </cell>
          <cell r="C6131" t="str">
            <v>M</v>
          </cell>
          <cell r="D6131">
            <v>45.29</v>
          </cell>
        </row>
        <row r="6132">
          <cell r="A6132" t="str">
            <v>74142/2</v>
          </cell>
          <cell r="B6132" t="str">
            <v>CERCA COM MOUROES DE MADEIRA, 7,5X7,5CM, ESPACAMENTO DE 2M, ALTURA LIVRE DE 2M, CRAVADOS 0,5M, COM 4 FIOS DE ARAME FARPADO Nº 14 CLASSE 250</v>
          </cell>
          <cell r="C6132" t="str">
            <v>M</v>
          </cell>
          <cell r="D6132">
            <v>18.260000000000002</v>
          </cell>
        </row>
        <row r="6133">
          <cell r="A6133" t="str">
            <v>74142/3</v>
          </cell>
          <cell r="B6133" t="str">
            <v>CERCA COM MOUROES DE MADEIRA, 7,5X7,5CM, ESPACAMENTO DE 2M, ALTURA LIVRE DE 2M, CRAVADOS 0,5M, COM 8 FIOS DE ARAME FARPADO Nº 14 CLASSE 250</v>
          </cell>
          <cell r="C6133" t="str">
            <v>M</v>
          </cell>
          <cell r="D6133">
            <v>29.9</v>
          </cell>
        </row>
        <row r="6134">
          <cell r="A6134" t="str">
            <v>74142/4</v>
          </cell>
          <cell r="B6134" t="str">
            <v>CERCA COM MOUROES DE CONCRETO, SECAO "T" PONTA INCLINADA, 10X10CM, ESPACAMENTO DE 3M, CRAVADOS 0,5M, COM 11 FIOS DE ARAME FARPADO Nº 16</v>
          </cell>
          <cell r="C6134" t="str">
            <v>M</v>
          </cell>
          <cell r="D6134">
            <v>55.49</v>
          </cell>
        </row>
        <row r="6135">
          <cell r="A6135" t="str">
            <v>74143/1</v>
          </cell>
          <cell r="B6135" t="str">
            <v>CERCA COM MOUROES DE CONCRETO, RETO, 15X15CM, ESPACAMENTO DE 3M, CRAVADOS 0,5M, ESCORAS DE 10X10CM NOS CANTOS, COM 12 FIOS DE ARAME DE ACO OVALADO 15X17</v>
          </cell>
          <cell r="C6135" t="str">
            <v>M</v>
          </cell>
          <cell r="D6135">
            <v>54.67</v>
          </cell>
        </row>
        <row r="6136">
          <cell r="A6136" t="str">
            <v>74143/2</v>
          </cell>
          <cell r="B6136" t="str">
            <v>CERCA COM MOUROES DE CONCRETO, RETO, 15X15CM, ESPACAMENTO DE 3M, CRAVADOS 0,5M, ESCORAS DE 10X10CM NOS CANTOS, COM 9 FIOS DE ARAME DE ACO OVALADO 15X17</v>
          </cell>
          <cell r="C6136" t="str">
            <v>M</v>
          </cell>
          <cell r="D6136">
            <v>52.58</v>
          </cell>
        </row>
        <row r="6137">
          <cell r="A6137">
            <v>85171</v>
          </cell>
          <cell r="B6137" t="str">
            <v>RECOMPOSICAO PARCIAL DO ARAME FARPADO Nº 14 CLASSE 250, FIXADO EM CERCA COM MOURÕES DE CONCRETO, RETO, 15X15CM</v>
          </cell>
          <cell r="C6137" t="str">
            <v>M</v>
          </cell>
          <cell r="D6137">
            <v>3.83</v>
          </cell>
        </row>
        <row r="6138">
          <cell r="A6138" t="str">
            <v>73787/1</v>
          </cell>
          <cell r="B6138" t="str">
            <v>ALAMBRADO EM TUBOS DE ACO GALVANIZADO, COM COSTURA, DIN 2440, DIAMETRO 2", ALTURA 3M, FIXADOS A CADA 2M EM BLOCOS DE CONCRETO, COM TELA DE ARAME GALVANIZADO REVESTIDO COM PVC, FIO 12 BWG E MALHA 7,5X7,5CM</v>
          </cell>
          <cell r="C6138" t="str">
            <v>M2</v>
          </cell>
          <cell r="D6138">
            <v>194.98</v>
          </cell>
        </row>
        <row r="6139">
          <cell r="A6139" t="str">
            <v>74244/1</v>
          </cell>
          <cell r="B6139" t="str">
            <v>ALAMBRADO PARA QUADRA POLIESPORTIVA, ESTRUTURADO POR TUBOS DE ACO GALVANIZADO, COM COSTURA, DIN 2440, DIAMETRO 2", COM TELA DE ARAME GALVANIZADO, FIO 14 BWG E MALHA QUADRADA 5X5CM</v>
          </cell>
          <cell r="C6139" t="str">
            <v>M2</v>
          </cell>
          <cell r="D6139">
            <v>116.76</v>
          </cell>
        </row>
        <row r="6140">
          <cell r="A6140" t="str">
            <v>73788/2</v>
          </cell>
          <cell r="B6140" t="str">
            <v>GRADE EM MADEIRA PARA PROTECAO DE MUDAS DE ARVORES</v>
          </cell>
          <cell r="C6140" t="str">
            <v>UN</v>
          </cell>
          <cell r="D6140">
            <v>139.81</v>
          </cell>
        </row>
        <row r="6141">
          <cell r="A6141">
            <v>98509</v>
          </cell>
          <cell r="B6141" t="str">
            <v>PLANTIO DE ARBUSTO OU  CERCA VIVA. AF_05/2018</v>
          </cell>
          <cell r="C6141" t="str">
            <v>UN</v>
          </cell>
          <cell r="D6141">
            <v>55.58</v>
          </cell>
        </row>
        <row r="6142">
          <cell r="A6142">
            <v>98510</v>
          </cell>
          <cell r="B6142" t="str">
            <v>PLANTIO DE ÁRVORE ORNAMENTAL COM ALTURA DE MUDA MENOR OU IGUAL A 2,00 M. AF_05/2018</v>
          </cell>
          <cell r="C6142" t="str">
            <v>UN</v>
          </cell>
          <cell r="D6142">
            <v>79.16</v>
          </cell>
        </row>
        <row r="6143">
          <cell r="A6143">
            <v>98511</v>
          </cell>
          <cell r="B6143" t="str">
            <v>PLANTIO DE ÁRVORE ORNAMENTAL COM ALTURA DE MUDA MAIOR QUE 2,00 M E MENOR OU IGUAL A 4,00 M. AF_05/2018</v>
          </cell>
          <cell r="C6143" t="str">
            <v>UN</v>
          </cell>
          <cell r="D6143">
            <v>153.02000000000001</v>
          </cell>
        </row>
        <row r="6144">
          <cell r="A6144">
            <v>98516</v>
          </cell>
          <cell r="B6144" t="str">
            <v>PLANTIO DE PALMEIRA COM ALTURA DE MUDA MENOR OU IGUAL A 2,00 M. AF_05/2018</v>
          </cell>
          <cell r="C6144" t="str">
            <v>UN</v>
          </cell>
          <cell r="D6144">
            <v>298.89999999999998</v>
          </cell>
        </row>
        <row r="6145">
          <cell r="A6145">
            <v>98519</v>
          </cell>
          <cell r="B6145" t="str">
            <v>REVOLVIMENTO E LIMPEZA MANUAL DE SOLO. AF_05/2018</v>
          </cell>
          <cell r="C6145" t="str">
            <v>M2</v>
          </cell>
          <cell r="D6145">
            <v>1.6</v>
          </cell>
        </row>
        <row r="6146">
          <cell r="A6146">
            <v>98520</v>
          </cell>
          <cell r="B6146" t="str">
            <v>APLICAÇÃO DE ADUBO EM SOLO. AF_05/2018</v>
          </cell>
          <cell r="C6146" t="str">
            <v>M2</v>
          </cell>
          <cell r="D6146">
            <v>3.65</v>
          </cell>
        </row>
        <row r="6147">
          <cell r="A6147">
            <v>98521</v>
          </cell>
          <cell r="B6147" t="str">
            <v>APLICAÇÃO DE CALCÁRIO PARA CORREÇÃO DO PH DO SOLO. AF_05/2018</v>
          </cell>
          <cell r="C6147" t="str">
            <v>M2</v>
          </cell>
          <cell r="D6147">
            <v>0.28000000000000003</v>
          </cell>
        </row>
        <row r="6148">
          <cell r="A6148">
            <v>98522</v>
          </cell>
          <cell r="B6148" t="str">
            <v>ALAMBRADO EM MOURÕES DE CONCRETO, COM TELA DE ARAME GALVANIZADO (INCLUSIVE MURETA EM CONCRETO). AF_05/2018</v>
          </cell>
          <cell r="C6148" t="str">
            <v>M</v>
          </cell>
          <cell r="D6148">
            <v>122.93</v>
          </cell>
        </row>
        <row r="6149">
          <cell r="A6149">
            <v>98524</v>
          </cell>
          <cell r="B6149" t="str">
            <v>LIMPEZA MANUAL DE VEGETAÇÃO EM TERRENO COM ENXADA.AF_05/2018</v>
          </cell>
          <cell r="C6149" t="str">
            <v>M2</v>
          </cell>
          <cell r="D6149">
            <v>2.56</v>
          </cell>
        </row>
        <row r="6150">
          <cell r="A6150">
            <v>85179</v>
          </cell>
          <cell r="B6150" t="str">
            <v>PLANTIO DE GRAMA SAO CARLOS EM LEIVAS</v>
          </cell>
          <cell r="C6150" t="str">
            <v>M2</v>
          </cell>
          <cell r="D6150">
            <v>14.36</v>
          </cell>
        </row>
        <row r="6151">
          <cell r="A6151">
            <v>85180</v>
          </cell>
          <cell r="B6151" t="str">
            <v>PLANTIO DE GRAMA ESMERALDA EM ROLO</v>
          </cell>
          <cell r="C6151" t="str">
            <v>M2</v>
          </cell>
          <cell r="D6151">
            <v>14.36</v>
          </cell>
        </row>
        <row r="6152">
          <cell r="A6152">
            <v>98503</v>
          </cell>
          <cell r="B6152" t="str">
            <v>PLANTIO DE GRAMA EM PAVIMENTO CONCREGRAMA. AF_05/2018</v>
          </cell>
          <cell r="C6152" t="str">
            <v>M2</v>
          </cell>
          <cell r="D6152">
            <v>14.02</v>
          </cell>
        </row>
        <row r="6153">
          <cell r="A6153">
            <v>98504</v>
          </cell>
          <cell r="B6153" t="str">
            <v>PLANTIO DE GRAMA EM PLACAS. AF_05/2018</v>
          </cell>
          <cell r="C6153" t="str">
            <v>M2</v>
          </cell>
          <cell r="D6153">
            <v>9.01</v>
          </cell>
        </row>
        <row r="6154">
          <cell r="A6154">
            <v>98505</v>
          </cell>
          <cell r="B6154" t="str">
            <v>PLANTIO DE FORRAÇÃO. AF_05/2018</v>
          </cell>
          <cell r="C6154" t="str">
            <v>M2</v>
          </cell>
          <cell r="D6154">
            <v>79.459999999999994</v>
          </cell>
        </row>
        <row r="6155">
          <cell r="A6155">
            <v>85184</v>
          </cell>
          <cell r="B6155" t="str">
            <v>RETIRADA DE GRAMA EM PLACAS</v>
          </cell>
          <cell r="C6155" t="str">
            <v>M2</v>
          </cell>
          <cell r="D6155">
            <v>4.0599999999999996</v>
          </cell>
        </row>
        <row r="6156">
          <cell r="A6156">
            <v>85185</v>
          </cell>
          <cell r="B6156" t="str">
            <v>PODA E LIMPEZA DE ARBUSTO TIPO CERCA VIVA</v>
          </cell>
          <cell r="C6156" t="str">
            <v>M2</v>
          </cell>
          <cell r="D6156">
            <v>4.88</v>
          </cell>
        </row>
        <row r="6157">
          <cell r="A6157">
            <v>98525</v>
          </cell>
          <cell r="B6157" t="str">
            <v>LIMPEZA MECANIZADA DE CAMADA VEGETAL, VEGETAÇÃO E PEQUENAS ÁRVORES (DIÂMETRO DE TRONCO MENOR QUE 0,20 M), COM TRATOR DE ESTEIRAS.AF_05/2018</v>
          </cell>
          <cell r="C6157" t="str">
            <v>M2</v>
          </cell>
          <cell r="D6157">
            <v>0.25</v>
          </cell>
        </row>
        <row r="6158">
          <cell r="A6158">
            <v>98526</v>
          </cell>
          <cell r="B6158" t="str">
            <v>REMOÇÃO DE RAÍZES REMANESCENTES DE TRONCO DE ÁRVORE COM DIÂMETRO MAIOR OU IGUAL A 0,20 M E MENOR QUE 0,40 M.AF_05/2018</v>
          </cell>
          <cell r="C6158" t="str">
            <v>UN</v>
          </cell>
          <cell r="D6158">
            <v>56.38</v>
          </cell>
        </row>
        <row r="6159">
          <cell r="A6159">
            <v>98527</v>
          </cell>
          <cell r="B6159" t="str">
            <v>REMOÇÃO DE RAÍZES REMANESCENTES DE TRONCO DE ÁRVORE COM DIÂMETRO MAIOR OU IGUAL A 0,40 M E MENOR QUE 0,60 M.AF_05/2018</v>
          </cell>
          <cell r="C6159" t="str">
            <v>UN</v>
          </cell>
          <cell r="D6159">
            <v>121.37</v>
          </cell>
        </row>
        <row r="6160">
          <cell r="A6160">
            <v>98528</v>
          </cell>
          <cell r="B6160" t="str">
            <v>REMOÇÃO DE RAÍZES REMANESCENTES DE TRONCO DE ÁRVORE COM DIÂMETRO MAIOR OU IGUAL A 0,60 M.AF_05/2018</v>
          </cell>
          <cell r="C6160" t="str">
            <v>UN</v>
          </cell>
          <cell r="D6160">
            <v>177.5</v>
          </cell>
        </row>
        <row r="6161">
          <cell r="A6161">
            <v>98529</v>
          </cell>
          <cell r="B6161" t="str">
            <v>CORTE RASO E RECORTE DE ÁRVORE COM DIÂMETRO DE TRONCO MAIOR OU IGUAL A 0,20 M E MENOR QUE 0,40 M.AF_05/2018</v>
          </cell>
          <cell r="C6161" t="str">
            <v>UN</v>
          </cell>
          <cell r="D6161">
            <v>55.3</v>
          </cell>
        </row>
        <row r="6162">
          <cell r="A6162">
            <v>98530</v>
          </cell>
          <cell r="B6162" t="str">
            <v>CORTE RASO E RECORTE DE ÁRVORE COM DIÂMETRO DE TRONCO MAIOR OU IGUAL A 0,40 M E MENOR QUE 0,60 M.AF_05/2018</v>
          </cell>
          <cell r="C6162" t="str">
            <v>UN</v>
          </cell>
          <cell r="D6162">
            <v>98.51</v>
          </cell>
        </row>
        <row r="6163">
          <cell r="A6163">
            <v>98531</v>
          </cell>
          <cell r="B6163" t="str">
            <v>CORTE RASO E RECORTE DE ÁRVORE COM DIÂMETRO DE TRONCO MAIOR OU IGUAL A 0,60 M.AF_05/2018</v>
          </cell>
          <cell r="C6163" t="str">
            <v>UN</v>
          </cell>
          <cell r="D6163">
            <v>203.18</v>
          </cell>
        </row>
        <row r="6164">
          <cell r="A6164">
            <v>98532</v>
          </cell>
          <cell r="B6164" t="str">
            <v>PODA EM ALTURA DE ÁRVORE COM DIÂMETRO DE TRONCO MENOR QUE 0,20 M.AF_05/2018</v>
          </cell>
          <cell r="C6164" t="str">
            <v>UN</v>
          </cell>
          <cell r="D6164">
            <v>70.8</v>
          </cell>
        </row>
        <row r="6165">
          <cell r="A6165">
            <v>98533</v>
          </cell>
          <cell r="B6165" t="str">
            <v>PODA EM ALTURA DE ÁRVORE COM DIÂMETRO DE TRONCO MAIOR OU IGUAL A 0,20 M E MENOR QUE 0,40 M.AF_05/2018</v>
          </cell>
          <cell r="C6165" t="str">
            <v>UN</v>
          </cell>
          <cell r="D6165">
            <v>194.39</v>
          </cell>
        </row>
        <row r="6166">
          <cell r="A6166">
            <v>98534</v>
          </cell>
          <cell r="B6166" t="str">
            <v>PODA EM ALTURA DE ÁRVORE COM DIÂMETRO DE TRONCO MAIOR OU IGUAL A 0,40 M E MENOR QUE 0,60 M.AF_05/2018</v>
          </cell>
          <cell r="C6166" t="str">
            <v>UN</v>
          </cell>
          <cell r="D6166">
            <v>497.44</v>
          </cell>
        </row>
        <row r="6167">
          <cell r="A6167">
            <v>98535</v>
          </cell>
          <cell r="B6167" t="str">
            <v>PODA EM ALTURA DE ÁRVORE COM DIÂMETRO DE TRONCO MAIOR OU IGUAL A 0,60 M.AF_05/2018</v>
          </cell>
          <cell r="C6167" t="str">
            <v>UN</v>
          </cell>
          <cell r="D6167">
            <v>788.33</v>
          </cell>
        </row>
        <row r="6168">
          <cell r="A6168">
            <v>88238</v>
          </cell>
          <cell r="B6168" t="str">
            <v>AJUDANTE DE ARMADOR COM ENCARGOS COMPLEMENTARES</v>
          </cell>
          <cell r="C6168" t="str">
            <v>H</v>
          </cell>
          <cell r="D6168">
            <v>15.53</v>
          </cell>
        </row>
        <row r="6169">
          <cell r="A6169">
            <v>88239</v>
          </cell>
          <cell r="B6169" t="str">
            <v>AJUDANTE DE CARPINTEIRO COM ENCARGOS COMPLEMENTARES</v>
          </cell>
          <cell r="C6169" t="str">
            <v>H</v>
          </cell>
          <cell r="D6169">
            <v>16.899999999999999</v>
          </cell>
        </row>
        <row r="6170">
          <cell r="A6170">
            <v>88240</v>
          </cell>
          <cell r="B6170" t="str">
            <v>AJUDANTE DE ESTRUTURA METÁLICA COM ENCARGOS COMPLEMENTARES</v>
          </cell>
          <cell r="C6170" t="str">
            <v>H</v>
          </cell>
          <cell r="D6170">
            <v>12.03</v>
          </cell>
        </row>
        <row r="6171">
          <cell r="A6171">
            <v>88241</v>
          </cell>
          <cell r="B6171" t="str">
            <v>AJUDANTE DE OPERAÇÃO EM GERAL COM ENCARGOS COMPLEMENTARES</v>
          </cell>
          <cell r="C6171" t="str">
            <v>H</v>
          </cell>
          <cell r="D6171">
            <v>15.91</v>
          </cell>
        </row>
        <row r="6172">
          <cell r="A6172">
            <v>88242</v>
          </cell>
          <cell r="B6172" t="str">
            <v>AJUDANTE DE PEDREIRO COM ENCARGOS COMPLEMENTARES</v>
          </cell>
          <cell r="C6172" t="str">
            <v>H</v>
          </cell>
          <cell r="D6172">
            <v>16.27</v>
          </cell>
        </row>
        <row r="6173">
          <cell r="A6173">
            <v>88243</v>
          </cell>
          <cell r="B6173" t="str">
            <v>AJUDANTE ESPECIALIZADO COM ENCARGOS COMPLEMENTARES</v>
          </cell>
          <cell r="C6173" t="str">
            <v>H</v>
          </cell>
          <cell r="D6173">
            <v>19.5</v>
          </cell>
        </row>
        <row r="6174">
          <cell r="A6174">
            <v>88245</v>
          </cell>
          <cell r="B6174" t="str">
            <v>ARMADOR COM ENCARGOS COMPLEMENTARES</v>
          </cell>
          <cell r="C6174" t="str">
            <v>H</v>
          </cell>
          <cell r="D6174">
            <v>20.13</v>
          </cell>
        </row>
        <row r="6175">
          <cell r="A6175">
            <v>88246</v>
          </cell>
          <cell r="B6175" t="str">
            <v>ASSENTADOR DE TUBOS COM ENCARGOS COMPLEMENTARES</v>
          </cell>
          <cell r="C6175" t="str">
            <v>H</v>
          </cell>
          <cell r="D6175">
            <v>16.93</v>
          </cell>
        </row>
        <row r="6176">
          <cell r="A6176">
            <v>88247</v>
          </cell>
          <cell r="B6176" t="str">
            <v>AUXILIAR DE ELETRICISTA COM ENCARGOS COMPLEMENTARES</v>
          </cell>
          <cell r="C6176" t="str">
            <v>H</v>
          </cell>
          <cell r="D6176">
            <v>16.260000000000002</v>
          </cell>
        </row>
        <row r="6177">
          <cell r="A6177">
            <v>88248</v>
          </cell>
          <cell r="B6177" t="str">
            <v>AUXILIAR DE ENCANADOR OU BOMBEIRO HIDRÁULICO COM ENCARGOS COMPLEMENTARES</v>
          </cell>
          <cell r="C6177" t="str">
            <v>H</v>
          </cell>
          <cell r="D6177">
            <v>15.76</v>
          </cell>
        </row>
        <row r="6178">
          <cell r="A6178">
            <v>88249</v>
          </cell>
          <cell r="B6178" t="str">
            <v>AUXILIAR DE LABORATÓRIO COM ENCARGOS COMPLEMENTARES</v>
          </cell>
          <cell r="C6178" t="str">
            <v>H</v>
          </cell>
          <cell r="D6178">
            <v>24.88</v>
          </cell>
        </row>
        <row r="6179">
          <cell r="A6179">
            <v>88250</v>
          </cell>
          <cell r="B6179" t="str">
            <v>AUXILIAR DE MECÂNICO COM ENCARGOS COMPLEMENTARES</v>
          </cell>
          <cell r="C6179" t="str">
            <v>H</v>
          </cell>
          <cell r="D6179">
            <v>13.68</v>
          </cell>
        </row>
        <row r="6180">
          <cell r="A6180">
            <v>88251</v>
          </cell>
          <cell r="B6180" t="str">
            <v>AUXILIAR DE SERRALHEIRO COM ENCARGOS COMPLEMENTARES</v>
          </cell>
          <cell r="C6180" t="str">
            <v>H</v>
          </cell>
          <cell r="D6180">
            <v>16.32</v>
          </cell>
        </row>
        <row r="6181">
          <cell r="A6181">
            <v>88252</v>
          </cell>
          <cell r="B6181" t="str">
            <v>AUXILIAR DE SERVIÇOS GERAIS COM ENCARGOS COMPLEMENTARES</v>
          </cell>
          <cell r="C6181" t="str">
            <v>H</v>
          </cell>
          <cell r="D6181">
            <v>17.02</v>
          </cell>
        </row>
        <row r="6182">
          <cell r="A6182">
            <v>88253</v>
          </cell>
          <cell r="B6182" t="str">
            <v>AUXILIAR DE TOPÓGRAFO COM ENCARGOS COMPLEMENTARES</v>
          </cell>
          <cell r="C6182" t="str">
            <v>H</v>
          </cell>
          <cell r="D6182">
            <v>10.09</v>
          </cell>
        </row>
        <row r="6183">
          <cell r="A6183">
            <v>88255</v>
          </cell>
          <cell r="B6183" t="str">
            <v>AUXILIAR TÉCNICO DE ENGENHARIA COM ENCARGOS COMPLEMENTARES</v>
          </cell>
          <cell r="C6183" t="str">
            <v>H</v>
          </cell>
          <cell r="D6183">
            <v>27.7</v>
          </cell>
        </row>
        <row r="6184">
          <cell r="A6184">
            <v>88256</v>
          </cell>
          <cell r="B6184" t="str">
            <v>AZULEJISTA OU LADRILHISTA COM ENCARGOS COMPLEMENTARES</v>
          </cell>
          <cell r="C6184" t="str">
            <v>H</v>
          </cell>
          <cell r="D6184">
            <v>20.170000000000002</v>
          </cell>
        </row>
        <row r="6185">
          <cell r="A6185">
            <v>88257</v>
          </cell>
          <cell r="B6185" t="str">
            <v>BLASTER, DINAMITADOR OU CABO DE FOGO COM ENCARGOS COMPLEMENTARES</v>
          </cell>
          <cell r="C6185" t="str">
            <v>H</v>
          </cell>
          <cell r="D6185">
            <v>14.67</v>
          </cell>
        </row>
        <row r="6186">
          <cell r="A6186">
            <v>88258</v>
          </cell>
          <cell r="B6186" t="str">
            <v>CADASTRISTA DE REDES DE AGUA E ESGOTO COM ENCARGOS COMPLEMENTARES</v>
          </cell>
          <cell r="C6186" t="str">
            <v>H</v>
          </cell>
          <cell r="D6186">
            <v>14.16</v>
          </cell>
        </row>
        <row r="6187">
          <cell r="A6187">
            <v>88259</v>
          </cell>
          <cell r="B6187" t="str">
            <v>CALAFETADOR/CALAFATE COM ENCARGOS COMPLEMENTARES</v>
          </cell>
          <cell r="C6187" t="str">
            <v>H</v>
          </cell>
          <cell r="D6187">
            <v>23.46</v>
          </cell>
        </row>
        <row r="6188">
          <cell r="A6188">
            <v>88260</v>
          </cell>
          <cell r="B6188" t="str">
            <v>CALCETEIRO COM ENCARGOS COMPLEMENTARES</v>
          </cell>
          <cell r="C6188" t="str">
            <v>H</v>
          </cell>
          <cell r="D6188">
            <v>19.95</v>
          </cell>
        </row>
        <row r="6189">
          <cell r="A6189">
            <v>88261</v>
          </cell>
          <cell r="B6189" t="str">
            <v>CARPINTEIRO DE ESQUADRIA COM ENCARGOS COMPLEMENTARES</v>
          </cell>
          <cell r="C6189" t="str">
            <v>H</v>
          </cell>
          <cell r="D6189">
            <v>21.51</v>
          </cell>
        </row>
        <row r="6190">
          <cell r="A6190">
            <v>88262</v>
          </cell>
          <cell r="B6190" t="str">
            <v>CARPINTEIRO DE FORMAS COM ENCARGOS COMPLEMENTARES</v>
          </cell>
          <cell r="C6190" t="str">
            <v>H</v>
          </cell>
          <cell r="D6190">
            <v>20.09</v>
          </cell>
        </row>
        <row r="6191">
          <cell r="A6191">
            <v>88263</v>
          </cell>
          <cell r="B6191" t="str">
            <v>CAVOUQUEIRO OU OPERADOR PERFURATRIZ/ROMPEDOR COM ENCARGOS COMPLEMENTARES</v>
          </cell>
          <cell r="C6191" t="str">
            <v>H</v>
          </cell>
          <cell r="D6191">
            <v>13.2</v>
          </cell>
        </row>
        <row r="6192">
          <cell r="A6192">
            <v>88264</v>
          </cell>
          <cell r="B6192" t="str">
            <v>ELETRICISTA COM ENCARGOS COMPLEMENTARES</v>
          </cell>
          <cell r="C6192" t="str">
            <v>H</v>
          </cell>
          <cell r="D6192">
            <v>21.01</v>
          </cell>
        </row>
        <row r="6193">
          <cell r="A6193">
            <v>88265</v>
          </cell>
          <cell r="B6193" t="str">
            <v>ELETRICISTA INDUSTRIAL COM ENCARGOS COMPLEMENTARES</v>
          </cell>
          <cell r="C6193" t="str">
            <v>H</v>
          </cell>
          <cell r="D6193">
            <v>21.01</v>
          </cell>
        </row>
        <row r="6194">
          <cell r="A6194">
            <v>88266</v>
          </cell>
          <cell r="B6194" t="str">
            <v>ELETROTÉCNICO COM ENCARGOS COMPLEMENTARES</v>
          </cell>
          <cell r="C6194" t="str">
            <v>H</v>
          </cell>
          <cell r="D6194">
            <v>21.08</v>
          </cell>
        </row>
        <row r="6195">
          <cell r="A6195">
            <v>88267</v>
          </cell>
          <cell r="B6195" t="str">
            <v>ENCANADOR OU BOMBEIRO HIDRÁULICO COM ENCARGOS COMPLEMENTARES</v>
          </cell>
          <cell r="C6195" t="str">
            <v>H</v>
          </cell>
          <cell r="D6195">
            <v>20.36</v>
          </cell>
        </row>
        <row r="6196">
          <cell r="A6196">
            <v>88268</v>
          </cell>
          <cell r="B6196" t="str">
            <v>ESTUCADOR COM ENCARGOS COMPLEMENTARES</v>
          </cell>
          <cell r="C6196" t="str">
            <v>H</v>
          </cell>
          <cell r="D6196">
            <v>20.87</v>
          </cell>
        </row>
        <row r="6197">
          <cell r="A6197">
            <v>88269</v>
          </cell>
          <cell r="B6197" t="str">
            <v>GESSEIRO COM ENCARGOS COMPLEMENTARES</v>
          </cell>
          <cell r="C6197" t="str">
            <v>H</v>
          </cell>
          <cell r="D6197">
            <v>20.13</v>
          </cell>
        </row>
        <row r="6198">
          <cell r="A6198">
            <v>88270</v>
          </cell>
          <cell r="B6198" t="str">
            <v>IMPERMEABILIZADOR COM ENCARGOS COMPLEMENTARES</v>
          </cell>
          <cell r="C6198" t="str">
            <v>H</v>
          </cell>
          <cell r="D6198">
            <v>21.15</v>
          </cell>
        </row>
        <row r="6199">
          <cell r="A6199">
            <v>88272</v>
          </cell>
          <cell r="B6199" t="str">
            <v>MACARIQUEIRO COM ENCARGOS COMPLEMENTARES</v>
          </cell>
          <cell r="C6199" t="str">
            <v>H</v>
          </cell>
          <cell r="D6199">
            <v>20.65</v>
          </cell>
        </row>
        <row r="6200">
          <cell r="A6200">
            <v>88273</v>
          </cell>
          <cell r="B6200" t="str">
            <v>MARCENEIRO COM ENCARGOS COMPLEMENTARES</v>
          </cell>
          <cell r="C6200" t="str">
            <v>H</v>
          </cell>
          <cell r="D6200">
            <v>20.46</v>
          </cell>
        </row>
        <row r="6201">
          <cell r="A6201">
            <v>88274</v>
          </cell>
          <cell r="B6201" t="str">
            <v>MARMORISTA/GRANITEIRO COM ENCARGOS COMPLEMENTARES</v>
          </cell>
          <cell r="C6201" t="str">
            <v>H</v>
          </cell>
          <cell r="D6201">
            <v>20.5</v>
          </cell>
        </row>
        <row r="6202">
          <cell r="A6202">
            <v>88275</v>
          </cell>
          <cell r="B6202" t="str">
            <v>MECÃNICO DE EQUIPAMENTOS PESADOS COM ENCARGOS COMPLEMENTARES</v>
          </cell>
          <cell r="C6202" t="str">
            <v>H</v>
          </cell>
          <cell r="D6202">
            <v>20.73</v>
          </cell>
        </row>
        <row r="6203">
          <cell r="A6203">
            <v>88277</v>
          </cell>
          <cell r="B6203" t="str">
            <v>MONTADOR (TUBO AÇO/EQUIPAMENTOS) COM ENCARGOS COMPLEMENTARES</v>
          </cell>
          <cell r="C6203" t="str">
            <v>H</v>
          </cell>
          <cell r="D6203">
            <v>15.48</v>
          </cell>
        </row>
        <row r="6204">
          <cell r="A6204">
            <v>88278</v>
          </cell>
          <cell r="B6204" t="str">
            <v>MONTADOR DE ESTRUTURA METÁLICA COM ENCARGOS COMPLEMENTARES</v>
          </cell>
          <cell r="C6204" t="str">
            <v>H</v>
          </cell>
          <cell r="D6204">
            <v>14.57</v>
          </cell>
        </row>
        <row r="6205">
          <cell r="A6205">
            <v>88279</v>
          </cell>
          <cell r="B6205" t="str">
            <v>MONTADOR ELETROMECÃNICO COM ENCARGOS COMPLEMENTARES</v>
          </cell>
          <cell r="C6205" t="str">
            <v>H</v>
          </cell>
          <cell r="D6205">
            <v>22.32</v>
          </cell>
        </row>
        <row r="6206">
          <cell r="A6206">
            <v>88281</v>
          </cell>
          <cell r="B6206" t="str">
            <v>MOTORISTA DE BASCULANTE COM ENCARGOS COMPLEMENTARES</v>
          </cell>
          <cell r="C6206" t="str">
            <v>H</v>
          </cell>
          <cell r="D6206">
            <v>15.49</v>
          </cell>
        </row>
        <row r="6207">
          <cell r="A6207">
            <v>88282</v>
          </cell>
          <cell r="B6207" t="str">
            <v>MOTORISTA DE CAMINHÃO COM ENCARGOS COMPLEMENTARES</v>
          </cell>
          <cell r="C6207" t="str">
            <v>H</v>
          </cell>
          <cell r="D6207">
            <v>16.16</v>
          </cell>
        </row>
        <row r="6208">
          <cell r="A6208">
            <v>88283</v>
          </cell>
          <cell r="B6208" t="str">
            <v>MOTORISTA DE CAMINHÃO E CARRETA COM ENCARGOS COMPLEMENTARES</v>
          </cell>
          <cell r="C6208" t="str">
            <v>H</v>
          </cell>
          <cell r="D6208">
            <v>20.190000000000001</v>
          </cell>
        </row>
        <row r="6209">
          <cell r="A6209">
            <v>88284</v>
          </cell>
          <cell r="B6209" t="str">
            <v>MOTORISTA DE VEIÍCULO LEVE COM ENCARGOS COMPLEMENTARES</v>
          </cell>
          <cell r="C6209" t="str">
            <v>H</v>
          </cell>
          <cell r="D6209">
            <v>15.3</v>
          </cell>
        </row>
        <row r="6210">
          <cell r="A6210">
            <v>88285</v>
          </cell>
          <cell r="B6210" t="str">
            <v>MOTORISTA DE VEÍCULO PESADO COM ENCARGOS COMPLEMENTARES</v>
          </cell>
          <cell r="C6210" t="str">
            <v>H</v>
          </cell>
          <cell r="D6210">
            <v>17.27</v>
          </cell>
        </row>
        <row r="6211">
          <cell r="A6211">
            <v>88286</v>
          </cell>
          <cell r="B6211" t="str">
            <v>MOTORISTA OPERADOR DE MUNCK COM ENCARGOS COMPLEMENTARES</v>
          </cell>
          <cell r="C6211" t="str">
            <v>H</v>
          </cell>
          <cell r="D6211">
            <v>18.350000000000001</v>
          </cell>
        </row>
        <row r="6212">
          <cell r="A6212">
            <v>88288</v>
          </cell>
          <cell r="B6212" t="str">
            <v>NIVELADOR COM ENCARGOS COMPLEMENTARES</v>
          </cell>
          <cell r="C6212" t="str">
            <v>H</v>
          </cell>
          <cell r="D6212">
            <v>11.63</v>
          </cell>
        </row>
        <row r="6213">
          <cell r="A6213">
            <v>88291</v>
          </cell>
          <cell r="B6213" t="str">
            <v>OPERADOR DE BETONEIRA (CAMINHÃO) COM ENCARGOS COMPLEMENTARES</v>
          </cell>
          <cell r="C6213" t="str">
            <v>H</v>
          </cell>
          <cell r="D6213">
            <v>15.03</v>
          </cell>
        </row>
        <row r="6214">
          <cell r="A6214">
            <v>88292</v>
          </cell>
          <cell r="B6214" t="str">
            <v>OPERADOR DE COMPRESSOR OU COMPRESSORISTA COM ENCARGOS COMPLEMENTARES</v>
          </cell>
          <cell r="C6214" t="str">
            <v>H</v>
          </cell>
          <cell r="D6214">
            <v>15.59</v>
          </cell>
        </row>
        <row r="6215">
          <cell r="A6215">
            <v>88293</v>
          </cell>
          <cell r="B6215" t="str">
            <v>OPERADOR DE DEMARCADORA DE FAIXAS COM ENCARGOS COMPLEMENTARES</v>
          </cell>
          <cell r="C6215" t="str">
            <v>H</v>
          </cell>
          <cell r="D6215">
            <v>17.52</v>
          </cell>
        </row>
        <row r="6216">
          <cell r="A6216">
            <v>88294</v>
          </cell>
          <cell r="B6216" t="str">
            <v>OPERADOR DE ESCAVADEIRA COM ENCARGOS COMPLEMENTARES</v>
          </cell>
          <cell r="C6216" t="str">
            <v>H</v>
          </cell>
          <cell r="D6216">
            <v>18.84</v>
          </cell>
        </row>
        <row r="6217">
          <cell r="A6217">
            <v>88295</v>
          </cell>
          <cell r="B6217" t="str">
            <v>OPERADOR DE GUINCHO COM ENCARGOS COMPLEMENTARES</v>
          </cell>
          <cell r="C6217" t="str">
            <v>H</v>
          </cell>
          <cell r="D6217">
            <v>14.76</v>
          </cell>
        </row>
        <row r="6218">
          <cell r="A6218">
            <v>88296</v>
          </cell>
          <cell r="B6218" t="str">
            <v>OPERADOR DE GUINDASTE COM ENCARGOS COMPLEMENTARES</v>
          </cell>
          <cell r="C6218" t="str">
            <v>H</v>
          </cell>
          <cell r="D6218">
            <v>14.83</v>
          </cell>
        </row>
        <row r="6219">
          <cell r="A6219">
            <v>88297</v>
          </cell>
          <cell r="B6219" t="str">
            <v>OPERADOR DE MÁQUINAS E EQUIPAMENTOS COM ENCARGOS COMPLEMENTARES</v>
          </cell>
          <cell r="C6219" t="str">
            <v>H</v>
          </cell>
          <cell r="D6219">
            <v>15.36</v>
          </cell>
        </row>
        <row r="6220">
          <cell r="A6220">
            <v>88298</v>
          </cell>
          <cell r="B6220" t="str">
            <v>OPERADOR DE MARTELETE OU MARTELETEIRO COM ENCARGOS COMPLEMENTARES</v>
          </cell>
          <cell r="C6220" t="str">
            <v>H</v>
          </cell>
          <cell r="D6220">
            <v>12.96</v>
          </cell>
        </row>
        <row r="6221">
          <cell r="A6221">
            <v>88299</v>
          </cell>
          <cell r="B6221" t="str">
            <v>OPERADOR DE MOTO-ESCREIPER COM ENCARGOS COMPLEMENTARES</v>
          </cell>
          <cell r="C6221" t="str">
            <v>H</v>
          </cell>
          <cell r="D6221">
            <v>17.73</v>
          </cell>
        </row>
        <row r="6222">
          <cell r="A6222">
            <v>88300</v>
          </cell>
          <cell r="B6222" t="str">
            <v>OPERADOR DE MOTONIVELADORA COM ENCARGOS COMPLEMENTARES</v>
          </cell>
          <cell r="C6222" t="str">
            <v>H</v>
          </cell>
          <cell r="D6222">
            <v>20.83</v>
          </cell>
        </row>
        <row r="6223">
          <cell r="A6223">
            <v>88301</v>
          </cell>
          <cell r="B6223" t="str">
            <v>OPERADOR DE PÁ CARREGADEIRA COM ENCARGOS COMPLEMENTARES</v>
          </cell>
          <cell r="C6223" t="str">
            <v>H</v>
          </cell>
          <cell r="D6223">
            <v>16.329999999999998</v>
          </cell>
        </row>
        <row r="6224">
          <cell r="A6224">
            <v>88302</v>
          </cell>
          <cell r="B6224" t="str">
            <v>OPERADOR DE PAVIMENTADORA COM ENCARGOS COMPLEMENTARES</v>
          </cell>
          <cell r="C6224" t="str">
            <v>H</v>
          </cell>
          <cell r="D6224">
            <v>18.2</v>
          </cell>
        </row>
        <row r="6225">
          <cell r="A6225">
            <v>88303</v>
          </cell>
          <cell r="B6225" t="str">
            <v>OPERADOR DE ROLO COMPACTADOR COM ENCARGOS COMPLEMENTARES</v>
          </cell>
          <cell r="C6225" t="str">
            <v>H</v>
          </cell>
          <cell r="D6225">
            <v>15.33</v>
          </cell>
        </row>
        <row r="6226">
          <cell r="A6226">
            <v>88304</v>
          </cell>
          <cell r="B6226" t="str">
            <v>OPERADOR DE USINA DE ASFALTO, DE SOLOS OU DE CONCRETO COM ENCARGOS COMPLEMENTARES</v>
          </cell>
          <cell r="C6226" t="str">
            <v>H</v>
          </cell>
          <cell r="D6226">
            <v>16.21</v>
          </cell>
        </row>
        <row r="6227">
          <cell r="A6227">
            <v>88306</v>
          </cell>
          <cell r="B6227" t="str">
            <v>OPERADOR JATO DE AREIA OU JATISTA COM ENCARGOS COMPLEMENTARES</v>
          </cell>
          <cell r="C6227" t="str">
            <v>H</v>
          </cell>
          <cell r="D6227">
            <v>20.23</v>
          </cell>
        </row>
        <row r="6228">
          <cell r="A6228">
            <v>88307</v>
          </cell>
          <cell r="B6228" t="str">
            <v>OPERADOR PARA BATE ESTACAS COM ENCARGOS COMPLEMENTARES</v>
          </cell>
          <cell r="C6228" t="str">
            <v>H</v>
          </cell>
          <cell r="D6228">
            <v>16.829999999999998</v>
          </cell>
        </row>
        <row r="6229">
          <cell r="A6229">
            <v>88308</v>
          </cell>
          <cell r="B6229" t="str">
            <v>PASTILHEIRO COM ENCARGOS COMPLEMENTARES</v>
          </cell>
          <cell r="C6229" t="str">
            <v>H</v>
          </cell>
          <cell r="D6229">
            <v>22.68</v>
          </cell>
        </row>
        <row r="6230">
          <cell r="A6230">
            <v>88309</v>
          </cell>
          <cell r="B6230" t="str">
            <v>PEDREIRO COM ENCARGOS COMPLEMENTARES</v>
          </cell>
          <cell r="C6230" t="str">
            <v>H</v>
          </cell>
          <cell r="D6230">
            <v>20.25</v>
          </cell>
        </row>
        <row r="6231">
          <cell r="A6231">
            <v>88310</v>
          </cell>
          <cell r="B6231" t="str">
            <v>PINTOR COM ENCARGOS COMPLEMENTARES</v>
          </cell>
          <cell r="C6231" t="str">
            <v>H</v>
          </cell>
          <cell r="D6231">
            <v>21.36</v>
          </cell>
        </row>
        <row r="6232">
          <cell r="A6232">
            <v>88311</v>
          </cell>
          <cell r="B6232" t="str">
            <v>PINTOR DE LETREIROS COM ENCARGOS COMPLEMENTARES</v>
          </cell>
          <cell r="C6232" t="str">
            <v>H</v>
          </cell>
          <cell r="D6232">
            <v>23.67</v>
          </cell>
        </row>
        <row r="6233">
          <cell r="A6233">
            <v>88312</v>
          </cell>
          <cell r="B6233" t="str">
            <v>PINTOR PARA TINTA EPÓXI COM ENCARGOS COMPLEMENTARES</v>
          </cell>
          <cell r="C6233" t="str">
            <v>H</v>
          </cell>
          <cell r="D6233">
            <v>22.5</v>
          </cell>
        </row>
        <row r="6234">
          <cell r="A6234">
            <v>88313</v>
          </cell>
          <cell r="B6234" t="str">
            <v>POCEIRO COM ENCARGOS COMPLEMENTARES</v>
          </cell>
          <cell r="C6234" t="str">
            <v>H</v>
          </cell>
          <cell r="D6234">
            <v>14.8</v>
          </cell>
        </row>
        <row r="6235">
          <cell r="A6235">
            <v>88314</v>
          </cell>
          <cell r="B6235" t="str">
            <v>RASTELEIRO COM ENCARGOS COMPLEMENTARES</v>
          </cell>
          <cell r="C6235" t="str">
            <v>H</v>
          </cell>
          <cell r="D6235">
            <v>13.63</v>
          </cell>
        </row>
        <row r="6236">
          <cell r="A6236">
            <v>88315</v>
          </cell>
          <cell r="B6236" t="str">
            <v>SERRALHEIRO COM ENCARGOS COMPLEMENTARES</v>
          </cell>
          <cell r="C6236" t="str">
            <v>H</v>
          </cell>
          <cell r="D6236">
            <v>20.13</v>
          </cell>
        </row>
        <row r="6237">
          <cell r="A6237">
            <v>88316</v>
          </cell>
          <cell r="B6237" t="str">
            <v>SERVENTE COM ENCARGOS COMPLEMENTARES</v>
          </cell>
          <cell r="C6237" t="str">
            <v>H</v>
          </cell>
          <cell r="D6237">
            <v>16.260000000000002</v>
          </cell>
        </row>
        <row r="6238">
          <cell r="A6238">
            <v>88317</v>
          </cell>
          <cell r="B6238" t="str">
            <v>SOLDADOR COM ENCARGOS COMPLEMENTARES</v>
          </cell>
          <cell r="C6238" t="str">
            <v>H</v>
          </cell>
          <cell r="D6238">
            <v>20.399999999999999</v>
          </cell>
        </row>
        <row r="6239">
          <cell r="A6239">
            <v>88318</v>
          </cell>
          <cell r="B6239" t="str">
            <v>SOLDADOR A (PARA SOLDA A SER TESTADA COM RAIOS "X") COM ENCARGOS COMPLEMENTARES</v>
          </cell>
          <cell r="C6239" t="str">
            <v>H</v>
          </cell>
          <cell r="D6239">
            <v>25.37</v>
          </cell>
        </row>
        <row r="6240">
          <cell r="A6240">
            <v>88320</v>
          </cell>
          <cell r="B6240" t="str">
            <v>TAQUEADOR OU TAQUEIRO COM ENCARGOS COMPLEMENTARES</v>
          </cell>
          <cell r="C6240" t="str">
            <v>H</v>
          </cell>
          <cell r="D6240">
            <v>23.51</v>
          </cell>
        </row>
        <row r="6241">
          <cell r="A6241">
            <v>88321</v>
          </cell>
          <cell r="B6241" t="str">
            <v>TÉCNICO DE LABORATÓRIO COM ENCARGOS COMPLEMENTARES</v>
          </cell>
          <cell r="C6241" t="str">
            <v>H</v>
          </cell>
          <cell r="D6241">
            <v>25.91</v>
          </cell>
        </row>
        <row r="6242">
          <cell r="A6242">
            <v>88322</v>
          </cell>
          <cell r="B6242" t="str">
            <v>TÉCNICO DE SONDAGEM COM ENCARGOS COMPLEMENTARES</v>
          </cell>
          <cell r="C6242" t="str">
            <v>H</v>
          </cell>
          <cell r="D6242">
            <v>23.6</v>
          </cell>
        </row>
        <row r="6243">
          <cell r="A6243">
            <v>88323</v>
          </cell>
          <cell r="B6243" t="str">
            <v>TELHADISTA COM ENCARGOS COMPLEMENTARES</v>
          </cell>
          <cell r="C6243" t="str">
            <v>H</v>
          </cell>
          <cell r="D6243">
            <v>21.47</v>
          </cell>
        </row>
        <row r="6244">
          <cell r="A6244">
            <v>88324</v>
          </cell>
          <cell r="B6244" t="str">
            <v>TRATORISTA COM ENCARGOS COMPLEMENTARES</v>
          </cell>
          <cell r="C6244" t="str">
            <v>H</v>
          </cell>
          <cell r="D6244">
            <v>15.45</v>
          </cell>
        </row>
        <row r="6245">
          <cell r="A6245">
            <v>88325</v>
          </cell>
          <cell r="B6245" t="str">
            <v>VIDRACEIRO COM ENCARGOS COMPLEMENTARES</v>
          </cell>
          <cell r="C6245" t="str">
            <v>H</v>
          </cell>
          <cell r="D6245">
            <v>19.52</v>
          </cell>
        </row>
        <row r="6246">
          <cell r="A6246">
            <v>88326</v>
          </cell>
          <cell r="B6246" t="str">
            <v>VIGIA NOTURNO COM ENCARGOS COMPLEMENTARES</v>
          </cell>
          <cell r="C6246" t="str">
            <v>H</v>
          </cell>
          <cell r="D6246">
            <v>20.89</v>
          </cell>
        </row>
        <row r="6247">
          <cell r="A6247">
            <v>88377</v>
          </cell>
          <cell r="B6247" t="str">
            <v>OPERADOR DE BETONEIRA ESTACIONÁRIA/MISTURADOR COM ENCARGOS COMPLEMENTARES</v>
          </cell>
          <cell r="C6247" t="str">
            <v>H</v>
          </cell>
          <cell r="D6247">
            <v>14.63</v>
          </cell>
        </row>
        <row r="6248">
          <cell r="A6248">
            <v>88441</v>
          </cell>
          <cell r="B6248" t="str">
            <v>JARDINEIRO COM ENCARGOS COMPLEMENTARES</v>
          </cell>
          <cell r="C6248" t="str">
            <v>H</v>
          </cell>
          <cell r="D6248">
            <v>19.55</v>
          </cell>
        </row>
        <row r="6249">
          <cell r="A6249">
            <v>88597</v>
          </cell>
          <cell r="B6249" t="str">
            <v>DESENHISTA DETALHISTA COM ENCARGOS COMPLEMENTARES</v>
          </cell>
          <cell r="C6249" t="str">
            <v>H</v>
          </cell>
          <cell r="D6249">
            <v>26.78</v>
          </cell>
        </row>
        <row r="6250">
          <cell r="A6250">
            <v>90766</v>
          </cell>
          <cell r="B6250" t="str">
            <v>ALMOXARIFE COM ENCARGOS COMPLEMENTARES</v>
          </cell>
          <cell r="C6250" t="str">
            <v>H</v>
          </cell>
          <cell r="D6250">
            <v>19.25</v>
          </cell>
        </row>
        <row r="6251">
          <cell r="A6251">
            <v>90767</v>
          </cell>
          <cell r="B6251" t="str">
            <v>APONTADOR OU APROPRIADOR COM ENCARGOS COMPLEMENTARES</v>
          </cell>
          <cell r="C6251" t="str">
            <v>H</v>
          </cell>
          <cell r="D6251">
            <v>18.84</v>
          </cell>
        </row>
        <row r="6252">
          <cell r="A6252">
            <v>90768</v>
          </cell>
          <cell r="B6252" t="str">
            <v>ARQUITETO DE OBRA JUNIOR COM ENCARGOS COMPLEMENTARES</v>
          </cell>
          <cell r="C6252" t="str">
            <v>H</v>
          </cell>
          <cell r="D6252">
            <v>68.23</v>
          </cell>
        </row>
        <row r="6253">
          <cell r="A6253">
            <v>90769</v>
          </cell>
          <cell r="B6253" t="str">
            <v>ARQUITETO DE OBRA PLENO COM ENCARGOS COMPLEMENTARES</v>
          </cell>
          <cell r="C6253" t="str">
            <v>H</v>
          </cell>
          <cell r="D6253">
            <v>96.53</v>
          </cell>
        </row>
        <row r="6254">
          <cell r="A6254">
            <v>90770</v>
          </cell>
          <cell r="B6254" t="str">
            <v>ARQUITETO DE OBRA SENIOR COM ENCARGOS COMPLEMENTARES</v>
          </cell>
          <cell r="C6254" t="str">
            <v>H</v>
          </cell>
          <cell r="D6254">
            <v>127.32</v>
          </cell>
        </row>
        <row r="6255">
          <cell r="A6255">
            <v>90771</v>
          </cell>
          <cell r="B6255" t="str">
            <v>AUXILIAR DE DESENHISTA COM ENCARGOS COMPLEMENTARES</v>
          </cell>
          <cell r="C6255" t="str">
            <v>H</v>
          </cell>
          <cell r="D6255">
            <v>22.23</v>
          </cell>
        </row>
        <row r="6256">
          <cell r="A6256">
            <v>90772</v>
          </cell>
          <cell r="B6256" t="str">
            <v>AUXILIAR DE ESCRITORIO COM ENCARGOS COMPLEMENTARES</v>
          </cell>
          <cell r="C6256" t="str">
            <v>H</v>
          </cell>
          <cell r="D6256">
            <v>16.309999999999999</v>
          </cell>
        </row>
        <row r="6257">
          <cell r="A6257">
            <v>90773</v>
          </cell>
          <cell r="B6257" t="str">
            <v>DESENHISTA COPISTA COM ENCARGOS COMPLEMENTARES</v>
          </cell>
          <cell r="C6257" t="str">
            <v>H</v>
          </cell>
          <cell r="D6257">
            <v>21.2</v>
          </cell>
        </row>
        <row r="6258">
          <cell r="A6258">
            <v>90775</v>
          </cell>
          <cell r="B6258" t="str">
            <v>DESENHISTA PROJETISTA COM ENCARGOS COMPLEMENTARES</v>
          </cell>
          <cell r="C6258" t="str">
            <v>H</v>
          </cell>
          <cell r="D6258">
            <v>19.05</v>
          </cell>
        </row>
        <row r="6259">
          <cell r="A6259">
            <v>90776</v>
          </cell>
          <cell r="B6259" t="str">
            <v>ENCARREGADO GERAL COM ENCARGOS COMPLEMENTARES</v>
          </cell>
          <cell r="C6259" t="str">
            <v>H</v>
          </cell>
          <cell r="D6259">
            <v>25</v>
          </cell>
        </row>
        <row r="6260">
          <cell r="A6260">
            <v>90777</v>
          </cell>
          <cell r="B6260" t="str">
            <v>ENGENHEIRO CIVIL DE OBRA JUNIOR COM ENCARGOS COMPLEMENTARES</v>
          </cell>
          <cell r="C6260" t="str">
            <v>H</v>
          </cell>
          <cell r="D6260">
            <v>92.72</v>
          </cell>
        </row>
        <row r="6261">
          <cell r="A6261">
            <v>90778</v>
          </cell>
          <cell r="B6261" t="str">
            <v>ENGENHEIRO CIVIL DE OBRA PLENO COM ENCARGOS COMPLEMENTARES</v>
          </cell>
          <cell r="C6261" t="str">
            <v>H</v>
          </cell>
          <cell r="D6261">
            <v>105.4</v>
          </cell>
        </row>
        <row r="6262">
          <cell r="A6262">
            <v>90779</v>
          </cell>
          <cell r="B6262" t="str">
            <v>ENGENHEIRO CIVIL DE OBRA SENIOR COM ENCARGOS COMPLEMENTARES</v>
          </cell>
          <cell r="C6262" t="str">
            <v>H</v>
          </cell>
          <cell r="D6262">
            <v>143.72999999999999</v>
          </cell>
        </row>
        <row r="6263">
          <cell r="A6263">
            <v>90780</v>
          </cell>
          <cell r="B6263" t="str">
            <v>MESTRE DE OBRAS COM ENCARGOS COMPLEMENTARES</v>
          </cell>
          <cell r="C6263" t="str">
            <v>H</v>
          </cell>
          <cell r="D6263">
            <v>32.39</v>
          </cell>
        </row>
        <row r="6264">
          <cell r="A6264">
            <v>90781</v>
          </cell>
          <cell r="B6264" t="str">
            <v>TOPOGRAFO COM ENCARGOS COMPLEMENTARES</v>
          </cell>
          <cell r="C6264" t="str">
            <v>H</v>
          </cell>
          <cell r="D6264">
            <v>18.73</v>
          </cell>
        </row>
        <row r="6265">
          <cell r="A6265">
            <v>91677</v>
          </cell>
          <cell r="B6265" t="str">
            <v>ENGENHEIRO ELETRICISTA COM ENCARGOS COMPLEMENTARES</v>
          </cell>
          <cell r="C6265" t="str">
            <v>H</v>
          </cell>
          <cell r="D6265">
            <v>89.81</v>
          </cell>
        </row>
        <row r="6266">
          <cell r="A6266">
            <v>91678</v>
          </cell>
          <cell r="B6266" t="str">
            <v>ENGENHEIRO SANITARISTA COM ENCARGOS COMPLEMENTARES</v>
          </cell>
          <cell r="C6266" t="str">
            <v>H</v>
          </cell>
          <cell r="D6266">
            <v>86.6</v>
          </cell>
        </row>
        <row r="6267">
          <cell r="A6267">
            <v>93558</v>
          </cell>
          <cell r="B6267" t="str">
            <v>MOTORISTA DE CAMINHAO COM ENCARGOS COMPLEMENTARES</v>
          </cell>
          <cell r="C6267" t="str">
            <v>MES</v>
          </cell>
          <cell r="D6267">
            <v>3369.94</v>
          </cell>
        </row>
        <row r="6268">
          <cell r="A6268">
            <v>93559</v>
          </cell>
          <cell r="B6268" t="str">
            <v>DESENHISTA DETALHISTA COM ENCARGOS COMPLEMENTARES</v>
          </cell>
          <cell r="C6268" t="str">
            <v>MES</v>
          </cell>
          <cell r="D6268">
            <v>3931.18</v>
          </cell>
        </row>
        <row r="6269">
          <cell r="A6269">
            <v>93560</v>
          </cell>
          <cell r="B6269" t="str">
            <v>DESENHISTA COPISTA COM ENCARGOS COMPLEMENTARES</v>
          </cell>
          <cell r="C6269" t="str">
            <v>MES</v>
          </cell>
          <cell r="D6269">
            <v>3158.21</v>
          </cell>
        </row>
        <row r="6270">
          <cell r="A6270">
            <v>93561</v>
          </cell>
          <cell r="B6270" t="str">
            <v>DESENHISTA PROJETISTA COM ENCARGOS COMPLEMENTARES</v>
          </cell>
          <cell r="C6270" t="str">
            <v>MES</v>
          </cell>
          <cell r="D6270">
            <v>3176.52</v>
          </cell>
        </row>
        <row r="6271">
          <cell r="A6271">
            <v>93562</v>
          </cell>
          <cell r="B6271" t="str">
            <v>AUXILIAR DE DESENHISTA COM ENCARGOS COMPLEMENTARES</v>
          </cell>
          <cell r="C6271" t="str">
            <v>MES</v>
          </cell>
          <cell r="D6271">
            <v>3299.17</v>
          </cell>
        </row>
        <row r="6272">
          <cell r="A6272">
            <v>93563</v>
          </cell>
          <cell r="B6272" t="str">
            <v>ALMOXARIFE COM ENCARGOS COMPLEMENTARES</v>
          </cell>
          <cell r="C6272" t="str">
            <v>MES</v>
          </cell>
          <cell r="D6272">
            <v>3454.27</v>
          </cell>
        </row>
        <row r="6273">
          <cell r="A6273">
            <v>93564</v>
          </cell>
          <cell r="B6273" t="str">
            <v>APONTADOR OU APROPRIADOR COM ENCARGOS COMPLEMENTARES</v>
          </cell>
          <cell r="C6273" t="str">
            <v>MES</v>
          </cell>
          <cell r="D6273">
            <v>3378.87</v>
          </cell>
        </row>
        <row r="6274">
          <cell r="A6274">
            <v>93565</v>
          </cell>
          <cell r="B6274" t="str">
            <v>ENGENHEIRO CIVIL DE OBRA JUNIOR COM ENCARGOS COMPLEMENTARES</v>
          </cell>
          <cell r="C6274" t="str">
            <v>MES</v>
          </cell>
          <cell r="D6274">
            <v>16375.94</v>
          </cell>
        </row>
        <row r="6275">
          <cell r="A6275">
            <v>93566</v>
          </cell>
          <cell r="B6275" t="str">
            <v>AUXILIAR DE ESCRITORIO COM ENCARGOS COMPLEMENTARES</v>
          </cell>
          <cell r="C6275" t="str">
            <v>MES</v>
          </cell>
          <cell r="D6275">
            <v>2938.79</v>
          </cell>
        </row>
        <row r="6276">
          <cell r="A6276">
            <v>93567</v>
          </cell>
          <cell r="B6276" t="str">
            <v>ENGENHEIRO CIVIL DE OBRA PLENO COM ENCARGOS COMPLEMENTARES</v>
          </cell>
          <cell r="C6276" t="str">
            <v>MES</v>
          </cell>
          <cell r="D6276">
            <v>18614.13</v>
          </cell>
        </row>
        <row r="6277">
          <cell r="A6277">
            <v>93568</v>
          </cell>
          <cell r="B6277" t="str">
            <v>ENGENHEIRO CIVIL DE OBRA SENIOR COM ENCARGOS COMPLEMENTARES</v>
          </cell>
          <cell r="C6277" t="str">
            <v>MES</v>
          </cell>
          <cell r="D6277">
            <v>25378.5</v>
          </cell>
        </row>
        <row r="6278">
          <cell r="A6278">
            <v>93569</v>
          </cell>
          <cell r="B6278" t="str">
            <v>ARQUITETO JUNIOR COM ENCARGOS COMPLEMENTARES</v>
          </cell>
          <cell r="C6278" t="str">
            <v>MES</v>
          </cell>
          <cell r="D6278">
            <v>12071.04</v>
          </cell>
        </row>
        <row r="6279">
          <cell r="A6279">
            <v>93570</v>
          </cell>
          <cell r="B6279" t="str">
            <v>ARQUITETO PLENO COM ENCARGOS COMPLEMENTARES</v>
          </cell>
          <cell r="C6279" t="str">
            <v>MES</v>
          </cell>
          <cell r="D6279">
            <v>17069.71</v>
          </cell>
        </row>
        <row r="6280">
          <cell r="A6280">
            <v>93571</v>
          </cell>
          <cell r="B6280" t="str">
            <v>ARQUITETO SENIOR COM ENCARGOS COMPLEMENTARES</v>
          </cell>
          <cell r="C6280" t="str">
            <v>MES</v>
          </cell>
          <cell r="D6280">
            <v>22509.29</v>
          </cell>
        </row>
        <row r="6281">
          <cell r="A6281">
            <v>93572</v>
          </cell>
          <cell r="B6281" t="str">
            <v>ENCARREGADO GERAL DE OBRAS COM ENCARGOS COMPLEMENTARES</v>
          </cell>
          <cell r="C6281" t="str">
            <v>MES</v>
          </cell>
          <cell r="D6281">
            <v>4464.8100000000004</v>
          </cell>
        </row>
        <row r="6282">
          <cell r="A6282">
            <v>94295</v>
          </cell>
          <cell r="B6282" t="str">
            <v>MESTRE DE OBRAS COM ENCARGOS COMPLEMENTARES</v>
          </cell>
          <cell r="C6282" t="str">
            <v>MES</v>
          </cell>
          <cell r="D6282">
            <v>5727.82</v>
          </cell>
        </row>
        <row r="6283">
          <cell r="A6283">
            <v>94296</v>
          </cell>
          <cell r="B6283" t="str">
            <v>TOPOGRAFO COM ENCARGOS COMPLEMENTARES</v>
          </cell>
          <cell r="C6283" t="str">
            <v>MES</v>
          </cell>
          <cell r="D6283">
            <v>3487.55</v>
          </cell>
        </row>
        <row r="6284">
          <cell r="A6284">
            <v>95308</v>
          </cell>
          <cell r="B6284" t="str">
            <v>CURSO DE CAPACITAÇÃO PARA AJUDANTE DE ARMADOR (ENCARGOS COMPLEMENTARES) - HORISTA</v>
          </cell>
          <cell r="C6284" t="str">
            <v>H</v>
          </cell>
          <cell r="D6284">
            <v>0.09</v>
          </cell>
        </row>
        <row r="6285">
          <cell r="A6285">
            <v>95309</v>
          </cell>
          <cell r="B6285" t="str">
            <v>CURSO DE CAPACITAÇÃO PARA AJUDANTE DE CARPINTEIRO (ENCARGOS COMPLEMENTARES) - HORISTA</v>
          </cell>
          <cell r="C6285" t="str">
            <v>H</v>
          </cell>
          <cell r="D6285">
            <v>0.14000000000000001</v>
          </cell>
        </row>
        <row r="6286">
          <cell r="A6286">
            <v>95310</v>
          </cell>
          <cell r="B6286" t="str">
            <v>CURSO DE CAPACITAÇÃO PARA AJUDANTE DE ESTRUTURA METÁLICA (ENCARGOS COMPLEMENTARES) - HORISTA</v>
          </cell>
          <cell r="C6286" t="str">
            <v>H</v>
          </cell>
          <cell r="D6286">
            <v>7.0000000000000007E-2</v>
          </cell>
        </row>
        <row r="6287">
          <cell r="A6287">
            <v>95311</v>
          </cell>
          <cell r="B6287" t="str">
            <v>CURSO DE CAPACITAÇÃO PARA AJUDANTE DE OPERAÇÃO EM GERAL (ENCARGOS COMPLEMENTARES) - HORISTA</v>
          </cell>
          <cell r="C6287" t="str">
            <v>H</v>
          </cell>
          <cell r="D6287">
            <v>0.1</v>
          </cell>
        </row>
        <row r="6288">
          <cell r="A6288">
            <v>95312</v>
          </cell>
          <cell r="B6288" t="str">
            <v>CURSO DE CAPACITAÇÃO PARA AJUDANTE DE PEDREIRO (ENCARGOS COMPLEMENTARES) - HORISTA</v>
          </cell>
          <cell r="C6288" t="str">
            <v>H</v>
          </cell>
          <cell r="D6288">
            <v>0.13</v>
          </cell>
        </row>
        <row r="6289">
          <cell r="A6289">
            <v>95313</v>
          </cell>
          <cell r="B6289" t="str">
            <v>CURSO DE CAPACITAÇÃO PARA AJUDANTE ESPECIALIZADO (ENCARGOS COMPLEMENTARES) - HORISTA</v>
          </cell>
          <cell r="C6289" t="str">
            <v>H</v>
          </cell>
          <cell r="D6289">
            <v>0.13</v>
          </cell>
        </row>
        <row r="6290">
          <cell r="A6290">
            <v>95314</v>
          </cell>
          <cell r="B6290" t="str">
            <v>CURSO DE CAPACITAÇÃO PARA ARMADOR (ENCARGOS COMPLEMENTARES) - HORISTA</v>
          </cell>
          <cell r="C6290" t="str">
            <v>H</v>
          </cell>
          <cell r="D6290">
            <v>0.13</v>
          </cell>
        </row>
        <row r="6291">
          <cell r="A6291">
            <v>95315</v>
          </cell>
          <cell r="B6291" t="str">
            <v>CURSO DE CAPACITAÇÃO PARA ASSENTADOR DE TUBOS (ENCARGOS COMPLEMENTARES) - HORISTA</v>
          </cell>
          <cell r="C6291" t="str">
            <v>H</v>
          </cell>
          <cell r="D6291">
            <v>0.14000000000000001</v>
          </cell>
        </row>
        <row r="6292">
          <cell r="A6292">
            <v>95316</v>
          </cell>
          <cell r="B6292" t="str">
            <v>CURSO DE CAPACITAÇÃO PARA AUXILIAR DE ELETRICISTA (ENCARGOS COMPLEMENTARES) - HORISTA</v>
          </cell>
          <cell r="C6292" t="str">
            <v>H</v>
          </cell>
          <cell r="D6292">
            <v>0.32</v>
          </cell>
        </row>
        <row r="6293">
          <cell r="A6293">
            <v>95317</v>
          </cell>
          <cell r="B6293" t="str">
            <v>CURSO DE CAPACITAÇÃO PARA AUXILIAR DE ENCANADOR OU BOMBEIRO HIDRÁULICO (ENCARGOS COMPLEMENTARES) - HORISTA</v>
          </cell>
          <cell r="C6293" t="str">
            <v>H</v>
          </cell>
          <cell r="D6293">
            <v>0.15</v>
          </cell>
        </row>
        <row r="6294">
          <cell r="A6294">
            <v>95318</v>
          </cell>
          <cell r="B6294" t="str">
            <v>CURSO DE CAPACITAÇÃO PARA AUXILIAR DE LABORATÓRIO (ENCARGOS COMPLEMENTARES) - HORISTA</v>
          </cell>
          <cell r="C6294" t="str">
            <v>H</v>
          </cell>
          <cell r="D6294">
            <v>0.13</v>
          </cell>
        </row>
        <row r="6295">
          <cell r="A6295">
            <v>95319</v>
          </cell>
          <cell r="B6295" t="str">
            <v>CURSO DE CAPACITAÇÃO PARA AUXILIAR DE MECÂNICO (ENCARGOS COMPLEMENTARES) - HORISTA</v>
          </cell>
          <cell r="C6295" t="str">
            <v>H</v>
          </cell>
          <cell r="D6295">
            <v>0.08</v>
          </cell>
        </row>
        <row r="6296">
          <cell r="A6296">
            <v>95320</v>
          </cell>
          <cell r="B6296" t="str">
            <v>CURSO DE CAPACITAÇÃO PARA AUXILIAR DE SERRALHEIRO (ENCARGOS COMPLEMENTARES) - HORISTA</v>
          </cell>
          <cell r="C6296" t="str">
            <v>H</v>
          </cell>
          <cell r="D6296">
            <v>0.1</v>
          </cell>
        </row>
        <row r="6297">
          <cell r="A6297">
            <v>95321</v>
          </cell>
          <cell r="B6297" t="str">
            <v>CURSO DE CAPACITAÇÃO PARA AUXILIAR DE SERVIÇOS GERAIS (ENCARGOS COMPLEMENTARES) - HORISTA</v>
          </cell>
          <cell r="C6297" t="str">
            <v>H</v>
          </cell>
          <cell r="D6297">
            <v>0.11</v>
          </cell>
        </row>
        <row r="6298">
          <cell r="A6298">
            <v>95322</v>
          </cell>
          <cell r="B6298" t="str">
            <v>CURSO DE CAPACITAÇÃO PARA AUXILIAR DE TOPÓGRAFO (ENCARGOS COMPLEMENTARES) - HORISTA</v>
          </cell>
          <cell r="C6298" t="str">
            <v>H</v>
          </cell>
          <cell r="D6298">
            <v>0.03</v>
          </cell>
        </row>
        <row r="6299">
          <cell r="A6299">
            <v>95323</v>
          </cell>
          <cell r="B6299" t="str">
            <v>CURSO DE CAPACITAÇÃO PARA AUXILIAR TÉCNICO DE ENGENHARIA (ENCARGOS COMPLEMENTARES) - HORISTA</v>
          </cell>
          <cell r="C6299" t="str">
            <v>H</v>
          </cell>
          <cell r="D6299">
            <v>0.15</v>
          </cell>
        </row>
        <row r="6300">
          <cell r="A6300">
            <v>95324</v>
          </cell>
          <cell r="B6300" t="str">
            <v>CURSO DE CAPACITAÇÃO PARA AZULEJISTA OU LADRILHISTA (ENCARGOS COMPLEMENTARES) - HORISTA</v>
          </cell>
          <cell r="C6300" t="str">
            <v>H</v>
          </cell>
          <cell r="D6300">
            <v>0.17</v>
          </cell>
        </row>
        <row r="6301">
          <cell r="A6301">
            <v>95325</v>
          </cell>
          <cell r="B6301" t="str">
            <v>CURSO DE CAPACITAÇÃO PARA BLASTER, DINAMITADOR OU CABO DE FOGO (ENCARGOS COMPLEMENTARES) - HORISTA</v>
          </cell>
          <cell r="C6301" t="str">
            <v>H</v>
          </cell>
          <cell r="D6301">
            <v>0.14000000000000001</v>
          </cell>
        </row>
        <row r="6302">
          <cell r="A6302">
            <v>95326</v>
          </cell>
          <cell r="B6302" t="str">
            <v>CURSO DE CAPACITAÇÃO PARA CADASTRISTA DE REDES DE AGUA E ESGOTO (ENCARGOS COMPLEMENTARES) - HORISTA</v>
          </cell>
          <cell r="C6302" t="str">
            <v>H</v>
          </cell>
          <cell r="D6302">
            <v>0.04</v>
          </cell>
        </row>
        <row r="6303">
          <cell r="A6303">
            <v>95327</v>
          </cell>
          <cell r="B6303" t="str">
            <v>CURSO DE CAPACITAÇÃO PARA CALAFETADOR/CALAFATE (ENCARGOS COMPLEMENTARES) - HORISTA</v>
          </cell>
          <cell r="C6303" t="str">
            <v>H</v>
          </cell>
          <cell r="D6303">
            <v>0.21</v>
          </cell>
        </row>
        <row r="6304">
          <cell r="A6304">
            <v>95328</v>
          </cell>
          <cell r="B6304" t="str">
            <v>CURSO DE CAPACITAÇÃO PARA CALCETEIRO (ENCARGOS COMPLEMENTARES) - HORISTA</v>
          </cell>
          <cell r="C6304" t="str">
            <v>H</v>
          </cell>
          <cell r="D6304">
            <v>0.13</v>
          </cell>
        </row>
        <row r="6305">
          <cell r="A6305">
            <v>95329</v>
          </cell>
          <cell r="B6305" t="str">
            <v>CURSO DE CAPACITAÇÃO PARA CARPINTEIRO DE ESQUADRIA (ENCARGOS COMPLEMENTARES) - HORISTA</v>
          </cell>
          <cell r="C6305" t="str">
            <v>H</v>
          </cell>
          <cell r="D6305">
            <v>0.19</v>
          </cell>
        </row>
        <row r="6306">
          <cell r="A6306">
            <v>95330</v>
          </cell>
          <cell r="B6306" t="str">
            <v>CURSO DE CAPACITAÇÃO PARA CARPINTEIRO DE FÔRMAS (ENCARGOS COMPLEMENTARES) - HORISTA</v>
          </cell>
          <cell r="C6306" t="str">
            <v>H</v>
          </cell>
          <cell r="D6306">
            <v>0.13</v>
          </cell>
        </row>
        <row r="6307">
          <cell r="A6307">
            <v>95331</v>
          </cell>
          <cell r="B6307" t="str">
            <v>CURSO DE CAPACITAÇÃO PARA CAVOUQUEIRO OU OPERADOR PERFURATRIZ/ROMPEDOR (ENCARGOS COMPLEMENTARES) - HORISTA</v>
          </cell>
          <cell r="C6307" t="str">
            <v>H</v>
          </cell>
          <cell r="D6307">
            <v>0.08</v>
          </cell>
        </row>
        <row r="6308">
          <cell r="A6308">
            <v>95332</v>
          </cell>
          <cell r="B6308" t="str">
            <v>CURSO DE CAPACITAÇÃO PARA ELETRICISTA (ENCARGOS COMPLEMENTARES) - HORISTA</v>
          </cell>
          <cell r="C6308" t="str">
            <v>H</v>
          </cell>
          <cell r="D6308">
            <v>0.46</v>
          </cell>
        </row>
        <row r="6309">
          <cell r="A6309">
            <v>95333</v>
          </cell>
          <cell r="B6309" t="str">
            <v>CURSO DE CAPACITAÇÃO PARA ELETRICISTA INDUSTRIAL (ENCARGOS COMPLEMENTARES) - HORISTA</v>
          </cell>
          <cell r="C6309" t="str">
            <v>H</v>
          </cell>
          <cell r="D6309">
            <v>0.46</v>
          </cell>
        </row>
        <row r="6310">
          <cell r="A6310">
            <v>95334</v>
          </cell>
          <cell r="B6310" t="str">
            <v>CURSO DE CAPACITAÇÃO PARA ELETROTÉCNICO (ENCARGOS COMPLEMENTARES) - HORISTA</v>
          </cell>
          <cell r="C6310" t="str">
            <v>H</v>
          </cell>
          <cell r="D6310">
            <v>0.38</v>
          </cell>
        </row>
        <row r="6311">
          <cell r="A6311">
            <v>95335</v>
          </cell>
          <cell r="B6311" t="str">
            <v>CURSO DE CAPACITAÇÃO PARA ENCANADOR OU BOMBEIRO HIDRÁULICO (ENCARGOS COMPLEMENTARES) - HORISTA</v>
          </cell>
          <cell r="C6311" t="str">
            <v>H</v>
          </cell>
          <cell r="D6311">
            <v>0.22</v>
          </cell>
        </row>
        <row r="6312">
          <cell r="A6312">
            <v>95336</v>
          </cell>
          <cell r="B6312" t="str">
            <v>CURSO DE CAPACITAÇÃO PARA ESTUCADOR (ENCARGOS COMPLEMENTARES) - HORISTA</v>
          </cell>
          <cell r="C6312" t="str">
            <v>H</v>
          </cell>
          <cell r="D6312">
            <v>0.14000000000000001</v>
          </cell>
        </row>
        <row r="6313">
          <cell r="A6313">
            <v>95337</v>
          </cell>
          <cell r="B6313" t="str">
            <v>CURSO DE CAPACITAÇÃO PARA GESSEIRO (ENCARGOS COMPLEMENTARES) - HORISTA</v>
          </cell>
          <cell r="C6313" t="str">
            <v>H</v>
          </cell>
          <cell r="D6313">
            <v>0.13</v>
          </cell>
        </row>
        <row r="6314">
          <cell r="A6314">
            <v>95338</v>
          </cell>
          <cell r="B6314" t="str">
            <v>CURSO DE CAPACITAÇÃO PARA IMPERMEABILIZADOR (ENCARGOS COMPLEMENTARES) - HORISTA</v>
          </cell>
          <cell r="C6314" t="str">
            <v>H</v>
          </cell>
          <cell r="D6314">
            <v>0.27</v>
          </cell>
        </row>
        <row r="6315">
          <cell r="A6315">
            <v>95339</v>
          </cell>
          <cell r="B6315" t="str">
            <v>CURSO DE CAPACITAÇÃO PARA MAÇARIQUEIRO (ENCARGOS COMPLEMENTARES) - HORISTA</v>
          </cell>
          <cell r="C6315" t="str">
            <v>H</v>
          </cell>
          <cell r="D6315">
            <v>0.21</v>
          </cell>
        </row>
        <row r="6316">
          <cell r="A6316">
            <v>95340</v>
          </cell>
          <cell r="B6316" t="str">
            <v>CURSO DE CAPACITAÇÃO PARA MARCENEIRO (ENCARGOS COMPLEMENTARES) - HORISTA</v>
          </cell>
          <cell r="C6316" t="str">
            <v>H</v>
          </cell>
          <cell r="D6316">
            <v>0.18</v>
          </cell>
        </row>
        <row r="6317">
          <cell r="A6317">
            <v>95341</v>
          </cell>
          <cell r="B6317" t="str">
            <v>CURSO DE CAPACITAÇÃO PARA MARMORISTA/GRANITEIRO (ENCARGOS COMPLEMENTARES) - HORISTA</v>
          </cell>
          <cell r="C6317" t="str">
            <v>H</v>
          </cell>
          <cell r="D6317">
            <v>0.18</v>
          </cell>
        </row>
        <row r="6318">
          <cell r="A6318">
            <v>95342</v>
          </cell>
          <cell r="B6318" t="str">
            <v>CURSO DE CAPACITAÇÃO PARA MECÂNICO DE EQUIPAMENTOS PESADOS (ENCARGOS COMPLEMENTARES) - HORISTA</v>
          </cell>
          <cell r="C6318" t="str">
            <v>H</v>
          </cell>
          <cell r="D6318">
            <v>0.1</v>
          </cell>
        </row>
        <row r="6319">
          <cell r="A6319">
            <v>95343</v>
          </cell>
          <cell r="B6319" t="str">
            <v>CURSO DE CAPACITAÇÃO PARA MONTADOR  DE TUBO AÇO/EQUIPAMENTOS (ENCARGOS COMPLEMENTARES) - HORISTA</v>
          </cell>
          <cell r="C6319" t="str">
            <v>H</v>
          </cell>
          <cell r="D6319">
            <v>0.13</v>
          </cell>
        </row>
        <row r="6320">
          <cell r="A6320">
            <v>95344</v>
          </cell>
          <cell r="B6320" t="str">
            <v>CURSO DE CAPACITAÇÃO PARA MONTADOR DE ESTRUTURA METÁLICA (ENCARGOS COMPLEMENTARES) - HORISTA</v>
          </cell>
          <cell r="C6320" t="str">
            <v>H</v>
          </cell>
          <cell r="D6320">
            <v>0.09</v>
          </cell>
        </row>
        <row r="6321">
          <cell r="A6321">
            <v>95345</v>
          </cell>
          <cell r="B6321" t="str">
            <v>CURSO DE CAPACITAÇÃO PARA MONTADOR ELETROMECÂNICO (ENCARGOS COMPLEMENTARES) - HORISTA</v>
          </cell>
          <cell r="C6321" t="str">
            <v>H</v>
          </cell>
          <cell r="D6321">
            <v>0.41</v>
          </cell>
        </row>
        <row r="6322">
          <cell r="A6322">
            <v>95346</v>
          </cell>
          <cell r="B6322" t="str">
            <v>CURSO DE CAPACITAÇÃO PARA MOTORISTA DE BASCULANTE (ENCARGOS COMPLEMENTARES) - HORISTA</v>
          </cell>
          <cell r="C6322" t="str">
            <v>H</v>
          </cell>
          <cell r="D6322">
            <v>0.04</v>
          </cell>
        </row>
        <row r="6323">
          <cell r="A6323">
            <v>95347</v>
          </cell>
          <cell r="B6323" t="str">
            <v>CURSO DE CAPACITAÇÃO PARA MOTORISTA DE CAMINHÃO (ENCARGOS COMPLEMENTARES) - HORISTA</v>
          </cell>
          <cell r="C6323" t="str">
            <v>H</v>
          </cell>
          <cell r="D6323">
            <v>0.04</v>
          </cell>
        </row>
        <row r="6324">
          <cell r="A6324">
            <v>95348</v>
          </cell>
          <cell r="B6324" t="str">
            <v>CURSO DE CAPACITAÇÃO PARA MOTORISTA DE CAMINHÃO E CARRETA (ENCARGOS COMPLEMENTARES) - HORISTA</v>
          </cell>
          <cell r="C6324" t="str">
            <v>H</v>
          </cell>
          <cell r="D6324">
            <v>0.06</v>
          </cell>
        </row>
        <row r="6325">
          <cell r="A6325">
            <v>95349</v>
          </cell>
          <cell r="B6325" t="str">
            <v>CURSO DE CAPACITAÇÃO PARA MOTORISTA DE VEÍCULO LEVE (ENCARGOS COMPLEMENTARES) - HORISTA</v>
          </cell>
          <cell r="C6325" t="str">
            <v>H</v>
          </cell>
          <cell r="D6325">
            <v>0.04</v>
          </cell>
        </row>
        <row r="6326">
          <cell r="A6326">
            <v>95350</v>
          </cell>
          <cell r="B6326" t="str">
            <v>CURSO DE CAPACITAÇÃO PARA MOTORISTA DE VEÍCULO PESADO (ENCARGOS COMPLEMENTARES) - HORISTA</v>
          </cell>
          <cell r="C6326" t="str">
            <v>H</v>
          </cell>
          <cell r="D6326">
            <v>0.05</v>
          </cell>
        </row>
        <row r="6327">
          <cell r="A6327">
            <v>95351</v>
          </cell>
          <cell r="B6327" t="str">
            <v>CURSO DE CAPACITAÇÃO PARA MOTORISTA OPERADOR DE MUNCK (ENCARGOS COMPLEMENTARES) - HORISTA</v>
          </cell>
          <cell r="C6327" t="str">
            <v>H</v>
          </cell>
          <cell r="D6327">
            <v>0.18</v>
          </cell>
        </row>
        <row r="6328">
          <cell r="A6328">
            <v>95352</v>
          </cell>
          <cell r="B6328" t="str">
            <v>CURSO DE CAPACITAÇÃO PARA NIVELADOR (ENCARGOS COMPLEMENTARES) - HORISTA</v>
          </cell>
          <cell r="C6328" t="str">
            <v>H</v>
          </cell>
          <cell r="D6328">
            <v>0.04</v>
          </cell>
        </row>
        <row r="6329">
          <cell r="A6329">
            <v>95354</v>
          </cell>
          <cell r="B6329" t="str">
            <v>CURSO DE CAPACITAÇÃO PARA OPERADOR DE BETONEIRA (CAMINHÃO) (ENCARGOS COMPLEMENTARES) - HORISTA</v>
          </cell>
          <cell r="C6329" t="str">
            <v>H</v>
          </cell>
          <cell r="D6329">
            <v>7.0000000000000007E-2</v>
          </cell>
        </row>
        <row r="6330">
          <cell r="A6330">
            <v>95355</v>
          </cell>
          <cell r="B6330" t="str">
            <v>CURSO DE CAPACITAÇÃO PARA OPERADOR DE COMPRESSOR OU COMPRESSORISTA (ENCARGOS COMPLEMENTARES) - HORISTA</v>
          </cell>
          <cell r="C6330" t="str">
            <v>H</v>
          </cell>
          <cell r="D6330">
            <v>7.0000000000000007E-2</v>
          </cell>
        </row>
        <row r="6331">
          <cell r="A6331">
            <v>95356</v>
          </cell>
          <cell r="B6331" t="str">
            <v>CURSO DE CAPACITAÇÃO PARA OPERADOR DE DEMARCADORA DE FAIXAS (ENCARGOS COMPLEMENTARES) - HORISTA</v>
          </cell>
          <cell r="C6331" t="str">
            <v>H</v>
          </cell>
          <cell r="D6331">
            <v>0.08</v>
          </cell>
        </row>
        <row r="6332">
          <cell r="A6332">
            <v>95357</v>
          </cell>
          <cell r="B6332" t="str">
            <v>CURSO DE CAPACITAÇÃO PARA OPERADOR DE ESCAVADEIRA (ENCARGOS COMPLEMENTARES) - HORISTA</v>
          </cell>
          <cell r="C6332" t="str">
            <v>H</v>
          </cell>
          <cell r="D6332">
            <v>0.13</v>
          </cell>
        </row>
        <row r="6333">
          <cell r="A6333">
            <v>95358</v>
          </cell>
          <cell r="B6333" t="str">
            <v>CURSO DE CAPACITAÇÃO PARA OPERADOR DE GUINCHO (ENCARGOS COMPLEMENTARES) - HORISTA</v>
          </cell>
          <cell r="C6333" t="str">
            <v>H</v>
          </cell>
          <cell r="D6333">
            <v>0.13</v>
          </cell>
        </row>
        <row r="6334">
          <cell r="A6334">
            <v>95359</v>
          </cell>
          <cell r="B6334" t="str">
            <v>CURSO DE CAPACITAÇÃO PARA OPERADOR DE GUINDASTE (ENCARGOS COMPLEMENTARES) - HORISTA</v>
          </cell>
          <cell r="C6334" t="str">
            <v>H</v>
          </cell>
          <cell r="D6334">
            <v>0.13</v>
          </cell>
        </row>
        <row r="6335">
          <cell r="A6335">
            <v>95360</v>
          </cell>
          <cell r="B6335" t="str">
            <v>CURSO DE CAPACITAÇÃO PARA OPERADOR DE MÁQUINAS E EQUIPAMENTOS (ENCARGOS COMPLEMENTARES) - HORISTA</v>
          </cell>
          <cell r="C6335" t="str">
            <v>H</v>
          </cell>
          <cell r="D6335">
            <v>0.1</v>
          </cell>
        </row>
        <row r="6336">
          <cell r="A6336">
            <v>95361</v>
          </cell>
          <cell r="B6336" t="str">
            <v>CURSO DE CAPACITAÇÃO PARA OPERADOR DE MARTELETE OU MARTELETEIRO (ENCARGOS COMPLEMENTARES) - HORISTA</v>
          </cell>
          <cell r="C6336" t="str">
            <v>H</v>
          </cell>
          <cell r="D6336">
            <v>0.05</v>
          </cell>
        </row>
        <row r="6337">
          <cell r="A6337">
            <v>95362</v>
          </cell>
          <cell r="B6337" t="str">
            <v>CURSO DE CAPACITAÇÃO PARA OPERADOR DE MOTO-ESCREIPER (ENCARGOS COMPLEMENTARES) - HORISTA</v>
          </cell>
          <cell r="C6337" t="str">
            <v>H</v>
          </cell>
          <cell r="D6337">
            <v>0.08</v>
          </cell>
        </row>
        <row r="6338">
          <cell r="A6338">
            <v>95363</v>
          </cell>
          <cell r="B6338" t="str">
            <v>CURSO DE CAPACITAÇÃO PARA OPERADOR DE MOTONIVELADORA (ENCARGOS COMPLEMENTARES) - HORISTA</v>
          </cell>
          <cell r="C6338" t="str">
            <v>H</v>
          </cell>
          <cell r="D6338">
            <v>0.11</v>
          </cell>
        </row>
        <row r="6339">
          <cell r="A6339">
            <v>95364</v>
          </cell>
          <cell r="B6339" t="str">
            <v>CURSO DE CAPACITAÇÃO PARA OPERADOR DE PÁ CARREGADEIRA (ENCARGOS COMPLEMENTARES) - HORISTA</v>
          </cell>
          <cell r="C6339" t="str">
            <v>H</v>
          </cell>
          <cell r="D6339">
            <v>0.08</v>
          </cell>
        </row>
        <row r="6340">
          <cell r="A6340">
            <v>95365</v>
          </cell>
          <cell r="B6340" t="str">
            <v>CURSO DE CAPACITAÇÃO PARA OPERADOR DE PAVIMENTADORA (ENCARGOS COMPLEMENTARES) - HORISTA</v>
          </cell>
          <cell r="C6340" t="str">
            <v>H</v>
          </cell>
          <cell r="D6340">
            <v>0.09</v>
          </cell>
        </row>
        <row r="6341">
          <cell r="A6341">
            <v>95366</v>
          </cell>
          <cell r="B6341" t="str">
            <v>CURSO DE CAPACITAÇÃO PARA OPERADOR DE ROLO COMPACTADOR (ENCARGOS COMPLEMENTARES) - HORISTA</v>
          </cell>
          <cell r="C6341" t="str">
            <v>H</v>
          </cell>
          <cell r="D6341">
            <v>7.0000000000000007E-2</v>
          </cell>
        </row>
        <row r="6342">
          <cell r="A6342">
            <v>95367</v>
          </cell>
          <cell r="B6342" t="str">
            <v>CURSO DE CAPACITAÇÃO PARA OPERADOR DE USINA DE ASFALTO, DE SOLOS OU DE CONCRETO (ENCARGOS COMPLEMENTARES) - HORISTA</v>
          </cell>
          <cell r="C6342" t="str">
            <v>H</v>
          </cell>
          <cell r="D6342">
            <v>7.0000000000000007E-2</v>
          </cell>
        </row>
        <row r="6343">
          <cell r="A6343">
            <v>95368</v>
          </cell>
          <cell r="B6343" t="str">
            <v>CURSO DE CAPACITAÇÃO PARA OPERADOR JATO DE AREIA OU JATISTA (ENCARGOS COMPLEMENTARES) - HORISTA</v>
          </cell>
          <cell r="C6343" t="str">
            <v>H</v>
          </cell>
          <cell r="D6343">
            <v>0.14000000000000001</v>
          </cell>
        </row>
        <row r="6344">
          <cell r="A6344">
            <v>95369</v>
          </cell>
          <cell r="B6344" t="str">
            <v>CURSO DE CAPACITAÇÃO PARA OPERADOR PARA BATE ESTACAS (ENCARGOS COMPLEMENTARES) - HORISTA</v>
          </cell>
          <cell r="C6344" t="str">
            <v>H</v>
          </cell>
          <cell r="D6344">
            <v>0.08</v>
          </cell>
        </row>
        <row r="6345">
          <cell r="A6345">
            <v>95370</v>
          </cell>
          <cell r="B6345" t="str">
            <v>CURSO DE CAPACITAÇÃO PARA PASTILHEIRO (ENCARGOS COMPLEMENTARES) - HORISTA</v>
          </cell>
          <cell r="C6345" t="str">
            <v>H</v>
          </cell>
          <cell r="D6345">
            <v>0.2</v>
          </cell>
        </row>
        <row r="6346">
          <cell r="A6346">
            <v>95371</v>
          </cell>
          <cell r="B6346" t="str">
            <v>CURSO DE CAPACITAÇÃO PARA PEDREIRO (ENCARGOS COMPLEMENTARES) - HORISTA</v>
          </cell>
          <cell r="C6346" t="str">
            <v>H</v>
          </cell>
          <cell r="D6346">
            <v>0.25</v>
          </cell>
        </row>
        <row r="6347">
          <cell r="A6347">
            <v>95372</v>
          </cell>
          <cell r="B6347" t="str">
            <v>CURSO DE CAPACITAÇÃO PARA PINTOR (ENCARGOS COMPLEMENTARES) - HORISTA</v>
          </cell>
          <cell r="C6347" t="str">
            <v>H</v>
          </cell>
          <cell r="D6347">
            <v>0.17</v>
          </cell>
        </row>
        <row r="6348">
          <cell r="A6348">
            <v>95373</v>
          </cell>
          <cell r="B6348" t="str">
            <v>CURSO DE CAPACITAÇÃO PARA PINTOR DE LETREIROS (ENCARGOS COMPLEMENTARES) - HORISTA</v>
          </cell>
          <cell r="C6348" t="str">
            <v>H</v>
          </cell>
          <cell r="D6348">
            <v>0.2</v>
          </cell>
        </row>
        <row r="6349">
          <cell r="A6349">
            <v>95374</v>
          </cell>
          <cell r="B6349" t="str">
            <v>CURSO DE CAPACITAÇÃO PARA PINTOR PARA TINTA EPÓXI (ENCARGOS COMPLEMENTARES) - HORISTA</v>
          </cell>
          <cell r="C6349" t="str">
            <v>H</v>
          </cell>
          <cell r="D6349">
            <v>0.19</v>
          </cell>
        </row>
        <row r="6350">
          <cell r="A6350">
            <v>95375</v>
          </cell>
          <cell r="B6350" t="str">
            <v>CURSO DE CAPACITAÇÃO PARA POCEIRO (ENCARGOS COMPLEMENTARES) - HORISTA</v>
          </cell>
          <cell r="C6350" t="str">
            <v>H</v>
          </cell>
          <cell r="D6350">
            <v>0.17</v>
          </cell>
        </row>
        <row r="6351">
          <cell r="A6351">
            <v>95376</v>
          </cell>
          <cell r="B6351" t="str">
            <v>CURSO DE CAPACITAÇÃO PARA RASTELEIRO (ENCARGOS COMPLEMENTARES) - HORISTA</v>
          </cell>
          <cell r="C6351" t="str">
            <v>H</v>
          </cell>
          <cell r="D6351">
            <v>0.03</v>
          </cell>
        </row>
        <row r="6352">
          <cell r="A6352">
            <v>95377</v>
          </cell>
          <cell r="B6352" t="str">
            <v>CURSO DE CAPACITAÇÃO PARA SERRALHEIRO (ENCARGOS COMPLEMENTARES) - HORISTA</v>
          </cell>
          <cell r="C6352" t="str">
            <v>H</v>
          </cell>
          <cell r="D6352">
            <v>0.13</v>
          </cell>
        </row>
        <row r="6353">
          <cell r="A6353">
            <v>95378</v>
          </cell>
          <cell r="B6353" t="str">
            <v>CURSO DE CAPACITAÇÃO PARA SERVENTE (ENCARGOS COMPLEMENTARES) - HORISTA</v>
          </cell>
          <cell r="C6353" t="str">
            <v>H</v>
          </cell>
          <cell r="D6353">
            <v>0.19</v>
          </cell>
        </row>
        <row r="6354">
          <cell r="A6354">
            <v>95379</v>
          </cell>
          <cell r="B6354" t="str">
            <v>CURSO DE CAPACITAÇÃO PARA SOLDADOR (ENCARGOS COMPLEMENTARES) - HORISTA</v>
          </cell>
          <cell r="C6354" t="str">
            <v>H</v>
          </cell>
          <cell r="D6354">
            <v>0.13</v>
          </cell>
        </row>
        <row r="6355">
          <cell r="A6355">
            <v>95380</v>
          </cell>
          <cell r="B6355" t="str">
            <v>CURSO DE CAPACITAÇÃO PARA SOLDADOR A (PARA SOLDA A SER TESTADA COM RAIOS  X ) (ENCARGOS COMPLEMENTARES) - HORISTA</v>
          </cell>
          <cell r="C6355" t="str">
            <v>H</v>
          </cell>
          <cell r="D6355">
            <v>0.18</v>
          </cell>
        </row>
        <row r="6356">
          <cell r="A6356">
            <v>95382</v>
          </cell>
          <cell r="B6356" t="str">
            <v>CURSO DE CAPACITAÇÃO PARA TAQUEADOR OU TAQUEIRO (ENCARGOS COMPLEMENTARES) - HORISTA</v>
          </cell>
          <cell r="C6356" t="str">
            <v>H</v>
          </cell>
          <cell r="D6356">
            <v>0.17</v>
          </cell>
        </row>
        <row r="6357">
          <cell r="A6357">
            <v>95383</v>
          </cell>
          <cell r="B6357" t="str">
            <v>CURSO DE CAPACITAÇÃO PARA TÉCNICO DE LABORATÓRIO (ENCARGOS COMPLEMENTARES) - HORISTA</v>
          </cell>
          <cell r="C6357" t="str">
            <v>H</v>
          </cell>
          <cell r="D6357">
            <v>0.14000000000000001</v>
          </cell>
        </row>
        <row r="6358">
          <cell r="A6358">
            <v>95384</v>
          </cell>
          <cell r="B6358" t="str">
            <v>CURSO DE CAPACITAÇÃO PARA TÉCNICO DE SONDAGEM (ENCARGOS COMPLEMENTARES) - HORISTA</v>
          </cell>
          <cell r="C6358" t="str">
            <v>H</v>
          </cell>
          <cell r="D6358">
            <v>0.17</v>
          </cell>
        </row>
        <row r="6359">
          <cell r="A6359">
            <v>95385</v>
          </cell>
          <cell r="B6359" t="str">
            <v>CURSO DE CAPACITAÇÃO PARA TELHADISTA (ENCARGOS COMPLEMENTARES) - HORISTA</v>
          </cell>
          <cell r="C6359" t="str">
            <v>H</v>
          </cell>
          <cell r="D6359">
            <v>0.15</v>
          </cell>
        </row>
        <row r="6360">
          <cell r="A6360">
            <v>95386</v>
          </cell>
          <cell r="B6360" t="str">
            <v>CURSO DE CAPACITAÇÃO PARA TRATORISTA (ENCARGOS COMPLEMENTARES) - HORISTA</v>
          </cell>
          <cell r="C6360" t="str">
            <v>H</v>
          </cell>
          <cell r="D6360">
            <v>0.1</v>
          </cell>
        </row>
        <row r="6361">
          <cell r="A6361">
            <v>95387</v>
          </cell>
          <cell r="B6361" t="str">
            <v>CURSO DE CAPACITAÇÃO PARA VIDRACEIRO (ENCARGOS COMPLEMENTARES) - HORISTA</v>
          </cell>
          <cell r="C6361" t="str">
            <v>H</v>
          </cell>
          <cell r="D6361">
            <v>0.17</v>
          </cell>
        </row>
        <row r="6362">
          <cell r="A6362">
            <v>95388</v>
          </cell>
          <cell r="B6362" t="str">
            <v>CURSO DE CAPACITAÇÃO PARA VIGIA NOTURNO (ENCARGOS COMPLEMENTARES) - HORISTA</v>
          </cell>
          <cell r="C6362" t="str">
            <v>H</v>
          </cell>
          <cell r="D6362">
            <v>0.06</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0.09</v>
          </cell>
        </row>
        <row r="6366">
          <cell r="A6366">
            <v>95392</v>
          </cell>
          <cell r="B6366" t="str">
            <v>CURSO DE CAPACITAÇÃO PARA ALMOXARIFE (ENCARGOS COMPLEMENTARES) - HORISTA</v>
          </cell>
          <cell r="C6366" t="str">
            <v>H</v>
          </cell>
          <cell r="D6366">
            <v>0.06</v>
          </cell>
        </row>
        <row r="6367">
          <cell r="A6367">
            <v>95393</v>
          </cell>
          <cell r="B6367" t="str">
            <v>CURSO DE CAPACITAÇÃO PARA APONTADOR OU APROPRIADOR (ENCARGOS COMPLEMENTARES) - HORISTA</v>
          </cell>
          <cell r="C6367" t="str">
            <v>H</v>
          </cell>
          <cell r="D6367">
            <v>0.24</v>
          </cell>
        </row>
        <row r="6368">
          <cell r="A6368">
            <v>95394</v>
          </cell>
          <cell r="B6368" t="str">
            <v>CURSO DE CAPACITAÇÃO PARA ARQUITETO DE OBRA JÚNIOR (ENCARGOS COMPLEMENTARES) - HORISTA</v>
          </cell>
          <cell r="C6368" t="str">
            <v>H</v>
          </cell>
          <cell r="D6368">
            <v>0.44</v>
          </cell>
        </row>
        <row r="6369">
          <cell r="A6369">
            <v>95395</v>
          </cell>
          <cell r="B6369" t="str">
            <v>CURSO DE CAPACITAÇÃO PARA ARQUITETO DE OBRA PLENO (ENCARGOS COMPLEMENTARES) - HORISTA</v>
          </cell>
          <cell r="C6369" t="str">
            <v>H</v>
          </cell>
          <cell r="D6369">
            <v>0.63</v>
          </cell>
        </row>
        <row r="6370">
          <cell r="A6370">
            <v>95396</v>
          </cell>
          <cell r="B6370" t="str">
            <v>CURSO DE CAPACITAÇÃO PARA ARQUITETO DE OBRA SÊNIOR (ENCARGOS COMPLEMENTARES) - HORISTA</v>
          </cell>
          <cell r="C6370" t="str">
            <v>H</v>
          </cell>
          <cell r="D6370">
            <v>0.84</v>
          </cell>
        </row>
        <row r="6371">
          <cell r="A6371">
            <v>95397</v>
          </cell>
          <cell r="B6371" t="str">
            <v>CURSO DE CAPACITAÇÃO PARA AUXILIAR DE DESENHISTA (ENCARGOS COMPLEMENTARES) - HORISTA</v>
          </cell>
          <cell r="C6371" t="str">
            <v>H</v>
          </cell>
          <cell r="D6371">
            <v>7.0000000000000007E-2</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7.0000000000000007E-2</v>
          </cell>
        </row>
        <row r="6375">
          <cell r="A6375">
            <v>95401</v>
          </cell>
          <cell r="B6375" t="str">
            <v>CURSO DE CAPACITAÇÃO PARA ENCARREGADO GERAL (ENCARGOS COMPLEMENTARES) - HORISTA</v>
          </cell>
          <cell r="C6375" t="str">
            <v>H</v>
          </cell>
          <cell r="D6375">
            <v>0.34</v>
          </cell>
        </row>
        <row r="6376">
          <cell r="A6376">
            <v>95402</v>
          </cell>
          <cell r="B6376" t="str">
            <v>CURSO DE CAPACITAÇÃO PARA ENGENHEIRO CIVIL DE OBRA JÚNIOR (ENCARGOS COMPLEMENTARES) - HORISTA</v>
          </cell>
          <cell r="C6376" t="str">
            <v>H</v>
          </cell>
          <cell r="D6376">
            <v>1.07</v>
          </cell>
        </row>
        <row r="6377">
          <cell r="A6377">
            <v>95403</v>
          </cell>
          <cell r="B6377" t="str">
            <v>CURSO DE CAPACITAÇÃO PARA ENGENHEIRO CIVIL DE OBRA PLENO (ENCARGOS COMPLEMENTARES) - HORISTA</v>
          </cell>
          <cell r="C6377" t="str">
            <v>H</v>
          </cell>
          <cell r="D6377">
            <v>1.22</v>
          </cell>
        </row>
        <row r="6378">
          <cell r="A6378">
            <v>95404</v>
          </cell>
          <cell r="B6378" t="str">
            <v>CURSO DE CAPACITAÇÃO PARA ENGENHEIRO CIVIL DE OBRA SÊNIOR (ENCARGOS COMPLEMENTARES) - HORISTA</v>
          </cell>
          <cell r="C6378" t="str">
            <v>H</v>
          </cell>
          <cell r="D6378">
            <v>1.67</v>
          </cell>
        </row>
        <row r="6379">
          <cell r="A6379">
            <v>95405</v>
          </cell>
          <cell r="B6379" t="str">
            <v>CURSO DE CAPACITAÇÃO PARA MESTRE DE OBRAS (ENCARGOS COMPLEMENTARES) - HORISTA</v>
          </cell>
          <cell r="C6379" t="str">
            <v>H</v>
          </cell>
          <cell r="D6379">
            <v>0.52</v>
          </cell>
        </row>
        <row r="6380">
          <cell r="A6380">
            <v>95406</v>
          </cell>
          <cell r="B6380" t="str">
            <v>CURSO DE CAPACITAÇÃO PARA TOPÓGRAFO (ENCARGOS COMPLEMENTARES) - HORISTA</v>
          </cell>
          <cell r="C6380" t="str">
            <v>H</v>
          </cell>
          <cell r="D6380">
            <v>0.09</v>
          </cell>
        </row>
        <row r="6381">
          <cell r="A6381">
            <v>95407</v>
          </cell>
          <cell r="B6381" t="str">
            <v>CURSO DE CAPACITAÇÃO PARA ENGENHEIRO ELETRICISTA (ENCARGOS COMPLEMENTARES) - HORISTA</v>
          </cell>
          <cell r="C6381" t="str">
            <v>H</v>
          </cell>
          <cell r="D6381">
            <v>2.37</v>
          </cell>
        </row>
        <row r="6382">
          <cell r="A6382">
            <v>95408</v>
          </cell>
          <cell r="B6382" t="str">
            <v>CURSO DE CAPACITAÇÃO  PARA MOTORISTA DE CAMINHÃO (ENCARGOS COMPLEMENTARES) - MENSALISTA</v>
          </cell>
          <cell r="C6382" t="str">
            <v>MES</v>
          </cell>
          <cell r="D6382">
            <v>7.95</v>
          </cell>
        </row>
        <row r="6383">
          <cell r="A6383">
            <v>95409</v>
          </cell>
          <cell r="B6383" t="str">
            <v>CURSO DE CAPACITAÇÃO PARA DESENHISTA DETALHISTA (ENCARGOS COMPLEMENTARES) - MENSALISTA</v>
          </cell>
          <cell r="C6383" t="str">
            <v>MES</v>
          </cell>
          <cell r="D6383">
            <v>9.7200000000000006</v>
          </cell>
        </row>
        <row r="6384">
          <cell r="A6384">
            <v>95410</v>
          </cell>
          <cell r="B6384" t="str">
            <v>CURSO DE CAPACITAÇÃO PARA DESENHISTA COPISTA (ENCARGOS COMPLEMENTARES) - MENSALISTA</v>
          </cell>
          <cell r="C6384" t="str">
            <v>MES</v>
          </cell>
          <cell r="D6384">
            <v>7.33</v>
          </cell>
        </row>
        <row r="6385">
          <cell r="A6385">
            <v>95411</v>
          </cell>
          <cell r="B6385" t="str">
            <v>CURSO DE CAPACITAÇÃO PARA DESENHISTA PROJETISTA (ENCARGOS COMPLEMENTARES) - MENSALISTA</v>
          </cell>
          <cell r="C6385" t="str">
            <v>MES</v>
          </cell>
          <cell r="D6385">
            <v>7.77</v>
          </cell>
        </row>
        <row r="6386">
          <cell r="A6386">
            <v>95412</v>
          </cell>
          <cell r="B6386" t="str">
            <v>CURSO DE CAPACITAÇÃO PARA AUXILIAR DE DESENHISTA (ENCARGOS COMPLEMENTARES) - MENSALISTA</v>
          </cell>
          <cell r="C6386" t="str">
            <v>MES</v>
          </cell>
          <cell r="D6386">
            <v>7.76</v>
          </cell>
        </row>
        <row r="6387">
          <cell r="A6387">
            <v>95413</v>
          </cell>
          <cell r="B6387" t="str">
            <v>CURSO DE CAPACITAÇÃO PARA ALMOXARIFE (ENCARGOS COMPLEMENTARES) - MENSALISTA</v>
          </cell>
          <cell r="C6387" t="str">
            <v>MES</v>
          </cell>
          <cell r="D6387">
            <v>8.2200000000000006</v>
          </cell>
        </row>
        <row r="6388">
          <cell r="A6388">
            <v>95414</v>
          </cell>
          <cell r="B6388" t="str">
            <v>CURSO DE CAPACITAÇÃO PARA APONTADOR OU APROPRIADOR (ENCARGOS COMPLEMENTARES) - MENSALISTA</v>
          </cell>
          <cell r="C6388" t="str">
            <v>MES</v>
          </cell>
          <cell r="D6388">
            <v>33.17</v>
          </cell>
        </row>
        <row r="6389">
          <cell r="A6389">
            <v>95415</v>
          </cell>
          <cell r="B6389" t="str">
            <v>CURSO DE CAPACITAÇÃO PARA ENGENHEIRO CIVIL DE OBRA JÚNIOR (ENCARGOS COMPLEMENTARES) - MENSALISTA</v>
          </cell>
          <cell r="C6389" t="str">
            <v>MES</v>
          </cell>
          <cell r="D6389">
            <v>146.04</v>
          </cell>
        </row>
        <row r="6390">
          <cell r="A6390">
            <v>95416</v>
          </cell>
          <cell r="B6390" t="str">
            <v>CURSO DE CAPACITAÇÃO PARA AUXILIAR DE ESCRITÓRIO (ENCARGOS COMPLEMENTARES) - MENSALISTA</v>
          </cell>
          <cell r="C6390" t="str">
            <v>MES</v>
          </cell>
          <cell r="D6390">
            <v>6.62</v>
          </cell>
        </row>
        <row r="6391">
          <cell r="A6391">
            <v>95417</v>
          </cell>
          <cell r="B6391" t="str">
            <v>CURSO DE CAPACITAÇÃO PARA ENGENHEIRO CIVIL DE OBRA PLENO (ENCARGOS COMPLEMENTARES) - MENSALISTA</v>
          </cell>
          <cell r="C6391" t="str">
            <v>MES</v>
          </cell>
          <cell r="D6391">
            <v>166.22</v>
          </cell>
        </row>
        <row r="6392">
          <cell r="A6392">
            <v>95418</v>
          </cell>
          <cell r="B6392" t="str">
            <v>CURSO DE CAPACITAÇÃO PARA ENGENHEIRO CIVIL DE OBRA SÊNIOR (ENCARGOS COMPLEMENTARES) - MENSALISTA</v>
          </cell>
          <cell r="C6392" t="str">
            <v>MES</v>
          </cell>
          <cell r="D6392">
            <v>227.22</v>
          </cell>
        </row>
        <row r="6393">
          <cell r="A6393">
            <v>95419</v>
          </cell>
          <cell r="B6393" t="str">
            <v>CURSO DE CAPACITAÇÃO PARA ARQUITETO JÚNIOR (ENCARGOS COMPLEMENTARES) - MENSALISTA</v>
          </cell>
          <cell r="C6393" t="str">
            <v>MES</v>
          </cell>
          <cell r="D6393">
            <v>60.33</v>
          </cell>
        </row>
        <row r="6394">
          <cell r="A6394">
            <v>95420</v>
          </cell>
          <cell r="B6394" t="str">
            <v>CURSO DE CAPACITAÇÃO PARA ARQUITETO PLENO (ENCARGOS COMPLEMENTARES) - MENSALISTA</v>
          </cell>
          <cell r="C6394" t="str">
            <v>MES</v>
          </cell>
          <cell r="D6394">
            <v>85.69</v>
          </cell>
        </row>
        <row r="6395">
          <cell r="A6395">
            <v>95421</v>
          </cell>
          <cell r="B6395" t="str">
            <v>CURSO DE CAPACITAÇÃO PARA ARQUITETO SÊNIOR (ENCARGOS COMPLEMENTARES) - MENSALISTA</v>
          </cell>
          <cell r="C6395" t="str">
            <v>MES</v>
          </cell>
          <cell r="D6395">
            <v>113.29</v>
          </cell>
        </row>
        <row r="6396">
          <cell r="A6396">
            <v>95422</v>
          </cell>
          <cell r="B6396" t="str">
            <v>CURSO DE CAPACITAÇÃO PARA ENCARREGADO GERAL DE OBRAS (ENCARGOS COMPLEMENTARES) - MENSALISTA</v>
          </cell>
          <cell r="C6396" t="str">
            <v>MES</v>
          </cell>
          <cell r="D6396">
            <v>46.19</v>
          </cell>
        </row>
        <row r="6397">
          <cell r="A6397">
            <v>95423</v>
          </cell>
          <cell r="B6397" t="str">
            <v>CURSO DE CAPACITAÇÃO PARA MESTRE DE OBRAS (ENCARGOS COMPLEMENTARES) - MENSALISTA</v>
          </cell>
          <cell r="C6397" t="str">
            <v>MES</v>
          </cell>
          <cell r="D6397">
            <v>70.099999999999994</v>
          </cell>
        </row>
        <row r="6398">
          <cell r="A6398">
            <v>95424</v>
          </cell>
          <cell r="B6398" t="str">
            <v>CURSO DE CAPACITAÇÃO PARA TOPÓGRAFO (ENCARGOS COMPLEMENTARES) - MENSALISTA</v>
          </cell>
          <cell r="C6398" t="str">
            <v>MES</v>
          </cell>
          <cell r="D6398">
            <v>13.71</v>
          </cell>
        </row>
        <row r="6399">
          <cell r="A6399">
            <v>100288</v>
          </cell>
          <cell r="B6399" t="str">
            <v>CURSO DE CAPACITAÇÃO PARA VIGIA DIURNO (ENCARGOS COMPLEMENTARES) - HORISTA</v>
          </cell>
          <cell r="C6399" t="str">
            <v>H</v>
          </cell>
          <cell r="D6399">
            <v>0.04</v>
          </cell>
        </row>
        <row r="6400">
          <cell r="A6400">
            <v>100289</v>
          </cell>
          <cell r="B6400" t="str">
            <v>VIGIA DIURNO COM ENCARGOS COMPLEMENTARES</v>
          </cell>
          <cell r="C6400" t="str">
            <v>H</v>
          </cell>
          <cell r="D6400">
            <v>16.559999999999999</v>
          </cell>
        </row>
        <row r="6401">
          <cell r="A6401">
            <v>100290</v>
          </cell>
          <cell r="B6401" t="str">
            <v>CURSO DE CAPACITAÇÃO PARA AUXILIAR DE ALMOXARIFE (ENCARGOS COMPLEMENTARES) - HORISTA</v>
          </cell>
          <cell r="C6401" t="str">
            <v>H</v>
          </cell>
          <cell r="D6401">
            <v>0.04</v>
          </cell>
        </row>
        <row r="6402">
          <cell r="A6402">
            <v>100291</v>
          </cell>
          <cell r="B6402" t="str">
            <v>CURSO DE CAPACITAÇÃO PARA AJUDANTE DE PINTOR (ENCARGOS COMPLEMENTARES) - HORISTA</v>
          </cell>
          <cell r="C6402" t="str">
            <v>H</v>
          </cell>
          <cell r="D6402">
            <v>0.12</v>
          </cell>
        </row>
        <row r="6403">
          <cell r="A6403">
            <v>100292</v>
          </cell>
          <cell r="B6403" t="str">
            <v>CURSO DE CAPACITAÇÃO PARA COORDENADOR/GERENTE DE OBRA (ENCARGOS COMPLEMENTARES) - HORISTA</v>
          </cell>
          <cell r="C6403" t="str">
            <v>H</v>
          </cell>
          <cell r="D6403">
            <v>1.58</v>
          </cell>
        </row>
        <row r="6404">
          <cell r="A6404">
            <v>100293</v>
          </cell>
          <cell r="B6404" t="str">
            <v>CURSO DE CAPACITAÇÃO PARA AUXILIAR DE AZULEJISTA (ENCARGOS COMPLEMENTARES) - HORISTA</v>
          </cell>
          <cell r="C6404" t="str">
            <v>H</v>
          </cell>
          <cell r="D6404">
            <v>0.12</v>
          </cell>
        </row>
        <row r="6405">
          <cell r="A6405">
            <v>100294</v>
          </cell>
          <cell r="B6405" t="str">
            <v>CURSO DE CAPACITAÇÃO PARA ARQUITETO PAISAGISTA (ENCARGOS COMPLEMENTARES) - HORISTA</v>
          </cell>
          <cell r="C6405" t="str">
            <v>H</v>
          </cell>
          <cell r="D6405">
            <v>0.42</v>
          </cell>
        </row>
        <row r="6406">
          <cell r="A6406">
            <v>100295</v>
          </cell>
          <cell r="B6406" t="str">
            <v>CURSO DE CAPACITAÇÃO PARA MONTADOR DE ELETROELETRONICOS (ENCARGOS COMPLEMENTARES) - HORISTA</v>
          </cell>
          <cell r="C6406" t="str">
            <v>H</v>
          </cell>
          <cell r="D6406">
            <v>0.45</v>
          </cell>
        </row>
        <row r="6407">
          <cell r="A6407">
            <v>100296</v>
          </cell>
          <cell r="B6407" t="str">
            <v>CURSO DE CAPACITAÇÃO PARA ENGENHEIRO CIVIL JUNIOR (ENCARGOS COMPLEMENTARES) - HORISTA</v>
          </cell>
          <cell r="C6407" t="str">
            <v>H</v>
          </cell>
          <cell r="D6407">
            <v>1.0900000000000001</v>
          </cell>
        </row>
        <row r="6408">
          <cell r="A6408">
            <v>100297</v>
          </cell>
          <cell r="B6408" t="str">
            <v>CURSO DE CAPACITAÇÃO PARA ENGENHEIRO CIVIL PLENO (ENCARGOS COMPLEMENTARES) - HORISTA</v>
          </cell>
          <cell r="C6408" t="str">
            <v>H</v>
          </cell>
          <cell r="D6408">
            <v>1.23</v>
          </cell>
        </row>
        <row r="6409">
          <cell r="A6409">
            <v>100298</v>
          </cell>
          <cell r="B6409" t="str">
            <v>CURSO DE CAPACITAÇÃO PARA MECÂNICO DE REFRIGERAÇÃO (ENCARGOS COMPLEMENTARES) - HORISTA</v>
          </cell>
          <cell r="C6409" t="str">
            <v>H</v>
          </cell>
          <cell r="D6409">
            <v>0.51</v>
          </cell>
        </row>
        <row r="6410">
          <cell r="A6410">
            <v>100299</v>
          </cell>
          <cell r="B6410" t="str">
            <v>CURSO DE CAPACITAÇÃO PARA TÉCNICO EM SEGURANÇA DO TRABALHO (ENCARGOS COMPLEMENTARES) - HORISTA</v>
          </cell>
          <cell r="C6410" t="str">
            <v>H</v>
          </cell>
          <cell r="D6410">
            <v>0.09</v>
          </cell>
        </row>
        <row r="6411">
          <cell r="A6411">
            <v>100300</v>
          </cell>
          <cell r="B6411" t="str">
            <v>AUXILIAR DE ALMOXARIFE COM ENCARGOS COMPLEMENTARES</v>
          </cell>
          <cell r="C6411" t="str">
            <v>H</v>
          </cell>
          <cell r="D6411">
            <v>15.71</v>
          </cell>
        </row>
        <row r="6412">
          <cell r="A6412">
            <v>100301</v>
          </cell>
          <cell r="B6412" t="str">
            <v>AJUDANTE DE PINTOR COM ENCARGOS COMPLEMENTARES</v>
          </cell>
          <cell r="C6412" t="str">
            <v>H</v>
          </cell>
          <cell r="D6412">
            <v>17.12</v>
          </cell>
        </row>
        <row r="6413">
          <cell r="A6413">
            <v>100302</v>
          </cell>
          <cell r="B6413" t="str">
            <v>COORDENADOR/GERENTE DE OBRA COM ENCARGOS COMPLEMENTARES</v>
          </cell>
          <cell r="C6413" t="str">
            <v>H</v>
          </cell>
          <cell r="D6413">
            <v>135.47999999999999</v>
          </cell>
        </row>
        <row r="6414">
          <cell r="A6414">
            <v>100303</v>
          </cell>
          <cell r="B6414" t="str">
            <v>AUXILIAR DE AZULEJISTA COM ENCARGOS COMPLEMENTARES</v>
          </cell>
          <cell r="C6414" t="str">
            <v>H</v>
          </cell>
          <cell r="D6414">
            <v>16.04</v>
          </cell>
        </row>
        <row r="6415">
          <cell r="A6415">
            <v>100304</v>
          </cell>
          <cell r="B6415" t="str">
            <v>ARQUITETO PAISAGISTA COM ENCARGOS COMPLEMENTARES</v>
          </cell>
          <cell r="C6415" t="str">
            <v>H</v>
          </cell>
          <cell r="D6415">
            <v>64.48</v>
          </cell>
        </row>
        <row r="6416">
          <cell r="A6416">
            <v>100305</v>
          </cell>
          <cell r="B6416" t="str">
            <v>ENGENHEIRO CIVIL JUNIOR COM ENCARGOS COMPLEMENTARES</v>
          </cell>
          <cell r="C6416" t="str">
            <v>H</v>
          </cell>
          <cell r="D6416">
            <v>94.05</v>
          </cell>
        </row>
        <row r="6417">
          <cell r="A6417">
            <v>100306</v>
          </cell>
          <cell r="B6417" t="str">
            <v>ENGENHEIRO CIVIL PLENO COM ENCARGOS COMPLEMENTARES</v>
          </cell>
          <cell r="C6417" t="str">
            <v>H</v>
          </cell>
          <cell r="D6417">
            <v>105.99</v>
          </cell>
        </row>
        <row r="6418">
          <cell r="A6418">
            <v>100307</v>
          </cell>
          <cell r="B6418" t="str">
            <v>MONTADOR DE ELETROELETRÔNICOS COM ENCARGOS COMPLEMENTARES</v>
          </cell>
          <cell r="C6418" t="str">
            <v>H</v>
          </cell>
          <cell r="D6418">
            <v>20.64</v>
          </cell>
        </row>
        <row r="6419">
          <cell r="A6419">
            <v>100308</v>
          </cell>
          <cell r="B6419" t="str">
            <v>MECÂNICO DE REFRIGERAÇÃO COM ENCARGOS COMPLEMENTARES</v>
          </cell>
          <cell r="C6419" t="str">
            <v>H</v>
          </cell>
          <cell r="D6419">
            <v>22.62</v>
          </cell>
        </row>
        <row r="6420">
          <cell r="A6420">
            <v>100309</v>
          </cell>
          <cell r="B6420" t="str">
            <v>TÉCNICO EM SEGURAÇA DO TRABALHO COM ENCARGOS COMPLEMENTARES</v>
          </cell>
          <cell r="C6420" t="str">
            <v>H</v>
          </cell>
          <cell r="D6420">
            <v>27</v>
          </cell>
        </row>
        <row r="6421">
          <cell r="A6421">
            <v>100310</v>
          </cell>
          <cell r="B6421" t="str">
            <v>CURSO DE CAPACITAÇÃO PARA AUXILIAR DE ALMOXARIFE (ENCARGOS COMPLEMENTARES) - MENSALISTA</v>
          </cell>
          <cell r="C6421" t="str">
            <v>MES</v>
          </cell>
          <cell r="D6421">
            <v>6.3</v>
          </cell>
        </row>
        <row r="6422">
          <cell r="A6422">
            <v>100311</v>
          </cell>
          <cell r="B6422" t="str">
            <v>CURSO DE CAPACITAÇÃO PARA COORDENADOR/GERENTE DE OBRA (ENCARGOS COMPLEMENTARES) - MENSALISTA</v>
          </cell>
          <cell r="C6422" t="str">
            <v>MES</v>
          </cell>
          <cell r="D6422">
            <v>214.08</v>
          </cell>
        </row>
        <row r="6423">
          <cell r="A6423">
            <v>100312</v>
          </cell>
          <cell r="B6423" t="str">
            <v>CURSO DE CAPACITAÇÃO PARA ARQUITETO PAISAGISTA (ENCARGOS COMPLEMENTARES) - MENSALISTA</v>
          </cell>
          <cell r="C6423" t="str">
            <v>MES</v>
          </cell>
          <cell r="D6423">
            <v>56.96</v>
          </cell>
        </row>
        <row r="6424">
          <cell r="A6424">
            <v>100313</v>
          </cell>
          <cell r="B6424" t="str">
            <v>CURSO DE CAPACITAÇÃO PARA ENGENHEIRO CIVIL JUNIOR (ENCARGOS COMPLEMENTARES) - MENSALISTA</v>
          </cell>
          <cell r="C6424" t="str">
            <v>MES</v>
          </cell>
          <cell r="D6424">
            <v>148.16999999999999</v>
          </cell>
        </row>
        <row r="6425">
          <cell r="A6425">
            <v>100314</v>
          </cell>
          <cell r="B6425" t="str">
            <v>CURSO DE CAPACITAÇÃO PARA ENGENHEIRO CIVIL PLENO (ENCARGOS COMPLEMENTARES) - MENSALISTA</v>
          </cell>
          <cell r="C6425" t="str">
            <v>MES</v>
          </cell>
          <cell r="D6425">
            <v>167.16</v>
          </cell>
        </row>
        <row r="6426">
          <cell r="A6426">
            <v>100315</v>
          </cell>
          <cell r="B6426" t="str">
            <v>CURSO DE CAPACITAÇÃO PARA TÉCNICO EM SEGURANÇA DO TRABALHO (ENCARGOS COMPLEMENTARES) - MENSALISTA</v>
          </cell>
          <cell r="C6426" t="str">
            <v>MES</v>
          </cell>
          <cell r="D6426">
            <v>12.46</v>
          </cell>
        </row>
        <row r="6427">
          <cell r="A6427">
            <v>100316</v>
          </cell>
          <cell r="B6427" t="str">
            <v>AUXILIAR DE ALMOXARIFE COM ENCARGOS COMPLEMENTARES</v>
          </cell>
          <cell r="C6427" t="str">
            <v>MES</v>
          </cell>
          <cell r="D6427">
            <v>2832.32</v>
          </cell>
        </row>
        <row r="6428">
          <cell r="A6428">
            <v>100317</v>
          </cell>
          <cell r="B6428" t="str">
            <v>COORDENADOR / GERENTE DE OBRA COM ENCARGOS COMPLEMENTARES</v>
          </cell>
          <cell r="C6428" t="str">
            <v>MES</v>
          </cell>
          <cell r="D6428">
            <v>23921.18</v>
          </cell>
        </row>
        <row r="6429">
          <cell r="A6429">
            <v>100318</v>
          </cell>
          <cell r="B6429" t="str">
            <v>ARQUITETO PAISAGISTA COM ENCARGOS COMPLEMENTARES</v>
          </cell>
          <cell r="C6429" t="str">
            <v>MES</v>
          </cell>
          <cell r="D6429">
            <v>11408.1</v>
          </cell>
        </row>
        <row r="6430">
          <cell r="A6430">
            <v>100319</v>
          </cell>
          <cell r="B6430" t="str">
            <v>ENGENHEIRO CIVIL JUNIOR COM ENCARGOS COMPLEMENTARES</v>
          </cell>
          <cell r="C6430" t="str">
            <v>MES</v>
          </cell>
          <cell r="D6430">
            <v>16612.18</v>
          </cell>
        </row>
        <row r="6431">
          <cell r="A6431">
            <v>100320</v>
          </cell>
          <cell r="B6431" t="str">
            <v>ENGENHEIRO CIVIL PLENO COM ENCARGOS COMPLEMENTARES</v>
          </cell>
          <cell r="C6431" t="str">
            <v>MES</v>
          </cell>
          <cell r="D6431">
            <v>18718.59</v>
          </cell>
        </row>
        <row r="6432">
          <cell r="A6432">
            <v>100321</v>
          </cell>
          <cell r="B6432" t="str">
            <v>TÉCNICO EM SEGURANÇA DO TRABALHO COM ENCARGOS COMPLEMENTARES</v>
          </cell>
          <cell r="C6432" t="str">
            <v>MES</v>
          </cell>
          <cell r="D6432">
            <v>4827.7700000000004</v>
          </cell>
        </row>
      </sheetData>
      <sheetData sheetId="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00.Configurações_Gerais"/>
      <sheetName val="00.Fundações"/>
      <sheetName val="00. Estrutura"/>
      <sheetName val="00.Especificação&amp;Acabamentos"/>
      <sheetName val="00.Tabela Acabamentos"/>
      <sheetName val="00. Esquadrias e Ferragens"/>
      <sheetName val="00.Alvenaria e Divisórias"/>
      <sheetName val="00.Tabela Item"/>
      <sheetName val="00. Tabela Geral"/>
      <sheetName val="99.Layout-Levantamento"/>
      <sheetName val="98.Layout-Item"/>
      <sheetName val="97.Layout-Geral"/>
      <sheetName val="96.Layout-Resumo Piso"/>
      <sheetName val="95.Layout-Resumo Rodapé"/>
      <sheetName val="94.Layout-Resumo Parede"/>
      <sheetName val="93.Layout-Resumo Teto"/>
      <sheetName val="92.Layout-Resumo"/>
      <sheetName val="Índices&amp;Referências"/>
      <sheetName val="Calculadora de Quantitativos R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00.Tabela Acabamentos"/>
      <sheetName val="Plan1"/>
      <sheetName val="Levantamento de acabamento de p"/>
    </sheetNames>
    <sheetDataSet>
      <sheetData sheetId="0"/>
      <sheetData sheetId="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row>
        <row r="7">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file:///C:\Marcos%20Vinicios\AppData\Roaming\Marcos%20Vinicios\AppData\AppData\Downloads\COTA&#199;&#213;ES%20DIGITALIZADAS\COTA&#199;&#213;ES%20ATUALIZADAS\LAMPADA%20%20DE%20VAPOR%20METALICO%2070%20W\LAMPADA%20DE%20VAPOR%20METALICA%2070%20W.pdf" TargetMode="External"/><Relationship Id="rId2" Type="http://schemas.openxmlformats.org/officeDocument/2006/relationships/hyperlink" Target="file:///C:\Marcos%20Vinicios\AppData\Roaming\Marcos%20Vinicios\AppData\AppData\Downloads\COTA&#199;&#213;ES%20DIGITALIZADAS\COTA&#199;&#213;ES%20ATUALIZADAS\CABO%20FLEX%20HEPR%201%20KV%2095,0%20MM2%20PT\CABO%20FLEX%20HEPR%201%20KV%2095,0%20MM2%20PT.pdf" TargetMode="External"/><Relationship Id="rId1" Type="http://schemas.openxmlformats.org/officeDocument/2006/relationships/hyperlink" Target="file:///C:\Marcos%20Vinicios\AppData\Roaming\Marcos%20Vinicios\AppData\AppData\Downloads\COTA&#199;&#213;ES%20DIGITALIZADAS\COTA&#199;&#213;ES%20ATUALIZADAS\CABO%20FLEX%20HEPR%201%20KV%2050,0%20MM2%20PT\CABO%20FLEX%20HEPR%201%20KV%2050,0%20MM2%20PT.pdf"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file:///C:\Marcos%20Vinicios\AppData\Roaming\Marcos%20Vinicios\AppData\AppData\BANCO%20DE%20DADOS%20NOVEMBRO\COTA&#199;&#213;ES%20DIGITALIZADAS\COTA&#199;&#213;ES%20ATUALIZADAS\CARTUCHO%20PARA%20SOLDA%20EXOT&#201;RMICA%20N&#176;%2090\CARTUCHO%20PARA%20SOLDA%20EXOT&#201;RMICA%20N&#176;%2090.pdf" TargetMode="External"/></Relationships>
</file>

<file path=xl/worksheets/sheet1.xml><?xml version="1.0" encoding="utf-8"?>
<worksheet xmlns="http://schemas.openxmlformats.org/spreadsheetml/2006/main" xmlns:r="http://schemas.openxmlformats.org/officeDocument/2006/relationships">
  <sheetPr codeName="Plan1">
    <tabColor theme="8" tint="0.59999389629810485"/>
  </sheetPr>
  <dimension ref="A1:H78"/>
  <sheetViews>
    <sheetView showGridLines="0" tabSelected="1" view="pageBreakPreview" topLeftCell="A40" zoomScale="130" zoomScaleSheetLayoutView="130" workbookViewId="0">
      <selection activeCell="A6" sqref="A6:D6"/>
    </sheetView>
  </sheetViews>
  <sheetFormatPr defaultColWidth="9.140625" defaultRowHeight="12.75"/>
  <cols>
    <col min="1" max="1" width="10.7109375" style="1096" customWidth="1"/>
    <col min="2" max="2" width="51.5703125" style="3" customWidth="1"/>
    <col min="3" max="3" width="12.7109375" style="3" bestFit="1" customWidth="1"/>
    <col min="4" max="4" width="20.42578125" style="1096" customWidth="1"/>
    <col min="5" max="7" width="9.140625" style="3"/>
    <col min="8" max="8" width="12.140625" style="3" bestFit="1" customWidth="1"/>
    <col min="9" max="16384" width="9.140625" style="3"/>
  </cols>
  <sheetData>
    <row r="1" spans="1:6" ht="30" customHeight="1">
      <c r="A1" s="326" t="str">
        <f>'PLANILHA ORÇAMENTARIA'!A1</f>
        <v>OBRA:</v>
      </c>
      <c r="B1" s="1185" t="str">
        <f>'PLANILHA ORÇAMENTARIA'!B1</f>
        <v>Construção da Lavanderia e Predio Sede da Secretaria Municipal de Saúde de Barra do Bugres - MT</v>
      </c>
      <c r="C1" s="1185"/>
      <c r="D1" s="1185"/>
    </row>
    <row r="2" spans="1:6" ht="15">
      <c r="A2" s="326" t="str">
        <f>'PLANILHA ORÇAMENTARIA'!A2</f>
        <v>Endereço:</v>
      </c>
      <c r="B2" s="327" t="str">
        <f>'PLANILHA ORÇAMENTARIA'!B2</f>
        <v>Rua Voluntários da Pátria, 861 - Bairro Maracanã</v>
      </c>
      <c r="C2" s="326" t="str">
        <f>'PLANILHA ORÇAMENTARIA'!E2</f>
        <v>BDI:</v>
      </c>
      <c r="D2" s="328">
        <f>'PLANILHA ORÇAMENTARIA'!G2</f>
        <v>0.25</v>
      </c>
    </row>
    <row r="3" spans="1:6" ht="28.5">
      <c r="A3" s="326" t="str">
        <f>'PLANILHA ORÇAMENTARIA'!A3</f>
        <v>Município:</v>
      </c>
      <c r="B3" s="327" t="str">
        <f>'PLANILHA ORÇAMENTARIA'!B3</f>
        <v>Barra do Bugres - MT</v>
      </c>
      <c r="C3" s="326" t="str">
        <f>'PLANILHA ORÇAMENTARIA'!E3</f>
        <v>Referência:</v>
      </c>
      <c r="D3" s="331" t="str">
        <f>'PLANILHA ORÇAMENTARIA'!G3</f>
        <v>SINAPI -01/2020 não deson.</v>
      </c>
    </row>
    <row r="4" spans="1:6" ht="15">
      <c r="A4" s="326" t="str">
        <f>'PLANILHA ORÇAMENTARIA'!A4</f>
        <v>Data:</v>
      </c>
      <c r="B4" s="1090">
        <f>'PLANILHA ORÇAMENTARIA'!B4</f>
        <v>43952</v>
      </c>
      <c r="C4" s="326" t="str">
        <f>'PLANILHA ORÇAMENTARIA'!E4</f>
        <v>Execução:</v>
      </c>
      <c r="D4" s="331" t="str">
        <f>'PLANILHA ORÇAMENTARIA'!G4</f>
        <v>120 Dias</v>
      </c>
    </row>
    <row r="5" spans="1:6" ht="15">
      <c r="C5" s="329"/>
      <c r="D5" s="330"/>
    </row>
    <row r="6" spans="1:6" ht="15">
      <c r="A6" s="1186" t="s">
        <v>26</v>
      </c>
      <c r="B6" s="1187"/>
      <c r="C6" s="1187"/>
      <c r="D6" s="1188"/>
    </row>
    <row r="7" spans="1:6" ht="15.75" thickBot="1">
      <c r="A7" s="1136"/>
      <c r="B7" s="1137"/>
      <c r="C7" s="1137"/>
      <c r="D7" s="1138"/>
    </row>
    <row r="8" spans="1:6" s="1096" customFormat="1" ht="15">
      <c r="A8" s="1139" t="s">
        <v>0</v>
      </c>
      <c r="B8" s="1140" t="s">
        <v>1</v>
      </c>
      <c r="C8" s="1140" t="s">
        <v>3</v>
      </c>
      <c r="D8" s="1141" t="s">
        <v>20</v>
      </c>
    </row>
    <row r="9" spans="1:6" ht="15">
      <c r="A9" s="1142">
        <f>'PLANILHA ORÇAMENTARIA'!A9</f>
        <v>1</v>
      </c>
      <c r="B9" s="1143" t="str">
        <f>'PLANILHA ORÇAMENTARIA'!C9</f>
        <v>ADMINISTRAÇÃO LOCAL DE OBRA</v>
      </c>
      <c r="C9" s="1144"/>
      <c r="D9" s="1145"/>
    </row>
    <row r="10" spans="1:6" ht="14.25">
      <c r="A10" s="1146" t="str">
        <f>'PLANILHA ORÇAMENTARIA'!A10</f>
        <v>1.1</v>
      </c>
      <c r="B10" s="1147" t="str">
        <f>'PLANILHA ORÇAMENTARIA'!C10</f>
        <v>ADMINISTRAÇÃO LOCAL E CANTEIRO DE OBRA</v>
      </c>
      <c r="C10" s="1148">
        <f>D10/$D$11</f>
        <v>1</v>
      </c>
      <c r="D10" s="1149">
        <f>'PLANILHA ORÇAMENTARIA'!H15</f>
        <v>64759.840000000004</v>
      </c>
    </row>
    <row r="11" spans="1:6" ht="15">
      <c r="A11" s="1142"/>
      <c r="B11" s="1143" t="str">
        <f>'PLANILHA ORÇAMENTARIA'!C15</f>
        <v>TOTAL GERAL DO ITEM 1:</v>
      </c>
      <c r="C11" s="1150">
        <f>D11/$D$53</f>
        <v>7.7070842557556876E-2</v>
      </c>
      <c r="D11" s="1145">
        <f>SUM(D10)</f>
        <v>64759.840000000004</v>
      </c>
    </row>
    <row r="12" spans="1:6" ht="14.25">
      <c r="A12" s="1146"/>
      <c r="B12" s="1147"/>
      <c r="C12" s="1151"/>
      <c r="D12" s="1149"/>
    </row>
    <row r="13" spans="1:6" ht="15">
      <c r="A13" s="1142">
        <f>'PLANILHA ORÇAMENTARIA'!A16</f>
        <v>2</v>
      </c>
      <c r="B13" s="1143" t="str">
        <f>'PLANILHA ORÇAMENTARIA'!C16</f>
        <v>LAVANDERIA</v>
      </c>
      <c r="C13" s="1144"/>
      <c r="D13" s="1145"/>
    </row>
    <row r="14" spans="1:6" ht="14.25">
      <c r="A14" s="1146" t="str">
        <f>'PLANILHA ORÇAMENTARIA'!A17</f>
        <v>2.1</v>
      </c>
      <c r="B14" s="1147" t="str">
        <f>'PLANILHA ORÇAMENTARIA'!C17</f>
        <v>SERVIÇOS PRELIMINARES</v>
      </c>
      <c r="C14" s="1148">
        <f>D14/$D$31</f>
        <v>1.1033130583363967E-2</v>
      </c>
      <c r="D14" s="1149">
        <f>'PLANILHA ORÇAMENTARIA'!H22</f>
        <v>5254.8799999999992</v>
      </c>
    </row>
    <row r="15" spans="1:6" ht="14.25">
      <c r="A15" s="1146" t="str">
        <f>'PLANILHA ORÇAMENTARIA'!A23</f>
        <v>2.2</v>
      </c>
      <c r="B15" s="1147" t="str">
        <f>'PLANILHA ORÇAMENTARIA'!C23</f>
        <v>MOVIMENTO DE SOLOS</v>
      </c>
      <c r="C15" s="1148">
        <f t="shared" ref="C15:C30" si="0">D15/$D$31</f>
        <v>1.8464108471701112E-2</v>
      </c>
      <c r="D15" s="1149">
        <f>'PLANILHA ORÇAMENTARIA'!H29</f>
        <v>8794.119999999999</v>
      </c>
    </row>
    <row r="16" spans="1:6" ht="14.25">
      <c r="A16" s="1146" t="str">
        <f>'PLANILHA ORÇAMENTARIA'!A30</f>
        <v>2.3</v>
      </c>
      <c r="B16" s="1147" t="str">
        <f>'PLANILHA ORÇAMENTARIA'!C30</f>
        <v>INFRAESTRUTURA</v>
      </c>
      <c r="C16" s="1148">
        <f t="shared" si="0"/>
        <v>1.9609774601873138E-2</v>
      </c>
      <c r="D16" s="1149">
        <f>'PLANILHA ORÇAMENTARIA'!H35</f>
        <v>9339.7799999999988</v>
      </c>
      <c r="F16" s="8"/>
    </row>
    <row r="17" spans="1:8" ht="14.25">
      <c r="A17" s="1146" t="str">
        <f>'PLANILHA ORÇAMENTARIA'!A36</f>
        <v>2.4</v>
      </c>
      <c r="B17" s="1147" t="str">
        <f>'PLANILHA ORÇAMENTARIA'!C36</f>
        <v>ESTRUTURA</v>
      </c>
      <c r="C17" s="1148">
        <f t="shared" si="0"/>
        <v>0.12783497462754531</v>
      </c>
      <c r="D17" s="1149">
        <f>'PLANILHA ORÇAMENTARIA'!H54</f>
        <v>60885.48</v>
      </c>
    </row>
    <row r="18" spans="1:8" ht="14.25">
      <c r="A18" s="1146" t="str">
        <f>'PLANILHA ORÇAMENTARIA'!A55</f>
        <v>2.5</v>
      </c>
      <c r="B18" s="1147" t="str">
        <f>'PLANILHA ORÇAMENTARIA'!C55</f>
        <v>IMPERMEABILIZAÇÃO</v>
      </c>
      <c r="C18" s="1148">
        <f t="shared" si="0"/>
        <v>1.3042885882381611E-2</v>
      </c>
      <c r="D18" s="1149">
        <f>'PLANILHA ORÇAMENTARIA'!H59</f>
        <v>6212.09</v>
      </c>
    </row>
    <row r="19" spans="1:8" ht="14.25">
      <c r="A19" s="1146" t="str">
        <f>'PLANILHA ORÇAMENTARIA'!A60</f>
        <v>2.6</v>
      </c>
      <c r="B19" s="1147" t="str">
        <f>'PLANILHA ORÇAMENTARIA'!C60</f>
        <v>COBERTURA</v>
      </c>
      <c r="C19" s="1148">
        <f t="shared" si="0"/>
        <v>9.2514041223287033E-2</v>
      </c>
      <c r="D19" s="1149">
        <f>'PLANILHA ORÇAMENTARIA'!H69</f>
        <v>44062.76</v>
      </c>
    </row>
    <row r="20" spans="1:8" ht="14.25">
      <c r="A20" s="1146" t="str">
        <f>'PLANILHA ORÇAMENTARIA'!A70</f>
        <v>2.7</v>
      </c>
      <c r="B20" s="1147" t="str">
        <f>'PLANILHA ORÇAMENTARIA'!C70</f>
        <v>VEDAÇAO</v>
      </c>
      <c r="C20" s="1148">
        <f t="shared" si="0"/>
        <v>0.12258526812181955</v>
      </c>
      <c r="D20" s="1149">
        <f>'PLANILHA ORÇAMENTARIA'!H79</f>
        <v>58385.140000000007</v>
      </c>
    </row>
    <row r="21" spans="1:8" ht="14.25">
      <c r="A21" s="1146" t="str">
        <f>'PLANILHA ORÇAMENTARIA'!A80</f>
        <v>2.8</v>
      </c>
      <c r="B21" s="1147" t="str">
        <f>'PLANILHA ORÇAMENTARIA'!C80</f>
        <v>ESQUADRIAS</v>
      </c>
      <c r="C21" s="1148">
        <f t="shared" si="0"/>
        <v>0.10233018236444963</v>
      </c>
      <c r="D21" s="1149">
        <f>'PLANILHA ORÇAMENTARIA'!H93</f>
        <v>48738.010000000009</v>
      </c>
    </row>
    <row r="22" spans="1:8" ht="14.25">
      <c r="A22" s="1146" t="str">
        <f>'PLANILHA ORÇAMENTARIA'!A94</f>
        <v>2.9</v>
      </c>
      <c r="B22" s="1147" t="str">
        <f>'PLANILHA ORÇAMENTARIA'!C94</f>
        <v xml:space="preserve">REVESTIMENTO </v>
      </c>
      <c r="C22" s="1148">
        <f t="shared" si="0"/>
        <v>9.5583946064341396E-2</v>
      </c>
      <c r="D22" s="1149">
        <f>'PLANILHA ORÇAMENTARIA'!H103</f>
        <v>45524.899999999994</v>
      </c>
    </row>
    <row r="23" spans="1:8" ht="14.25">
      <c r="A23" s="1146" t="str">
        <f>'PLANILHA ORÇAMENTARIA'!A104</f>
        <v>2.10</v>
      </c>
      <c r="B23" s="1147" t="str">
        <f>'PLANILHA ORÇAMENTARIA'!C104</f>
        <v>PISOS</v>
      </c>
      <c r="C23" s="1148">
        <f t="shared" si="0"/>
        <v>0.14369928643766286</v>
      </c>
      <c r="D23" s="1149">
        <f>'PLANILHA ORÇAMENTARIA'!H112</f>
        <v>68441.364000000001</v>
      </c>
    </row>
    <row r="24" spans="1:8" ht="14.25">
      <c r="A24" s="1146" t="str">
        <f>'PLANILHA ORÇAMENTARIA'!A113</f>
        <v>2.11</v>
      </c>
      <c r="B24" s="1147" t="str">
        <f>'PLANILHA ORÇAMENTARIA'!C113</f>
        <v>PINTURAS</v>
      </c>
      <c r="C24" s="1148">
        <f t="shared" si="0"/>
        <v>3.4218812917050305E-2</v>
      </c>
      <c r="D24" s="1149">
        <f>'PLANILHA ORÇAMENTARIA'!H119</f>
        <v>16297.8</v>
      </c>
    </row>
    <row r="25" spans="1:8" ht="14.25">
      <c r="A25" s="1146" t="str">
        <f>'PLANILHA ORÇAMENTARIA'!A120</f>
        <v>2.12</v>
      </c>
      <c r="B25" s="1147" t="str">
        <f>'PLANILHA ORÇAMENTARIA'!C120</f>
        <v>FORRO</v>
      </c>
      <c r="C25" s="1148">
        <f t="shared" si="0"/>
        <v>2.8276365358308072E-2</v>
      </c>
      <c r="D25" s="1149">
        <f>'PLANILHA ORÇAMENTARIA'!H125</f>
        <v>13467.52</v>
      </c>
    </row>
    <row r="26" spans="1:8" ht="14.25">
      <c r="A26" s="1146" t="str">
        <f>'PLANILHA ORÇAMENTARIA'!A126</f>
        <v>2.13</v>
      </c>
      <c r="B26" s="1147" t="str">
        <f>'PLANILHA ORÇAMENTARIA'!C126</f>
        <v xml:space="preserve">LIMPEZA FINAL DA OBRA </v>
      </c>
      <c r="C26" s="1148">
        <f t="shared" si="0"/>
        <v>2.0307512695885471E-3</v>
      </c>
      <c r="D26" s="1149">
        <f>'PLANILHA ORÇAMENTARIA'!H128</f>
        <v>967.21</v>
      </c>
    </row>
    <row r="27" spans="1:8" ht="28.5">
      <c r="A27" s="1146" t="str">
        <f>'PLANILHA ORÇAMENTARIA'!A129</f>
        <v>2.14</v>
      </c>
      <c r="B27" s="1152" t="str">
        <f>'PLANILHA ORÇAMENTARIA'!C129</f>
        <v>INSTALAÇÕES HIDROSSANITÁRIAS / DRENAGEM PLUVIAL</v>
      </c>
      <c r="C27" s="1148">
        <f t="shared" si="0"/>
        <v>0.10456574932695736</v>
      </c>
      <c r="D27" s="1149">
        <f>'PLANILHA ORÇAMENTARIA'!H221</f>
        <v>49802.770000000011</v>
      </c>
    </row>
    <row r="28" spans="1:8" ht="14.25">
      <c r="A28" s="1146" t="str">
        <f>'PLANILHA ORÇAMENTARIA'!A222</f>
        <v>2.15</v>
      </c>
      <c r="B28" s="1147" t="str">
        <f>'PLANILHA ORÇAMENTARIA'!C222</f>
        <v>INSTALAÇÕES ELÉTRICAS</v>
      </c>
      <c r="C28" s="1148">
        <f t="shared" si="0"/>
        <v>5.3356556108548357E-2</v>
      </c>
      <c r="D28" s="1149">
        <f>'PLANILHA ORÇAMENTARIA'!H273</f>
        <v>25412.760000000006</v>
      </c>
    </row>
    <row r="29" spans="1:8" ht="14.25">
      <c r="A29" s="1146" t="str">
        <f>'PLANILHA ORÇAMENTARIA'!A274</f>
        <v>2.16</v>
      </c>
      <c r="B29" s="1147" t="str">
        <f>'PLANILHA ORÇAMENTARIA'!C274</f>
        <v>SPDA LAVANDERIA</v>
      </c>
      <c r="C29" s="1148">
        <f t="shared" si="0"/>
        <v>2.5884546382811669E-2</v>
      </c>
      <c r="D29" s="1149">
        <f>'PLANILHA ORÇAMENTARIA'!H291</f>
        <v>12328.340000000002</v>
      </c>
    </row>
    <row r="30" spans="1:8" ht="14.25">
      <c r="A30" s="1146" t="str">
        <f>'PLANILHA ORÇAMENTARIA'!A292</f>
        <v>2.17</v>
      </c>
      <c r="B30" s="1147" t="str">
        <f>'PLANILHA ORÇAMENTARIA'!C292</f>
        <v>INCÊNDIO</v>
      </c>
      <c r="C30" s="1148">
        <f t="shared" si="0"/>
        <v>4.9696202583098979E-3</v>
      </c>
      <c r="D30" s="1149">
        <f>'PLANILHA ORÇAMENTARIA'!H298</f>
        <v>2366.94</v>
      </c>
      <c r="H30" s="236"/>
    </row>
    <row r="31" spans="1:8" ht="15">
      <c r="A31" s="1142"/>
      <c r="B31" s="1143" t="str">
        <f>'PLANILHA ORÇAMENTARIA'!C299</f>
        <v>TOTAL GERAL DO ITEM 2:</v>
      </c>
      <c r="C31" s="1150">
        <f>D31/$D$53</f>
        <v>0.56682420082204843</v>
      </c>
      <c r="D31" s="1145">
        <f>SUM(D14:D30)</f>
        <v>476281.86400000012</v>
      </c>
    </row>
    <row r="32" spans="1:8" ht="15">
      <c r="A32" s="1153"/>
      <c r="B32" s="1154"/>
      <c r="C32" s="1155"/>
      <c r="D32" s="1156"/>
    </row>
    <row r="33" spans="1:4" ht="15">
      <c r="A33" s="1142" t="str">
        <f>'PLANILHA ORÇAMENTARIA'!A300</f>
        <v>3.0</v>
      </c>
      <c r="B33" s="1143" t="str">
        <f>'PLANILHA ORÇAMENTARIA'!C300</f>
        <v>PREDIO SEDE SECRETARIA</v>
      </c>
      <c r="C33" s="1144"/>
      <c r="D33" s="1145"/>
    </row>
    <row r="34" spans="1:4" ht="14.25">
      <c r="A34" s="1146" t="str">
        <f>'PLANILHA ORÇAMENTARIA'!A301</f>
        <v>3.1</v>
      </c>
      <c r="B34" s="1147" t="str">
        <f>'PLANILHA ORÇAMENTARIA'!C301</f>
        <v>SERVIÇOS PRELIMINARES</v>
      </c>
      <c r="C34" s="1148">
        <f>D34/$D$51</f>
        <v>1.3776990011418225E-2</v>
      </c>
      <c r="D34" s="1157">
        <f>'PLANILHA ORÇAMENTARIA'!H306</f>
        <v>4122.38</v>
      </c>
    </row>
    <row r="35" spans="1:4" ht="14.25">
      <c r="A35" s="1146" t="str">
        <f>'PLANILHA ORÇAMENTARIA'!A307</f>
        <v>3.2</v>
      </c>
      <c r="B35" s="1147" t="str">
        <f>'PLANILHA ORÇAMENTARIA'!C307</f>
        <v>MOVIMENTO DE SOLOS</v>
      </c>
      <c r="C35" s="1148">
        <f t="shared" ref="C35:C50" si="1">D35/$D$51</f>
        <v>1.9495250632524705E-2</v>
      </c>
      <c r="D35" s="1157">
        <f>'PLANILHA ORÇAMENTARIA'!H313</f>
        <v>5833.4100000000008</v>
      </c>
    </row>
    <row r="36" spans="1:4" ht="14.25">
      <c r="A36" s="1146" t="str">
        <f>'PLANILHA ORÇAMENTARIA'!A314</f>
        <v>3.3</v>
      </c>
      <c r="B36" s="1147" t="str">
        <f>'PLANILHA ORÇAMENTARIA'!C314</f>
        <v>INFRAESTRUTURA</v>
      </c>
      <c r="C36" s="1148">
        <f t="shared" si="1"/>
        <v>1.9665091023847257E-2</v>
      </c>
      <c r="D36" s="1157">
        <f>'PLANILHA ORÇAMENTARIA'!H321</f>
        <v>5884.23</v>
      </c>
    </row>
    <row r="37" spans="1:4" ht="14.25">
      <c r="A37" s="1146" t="str">
        <f>'PLANILHA ORÇAMENTARIA'!A322</f>
        <v>3.4</v>
      </c>
      <c r="B37" s="1147" t="str">
        <f>'PLANILHA ORÇAMENTARIA'!C322</f>
        <v>ESTRUTURA</v>
      </c>
      <c r="C37" s="1148">
        <f t="shared" si="1"/>
        <v>0.17556620486149674</v>
      </c>
      <c r="D37" s="1157">
        <f>'PLANILHA ORÇAMENTARIA'!H339</f>
        <v>52533.29</v>
      </c>
    </row>
    <row r="38" spans="1:4" ht="14.25">
      <c r="A38" s="1146" t="str">
        <f>'PLANILHA ORÇAMENTARIA'!A340</f>
        <v>3.5</v>
      </c>
      <c r="B38" s="1147" t="str">
        <f>'PLANILHA ORÇAMENTARIA'!C340</f>
        <v>IMPERMEABILIZAÇÃO</v>
      </c>
      <c r="C38" s="1148">
        <f t="shared" si="1"/>
        <v>3.4109779023898568E-3</v>
      </c>
      <c r="D38" s="1157">
        <f>'PLANILHA ORÇAMENTARIA'!H342</f>
        <v>1020.64</v>
      </c>
    </row>
    <row r="39" spans="1:4" ht="14.25">
      <c r="A39" s="1146" t="str">
        <f>'PLANILHA ORÇAMENTARIA'!A343</f>
        <v>3.6</v>
      </c>
      <c r="B39" s="1147" t="str">
        <f>'PLANILHA ORÇAMENTARIA'!C343</f>
        <v>COBERTURA</v>
      </c>
      <c r="C39" s="1148">
        <f t="shared" si="1"/>
        <v>0.10016713053139924</v>
      </c>
      <c r="D39" s="1157">
        <f>'PLANILHA ORÇAMENTARIA'!H352</f>
        <v>29972.22</v>
      </c>
    </row>
    <row r="40" spans="1:4" ht="14.25">
      <c r="A40" s="1146" t="str">
        <f>'PLANILHA ORÇAMENTARIA'!A353</f>
        <v>3.7</v>
      </c>
      <c r="B40" s="1147" t="str">
        <f>'PLANILHA ORÇAMENTARIA'!C353</f>
        <v>VEDAÇAO</v>
      </c>
      <c r="C40" s="1148">
        <f t="shared" si="1"/>
        <v>0.11279210005299459</v>
      </c>
      <c r="D40" s="1157">
        <f>'PLANILHA ORÇAMENTARIA'!H359</f>
        <v>33749.89</v>
      </c>
    </row>
    <row r="41" spans="1:4" ht="14.25">
      <c r="A41" s="1146" t="str">
        <f>'PLANILHA ORÇAMENTARIA'!A360</f>
        <v>3.8</v>
      </c>
      <c r="B41" s="1147" t="str">
        <f>'PLANILHA ORÇAMENTARIA'!C360</f>
        <v>ESQUADRIAS</v>
      </c>
      <c r="C41" s="1148">
        <f t="shared" si="1"/>
        <v>9.5756828075422795E-2</v>
      </c>
      <c r="D41" s="1157">
        <f>'PLANILHA ORÇAMENTARIA'!H367</f>
        <v>28652.560000000001</v>
      </c>
    </row>
    <row r="42" spans="1:4" ht="14.25">
      <c r="A42" s="1146" t="str">
        <f>'PLANILHA ORÇAMENTARIA'!A368</f>
        <v>3.9</v>
      </c>
      <c r="B42" s="1147" t="str">
        <f>'PLANILHA ORÇAMENTARIA'!C368</f>
        <v>REVESTIMENTO PAREDE</v>
      </c>
      <c r="C42" s="1148">
        <f t="shared" si="1"/>
        <v>8.273392672787748E-2</v>
      </c>
      <c r="D42" s="1157">
        <f>'PLANILHA ORÇAMENTARIA'!H375</f>
        <v>24755.820000000003</v>
      </c>
    </row>
    <row r="43" spans="1:4" ht="14.25">
      <c r="A43" s="1146" t="str">
        <f>'PLANILHA ORÇAMENTARIA'!A376</f>
        <v>3.10</v>
      </c>
      <c r="B43" s="1147" t="str">
        <f>'PLANILHA ORÇAMENTARIA'!C376</f>
        <v>PISOS</v>
      </c>
      <c r="C43" s="1148">
        <f t="shared" si="1"/>
        <v>0.13472717207324941</v>
      </c>
      <c r="D43" s="1157">
        <f>'PLANILHA ORÇAMENTARIA'!H383</f>
        <v>40313.3485</v>
      </c>
    </row>
    <row r="44" spans="1:4" ht="14.25">
      <c r="A44" s="1146" t="str">
        <f>'PLANILHA ORÇAMENTARIA'!A384</f>
        <v>3.11</v>
      </c>
      <c r="B44" s="1147" t="str">
        <f>'PLANILHA ORÇAMENTARIA'!C384</f>
        <v>PINTURAS</v>
      </c>
      <c r="C44" s="1148">
        <f t="shared" si="1"/>
        <v>3.9432547478355867E-2</v>
      </c>
      <c r="D44" s="1157">
        <f>'PLANILHA ORÇAMENTARIA'!H389</f>
        <v>11799.09</v>
      </c>
    </row>
    <row r="45" spans="1:4" ht="14.25">
      <c r="A45" s="1146" t="str">
        <f>'PLANILHA ORÇAMENTARIA'!A390</f>
        <v>3.12</v>
      </c>
      <c r="B45" s="1147" t="str">
        <f>'PLANILHA ORÇAMENTARIA'!C390</f>
        <v>FORRO</v>
      </c>
      <c r="C45" s="1148">
        <f t="shared" si="1"/>
        <v>3.5995535403427585E-2</v>
      </c>
      <c r="D45" s="1157">
        <f>'PLANILHA ORÇAMENTARIA'!H393</f>
        <v>10770.66</v>
      </c>
    </row>
    <row r="46" spans="1:4" ht="14.25">
      <c r="A46" s="1146" t="str">
        <f>'PLANILHA ORÇAMENTARIA'!A394</f>
        <v>3.13</v>
      </c>
      <c r="B46" s="1147" t="str">
        <f>'PLANILHA ORÇAMENTARIA'!C394</f>
        <v xml:space="preserve">LIMPEZA FINAL DA OBRA </v>
      </c>
      <c r="C46" s="1148">
        <f t="shared" si="1"/>
        <v>1.6194993158401597E-3</v>
      </c>
      <c r="D46" s="1157">
        <f>'PLANILHA ORÇAMENTARIA'!H396</f>
        <v>484.59</v>
      </c>
    </row>
    <row r="47" spans="1:4" ht="28.5">
      <c r="A47" s="1146" t="str">
        <f>'PLANILHA ORÇAMENTARIA'!A397</f>
        <v>3.14</v>
      </c>
      <c r="B47" s="1152" t="str">
        <f>'PLANILHA ORÇAMENTARIA'!C397</f>
        <v>INSTALAÇÕES HIDROSSANITÁRIAS / DRENAGEM PLUVIAL</v>
      </c>
      <c r="C47" s="1148">
        <f t="shared" si="1"/>
        <v>3.3073525380896113E-2</v>
      </c>
      <c r="D47" s="1157">
        <f>'PLANILHA ORÇAMENTARIA'!H453</f>
        <v>9896.33</v>
      </c>
    </row>
    <row r="48" spans="1:4" ht="14.25">
      <c r="A48" s="1146" t="str">
        <f>'PLANILHA ORÇAMENTARIA'!A454</f>
        <v>3.15</v>
      </c>
      <c r="B48" s="1147" t="str">
        <f>'PLANILHA ORÇAMENTARIA'!C454</f>
        <v>INSTALAÇÕES ELÉTRICAS</v>
      </c>
      <c r="C48" s="1148">
        <f t="shared" si="1"/>
        <v>9.3771847744332032E-2</v>
      </c>
      <c r="D48" s="1157">
        <f>'PLANILHA ORÇAMENTARIA'!H517</f>
        <v>28058.609999999997</v>
      </c>
    </row>
    <row r="49" spans="1:6" ht="14.25">
      <c r="A49" s="1146" t="str">
        <f>'PLANILHA ORÇAMENTARIA'!A518</f>
        <v>3.16</v>
      </c>
      <c r="B49" s="1147" t="str">
        <f>'PLANILHA ORÇAMENTARIA'!C518</f>
        <v>S P D A - SECRETARIA</v>
      </c>
      <c r="C49" s="1148">
        <f t="shared" si="1"/>
        <v>3.0105061571678617E-2</v>
      </c>
      <c r="D49" s="1157">
        <f>'PLANILHA ORÇAMENTARIA'!H536</f>
        <v>9008.0999999999985</v>
      </c>
    </row>
    <row r="50" spans="1:6" ht="14.25">
      <c r="A50" s="1146" t="str">
        <f>'PLANILHA ORÇAMENTARIA'!A537</f>
        <v>3.17</v>
      </c>
      <c r="B50" s="1147" t="str">
        <f>'PLANILHA ORÇAMENTARIA'!C537</f>
        <v>INCÊNDIO</v>
      </c>
      <c r="C50" s="1148">
        <f t="shared" si="1"/>
        <v>7.9103112128494357E-3</v>
      </c>
      <c r="D50" s="1157">
        <f>'PLANILHA ORÇAMENTARIA'!H543</f>
        <v>2366.94</v>
      </c>
    </row>
    <row r="51" spans="1:6" ht="15">
      <c r="A51" s="1142"/>
      <c r="B51" s="1143" t="str">
        <f>'PLANILHA ORÇAMENTARIA'!C544</f>
        <v>TOTAL GERAL DO ITEM 3:</v>
      </c>
      <c r="C51" s="1150">
        <f>D51/$D$53</f>
        <v>0.35610495662039465</v>
      </c>
      <c r="D51" s="1145">
        <f>SUM(D34:D50)</f>
        <v>299222.10849999997</v>
      </c>
      <c r="F51" s="278">
        <f>+D51-'PLANILHA ORÇAMENTARIA'!H544</f>
        <v>0</v>
      </c>
    </row>
    <row r="52" spans="1:6" ht="14.25">
      <c r="A52" s="1146"/>
      <c r="B52" s="1158"/>
      <c r="C52" s="1158"/>
      <c r="D52" s="1159"/>
    </row>
    <row r="53" spans="1:6" ht="15.75" thickBot="1">
      <c r="A53" s="1160"/>
      <c r="B53" s="1161" t="str">
        <f>'PLANILHA ORÇAMENTARIA'!C545</f>
        <v>TOTAL GERAL DAS OBRAS</v>
      </c>
      <c r="C53" s="1162">
        <f>C11+C31+C51</f>
        <v>1</v>
      </c>
      <c r="D53" s="1163">
        <f>D11+D31+D51</f>
        <v>840263.81250000012</v>
      </c>
    </row>
    <row r="54" spans="1:6" s="346" customFormat="1">
      <c r="A54" s="347"/>
    </row>
    <row r="55" spans="1:6" s="346" customFormat="1">
      <c r="A55" s="347"/>
    </row>
    <row r="56" spans="1:6" s="346" customFormat="1">
      <c r="A56" s="347"/>
    </row>
    <row r="57" spans="1:6" s="346" customFormat="1">
      <c r="A57" s="347"/>
    </row>
    <row r="58" spans="1:6" s="346" customFormat="1">
      <c r="A58" s="347"/>
    </row>
    <row r="59" spans="1:6" s="346" customFormat="1">
      <c r="A59" s="347"/>
    </row>
    <row r="60" spans="1:6" s="346" customFormat="1" ht="15">
      <c r="A60" s="347"/>
      <c r="B60" s="348"/>
    </row>
    <row r="61" spans="1:6" s="346" customFormat="1" ht="15">
      <c r="A61" s="347"/>
      <c r="B61" s="349" t="s">
        <v>12862</v>
      </c>
    </row>
    <row r="62" spans="1:6" s="346" customFormat="1" ht="15">
      <c r="B62" s="351" t="s">
        <v>12863</v>
      </c>
    </row>
    <row r="63" spans="1:6" s="346" customFormat="1" ht="15">
      <c r="A63" s="350"/>
      <c r="B63" s="351" t="s">
        <v>12864</v>
      </c>
      <c r="C63" s="350"/>
      <c r="D63" s="350"/>
      <c r="E63" s="350"/>
    </row>
    <row r="68" spans="3:4">
      <c r="C68" s="9"/>
      <c r="D68" s="9"/>
    </row>
    <row r="69" spans="3:4">
      <c r="C69" s="9"/>
      <c r="D69" s="9"/>
    </row>
    <row r="70" spans="3:4">
      <c r="C70" s="9"/>
      <c r="D70" s="9"/>
    </row>
    <row r="71" spans="3:4">
      <c r="C71" s="9"/>
      <c r="D71" s="10"/>
    </row>
    <row r="72" spans="3:4">
      <c r="C72" s="9"/>
      <c r="D72" s="10"/>
    </row>
    <row r="73" spans="3:4">
      <c r="C73" s="9"/>
      <c r="D73" s="10"/>
    </row>
    <row r="74" spans="3:4">
      <c r="C74" s="9"/>
      <c r="D74" s="10"/>
    </row>
    <row r="75" spans="3:4">
      <c r="C75" s="9"/>
      <c r="D75" s="10"/>
    </row>
    <row r="76" spans="3:4">
      <c r="C76" s="9"/>
      <c r="D76" s="10"/>
    </row>
    <row r="77" spans="3:4">
      <c r="C77" s="9"/>
      <c r="D77" s="10"/>
    </row>
    <row r="78" spans="3:4">
      <c r="C78" s="9"/>
      <c r="D78" s="10"/>
    </row>
  </sheetData>
  <mergeCells count="2">
    <mergeCell ref="B1:D1"/>
    <mergeCell ref="A6:D6"/>
  </mergeCells>
  <printOptions horizontalCentered="1"/>
  <pageMargins left="0.78740157480314965" right="0.78740157480314965" top="1.7716535433070868" bottom="0.78740157480314965" header="0.31496062992125984" footer="0.31496062992125984"/>
  <pageSetup paperSize="9" scale="70" orientation="portrait" r:id="rId1"/>
  <rowBreaks count="1" manualBreakCount="1">
    <brk id="63" max="3" man="1"/>
  </rowBreaks>
</worksheet>
</file>

<file path=xl/worksheets/sheet10.xml><?xml version="1.0" encoding="utf-8"?>
<worksheet xmlns="http://schemas.openxmlformats.org/spreadsheetml/2006/main" xmlns:r="http://schemas.openxmlformats.org/officeDocument/2006/relationships">
  <sheetPr codeName="Planilha17">
    <tabColor theme="5" tint="0.39997558519241921"/>
  </sheetPr>
  <dimension ref="A1:J453"/>
  <sheetViews>
    <sheetView view="pageBreakPreview" topLeftCell="B1" zoomScale="70" zoomScaleSheetLayoutView="70" workbookViewId="0">
      <selection activeCell="C450" sqref="C450:C453"/>
    </sheetView>
  </sheetViews>
  <sheetFormatPr defaultRowHeight="15"/>
  <cols>
    <col min="1" max="1" width="18.140625" hidden="1" customWidth="1"/>
    <col min="2" max="2" width="24.5703125" customWidth="1"/>
    <col min="3" max="3" width="76.140625" customWidth="1"/>
    <col min="4" max="4" width="17.140625" bestFit="1" customWidth="1"/>
    <col min="5" max="5" width="24.5703125" customWidth="1"/>
    <col min="6" max="6" width="18.140625" customWidth="1"/>
    <col min="7" max="7" width="21.42578125" customWidth="1"/>
    <col min="8" max="8" width="15.85546875" hidden="1" customWidth="1"/>
    <col min="9" max="9" width="16.5703125" hidden="1" customWidth="1"/>
    <col min="10" max="11" width="0" hidden="1" customWidth="1"/>
    <col min="258" max="258" width="24.5703125" customWidth="1"/>
    <col min="259" max="259" width="71.7109375" customWidth="1"/>
    <col min="260" max="260" width="17.140625" bestFit="1" customWidth="1"/>
    <col min="261" max="261" width="16.7109375" bestFit="1" customWidth="1"/>
    <col min="262" max="262" width="16.85546875" bestFit="1" customWidth="1"/>
    <col min="263" max="263" width="21.42578125" customWidth="1"/>
    <col min="265" max="265" width="16.5703125" bestFit="1" customWidth="1"/>
    <col min="514" max="514" width="24.5703125" customWidth="1"/>
    <col min="515" max="515" width="71.7109375" customWidth="1"/>
    <col min="516" max="516" width="17.140625" bestFit="1" customWidth="1"/>
    <col min="517" max="517" width="16.7109375" bestFit="1" customWidth="1"/>
    <col min="518" max="518" width="16.85546875" bestFit="1" customWidth="1"/>
    <col min="519" max="519" width="21.42578125" customWidth="1"/>
    <col min="521" max="521" width="16.5703125" bestFit="1" customWidth="1"/>
    <col min="770" max="770" width="24.5703125" customWidth="1"/>
    <col min="771" max="771" width="71.7109375" customWidth="1"/>
    <col min="772" max="772" width="17.140625" bestFit="1" customWidth="1"/>
    <col min="773" max="773" width="16.7109375" bestFit="1" customWidth="1"/>
    <col min="774" max="774" width="16.85546875" bestFit="1" customWidth="1"/>
    <col min="775" max="775" width="21.42578125" customWidth="1"/>
    <col min="777" max="777" width="16.5703125" bestFit="1" customWidth="1"/>
    <col min="1026" max="1026" width="24.5703125" customWidth="1"/>
    <col min="1027" max="1027" width="71.7109375" customWidth="1"/>
    <col min="1028" max="1028" width="17.140625" bestFit="1" customWidth="1"/>
    <col min="1029" max="1029" width="16.7109375" bestFit="1" customWidth="1"/>
    <col min="1030" max="1030" width="16.85546875" bestFit="1" customWidth="1"/>
    <col min="1031" max="1031" width="21.42578125" customWidth="1"/>
    <col min="1033" max="1033" width="16.5703125" bestFit="1" customWidth="1"/>
    <col min="1282" max="1282" width="24.5703125" customWidth="1"/>
    <col min="1283" max="1283" width="71.7109375" customWidth="1"/>
    <col min="1284" max="1284" width="17.140625" bestFit="1" customWidth="1"/>
    <col min="1285" max="1285" width="16.7109375" bestFit="1" customWidth="1"/>
    <col min="1286" max="1286" width="16.85546875" bestFit="1" customWidth="1"/>
    <col min="1287" max="1287" width="21.42578125" customWidth="1"/>
    <col min="1289" max="1289" width="16.5703125" bestFit="1" customWidth="1"/>
    <col min="1538" max="1538" width="24.5703125" customWidth="1"/>
    <col min="1539" max="1539" width="71.7109375" customWidth="1"/>
    <col min="1540" max="1540" width="17.140625" bestFit="1" customWidth="1"/>
    <col min="1541" max="1541" width="16.7109375" bestFit="1" customWidth="1"/>
    <col min="1542" max="1542" width="16.85546875" bestFit="1" customWidth="1"/>
    <col min="1543" max="1543" width="21.42578125" customWidth="1"/>
    <col min="1545" max="1545" width="16.5703125" bestFit="1" customWidth="1"/>
    <col min="1794" max="1794" width="24.5703125" customWidth="1"/>
    <col min="1795" max="1795" width="71.7109375" customWidth="1"/>
    <col min="1796" max="1796" width="17.140625" bestFit="1" customWidth="1"/>
    <col min="1797" max="1797" width="16.7109375" bestFit="1" customWidth="1"/>
    <col min="1798" max="1798" width="16.85546875" bestFit="1" customWidth="1"/>
    <col min="1799" max="1799" width="21.42578125" customWidth="1"/>
    <col min="1801" max="1801" width="16.5703125" bestFit="1" customWidth="1"/>
    <col min="2050" max="2050" width="24.5703125" customWidth="1"/>
    <col min="2051" max="2051" width="71.7109375" customWidth="1"/>
    <col min="2052" max="2052" width="17.140625" bestFit="1" customWidth="1"/>
    <col min="2053" max="2053" width="16.7109375" bestFit="1" customWidth="1"/>
    <col min="2054" max="2054" width="16.85546875" bestFit="1" customWidth="1"/>
    <col min="2055" max="2055" width="21.42578125" customWidth="1"/>
    <col min="2057" max="2057" width="16.5703125" bestFit="1" customWidth="1"/>
    <col min="2306" max="2306" width="24.5703125" customWidth="1"/>
    <col min="2307" max="2307" width="71.7109375" customWidth="1"/>
    <col min="2308" max="2308" width="17.140625" bestFit="1" customWidth="1"/>
    <col min="2309" max="2309" width="16.7109375" bestFit="1" customWidth="1"/>
    <col min="2310" max="2310" width="16.85546875" bestFit="1" customWidth="1"/>
    <col min="2311" max="2311" width="21.42578125" customWidth="1"/>
    <col min="2313" max="2313" width="16.5703125" bestFit="1" customWidth="1"/>
    <col min="2562" max="2562" width="24.5703125" customWidth="1"/>
    <col min="2563" max="2563" width="71.7109375" customWidth="1"/>
    <col min="2564" max="2564" width="17.140625" bestFit="1" customWidth="1"/>
    <col min="2565" max="2565" width="16.7109375" bestFit="1" customWidth="1"/>
    <col min="2566" max="2566" width="16.85546875" bestFit="1" customWidth="1"/>
    <col min="2567" max="2567" width="21.42578125" customWidth="1"/>
    <col min="2569" max="2569" width="16.5703125" bestFit="1" customWidth="1"/>
    <col min="2818" max="2818" width="24.5703125" customWidth="1"/>
    <col min="2819" max="2819" width="71.7109375" customWidth="1"/>
    <col min="2820" max="2820" width="17.140625" bestFit="1" customWidth="1"/>
    <col min="2821" max="2821" width="16.7109375" bestFit="1" customWidth="1"/>
    <col min="2822" max="2822" width="16.85546875" bestFit="1" customWidth="1"/>
    <col min="2823" max="2823" width="21.42578125" customWidth="1"/>
    <col min="2825" max="2825" width="16.5703125" bestFit="1" customWidth="1"/>
    <col min="3074" max="3074" width="24.5703125" customWidth="1"/>
    <col min="3075" max="3075" width="71.7109375" customWidth="1"/>
    <col min="3076" max="3076" width="17.140625" bestFit="1" customWidth="1"/>
    <col min="3077" max="3077" width="16.7109375" bestFit="1" customWidth="1"/>
    <col min="3078" max="3078" width="16.85546875" bestFit="1" customWidth="1"/>
    <col min="3079" max="3079" width="21.42578125" customWidth="1"/>
    <col min="3081" max="3081" width="16.5703125" bestFit="1" customWidth="1"/>
    <col min="3330" max="3330" width="24.5703125" customWidth="1"/>
    <col min="3331" max="3331" width="71.7109375" customWidth="1"/>
    <col min="3332" max="3332" width="17.140625" bestFit="1" customWidth="1"/>
    <col min="3333" max="3333" width="16.7109375" bestFit="1" customWidth="1"/>
    <col min="3334" max="3334" width="16.85546875" bestFit="1" customWidth="1"/>
    <col min="3335" max="3335" width="21.42578125" customWidth="1"/>
    <col min="3337" max="3337" width="16.5703125" bestFit="1" customWidth="1"/>
    <col min="3586" max="3586" width="24.5703125" customWidth="1"/>
    <col min="3587" max="3587" width="71.7109375" customWidth="1"/>
    <col min="3588" max="3588" width="17.140625" bestFit="1" customWidth="1"/>
    <col min="3589" max="3589" width="16.7109375" bestFit="1" customWidth="1"/>
    <col min="3590" max="3590" width="16.85546875" bestFit="1" customWidth="1"/>
    <col min="3591" max="3591" width="21.42578125" customWidth="1"/>
    <col min="3593" max="3593" width="16.5703125" bestFit="1" customWidth="1"/>
    <col min="3842" max="3842" width="24.5703125" customWidth="1"/>
    <col min="3843" max="3843" width="71.7109375" customWidth="1"/>
    <col min="3844" max="3844" width="17.140625" bestFit="1" customWidth="1"/>
    <col min="3845" max="3845" width="16.7109375" bestFit="1" customWidth="1"/>
    <col min="3846" max="3846" width="16.85546875" bestFit="1" customWidth="1"/>
    <col min="3847" max="3847" width="21.42578125" customWidth="1"/>
    <col min="3849" max="3849" width="16.5703125" bestFit="1" customWidth="1"/>
    <col min="4098" max="4098" width="24.5703125" customWidth="1"/>
    <col min="4099" max="4099" width="71.7109375" customWidth="1"/>
    <col min="4100" max="4100" width="17.140625" bestFit="1" customWidth="1"/>
    <col min="4101" max="4101" width="16.7109375" bestFit="1" customWidth="1"/>
    <col min="4102" max="4102" width="16.85546875" bestFit="1" customWidth="1"/>
    <col min="4103" max="4103" width="21.42578125" customWidth="1"/>
    <col min="4105" max="4105" width="16.5703125" bestFit="1" customWidth="1"/>
    <col min="4354" max="4354" width="24.5703125" customWidth="1"/>
    <col min="4355" max="4355" width="71.7109375" customWidth="1"/>
    <col min="4356" max="4356" width="17.140625" bestFit="1" customWidth="1"/>
    <col min="4357" max="4357" width="16.7109375" bestFit="1" customWidth="1"/>
    <col min="4358" max="4358" width="16.85546875" bestFit="1" customWidth="1"/>
    <col min="4359" max="4359" width="21.42578125" customWidth="1"/>
    <col min="4361" max="4361" width="16.5703125" bestFit="1" customWidth="1"/>
    <col min="4610" max="4610" width="24.5703125" customWidth="1"/>
    <col min="4611" max="4611" width="71.7109375" customWidth="1"/>
    <col min="4612" max="4612" width="17.140625" bestFit="1" customWidth="1"/>
    <col min="4613" max="4613" width="16.7109375" bestFit="1" customWidth="1"/>
    <col min="4614" max="4614" width="16.85546875" bestFit="1" customWidth="1"/>
    <col min="4615" max="4615" width="21.42578125" customWidth="1"/>
    <col min="4617" max="4617" width="16.5703125" bestFit="1" customWidth="1"/>
    <col min="4866" max="4866" width="24.5703125" customWidth="1"/>
    <col min="4867" max="4867" width="71.7109375" customWidth="1"/>
    <col min="4868" max="4868" width="17.140625" bestFit="1" customWidth="1"/>
    <col min="4869" max="4869" width="16.7109375" bestFit="1" customWidth="1"/>
    <col min="4870" max="4870" width="16.85546875" bestFit="1" customWidth="1"/>
    <col min="4871" max="4871" width="21.42578125" customWidth="1"/>
    <col min="4873" max="4873" width="16.5703125" bestFit="1" customWidth="1"/>
    <col min="5122" max="5122" width="24.5703125" customWidth="1"/>
    <col min="5123" max="5123" width="71.7109375" customWidth="1"/>
    <col min="5124" max="5124" width="17.140625" bestFit="1" customWidth="1"/>
    <col min="5125" max="5125" width="16.7109375" bestFit="1" customWidth="1"/>
    <col min="5126" max="5126" width="16.85546875" bestFit="1" customWidth="1"/>
    <col min="5127" max="5127" width="21.42578125" customWidth="1"/>
    <col min="5129" max="5129" width="16.5703125" bestFit="1" customWidth="1"/>
    <col min="5378" max="5378" width="24.5703125" customWidth="1"/>
    <col min="5379" max="5379" width="71.7109375" customWidth="1"/>
    <col min="5380" max="5380" width="17.140625" bestFit="1" customWidth="1"/>
    <col min="5381" max="5381" width="16.7109375" bestFit="1" customWidth="1"/>
    <col min="5382" max="5382" width="16.85546875" bestFit="1" customWidth="1"/>
    <col min="5383" max="5383" width="21.42578125" customWidth="1"/>
    <col min="5385" max="5385" width="16.5703125" bestFit="1" customWidth="1"/>
    <col min="5634" max="5634" width="24.5703125" customWidth="1"/>
    <col min="5635" max="5635" width="71.7109375" customWidth="1"/>
    <col min="5636" max="5636" width="17.140625" bestFit="1" customWidth="1"/>
    <col min="5637" max="5637" width="16.7109375" bestFit="1" customWidth="1"/>
    <col min="5638" max="5638" width="16.85546875" bestFit="1" customWidth="1"/>
    <col min="5639" max="5639" width="21.42578125" customWidth="1"/>
    <col min="5641" max="5641" width="16.5703125" bestFit="1" customWidth="1"/>
    <col min="5890" max="5890" width="24.5703125" customWidth="1"/>
    <col min="5891" max="5891" width="71.7109375" customWidth="1"/>
    <col min="5892" max="5892" width="17.140625" bestFit="1" customWidth="1"/>
    <col min="5893" max="5893" width="16.7109375" bestFit="1" customWidth="1"/>
    <col min="5894" max="5894" width="16.85546875" bestFit="1" customWidth="1"/>
    <col min="5895" max="5895" width="21.42578125" customWidth="1"/>
    <col min="5897" max="5897" width="16.5703125" bestFit="1" customWidth="1"/>
    <col min="6146" max="6146" width="24.5703125" customWidth="1"/>
    <col min="6147" max="6147" width="71.7109375" customWidth="1"/>
    <col min="6148" max="6148" width="17.140625" bestFit="1" customWidth="1"/>
    <col min="6149" max="6149" width="16.7109375" bestFit="1" customWidth="1"/>
    <col min="6150" max="6150" width="16.85546875" bestFit="1" customWidth="1"/>
    <col min="6151" max="6151" width="21.42578125" customWidth="1"/>
    <col min="6153" max="6153" width="16.5703125" bestFit="1" customWidth="1"/>
    <col min="6402" max="6402" width="24.5703125" customWidth="1"/>
    <col min="6403" max="6403" width="71.7109375" customWidth="1"/>
    <col min="6404" max="6404" width="17.140625" bestFit="1" customWidth="1"/>
    <col min="6405" max="6405" width="16.7109375" bestFit="1" customWidth="1"/>
    <col min="6406" max="6406" width="16.85546875" bestFit="1" customWidth="1"/>
    <col min="6407" max="6407" width="21.42578125" customWidth="1"/>
    <col min="6409" max="6409" width="16.5703125" bestFit="1" customWidth="1"/>
    <col min="6658" max="6658" width="24.5703125" customWidth="1"/>
    <col min="6659" max="6659" width="71.7109375" customWidth="1"/>
    <col min="6660" max="6660" width="17.140625" bestFit="1" customWidth="1"/>
    <col min="6661" max="6661" width="16.7109375" bestFit="1" customWidth="1"/>
    <col min="6662" max="6662" width="16.85546875" bestFit="1" customWidth="1"/>
    <col min="6663" max="6663" width="21.42578125" customWidth="1"/>
    <col min="6665" max="6665" width="16.5703125" bestFit="1" customWidth="1"/>
    <col min="6914" max="6914" width="24.5703125" customWidth="1"/>
    <col min="6915" max="6915" width="71.7109375" customWidth="1"/>
    <col min="6916" max="6916" width="17.140625" bestFit="1" customWidth="1"/>
    <col min="6917" max="6917" width="16.7109375" bestFit="1" customWidth="1"/>
    <col min="6918" max="6918" width="16.85546875" bestFit="1" customWidth="1"/>
    <col min="6919" max="6919" width="21.42578125" customWidth="1"/>
    <col min="6921" max="6921" width="16.5703125" bestFit="1" customWidth="1"/>
    <col min="7170" max="7170" width="24.5703125" customWidth="1"/>
    <col min="7171" max="7171" width="71.7109375" customWidth="1"/>
    <col min="7172" max="7172" width="17.140625" bestFit="1" customWidth="1"/>
    <col min="7173" max="7173" width="16.7109375" bestFit="1" customWidth="1"/>
    <col min="7174" max="7174" width="16.85546875" bestFit="1" customWidth="1"/>
    <col min="7175" max="7175" width="21.42578125" customWidth="1"/>
    <col min="7177" max="7177" width="16.5703125" bestFit="1" customWidth="1"/>
    <col min="7426" max="7426" width="24.5703125" customWidth="1"/>
    <col min="7427" max="7427" width="71.7109375" customWidth="1"/>
    <col min="7428" max="7428" width="17.140625" bestFit="1" customWidth="1"/>
    <col min="7429" max="7429" width="16.7109375" bestFit="1" customWidth="1"/>
    <col min="7430" max="7430" width="16.85546875" bestFit="1" customWidth="1"/>
    <col min="7431" max="7431" width="21.42578125" customWidth="1"/>
    <col min="7433" max="7433" width="16.5703125" bestFit="1" customWidth="1"/>
    <col min="7682" max="7682" width="24.5703125" customWidth="1"/>
    <col min="7683" max="7683" width="71.7109375" customWidth="1"/>
    <col min="7684" max="7684" width="17.140625" bestFit="1" customWidth="1"/>
    <col min="7685" max="7685" width="16.7109375" bestFit="1" customWidth="1"/>
    <col min="7686" max="7686" width="16.85546875" bestFit="1" customWidth="1"/>
    <col min="7687" max="7687" width="21.42578125" customWidth="1"/>
    <col min="7689" max="7689" width="16.5703125" bestFit="1" customWidth="1"/>
    <col min="7938" max="7938" width="24.5703125" customWidth="1"/>
    <col min="7939" max="7939" width="71.7109375" customWidth="1"/>
    <col min="7940" max="7940" width="17.140625" bestFit="1" customWidth="1"/>
    <col min="7941" max="7941" width="16.7109375" bestFit="1" customWidth="1"/>
    <col min="7942" max="7942" width="16.85546875" bestFit="1" customWidth="1"/>
    <col min="7943" max="7943" width="21.42578125" customWidth="1"/>
    <col min="7945" max="7945" width="16.5703125" bestFit="1" customWidth="1"/>
    <col min="8194" max="8194" width="24.5703125" customWidth="1"/>
    <col min="8195" max="8195" width="71.7109375" customWidth="1"/>
    <col min="8196" max="8196" width="17.140625" bestFit="1" customWidth="1"/>
    <col min="8197" max="8197" width="16.7109375" bestFit="1" customWidth="1"/>
    <col min="8198" max="8198" width="16.85546875" bestFit="1" customWidth="1"/>
    <col min="8199" max="8199" width="21.42578125" customWidth="1"/>
    <col min="8201" max="8201" width="16.5703125" bestFit="1" customWidth="1"/>
    <col min="8450" max="8450" width="24.5703125" customWidth="1"/>
    <col min="8451" max="8451" width="71.7109375" customWidth="1"/>
    <col min="8452" max="8452" width="17.140625" bestFit="1" customWidth="1"/>
    <col min="8453" max="8453" width="16.7109375" bestFit="1" customWidth="1"/>
    <col min="8454" max="8454" width="16.85546875" bestFit="1" customWidth="1"/>
    <col min="8455" max="8455" width="21.42578125" customWidth="1"/>
    <col min="8457" max="8457" width="16.5703125" bestFit="1" customWidth="1"/>
    <col min="8706" max="8706" width="24.5703125" customWidth="1"/>
    <col min="8707" max="8707" width="71.7109375" customWidth="1"/>
    <col min="8708" max="8708" width="17.140625" bestFit="1" customWidth="1"/>
    <col min="8709" max="8709" width="16.7109375" bestFit="1" customWidth="1"/>
    <col min="8710" max="8710" width="16.85546875" bestFit="1" customWidth="1"/>
    <col min="8711" max="8711" width="21.42578125" customWidth="1"/>
    <col min="8713" max="8713" width="16.5703125" bestFit="1" customWidth="1"/>
    <col min="8962" max="8962" width="24.5703125" customWidth="1"/>
    <col min="8963" max="8963" width="71.7109375" customWidth="1"/>
    <col min="8964" max="8964" width="17.140625" bestFit="1" customWidth="1"/>
    <col min="8965" max="8965" width="16.7109375" bestFit="1" customWidth="1"/>
    <col min="8966" max="8966" width="16.85546875" bestFit="1" customWidth="1"/>
    <col min="8967" max="8967" width="21.42578125" customWidth="1"/>
    <col min="8969" max="8969" width="16.5703125" bestFit="1" customWidth="1"/>
    <col min="9218" max="9218" width="24.5703125" customWidth="1"/>
    <col min="9219" max="9219" width="71.7109375" customWidth="1"/>
    <col min="9220" max="9220" width="17.140625" bestFit="1" customWidth="1"/>
    <col min="9221" max="9221" width="16.7109375" bestFit="1" customWidth="1"/>
    <col min="9222" max="9222" width="16.85546875" bestFit="1" customWidth="1"/>
    <col min="9223" max="9223" width="21.42578125" customWidth="1"/>
    <col min="9225" max="9225" width="16.5703125" bestFit="1" customWidth="1"/>
    <col min="9474" max="9474" width="24.5703125" customWidth="1"/>
    <col min="9475" max="9475" width="71.7109375" customWidth="1"/>
    <col min="9476" max="9476" width="17.140625" bestFit="1" customWidth="1"/>
    <col min="9477" max="9477" width="16.7109375" bestFit="1" customWidth="1"/>
    <col min="9478" max="9478" width="16.85546875" bestFit="1" customWidth="1"/>
    <col min="9479" max="9479" width="21.42578125" customWidth="1"/>
    <col min="9481" max="9481" width="16.5703125" bestFit="1" customWidth="1"/>
    <col min="9730" max="9730" width="24.5703125" customWidth="1"/>
    <col min="9731" max="9731" width="71.7109375" customWidth="1"/>
    <col min="9732" max="9732" width="17.140625" bestFit="1" customWidth="1"/>
    <col min="9733" max="9733" width="16.7109375" bestFit="1" customWidth="1"/>
    <col min="9734" max="9734" width="16.85546875" bestFit="1" customWidth="1"/>
    <col min="9735" max="9735" width="21.42578125" customWidth="1"/>
    <col min="9737" max="9737" width="16.5703125" bestFit="1" customWidth="1"/>
    <col min="9986" max="9986" width="24.5703125" customWidth="1"/>
    <col min="9987" max="9987" width="71.7109375" customWidth="1"/>
    <col min="9988" max="9988" width="17.140625" bestFit="1" customWidth="1"/>
    <col min="9989" max="9989" width="16.7109375" bestFit="1" customWidth="1"/>
    <col min="9990" max="9990" width="16.85546875" bestFit="1" customWidth="1"/>
    <col min="9991" max="9991" width="21.42578125" customWidth="1"/>
    <col min="9993" max="9993" width="16.5703125" bestFit="1" customWidth="1"/>
    <col min="10242" max="10242" width="24.5703125" customWidth="1"/>
    <col min="10243" max="10243" width="71.7109375" customWidth="1"/>
    <col min="10244" max="10244" width="17.140625" bestFit="1" customWidth="1"/>
    <col min="10245" max="10245" width="16.7109375" bestFit="1" customWidth="1"/>
    <col min="10246" max="10246" width="16.85546875" bestFit="1" customWidth="1"/>
    <col min="10247" max="10247" width="21.42578125" customWidth="1"/>
    <col min="10249" max="10249" width="16.5703125" bestFit="1" customWidth="1"/>
    <col min="10498" max="10498" width="24.5703125" customWidth="1"/>
    <col min="10499" max="10499" width="71.7109375" customWidth="1"/>
    <col min="10500" max="10500" width="17.140625" bestFit="1" customWidth="1"/>
    <col min="10501" max="10501" width="16.7109375" bestFit="1" customWidth="1"/>
    <col min="10502" max="10502" width="16.85546875" bestFit="1" customWidth="1"/>
    <col min="10503" max="10503" width="21.42578125" customWidth="1"/>
    <col min="10505" max="10505" width="16.5703125" bestFit="1" customWidth="1"/>
    <col min="10754" max="10754" width="24.5703125" customWidth="1"/>
    <col min="10755" max="10755" width="71.7109375" customWidth="1"/>
    <col min="10756" max="10756" width="17.140625" bestFit="1" customWidth="1"/>
    <col min="10757" max="10757" width="16.7109375" bestFit="1" customWidth="1"/>
    <col min="10758" max="10758" width="16.85546875" bestFit="1" customWidth="1"/>
    <col min="10759" max="10759" width="21.42578125" customWidth="1"/>
    <col min="10761" max="10761" width="16.5703125" bestFit="1" customWidth="1"/>
    <col min="11010" max="11010" width="24.5703125" customWidth="1"/>
    <col min="11011" max="11011" width="71.7109375" customWidth="1"/>
    <col min="11012" max="11012" width="17.140625" bestFit="1" customWidth="1"/>
    <col min="11013" max="11013" width="16.7109375" bestFit="1" customWidth="1"/>
    <col min="11014" max="11014" width="16.85546875" bestFit="1" customWidth="1"/>
    <col min="11015" max="11015" width="21.42578125" customWidth="1"/>
    <col min="11017" max="11017" width="16.5703125" bestFit="1" customWidth="1"/>
    <col min="11266" max="11266" width="24.5703125" customWidth="1"/>
    <col min="11267" max="11267" width="71.7109375" customWidth="1"/>
    <col min="11268" max="11268" width="17.140625" bestFit="1" customWidth="1"/>
    <col min="11269" max="11269" width="16.7109375" bestFit="1" customWidth="1"/>
    <col min="11270" max="11270" width="16.85546875" bestFit="1" customWidth="1"/>
    <col min="11271" max="11271" width="21.42578125" customWidth="1"/>
    <col min="11273" max="11273" width="16.5703125" bestFit="1" customWidth="1"/>
    <col min="11522" max="11522" width="24.5703125" customWidth="1"/>
    <col min="11523" max="11523" width="71.7109375" customWidth="1"/>
    <col min="11524" max="11524" width="17.140625" bestFit="1" customWidth="1"/>
    <col min="11525" max="11525" width="16.7109375" bestFit="1" customWidth="1"/>
    <col min="11526" max="11526" width="16.85546875" bestFit="1" customWidth="1"/>
    <col min="11527" max="11527" width="21.42578125" customWidth="1"/>
    <col min="11529" max="11529" width="16.5703125" bestFit="1" customWidth="1"/>
    <col min="11778" max="11778" width="24.5703125" customWidth="1"/>
    <col min="11779" max="11779" width="71.7109375" customWidth="1"/>
    <col min="11780" max="11780" width="17.140625" bestFit="1" customWidth="1"/>
    <col min="11781" max="11781" width="16.7109375" bestFit="1" customWidth="1"/>
    <col min="11782" max="11782" width="16.85546875" bestFit="1" customWidth="1"/>
    <col min="11783" max="11783" width="21.42578125" customWidth="1"/>
    <col min="11785" max="11785" width="16.5703125" bestFit="1" customWidth="1"/>
    <col min="12034" max="12034" width="24.5703125" customWidth="1"/>
    <col min="12035" max="12035" width="71.7109375" customWidth="1"/>
    <col min="12036" max="12036" width="17.140625" bestFit="1" customWidth="1"/>
    <col min="12037" max="12037" width="16.7109375" bestFit="1" customWidth="1"/>
    <col min="12038" max="12038" width="16.85546875" bestFit="1" customWidth="1"/>
    <col min="12039" max="12039" width="21.42578125" customWidth="1"/>
    <col min="12041" max="12041" width="16.5703125" bestFit="1" customWidth="1"/>
    <col min="12290" max="12290" width="24.5703125" customWidth="1"/>
    <col min="12291" max="12291" width="71.7109375" customWidth="1"/>
    <col min="12292" max="12292" width="17.140625" bestFit="1" customWidth="1"/>
    <col min="12293" max="12293" width="16.7109375" bestFit="1" customWidth="1"/>
    <col min="12294" max="12294" width="16.85546875" bestFit="1" customWidth="1"/>
    <col min="12295" max="12295" width="21.42578125" customWidth="1"/>
    <col min="12297" max="12297" width="16.5703125" bestFit="1" customWidth="1"/>
    <col min="12546" max="12546" width="24.5703125" customWidth="1"/>
    <col min="12547" max="12547" width="71.7109375" customWidth="1"/>
    <col min="12548" max="12548" width="17.140625" bestFit="1" customWidth="1"/>
    <col min="12549" max="12549" width="16.7109375" bestFit="1" customWidth="1"/>
    <col min="12550" max="12550" width="16.85546875" bestFit="1" customWidth="1"/>
    <col min="12551" max="12551" width="21.42578125" customWidth="1"/>
    <col min="12553" max="12553" width="16.5703125" bestFit="1" customWidth="1"/>
    <col min="12802" max="12802" width="24.5703125" customWidth="1"/>
    <col min="12803" max="12803" width="71.7109375" customWidth="1"/>
    <col min="12804" max="12804" width="17.140625" bestFit="1" customWidth="1"/>
    <col min="12805" max="12805" width="16.7109375" bestFit="1" customWidth="1"/>
    <col min="12806" max="12806" width="16.85546875" bestFit="1" customWidth="1"/>
    <col min="12807" max="12807" width="21.42578125" customWidth="1"/>
    <col min="12809" max="12809" width="16.5703125" bestFit="1" customWidth="1"/>
    <col min="13058" max="13058" width="24.5703125" customWidth="1"/>
    <col min="13059" max="13059" width="71.7109375" customWidth="1"/>
    <col min="13060" max="13060" width="17.140625" bestFit="1" customWidth="1"/>
    <col min="13061" max="13061" width="16.7109375" bestFit="1" customWidth="1"/>
    <col min="13062" max="13062" width="16.85546875" bestFit="1" customWidth="1"/>
    <col min="13063" max="13063" width="21.42578125" customWidth="1"/>
    <col min="13065" max="13065" width="16.5703125" bestFit="1" customWidth="1"/>
    <col min="13314" max="13314" width="24.5703125" customWidth="1"/>
    <col min="13315" max="13315" width="71.7109375" customWidth="1"/>
    <col min="13316" max="13316" width="17.140625" bestFit="1" customWidth="1"/>
    <col min="13317" max="13317" width="16.7109375" bestFit="1" customWidth="1"/>
    <col min="13318" max="13318" width="16.85546875" bestFit="1" customWidth="1"/>
    <col min="13319" max="13319" width="21.42578125" customWidth="1"/>
    <col min="13321" max="13321" width="16.5703125" bestFit="1" customWidth="1"/>
    <col min="13570" max="13570" width="24.5703125" customWidth="1"/>
    <col min="13571" max="13571" width="71.7109375" customWidth="1"/>
    <col min="13572" max="13572" width="17.140625" bestFit="1" customWidth="1"/>
    <col min="13573" max="13573" width="16.7109375" bestFit="1" customWidth="1"/>
    <col min="13574" max="13574" width="16.85546875" bestFit="1" customWidth="1"/>
    <col min="13575" max="13575" width="21.42578125" customWidth="1"/>
    <col min="13577" max="13577" width="16.5703125" bestFit="1" customWidth="1"/>
    <col min="13826" max="13826" width="24.5703125" customWidth="1"/>
    <col min="13827" max="13827" width="71.7109375" customWidth="1"/>
    <col min="13828" max="13828" width="17.140625" bestFit="1" customWidth="1"/>
    <col min="13829" max="13829" width="16.7109375" bestFit="1" customWidth="1"/>
    <col min="13830" max="13830" width="16.85546875" bestFit="1" customWidth="1"/>
    <col min="13831" max="13831" width="21.42578125" customWidth="1"/>
    <col min="13833" max="13833" width="16.5703125" bestFit="1" customWidth="1"/>
    <col min="14082" max="14082" width="24.5703125" customWidth="1"/>
    <col min="14083" max="14083" width="71.7109375" customWidth="1"/>
    <col min="14084" max="14084" width="17.140625" bestFit="1" customWidth="1"/>
    <col min="14085" max="14085" width="16.7109375" bestFit="1" customWidth="1"/>
    <col min="14086" max="14086" width="16.85546875" bestFit="1" customWidth="1"/>
    <col min="14087" max="14087" width="21.42578125" customWidth="1"/>
    <col min="14089" max="14089" width="16.5703125" bestFit="1" customWidth="1"/>
    <col min="14338" max="14338" width="24.5703125" customWidth="1"/>
    <col min="14339" max="14339" width="71.7109375" customWidth="1"/>
    <col min="14340" max="14340" width="17.140625" bestFit="1" customWidth="1"/>
    <col min="14341" max="14341" width="16.7109375" bestFit="1" customWidth="1"/>
    <col min="14342" max="14342" width="16.85546875" bestFit="1" customWidth="1"/>
    <col min="14343" max="14343" width="21.42578125" customWidth="1"/>
    <col min="14345" max="14345" width="16.5703125" bestFit="1" customWidth="1"/>
    <col min="14594" max="14594" width="24.5703125" customWidth="1"/>
    <col min="14595" max="14595" width="71.7109375" customWidth="1"/>
    <col min="14596" max="14596" width="17.140625" bestFit="1" customWidth="1"/>
    <col min="14597" max="14597" width="16.7109375" bestFit="1" customWidth="1"/>
    <col min="14598" max="14598" width="16.85546875" bestFit="1" customWidth="1"/>
    <col min="14599" max="14599" width="21.42578125" customWidth="1"/>
    <col min="14601" max="14601" width="16.5703125" bestFit="1" customWidth="1"/>
    <col min="14850" max="14850" width="24.5703125" customWidth="1"/>
    <col min="14851" max="14851" width="71.7109375" customWidth="1"/>
    <col min="14852" max="14852" width="17.140625" bestFit="1" customWidth="1"/>
    <col min="14853" max="14853" width="16.7109375" bestFit="1" customWidth="1"/>
    <col min="14854" max="14854" width="16.85546875" bestFit="1" customWidth="1"/>
    <col min="14855" max="14855" width="21.42578125" customWidth="1"/>
    <col min="14857" max="14857" width="16.5703125" bestFit="1" customWidth="1"/>
    <col min="15106" max="15106" width="24.5703125" customWidth="1"/>
    <col min="15107" max="15107" width="71.7109375" customWidth="1"/>
    <col min="15108" max="15108" width="17.140625" bestFit="1" customWidth="1"/>
    <col min="15109" max="15109" width="16.7109375" bestFit="1" customWidth="1"/>
    <col min="15110" max="15110" width="16.85546875" bestFit="1" customWidth="1"/>
    <col min="15111" max="15111" width="21.42578125" customWidth="1"/>
    <col min="15113" max="15113" width="16.5703125" bestFit="1" customWidth="1"/>
    <col min="15362" max="15362" width="24.5703125" customWidth="1"/>
    <col min="15363" max="15363" width="71.7109375" customWidth="1"/>
    <col min="15364" max="15364" width="17.140625" bestFit="1" customWidth="1"/>
    <col min="15365" max="15365" width="16.7109375" bestFit="1" customWidth="1"/>
    <col min="15366" max="15366" width="16.85546875" bestFit="1" customWidth="1"/>
    <col min="15367" max="15367" width="21.42578125" customWidth="1"/>
    <col min="15369" max="15369" width="16.5703125" bestFit="1" customWidth="1"/>
    <col min="15618" max="15618" width="24.5703125" customWidth="1"/>
    <col min="15619" max="15619" width="71.7109375" customWidth="1"/>
    <col min="15620" max="15620" width="17.140625" bestFit="1" customWidth="1"/>
    <col min="15621" max="15621" width="16.7109375" bestFit="1" customWidth="1"/>
    <col min="15622" max="15622" width="16.85546875" bestFit="1" customWidth="1"/>
    <col min="15623" max="15623" width="21.42578125" customWidth="1"/>
    <col min="15625" max="15625" width="16.5703125" bestFit="1" customWidth="1"/>
    <col min="15874" max="15874" width="24.5703125" customWidth="1"/>
    <col min="15875" max="15875" width="71.7109375" customWidth="1"/>
    <col min="15876" max="15876" width="17.140625" bestFit="1" customWidth="1"/>
    <col min="15877" max="15877" width="16.7109375" bestFit="1" customWidth="1"/>
    <col min="15878" max="15878" width="16.85546875" bestFit="1" customWidth="1"/>
    <col min="15879" max="15879" width="21.42578125" customWidth="1"/>
    <col min="15881" max="15881" width="16.5703125" bestFit="1" customWidth="1"/>
    <col min="16130" max="16130" width="24.5703125" customWidth="1"/>
    <col min="16131" max="16131" width="71.7109375" customWidth="1"/>
    <col min="16132" max="16132" width="17.140625" bestFit="1" customWidth="1"/>
    <col min="16133" max="16133" width="16.7109375" bestFit="1" customWidth="1"/>
    <col min="16134" max="16134" width="16.85546875" bestFit="1" customWidth="1"/>
    <col min="16135" max="16135" width="21.42578125" customWidth="1"/>
    <col min="16137" max="16137" width="16.5703125" bestFit="1" customWidth="1"/>
  </cols>
  <sheetData>
    <row r="1" spans="1:10" s="458" customFormat="1" ht="15.75">
      <c r="A1" s="457"/>
      <c r="B1" s="1178" t="str">
        <f>'PLANILHA ORÇAMENTARIA'!A1</f>
        <v>OBRA:</v>
      </c>
      <c r="C1" s="1179" t="str">
        <f>'PLANILHA ORÇAMENTARIA'!B1</f>
        <v>Construção da Lavanderia e Predio Sede da Secretaria Municipal de Saúde de Barra do Bugres - MT</v>
      </c>
      <c r="D1" s="457"/>
      <c r="E1" s="457"/>
      <c r="F1" s="457"/>
      <c r="G1" s="457"/>
      <c r="H1" s="457"/>
    </row>
    <row r="2" spans="1:10" s="458" customFormat="1" ht="15.75">
      <c r="A2" s="457"/>
      <c r="B2" s="1178" t="str">
        <f>'PLANILHA ORÇAMENTARIA'!A2</f>
        <v>Endereço:</v>
      </c>
      <c r="C2" s="1179" t="str">
        <f>'PLANILHA ORÇAMENTARIA'!B2</f>
        <v>Rua Voluntários da Pátria, 861 - Bairro Maracanã</v>
      </c>
      <c r="D2" s="1178"/>
      <c r="E2" s="1179"/>
      <c r="F2" s="457"/>
      <c r="G2" s="457"/>
      <c r="H2" s="457"/>
    </row>
    <row r="3" spans="1:10" s="458" customFormat="1" ht="15.75">
      <c r="A3" s="457"/>
      <c r="B3" s="1178" t="str">
        <f>'PLANILHA ORÇAMENTARIA'!A3</f>
        <v>Município:</v>
      </c>
      <c r="C3" s="1179" t="str">
        <f>'PLANILHA ORÇAMENTARIA'!B3</f>
        <v>Barra do Bugres - MT</v>
      </c>
      <c r="D3" s="1178"/>
      <c r="E3" s="1179"/>
      <c r="F3" s="457"/>
      <c r="G3" s="457"/>
      <c r="H3" s="457"/>
    </row>
    <row r="4" spans="1:10" s="458" customFormat="1" ht="15.75">
      <c r="A4" s="457"/>
      <c r="B4" s="1178" t="str">
        <f>'PLANILHA ORÇAMENTARIA'!A4</f>
        <v>Data:</v>
      </c>
      <c r="C4" s="414">
        <f>'PLANILHA ORÇAMENTARIA'!B4</f>
        <v>43952</v>
      </c>
      <c r="D4" s="457"/>
      <c r="E4" s="1180" t="str">
        <f>'PLANILHA ORÇAMENTARIA'!E3</f>
        <v>Referência:</v>
      </c>
      <c r="F4" s="1181" t="str">
        <f>'PLANILHA ORÇAMENTARIA'!G3</f>
        <v>SINAPI -01/2020 não deson.</v>
      </c>
      <c r="G4" s="457"/>
      <c r="H4" s="457"/>
    </row>
    <row r="5" spans="1:10" s="461" customFormat="1" ht="14.25" customHeight="1" thickBot="1">
      <c r="A5" s="460"/>
      <c r="B5" s="1099"/>
      <c r="C5" s="1174"/>
      <c r="D5" s="1176"/>
      <c r="E5" s="1177"/>
      <c r="F5" s="1175"/>
      <c r="G5" s="1100"/>
    </row>
    <row r="6" spans="1:10" s="462" customFormat="1" ht="18.75" thickBot="1">
      <c r="B6" s="1358" t="s">
        <v>14121</v>
      </c>
      <c r="C6" s="1359"/>
      <c r="D6" s="1359"/>
      <c r="E6" s="1359"/>
      <c r="F6" s="1359"/>
      <c r="G6" s="1360"/>
    </row>
    <row r="7" spans="1:10" s="745" customFormat="1" ht="9.9499999999999993" customHeight="1" thickBot="1">
      <c r="B7" s="949"/>
      <c r="C7" s="747"/>
      <c r="D7" s="747"/>
      <c r="E7" s="747"/>
      <c r="F7" s="747"/>
      <c r="G7" s="950"/>
    </row>
    <row r="8" spans="1:10" s="464" customFormat="1" ht="16.5" hidden="1" thickBot="1">
      <c r="B8" s="1021" t="s">
        <v>14122</v>
      </c>
      <c r="C8" s="1361" t="str">
        <f>CONCATENATE("FORNECIMENTO E INSTALAÇÃO DE ",C11)</f>
        <v>FORNECIMENTO E INSTALAÇÃO DE CENTRAL DE ALARME SEM BATERIA 24 LAÇOS IPA12.24 ILUMAC 2007 ACTUAL 200</v>
      </c>
      <c r="D8" s="1362"/>
      <c r="E8" s="1362"/>
      <c r="F8" s="1362"/>
      <c r="G8" s="1022" t="s">
        <v>28</v>
      </c>
      <c r="H8" s="570">
        <f>G15</f>
        <v>416.35999999999996</v>
      </c>
      <c r="I8" s="465"/>
    </row>
    <row r="9" spans="1:10" s="464" customFormat="1" ht="32.25" hidden="1" thickBot="1">
      <c r="B9" s="469" t="s">
        <v>14119</v>
      </c>
      <c r="C9" s="707" t="s">
        <v>13464</v>
      </c>
      <c r="D9" s="470" t="s">
        <v>28</v>
      </c>
      <c r="E9" s="707" t="s">
        <v>13465</v>
      </c>
      <c r="F9" s="293" t="s">
        <v>13466</v>
      </c>
      <c r="G9" s="708" t="s">
        <v>13467</v>
      </c>
      <c r="I9" s="465"/>
    </row>
    <row r="10" spans="1:10" s="464" customFormat="1" ht="16.5" hidden="1" thickBot="1">
      <c r="B10" s="1283" t="s">
        <v>13468</v>
      </c>
      <c r="C10" s="1284"/>
      <c r="D10" s="1284"/>
      <c r="E10" s="1284"/>
      <c r="F10" s="1284"/>
      <c r="G10" s="1285"/>
      <c r="I10" s="465"/>
      <c r="J10" s="464" t="s">
        <v>14012</v>
      </c>
    </row>
    <row r="11" spans="1:10" s="464" customFormat="1" ht="30.75" hidden="1" thickBot="1">
      <c r="B11" s="862" t="s">
        <v>13497</v>
      </c>
      <c r="C11" s="1023" t="s">
        <v>14123</v>
      </c>
      <c r="D11" s="864" t="s">
        <v>28</v>
      </c>
      <c r="E11" s="815">
        <v>1</v>
      </c>
      <c r="F11" s="815">
        <f>D21</f>
        <v>380</v>
      </c>
      <c r="G11" s="845">
        <f>TRUNC(F11*E11,2)</f>
        <v>380</v>
      </c>
      <c r="I11" s="465"/>
    </row>
    <row r="12" spans="1:10" s="464" customFormat="1" ht="16.5" hidden="1" thickBot="1">
      <c r="B12" s="1283" t="s">
        <v>13469</v>
      </c>
      <c r="C12" s="1284"/>
      <c r="D12" s="1284"/>
      <c r="E12" s="1284"/>
      <c r="F12" s="1284"/>
      <c r="G12" s="1285"/>
      <c r="I12" s="465"/>
    </row>
    <row r="13" spans="1:10" s="464" customFormat="1" ht="16.5" hidden="1" thickBot="1">
      <c r="A13" s="473" t="s">
        <v>13459</v>
      </c>
      <c r="B13" s="751">
        <v>88264</v>
      </c>
      <c r="C13" s="475" t="s">
        <v>771</v>
      </c>
      <c r="D13" s="711" t="s">
        <v>753</v>
      </c>
      <c r="E13" s="752">
        <v>1</v>
      </c>
      <c r="F13" s="713">
        <v>20.52</v>
      </c>
      <c r="G13" s="750">
        <f>TRUNC(F13*E13,2)</f>
        <v>20.52</v>
      </c>
      <c r="I13" s="465"/>
      <c r="J13" s="464">
        <v>24</v>
      </c>
    </row>
    <row r="14" spans="1:10" s="464" customFormat="1" ht="16.5" hidden="1" thickBot="1">
      <c r="A14" s="473" t="s">
        <v>13459</v>
      </c>
      <c r="B14" s="753">
        <v>88247</v>
      </c>
      <c r="C14" s="484" t="s">
        <v>924</v>
      </c>
      <c r="D14" s="718" t="s">
        <v>753</v>
      </c>
      <c r="E14" s="754">
        <v>1</v>
      </c>
      <c r="F14" s="720">
        <v>15.84</v>
      </c>
      <c r="G14" s="755">
        <f>TRUNC(F14*E14,2)</f>
        <v>15.84</v>
      </c>
      <c r="I14" s="465"/>
      <c r="J14" s="464">
        <v>58</v>
      </c>
    </row>
    <row r="15" spans="1:10" s="744" customFormat="1" ht="16.5" hidden="1" thickBot="1">
      <c r="B15" s="1024" t="s">
        <v>14124</v>
      </c>
      <c r="C15" s="1025"/>
      <c r="D15" s="959"/>
      <c r="E15" s="959"/>
      <c r="F15" s="1026" t="s">
        <v>22</v>
      </c>
      <c r="G15" s="1027">
        <f>SUM(G10:G14)</f>
        <v>416.35999999999996</v>
      </c>
      <c r="H15" s="1028"/>
      <c r="J15" s="744">
        <v>122</v>
      </c>
    </row>
    <row r="16" spans="1:10" s="489" customFormat="1" ht="32.25" hidden="1" thickBot="1">
      <c r="B16" s="578" t="s">
        <v>13502</v>
      </c>
      <c r="C16" s="579" t="s">
        <v>13503</v>
      </c>
      <c r="D16" s="580" t="s">
        <v>13504</v>
      </c>
      <c r="E16" s="581" t="s">
        <v>13505</v>
      </c>
      <c r="F16" s="582" t="s">
        <v>13506</v>
      </c>
      <c r="G16" s="583" t="s">
        <v>13507</v>
      </c>
      <c r="J16" s="489">
        <v>123</v>
      </c>
    </row>
    <row r="17" spans="1:9" s="489" customFormat="1" ht="16.5" hidden="1" thickBot="1">
      <c r="B17" s="597">
        <v>43581</v>
      </c>
      <c r="C17" s="630" t="s">
        <v>14125</v>
      </c>
      <c r="D17" s="593">
        <v>688</v>
      </c>
      <c r="E17" s="631" t="s">
        <v>14126</v>
      </c>
      <c r="F17" s="595" t="s">
        <v>14127</v>
      </c>
      <c r="G17" s="790" t="s">
        <v>14128</v>
      </c>
      <c r="H17"/>
      <c r="I17" s="916"/>
    </row>
    <row r="18" spans="1:9" s="465" customFormat="1" ht="16.5" hidden="1" thickBot="1">
      <c r="A18" s="464"/>
      <c r="B18" s="597">
        <v>43568</v>
      </c>
      <c r="C18" s="630" t="s">
        <v>14129</v>
      </c>
      <c r="D18" s="617">
        <v>380</v>
      </c>
      <c r="E18" s="631" t="s">
        <v>14130</v>
      </c>
      <c r="F18" s="876" t="s">
        <v>14131</v>
      </c>
      <c r="G18" s="790" t="s">
        <v>14132</v>
      </c>
      <c r="H18"/>
    </row>
    <row r="19" spans="1:9" s="465" customFormat="1" ht="16.5" hidden="1" thickBot="1">
      <c r="A19" s="464"/>
      <c r="B19" s="597">
        <v>43568</v>
      </c>
      <c r="C19" s="630" t="s">
        <v>14129</v>
      </c>
      <c r="D19" s="617">
        <v>380</v>
      </c>
      <c r="E19" s="631" t="s">
        <v>14130</v>
      </c>
      <c r="F19" s="876" t="s">
        <v>14131</v>
      </c>
      <c r="G19" s="790" t="s">
        <v>14132</v>
      </c>
      <c r="H19"/>
    </row>
    <row r="20" spans="1:9" s="489" customFormat="1" ht="15.75" hidden="1" thickBot="1">
      <c r="B20" s="611">
        <v>43437</v>
      </c>
      <c r="C20" s="592" t="s">
        <v>14133</v>
      </c>
      <c r="D20" s="617">
        <v>578.96</v>
      </c>
      <c r="E20" s="614" t="s">
        <v>14017</v>
      </c>
      <c r="F20" s="814" t="s">
        <v>14134</v>
      </c>
      <c r="G20" s="618" t="s">
        <v>14135</v>
      </c>
      <c r="H20"/>
    </row>
    <row r="21" spans="1:9" s="489" customFormat="1" ht="16.5" hidden="1" thickBot="1">
      <c r="B21" s="598"/>
      <c r="C21" s="599" t="s">
        <v>13523</v>
      </c>
      <c r="D21" s="538">
        <f>IF(COUNT(D16:D20)=3,MEDIAN(D16:D20),SMALL(D17:D20,1))</f>
        <v>380</v>
      </c>
      <c r="E21" s="600"/>
      <c r="F21" s="601"/>
      <c r="G21" s="602"/>
    </row>
    <row r="22" spans="1:9" s="494" customFormat="1" ht="16.5" hidden="1" thickBot="1">
      <c r="B22" s="957"/>
      <c r="C22" s="795"/>
      <c r="D22" s="795"/>
      <c r="E22" s="795"/>
      <c r="F22" s="795"/>
      <c r="G22" s="795"/>
    </row>
    <row r="23" spans="1:9" s="464" customFormat="1" ht="31.5" hidden="1" customHeight="1">
      <c r="B23" s="704" t="str">
        <f>IF(COUNT($H$8:H23)&lt;10,CONCATENATE("COMP INC 00",COUNT($H$8:H23)),CONCATENATE("COMP INC 0",COUNT($H$8:H23)))</f>
        <v>COMP INC 002</v>
      </c>
      <c r="C23" s="1257" t="str">
        <f>CONCATENATE("FORNECIMENTO E INSTALAÇÃO DE ",C26)</f>
        <v>FORNECIMENTO E INSTALAÇÃO DE CABO P/ ALARME INCENDIO BLINDADO 3 X 1.5MM C/ JAQUETA E DRENO VERMELHO</v>
      </c>
      <c r="D23" s="1225"/>
      <c r="E23" s="1225"/>
      <c r="F23" s="1225"/>
      <c r="G23" s="705" t="s">
        <v>28</v>
      </c>
      <c r="H23" s="570">
        <f>G30</f>
        <v>12.809999999999999</v>
      </c>
      <c r="I23" s="465"/>
    </row>
    <row r="24" spans="1:9" s="464" customFormat="1" ht="32.25" hidden="1" thickBot="1">
      <c r="B24" s="469" t="s">
        <v>14119</v>
      </c>
      <c r="C24" s="707" t="s">
        <v>13464</v>
      </c>
      <c r="D24" s="470" t="s">
        <v>28</v>
      </c>
      <c r="E24" s="707" t="s">
        <v>13465</v>
      </c>
      <c r="F24" s="293" t="s">
        <v>13466</v>
      </c>
      <c r="G24" s="708" t="s">
        <v>13467</v>
      </c>
      <c r="I24" s="465"/>
    </row>
    <row r="25" spans="1:9" s="464" customFormat="1" ht="16.5" hidden="1" thickBot="1">
      <c r="B25" s="1283" t="s">
        <v>13468</v>
      </c>
      <c r="C25" s="1284"/>
      <c r="D25" s="1284"/>
      <c r="E25" s="1284"/>
      <c r="F25" s="1284"/>
      <c r="G25" s="1285"/>
      <c r="I25" s="465"/>
    </row>
    <row r="26" spans="1:9" s="464" customFormat="1" ht="30.75" hidden="1" thickBot="1">
      <c r="B26" s="862" t="s">
        <v>13497</v>
      </c>
      <c r="C26" s="1029" t="s">
        <v>14136</v>
      </c>
      <c r="D26" s="864" t="s">
        <v>35</v>
      </c>
      <c r="E26" s="815">
        <v>1.02</v>
      </c>
      <c r="F26" s="815">
        <f>D38</f>
        <v>6.15</v>
      </c>
      <c r="G26" s="845">
        <f>TRUNC(F26*E26,2)</f>
        <v>6.27</v>
      </c>
      <c r="I26" s="465"/>
    </row>
    <row r="27" spans="1:9" s="464" customFormat="1" ht="16.5" hidden="1" thickBot="1">
      <c r="B27" s="1283" t="s">
        <v>13469</v>
      </c>
      <c r="C27" s="1284"/>
      <c r="D27" s="1284"/>
      <c r="E27" s="1284"/>
      <c r="F27" s="1284"/>
      <c r="G27" s="1285"/>
      <c r="I27" s="465"/>
    </row>
    <row r="28" spans="1:9" s="464" customFormat="1" ht="16.5" hidden="1" thickBot="1">
      <c r="A28" s="473" t="s">
        <v>13459</v>
      </c>
      <c r="B28" s="751">
        <v>88264</v>
      </c>
      <c r="C28" s="475" t="s">
        <v>771</v>
      </c>
      <c r="D28" s="711" t="s">
        <v>753</v>
      </c>
      <c r="E28" s="752">
        <v>0.18</v>
      </c>
      <c r="F28" s="713">
        <v>20.52</v>
      </c>
      <c r="G28" s="750">
        <f>TRUNC(F28*E28,2)</f>
        <v>3.69</v>
      </c>
      <c r="I28" s="465"/>
    </row>
    <row r="29" spans="1:9" s="489" customFormat="1" ht="16.5" hidden="1" thickBot="1">
      <c r="A29" s="473" t="s">
        <v>13459</v>
      </c>
      <c r="B29" s="753">
        <v>88247</v>
      </c>
      <c r="C29" s="484" t="s">
        <v>924</v>
      </c>
      <c r="D29" s="718" t="s">
        <v>753</v>
      </c>
      <c r="E29" s="754">
        <v>0.18</v>
      </c>
      <c r="F29" s="785">
        <v>15.84</v>
      </c>
      <c r="G29" s="786">
        <f>TRUNC(F29*E29,2)</f>
        <v>2.85</v>
      </c>
    </row>
    <row r="30" spans="1:9" s="489" customFormat="1" ht="16.5" hidden="1" thickBot="1">
      <c r="B30" s="1255" t="s">
        <v>14137</v>
      </c>
      <c r="C30" s="1255"/>
      <c r="D30" s="1255"/>
      <c r="E30" s="1255"/>
      <c r="F30" s="1030" t="s">
        <v>22</v>
      </c>
      <c r="G30" s="1031">
        <f>SUM(G25:G29)</f>
        <v>12.809999999999999</v>
      </c>
    </row>
    <row r="31" spans="1:9" s="489" customFormat="1" ht="15.75" hidden="1" thickBot="1">
      <c r="B31" s="1255"/>
      <c r="C31" s="1255"/>
      <c r="D31" s="1255"/>
      <c r="E31" s="1255"/>
      <c r="F31" s="959"/>
      <c r="G31" s="959"/>
    </row>
    <row r="32" spans="1:9" s="494" customFormat="1" ht="16.5" hidden="1" thickBot="1">
      <c r="B32" s="957"/>
      <c r="C32" s="795"/>
      <c r="D32" s="795"/>
      <c r="E32" s="795"/>
      <c r="F32" s="795"/>
      <c r="G32" s="795"/>
    </row>
    <row r="33" spans="1:9" s="489" customFormat="1" ht="32.25" hidden="1" thickBot="1">
      <c r="B33" s="572"/>
      <c r="C33" s="607" t="s">
        <v>14136</v>
      </c>
      <c r="D33" s="574"/>
      <c r="E33" s="575"/>
      <c r="F33" s="1032" t="s">
        <v>28</v>
      </c>
      <c r="G33" s="1033" t="s">
        <v>35</v>
      </c>
      <c r="H33" s="916" t="s">
        <v>13500</v>
      </c>
    </row>
    <row r="34" spans="1:9" s="489" customFormat="1" ht="32.25" hidden="1" thickBot="1">
      <c r="B34" s="578" t="s">
        <v>13502</v>
      </c>
      <c r="C34" s="579" t="s">
        <v>13503</v>
      </c>
      <c r="D34" s="580" t="s">
        <v>13504</v>
      </c>
      <c r="E34" s="581" t="s">
        <v>13505</v>
      </c>
      <c r="F34" s="582" t="s">
        <v>13506</v>
      </c>
      <c r="G34" s="583" t="s">
        <v>13507</v>
      </c>
    </row>
    <row r="35" spans="1:9" s="489" customFormat="1" ht="16.5" hidden="1" thickBot="1">
      <c r="B35" s="597">
        <v>43669</v>
      </c>
      <c r="C35" s="630" t="s">
        <v>13830</v>
      </c>
      <c r="D35" s="593">
        <v>5.19</v>
      </c>
      <c r="E35" s="631" t="s">
        <v>14138</v>
      </c>
      <c r="F35" s="876" t="s">
        <v>13862</v>
      </c>
      <c r="G35" s="790" t="s">
        <v>13833</v>
      </c>
      <c r="H35"/>
      <c r="I35" s="465" t="s">
        <v>14139</v>
      </c>
    </row>
    <row r="36" spans="1:9" s="465" customFormat="1" ht="16.5" hidden="1" thickBot="1">
      <c r="A36" s="464"/>
      <c r="B36" s="597">
        <v>43656</v>
      </c>
      <c r="C36" s="630" t="s">
        <v>14140</v>
      </c>
      <c r="D36" s="617">
        <v>6.97</v>
      </c>
      <c r="E36" s="631" t="s">
        <v>14141</v>
      </c>
      <c r="F36" s="595" t="s">
        <v>14142</v>
      </c>
      <c r="G36" s="790" t="s">
        <v>14143</v>
      </c>
      <c r="H36"/>
      <c r="I36" s="465" t="s">
        <v>14139</v>
      </c>
    </row>
    <row r="37" spans="1:9" s="489" customFormat="1" ht="16.5" hidden="1" thickBot="1">
      <c r="B37" s="611">
        <v>43621</v>
      </c>
      <c r="C37" s="630" t="s">
        <v>14144</v>
      </c>
      <c r="D37" s="593">
        <v>6.15</v>
      </c>
      <c r="E37" s="631" t="s">
        <v>14145</v>
      </c>
      <c r="F37" s="595" t="s">
        <v>14146</v>
      </c>
      <c r="G37" s="790" t="s">
        <v>14147</v>
      </c>
      <c r="H37"/>
      <c r="I37" s="465" t="s">
        <v>14139</v>
      </c>
    </row>
    <row r="38" spans="1:9" s="489" customFormat="1" ht="16.5" hidden="1" thickBot="1">
      <c r="B38" s="598"/>
      <c r="C38" s="599" t="s">
        <v>13523</v>
      </c>
      <c r="D38" s="538">
        <f>IF(COUNT(D34:D37)=3,MEDIAN(D34:D37),SMALL(D35:D37,1))</f>
        <v>6.15</v>
      </c>
      <c r="E38" s="600"/>
      <c r="F38" s="601"/>
      <c r="G38" s="602"/>
      <c r="H38"/>
    </row>
    <row r="39" spans="1:9" s="494" customFormat="1" ht="16.5" hidden="1" thickBot="1">
      <c r="B39" s="957"/>
      <c r="C39" s="795"/>
      <c r="D39" s="795"/>
      <c r="E39" s="795"/>
      <c r="F39" s="795"/>
      <c r="G39" s="795"/>
    </row>
    <row r="40" spans="1:9" s="465" customFormat="1" ht="20.25" hidden="1" customHeight="1">
      <c r="A40" s="464"/>
      <c r="B40" s="704" t="str">
        <f>IF(COUNT($H$8:H40)&lt;10,CONCATENATE("COMP INC 00",COUNT($H$8:H40)),CONCATENATE("COMP INC 0",COUNT($H$8:H40)))</f>
        <v>COMP INC 003</v>
      </c>
      <c r="C40" s="1257" t="str">
        <f>CONCATENATE("FORNECIMENTO E INSTALAÇÃO DE ",C43)</f>
        <v>FORNECIMENTO E INSTALAÇÃO DE BOTOEIRA PARA BOMBA (COM MARTELO) ILUMAC AM-B 2029 ACTUAL 53 </v>
      </c>
      <c r="D40" s="1225"/>
      <c r="E40" s="1225"/>
      <c r="F40" s="1225"/>
      <c r="G40" s="705" t="s">
        <v>28</v>
      </c>
      <c r="H40" s="570">
        <f>G47</f>
        <v>66.36</v>
      </c>
    </row>
    <row r="41" spans="1:9" s="465" customFormat="1" ht="32.25" hidden="1" thickBot="1">
      <c r="A41" s="464"/>
      <c r="B41" s="469" t="s">
        <v>14119</v>
      </c>
      <c r="C41" s="707" t="s">
        <v>13464</v>
      </c>
      <c r="D41" s="470" t="s">
        <v>28</v>
      </c>
      <c r="E41" s="707" t="s">
        <v>13465</v>
      </c>
      <c r="F41" s="293" t="s">
        <v>13466</v>
      </c>
      <c r="G41" s="708" t="s">
        <v>13467</v>
      </c>
      <c r="H41" s="464"/>
    </row>
    <row r="42" spans="1:9" s="465" customFormat="1" ht="16.5" hidden="1" thickBot="1">
      <c r="A42" s="464"/>
      <c r="B42" s="1283" t="s">
        <v>13468</v>
      </c>
      <c r="C42" s="1284"/>
      <c r="D42" s="1284"/>
      <c r="E42" s="1284"/>
      <c r="F42" s="1284"/>
      <c r="G42" s="1285"/>
      <c r="H42" s="464"/>
    </row>
    <row r="43" spans="1:9" s="465" customFormat="1" ht="30.75" hidden="1" thickBot="1">
      <c r="A43" s="464"/>
      <c r="B43" s="862" t="s">
        <v>13497</v>
      </c>
      <c r="C43" s="1023" t="str">
        <f>C49</f>
        <v>BOTOEIRA PARA BOMBA (COM MARTELO) ILUMAC AM-B 2029 ACTUAL 53 </v>
      </c>
      <c r="D43" s="864" t="s">
        <v>28</v>
      </c>
      <c r="E43" s="815">
        <v>1</v>
      </c>
      <c r="F43" s="815">
        <f>D54</f>
        <v>48.18</v>
      </c>
      <c r="G43" s="845">
        <f>TRUNC(F43*E43,2)</f>
        <v>48.18</v>
      </c>
      <c r="H43" s="464"/>
    </row>
    <row r="44" spans="1:9" s="465" customFormat="1" ht="16.5" hidden="1" thickBot="1">
      <c r="A44" s="464"/>
      <c r="B44" s="1283" t="s">
        <v>13469</v>
      </c>
      <c r="C44" s="1284"/>
      <c r="D44" s="1284"/>
      <c r="E44" s="1284"/>
      <c r="F44" s="1284"/>
      <c r="G44" s="1285"/>
      <c r="H44" s="464"/>
    </row>
    <row r="45" spans="1:9" s="465" customFormat="1" ht="16.5" hidden="1" thickBot="1">
      <c r="A45" s="473" t="s">
        <v>13459</v>
      </c>
      <c r="B45" s="751">
        <v>88264</v>
      </c>
      <c r="C45" s="475" t="s">
        <v>771</v>
      </c>
      <c r="D45" s="711" t="s">
        <v>753</v>
      </c>
      <c r="E45" s="838">
        <v>0.5</v>
      </c>
      <c r="F45" s="713">
        <v>20.52</v>
      </c>
      <c r="G45" s="750">
        <f>TRUNC(F45*E45,2)</f>
        <v>10.26</v>
      </c>
      <c r="H45" s="763"/>
    </row>
    <row r="46" spans="1:9" s="465" customFormat="1" ht="16.5" hidden="1" thickBot="1">
      <c r="A46" s="473" t="s">
        <v>13459</v>
      </c>
      <c r="B46" s="753">
        <v>88247</v>
      </c>
      <c r="C46" s="484" t="s">
        <v>924</v>
      </c>
      <c r="D46" s="718" t="s">
        <v>753</v>
      </c>
      <c r="E46" s="841">
        <v>0.5</v>
      </c>
      <c r="F46" s="720">
        <v>15.84</v>
      </c>
      <c r="G46" s="755">
        <f>TRUNC(F46*E46,2)</f>
        <v>7.92</v>
      </c>
      <c r="H46" s="763"/>
    </row>
    <row r="47" spans="1:9" s="464" customFormat="1" ht="16.5" hidden="1" thickBot="1">
      <c r="B47" s="1034" t="s">
        <v>14148</v>
      </c>
      <c r="C47" s="959"/>
      <c r="D47" s="959"/>
      <c r="E47" s="959"/>
      <c r="F47" s="1026" t="s">
        <v>22</v>
      </c>
      <c r="G47" s="1027">
        <f>SUM(G42:G46)</f>
        <v>66.36</v>
      </c>
    </row>
    <row r="48" spans="1:9" s="464" customFormat="1" ht="15.75" hidden="1" thickBot="1">
      <c r="B48" s="961"/>
      <c r="C48" s="556"/>
      <c r="D48" s="556"/>
      <c r="E48" s="556"/>
    </row>
    <row r="49" spans="1:10" s="464" customFormat="1" ht="32.25" hidden="1" thickBot="1">
      <c r="B49" s="572"/>
      <c r="C49" s="607" t="s">
        <v>14149</v>
      </c>
      <c r="D49" s="574"/>
      <c r="E49" s="575"/>
      <c r="F49" s="1032" t="s">
        <v>28</v>
      </c>
      <c r="G49" s="1033" t="s">
        <v>28</v>
      </c>
      <c r="H49" s="916" t="s">
        <v>13500</v>
      </c>
    </row>
    <row r="50" spans="1:10" s="464" customFormat="1" ht="32.25" hidden="1" thickBot="1">
      <c r="B50" s="578" t="s">
        <v>13502</v>
      </c>
      <c r="C50" s="579" t="s">
        <v>13503</v>
      </c>
      <c r="D50" s="580" t="s">
        <v>13504</v>
      </c>
      <c r="E50" s="581" t="s">
        <v>13505</v>
      </c>
      <c r="F50" s="582" t="s">
        <v>13506</v>
      </c>
      <c r="G50" s="583" t="s">
        <v>13507</v>
      </c>
    </row>
    <row r="51" spans="1:10" s="489" customFormat="1" ht="16.5" hidden="1" thickBot="1">
      <c r="B51" s="611">
        <v>43621</v>
      </c>
      <c r="C51" s="630" t="s">
        <v>14144</v>
      </c>
      <c r="D51" s="593">
        <v>48.18</v>
      </c>
      <c r="E51" s="631" t="s">
        <v>14145</v>
      </c>
      <c r="F51" s="876" t="s">
        <v>14146</v>
      </c>
      <c r="G51" s="790" t="s">
        <v>14147</v>
      </c>
      <c r="H51"/>
      <c r="I51" s="916"/>
    </row>
    <row r="52" spans="1:10" s="465" customFormat="1" ht="16.5" hidden="1" thickBot="1">
      <c r="A52" s="464"/>
      <c r="B52" s="597">
        <v>43669</v>
      </c>
      <c r="C52" s="630" t="s">
        <v>13830</v>
      </c>
      <c r="D52" s="593">
        <f>40.01+5.86</f>
        <v>45.87</v>
      </c>
      <c r="E52" s="631" t="s">
        <v>14138</v>
      </c>
      <c r="F52" s="876" t="s">
        <v>13862</v>
      </c>
      <c r="G52" s="790" t="s">
        <v>13833</v>
      </c>
      <c r="H52"/>
      <c r="I52" s="1035"/>
    </row>
    <row r="53" spans="1:10" s="489" customFormat="1" ht="16.5" hidden="1" thickBot="1">
      <c r="B53" s="611">
        <v>43745</v>
      </c>
      <c r="C53" s="592" t="s">
        <v>14125</v>
      </c>
      <c r="D53" s="617">
        <v>63</v>
      </c>
      <c r="E53" s="614" t="s">
        <v>14150</v>
      </c>
      <c r="F53" s="814" t="s">
        <v>14151</v>
      </c>
      <c r="G53" s="618" t="s">
        <v>14057</v>
      </c>
      <c r="H53"/>
      <c r="I53" s="916"/>
    </row>
    <row r="54" spans="1:10" s="464" customFormat="1" ht="16.5" hidden="1" thickBot="1">
      <c r="B54" s="598"/>
      <c r="C54" s="599" t="s">
        <v>13523</v>
      </c>
      <c r="D54" s="538">
        <f>IF(COUNT(D50:D53)=3,MEDIAN(D50:D53),SMALL(D51:D53,1))</f>
        <v>48.18</v>
      </c>
      <c r="E54" s="600"/>
      <c r="F54" s="601"/>
      <c r="G54" s="602"/>
    </row>
    <row r="55" spans="1:10" s="494" customFormat="1" ht="16.5" hidden="1" thickBot="1">
      <c r="B55" s="957"/>
      <c r="C55" s="795"/>
      <c r="D55" s="795"/>
      <c r="E55" s="795"/>
      <c r="F55" s="795"/>
      <c r="G55" s="795"/>
    </row>
    <row r="56" spans="1:10" s="464" customFormat="1" ht="41.25" hidden="1" customHeight="1">
      <c r="B56" s="704" t="str">
        <f>IF(COUNT($H$8:H56)&lt;10,CONCATENATE("COMP INC 00",COUNT($H$8:H56)),CONCATENATE("COMP INC 0",COUNT($H$8:H56)))</f>
        <v>COMP INC 004</v>
      </c>
      <c r="C56" s="1257" t="str">
        <f>CONCATENATE("FORNECIMENTO E INSTALAÇÃO DE ",C59)</f>
        <v>FORNECIMENTO E INSTALAÇÃO DE ACIONADOR MANUAL SUPERVISIONADO (COM MARTELO) ILUMAC AM-C 2021 ACTUAL 49</v>
      </c>
      <c r="D56" s="1225"/>
      <c r="E56" s="1225"/>
      <c r="F56" s="1225"/>
      <c r="G56" s="705" t="s">
        <v>28</v>
      </c>
      <c r="H56" s="570">
        <f>G63</f>
        <v>69.28</v>
      </c>
      <c r="I56" s="465"/>
      <c r="J56" s="465"/>
    </row>
    <row r="57" spans="1:10" s="464" customFormat="1" ht="32.25" hidden="1" thickBot="1">
      <c r="B57" s="469" t="s">
        <v>14119</v>
      </c>
      <c r="C57" s="707" t="s">
        <v>13464</v>
      </c>
      <c r="D57" s="470" t="s">
        <v>28</v>
      </c>
      <c r="E57" s="707" t="s">
        <v>13465</v>
      </c>
      <c r="F57" s="293" t="s">
        <v>13466</v>
      </c>
      <c r="G57" s="708" t="s">
        <v>13467</v>
      </c>
      <c r="I57" s="465"/>
      <c r="J57" s="465"/>
    </row>
    <row r="58" spans="1:10" s="464" customFormat="1" ht="16.5" hidden="1" thickBot="1">
      <c r="B58" s="1283" t="s">
        <v>13468</v>
      </c>
      <c r="C58" s="1284"/>
      <c r="D58" s="1284"/>
      <c r="E58" s="1284"/>
      <c r="F58" s="1284"/>
      <c r="G58" s="1285"/>
      <c r="I58" s="465"/>
      <c r="J58" s="465"/>
    </row>
    <row r="59" spans="1:10" s="464" customFormat="1" ht="30.75" hidden="1" thickBot="1">
      <c r="B59" s="862" t="s">
        <v>13497</v>
      </c>
      <c r="C59" s="1023" t="str">
        <f>C65</f>
        <v>ACIONADOR MANUAL SUPERVISIONADO (COM MARTELO) ILUMAC AM-C 2021 ACTUAL 49</v>
      </c>
      <c r="D59" s="864" t="s">
        <v>28</v>
      </c>
      <c r="E59" s="815">
        <v>1</v>
      </c>
      <c r="F59" s="815">
        <f>D70</f>
        <v>51.1</v>
      </c>
      <c r="G59" s="845">
        <f>TRUNC(F59*E59,2)</f>
        <v>51.1</v>
      </c>
      <c r="I59" s="465"/>
      <c r="J59" s="465"/>
    </row>
    <row r="60" spans="1:10" s="464" customFormat="1" ht="16.5" hidden="1" thickBot="1">
      <c r="B60" s="1283" t="s">
        <v>13469</v>
      </c>
      <c r="C60" s="1284"/>
      <c r="D60" s="1284"/>
      <c r="E60" s="1284"/>
      <c r="F60" s="1284"/>
      <c r="G60" s="1285"/>
      <c r="I60" s="465"/>
      <c r="J60" s="465"/>
    </row>
    <row r="61" spans="1:10" s="464" customFormat="1" ht="16.5" hidden="1" thickBot="1">
      <c r="A61" s="473" t="s">
        <v>13459</v>
      </c>
      <c r="B61" s="751">
        <v>88264</v>
      </c>
      <c r="C61" s="475" t="s">
        <v>771</v>
      </c>
      <c r="D61" s="711" t="s">
        <v>753</v>
      </c>
      <c r="E61" s="838">
        <v>0.5</v>
      </c>
      <c r="F61" s="713">
        <v>20.52</v>
      </c>
      <c r="G61" s="750">
        <f>TRUNC(F61*E61,2)</f>
        <v>10.26</v>
      </c>
      <c r="I61" s="465"/>
      <c r="J61" s="465"/>
    </row>
    <row r="62" spans="1:10" s="464" customFormat="1" ht="16.5" hidden="1" thickBot="1">
      <c r="A62" s="473" t="s">
        <v>13459</v>
      </c>
      <c r="B62" s="753">
        <v>88247</v>
      </c>
      <c r="C62" s="484" t="s">
        <v>924</v>
      </c>
      <c r="D62" s="718" t="s">
        <v>753</v>
      </c>
      <c r="E62" s="841">
        <v>0.5</v>
      </c>
      <c r="F62" s="720">
        <v>15.84</v>
      </c>
      <c r="G62" s="755">
        <f>TRUNC(F62*E62,2)</f>
        <v>7.92</v>
      </c>
      <c r="I62" s="465"/>
      <c r="J62" s="465"/>
    </row>
    <row r="63" spans="1:10" s="465" customFormat="1" ht="16.5" hidden="1" thickBot="1">
      <c r="A63" s="464"/>
      <c r="B63" s="1034" t="s">
        <v>14148</v>
      </c>
      <c r="C63" s="1034"/>
      <c r="D63" s="1034"/>
      <c r="E63" s="1034"/>
      <c r="F63" s="1026" t="s">
        <v>22</v>
      </c>
      <c r="G63" s="1027">
        <f>SUM(G58:G62)</f>
        <v>69.28</v>
      </c>
      <c r="H63" s="464"/>
    </row>
    <row r="64" spans="1:10" s="465" customFormat="1" ht="15.75" hidden="1" thickBot="1">
      <c r="A64" s="464"/>
      <c r="B64" s="767"/>
      <c r="C64" s="767"/>
      <c r="D64" s="767"/>
      <c r="E64" s="767"/>
      <c r="F64" s="767"/>
      <c r="G64" s="767"/>
      <c r="H64" s="464"/>
    </row>
    <row r="65" spans="1:9" s="465" customFormat="1" ht="32.25" hidden="1" thickBot="1">
      <c r="A65" s="464"/>
      <c r="B65" s="572"/>
      <c r="C65" s="607" t="s">
        <v>14152</v>
      </c>
      <c r="D65" s="574"/>
      <c r="E65" s="575"/>
      <c r="F65" s="1032" t="s">
        <v>28</v>
      </c>
      <c r="G65" s="1033" t="s">
        <v>28</v>
      </c>
      <c r="H65" s="916" t="s">
        <v>13500</v>
      </c>
    </row>
    <row r="66" spans="1:9" s="465" customFormat="1" ht="32.25" hidden="1" thickBot="1">
      <c r="A66" s="464"/>
      <c r="B66" s="578" t="s">
        <v>13502</v>
      </c>
      <c r="C66" s="579" t="s">
        <v>13503</v>
      </c>
      <c r="D66" s="580" t="s">
        <v>13504</v>
      </c>
      <c r="E66" s="581" t="s">
        <v>13505</v>
      </c>
      <c r="F66" s="582" t="s">
        <v>13506</v>
      </c>
      <c r="G66" s="583" t="s">
        <v>13507</v>
      </c>
      <c r="H66" s="464"/>
    </row>
    <row r="67" spans="1:9" s="489" customFormat="1" ht="16.5" hidden="1" thickBot="1">
      <c r="B67" s="611">
        <v>43621</v>
      </c>
      <c r="C67" s="630" t="s">
        <v>14144</v>
      </c>
      <c r="D67" s="593">
        <v>51.1</v>
      </c>
      <c r="E67" s="631" t="s">
        <v>14145</v>
      </c>
      <c r="F67" s="876" t="s">
        <v>14146</v>
      </c>
      <c r="G67" s="790" t="s">
        <v>14147</v>
      </c>
      <c r="H67"/>
      <c r="I67" s="916"/>
    </row>
    <row r="68" spans="1:9" s="465" customFormat="1" ht="16.5" hidden="1" thickBot="1">
      <c r="A68" s="464"/>
      <c r="B68" s="597">
        <v>43669</v>
      </c>
      <c r="C68" s="630" t="s">
        <v>13830</v>
      </c>
      <c r="D68" s="593">
        <f>47.3+5.86</f>
        <v>53.16</v>
      </c>
      <c r="E68" s="631" t="s">
        <v>14138</v>
      </c>
      <c r="F68" s="876" t="s">
        <v>13862</v>
      </c>
      <c r="G68" s="790" t="s">
        <v>13833</v>
      </c>
      <c r="H68"/>
      <c r="I68" s="1035"/>
    </row>
    <row r="69" spans="1:9" s="489" customFormat="1" ht="16.5" hidden="1" thickBot="1">
      <c r="B69" s="611">
        <v>43745</v>
      </c>
      <c r="C69" s="592" t="s">
        <v>14125</v>
      </c>
      <c r="D69" s="617">
        <v>39</v>
      </c>
      <c r="E69" s="614" t="s">
        <v>14150</v>
      </c>
      <c r="F69" s="814" t="s">
        <v>14151</v>
      </c>
      <c r="G69" s="618" t="s">
        <v>14057</v>
      </c>
      <c r="H69"/>
      <c r="I69" s="916"/>
    </row>
    <row r="70" spans="1:9" s="465" customFormat="1" ht="16.5" hidden="1" thickBot="1">
      <c r="A70" s="464"/>
      <c r="B70" s="598"/>
      <c r="C70" s="599" t="s">
        <v>13523</v>
      </c>
      <c r="D70" s="538">
        <f>IF(COUNT(D66:D69)=3,MEDIAN(D66:D69),SMALL(D67:D69,1))</f>
        <v>51.1</v>
      </c>
      <c r="E70" s="600"/>
      <c r="F70" s="601"/>
      <c r="G70" s="602"/>
      <c r="H70" s="464"/>
    </row>
    <row r="71" spans="1:9" s="465" customFormat="1" ht="15.75" hidden="1" thickBot="1">
      <c r="A71" s="464"/>
      <c r="B71" s="852"/>
      <c r="C71" s="852"/>
      <c r="D71" s="852"/>
      <c r="E71" s="852"/>
      <c r="F71" s="852"/>
      <c r="G71" s="852"/>
      <c r="H71" s="464"/>
    </row>
    <row r="72" spans="1:9" s="465" customFormat="1" ht="16.5" hidden="1" thickBot="1">
      <c r="A72" s="464"/>
      <c r="B72" s="704" t="str">
        <f>IF(COUNT($H$8:H72)&lt;10,CONCATENATE("COMP INC 00",COUNT($H$8:H72)),CONCATENATE("COMP INC 0",COUNT($H$8:H72)))</f>
        <v>COMP INC 005</v>
      </c>
      <c r="C72" s="1257" t="str">
        <f>CONCATENATE("FORNECIMENTO E INSTALAÇÃO DE ",C75)</f>
        <v>FORNECIMENTO E INSTALAÇÃO DE SIRENE ELETRONICA BITONAL 24 V DANI 4024</v>
      </c>
      <c r="D72" s="1225"/>
      <c r="E72" s="1225"/>
      <c r="F72" s="1225"/>
      <c r="G72" s="705" t="s">
        <v>28</v>
      </c>
      <c r="H72" s="570">
        <f>G79</f>
        <v>69.53</v>
      </c>
    </row>
    <row r="73" spans="1:9" s="465" customFormat="1" ht="32.25" hidden="1" thickBot="1">
      <c r="A73" s="464"/>
      <c r="B73" s="469" t="s">
        <v>14119</v>
      </c>
      <c r="C73" s="707" t="s">
        <v>13464</v>
      </c>
      <c r="D73" s="470" t="s">
        <v>28</v>
      </c>
      <c r="E73" s="707" t="s">
        <v>13465</v>
      </c>
      <c r="F73" s="293" t="s">
        <v>13466</v>
      </c>
      <c r="G73" s="708" t="s">
        <v>13467</v>
      </c>
      <c r="H73" s="464"/>
    </row>
    <row r="74" spans="1:9" s="465" customFormat="1" ht="16.5" hidden="1" thickBot="1">
      <c r="A74" s="464"/>
      <c r="B74" s="1283" t="s">
        <v>13468</v>
      </c>
      <c r="C74" s="1284"/>
      <c r="D74" s="1284"/>
      <c r="E74" s="1284"/>
      <c r="F74" s="1284"/>
      <c r="G74" s="1285"/>
      <c r="H74" s="464"/>
    </row>
    <row r="75" spans="1:9" s="465" customFormat="1" ht="15.75" hidden="1" thickBot="1">
      <c r="A75" s="464"/>
      <c r="B75" s="862" t="s">
        <v>13497</v>
      </c>
      <c r="C75" s="1036" t="s">
        <v>14153</v>
      </c>
      <c r="D75" s="864" t="s">
        <v>28</v>
      </c>
      <c r="E75" s="815">
        <v>1</v>
      </c>
      <c r="F75" s="815">
        <f>D86</f>
        <v>44.04</v>
      </c>
      <c r="G75" s="845">
        <f>TRUNC(F75*E75,2)</f>
        <v>44.04</v>
      </c>
      <c r="H75" s="464"/>
    </row>
    <row r="76" spans="1:9" s="465" customFormat="1" ht="16.5" hidden="1" thickBot="1">
      <c r="A76" s="464"/>
      <c r="B76" s="1283" t="s">
        <v>13469</v>
      </c>
      <c r="C76" s="1284"/>
      <c r="D76" s="1284"/>
      <c r="E76" s="1284"/>
      <c r="F76" s="1284"/>
      <c r="G76" s="1285"/>
      <c r="H76" s="464"/>
    </row>
    <row r="77" spans="1:9" s="465" customFormat="1" ht="16.5" hidden="1" thickBot="1">
      <c r="A77" s="473" t="s">
        <v>13459</v>
      </c>
      <c r="B77" s="751">
        <v>88264</v>
      </c>
      <c r="C77" s="475" t="s">
        <v>771</v>
      </c>
      <c r="D77" s="711" t="s">
        <v>753</v>
      </c>
      <c r="E77" s="752">
        <v>0.7</v>
      </c>
      <c r="F77" s="713">
        <v>20.52</v>
      </c>
      <c r="G77" s="750">
        <f>TRUNC(F77*E77,2)</f>
        <v>14.36</v>
      </c>
      <c r="H77" s="464"/>
    </row>
    <row r="78" spans="1:9" s="465" customFormat="1" ht="16.5" hidden="1" thickBot="1">
      <c r="A78" s="473" t="s">
        <v>13459</v>
      </c>
      <c r="B78" s="753">
        <v>88316</v>
      </c>
      <c r="C78" s="484" t="s">
        <v>761</v>
      </c>
      <c r="D78" s="718" t="s">
        <v>753</v>
      </c>
      <c r="E78" s="754">
        <v>0.7</v>
      </c>
      <c r="F78" s="720">
        <v>15.91</v>
      </c>
      <c r="G78" s="755">
        <f>TRUNC(F78*E78,2)</f>
        <v>11.13</v>
      </c>
      <c r="H78" s="464"/>
    </row>
    <row r="79" spans="1:9" s="465" customFormat="1" ht="16.5" hidden="1" thickBot="1">
      <c r="A79" s="464"/>
      <c r="B79" s="1034" t="s">
        <v>14154</v>
      </c>
      <c r="C79" s="1034"/>
      <c r="D79" s="1034"/>
      <c r="E79" s="1034"/>
      <c r="F79" s="1026" t="s">
        <v>22</v>
      </c>
      <c r="G79" s="1027">
        <f>SUM(G74:G78)</f>
        <v>69.53</v>
      </c>
      <c r="H79" s="464"/>
    </row>
    <row r="80" spans="1:9" s="465" customFormat="1" ht="15.75" hidden="1" thickBot="1">
      <c r="A80" s="464"/>
      <c r="B80" s="1308"/>
      <c r="C80" s="1308"/>
      <c r="D80" s="1308"/>
      <c r="E80" s="1308"/>
      <c r="H80" s="464"/>
    </row>
    <row r="81" spans="1:9" s="465" customFormat="1" ht="16.5" hidden="1" thickBot="1">
      <c r="A81" s="464"/>
      <c r="B81" s="572"/>
      <c r="C81" s="607" t="s">
        <v>14153</v>
      </c>
      <c r="D81" s="574"/>
      <c r="E81" s="575"/>
      <c r="F81" s="1032" t="s">
        <v>28</v>
      </c>
      <c r="G81" s="1033" t="s">
        <v>28</v>
      </c>
      <c r="H81" s="916" t="s">
        <v>13500</v>
      </c>
    </row>
    <row r="82" spans="1:9" s="465" customFormat="1" ht="32.25" hidden="1" thickBot="1">
      <c r="A82" s="464"/>
      <c r="B82" s="578" t="s">
        <v>13502</v>
      </c>
      <c r="C82" s="579" t="s">
        <v>13503</v>
      </c>
      <c r="D82" s="580" t="s">
        <v>13504</v>
      </c>
      <c r="E82" s="581" t="s">
        <v>13505</v>
      </c>
      <c r="F82" s="582" t="s">
        <v>13506</v>
      </c>
      <c r="G82" s="583" t="s">
        <v>13507</v>
      </c>
      <c r="H82" s="464"/>
    </row>
    <row r="83" spans="1:9" s="489" customFormat="1" ht="16.5" hidden="1" thickBot="1">
      <c r="B83" s="597">
        <v>43621</v>
      </c>
      <c r="C83" s="592" t="s">
        <v>14144</v>
      </c>
      <c r="D83" s="617">
        <v>44.04</v>
      </c>
      <c r="E83" s="614" t="s">
        <v>14145</v>
      </c>
      <c r="F83" s="814" t="s">
        <v>14146</v>
      </c>
      <c r="G83" s="618" t="s">
        <v>14147</v>
      </c>
      <c r="H83"/>
      <c r="I83" s="916"/>
    </row>
    <row r="84" spans="1:9" s="465" customFormat="1" ht="16.5" hidden="1" thickBot="1">
      <c r="A84" s="464"/>
      <c r="B84" s="597">
        <v>43669</v>
      </c>
      <c r="C84" s="630" t="s">
        <v>13830</v>
      </c>
      <c r="D84" s="593">
        <v>20.13</v>
      </c>
      <c r="E84" s="631" t="s">
        <v>14138</v>
      </c>
      <c r="F84" s="876" t="s">
        <v>13862</v>
      </c>
      <c r="G84" s="790" t="s">
        <v>13833</v>
      </c>
      <c r="H84"/>
    </row>
    <row r="85" spans="1:9" s="465" customFormat="1" ht="16.5" hidden="1" thickBot="1">
      <c r="A85" s="464"/>
      <c r="B85" s="611">
        <v>43745</v>
      </c>
      <c r="C85" s="592" t="s">
        <v>14125</v>
      </c>
      <c r="D85" s="617">
        <v>52</v>
      </c>
      <c r="E85" s="614" t="s">
        <v>14150</v>
      </c>
      <c r="F85" s="814" t="s">
        <v>14151</v>
      </c>
      <c r="G85" s="618" t="s">
        <v>14057</v>
      </c>
      <c r="H85"/>
    </row>
    <row r="86" spans="1:9" s="465" customFormat="1" ht="16.5" hidden="1" thickBot="1">
      <c r="A86" s="464"/>
      <c r="B86" s="598"/>
      <c r="C86" s="599" t="s">
        <v>13523</v>
      </c>
      <c r="D86" s="538">
        <f>IF(COUNT(D82:D85)=3,MEDIAN(D82:D85),SMALL(D83:D85,1))</f>
        <v>44.04</v>
      </c>
      <c r="E86" s="600"/>
      <c r="F86" s="601"/>
      <c r="G86" s="602"/>
      <c r="H86" s="464"/>
    </row>
    <row r="87" spans="1:9" s="494" customFormat="1" ht="16.5" hidden="1" thickBot="1">
      <c r="B87" s="957"/>
      <c r="C87" s="795"/>
      <c r="D87" s="795"/>
      <c r="E87" s="795"/>
      <c r="F87" s="795"/>
      <c r="G87" s="795"/>
    </row>
    <row r="88" spans="1:9" s="465" customFormat="1" ht="45" customHeight="1">
      <c r="A88" s="464"/>
      <c r="B88" s="704" t="str">
        <f>IF(COUNT($H$8:H88)&lt;10,CONCATENATE("COMP INC 00",COUNT($H$8:H88)),CONCATENATE("COMP INC 0",COUNT($H$8:H88)))</f>
        <v>COMP INC 006</v>
      </c>
      <c r="C88" s="1257" t="str">
        <f>CONCATENATE("FORNECIMENTO E INSTALAÇÃO DE ",C91)</f>
        <v>FORNECIMENTO E INSTALAÇÃO DE PLACA DE SINALIZACAO DE SEGURANCA CONTRA INCENDIO, FOTOLUMINESCENTE, RETANGULAR, *13 X 26* CM, EM PVC *2* MM ANTI-CHAMAS (SIMBOLOS, CORES E PICTOGRAMAS CONFORME NBR 13434)</v>
      </c>
      <c r="D88" s="1225"/>
      <c r="E88" s="1225"/>
      <c r="F88" s="1225"/>
      <c r="G88" s="705" t="s">
        <v>28</v>
      </c>
      <c r="H88" s="570">
        <f>G94</f>
        <v>13.43</v>
      </c>
    </row>
    <row r="89" spans="1:9" s="465" customFormat="1" ht="31.5">
      <c r="A89" s="464"/>
      <c r="B89" s="469" t="s">
        <v>14119</v>
      </c>
      <c r="C89" s="707" t="s">
        <v>13464</v>
      </c>
      <c r="D89" s="470" t="s">
        <v>28</v>
      </c>
      <c r="E89" s="707" t="s">
        <v>13465</v>
      </c>
      <c r="F89" s="293" t="s">
        <v>13466</v>
      </c>
      <c r="G89" s="708" t="s">
        <v>13467</v>
      </c>
      <c r="H89" s="464"/>
    </row>
    <row r="90" spans="1:9" s="465" customFormat="1" ht="15.75">
      <c r="A90" s="464"/>
      <c r="B90" s="1283" t="s">
        <v>13468</v>
      </c>
      <c r="C90" s="1284"/>
      <c r="D90" s="1284"/>
      <c r="E90" s="1284"/>
      <c r="F90" s="1284"/>
      <c r="G90" s="1285"/>
      <c r="H90" s="464"/>
    </row>
    <row r="91" spans="1:9" s="465" customFormat="1" ht="60">
      <c r="A91" s="1037" t="s">
        <v>13458</v>
      </c>
      <c r="B91" s="1038">
        <v>37539</v>
      </c>
      <c r="C91" s="710" t="s">
        <v>91</v>
      </c>
      <c r="D91" s="864" t="s">
        <v>6636</v>
      </c>
      <c r="E91" s="815">
        <v>1</v>
      </c>
      <c r="F91" s="815">
        <v>10.25</v>
      </c>
      <c r="G91" s="845">
        <f>TRUNC(F91*E91,2)</f>
        <v>10.25</v>
      </c>
      <c r="H91" s="464"/>
    </row>
    <row r="92" spans="1:9" s="465" customFormat="1" ht="15.75">
      <c r="A92" s="464"/>
      <c r="B92" s="1283" t="s">
        <v>13469</v>
      </c>
      <c r="C92" s="1284"/>
      <c r="D92" s="1284"/>
      <c r="E92" s="1284"/>
      <c r="F92" s="1284"/>
      <c r="G92" s="1285"/>
      <c r="H92" s="464"/>
    </row>
    <row r="93" spans="1:9" s="465" customFormat="1" ht="16.5" thickBot="1">
      <c r="A93" s="473" t="s">
        <v>13459</v>
      </c>
      <c r="B93" s="1039">
        <v>88316</v>
      </c>
      <c r="C93" s="484" t="s">
        <v>761</v>
      </c>
      <c r="D93" s="718" t="s">
        <v>753</v>
      </c>
      <c r="E93" s="754">
        <v>0.2</v>
      </c>
      <c r="F93" s="720">
        <v>15.91</v>
      </c>
      <c r="G93" s="755">
        <f>TRUNC(F93*E93,2)</f>
        <v>3.18</v>
      </c>
      <c r="H93" s="464"/>
    </row>
    <row r="94" spans="1:9" s="465" customFormat="1" ht="16.5" thickBot="1">
      <c r="A94" s="464"/>
      <c r="B94" s="1034" t="s">
        <v>14155</v>
      </c>
      <c r="C94" s="1034"/>
      <c r="D94" s="1034"/>
      <c r="E94" s="1034"/>
      <c r="F94" s="1026" t="s">
        <v>22</v>
      </c>
      <c r="G94" s="1027">
        <f>SUM(G90:G93)</f>
        <v>13.43</v>
      </c>
      <c r="H94" s="464"/>
    </row>
    <row r="95" spans="1:9" s="465" customFormat="1" ht="15.75" thickBot="1">
      <c r="A95" s="464"/>
      <c r="B95" s="1308"/>
      <c r="C95" s="1308"/>
      <c r="D95" s="1308"/>
      <c r="E95" s="1308"/>
      <c r="H95" s="464"/>
    </row>
    <row r="96" spans="1:9" s="465" customFormat="1" ht="16.5" hidden="1" thickBot="1">
      <c r="A96" s="464"/>
      <c r="B96" s="704" t="str">
        <f>IF(COUNT($H$8:H96)&lt;10,CONCATENATE("COMP INC 00",COUNT($H$8:H96)),CONCATENATE("COMP INC 0",COUNT($H$8:H96)))</f>
        <v>COMP INC 007</v>
      </c>
      <c r="C96" s="1257" t="str">
        <f>CONCATENATE("FORNECIMENTO E INSTALAÇÃO DE ",C99)</f>
        <v>FORNECIMENTO E INSTALAÇÃO DE INC BATERIA SELADA P/ CENTRAL DE ALARME E DETECÇÃO 12V/1,3A</v>
      </c>
      <c r="D96" s="1225"/>
      <c r="E96" s="1225"/>
      <c r="F96" s="1225"/>
      <c r="G96" s="705" t="s">
        <v>28</v>
      </c>
      <c r="H96" s="570">
        <f>G102</f>
        <v>61.88</v>
      </c>
    </row>
    <row r="97" spans="1:9" s="465" customFormat="1" ht="32.25" hidden="1" thickBot="1">
      <c r="A97" s="464"/>
      <c r="B97" s="469" t="s">
        <v>14119</v>
      </c>
      <c r="C97" s="707" t="s">
        <v>13464</v>
      </c>
      <c r="D97" s="470" t="s">
        <v>28</v>
      </c>
      <c r="E97" s="707" t="s">
        <v>13465</v>
      </c>
      <c r="F97" s="293" t="s">
        <v>13466</v>
      </c>
      <c r="G97" s="708" t="s">
        <v>13467</v>
      </c>
      <c r="H97" s="464"/>
    </row>
    <row r="98" spans="1:9" s="465" customFormat="1" ht="16.5" hidden="1" thickBot="1">
      <c r="A98" s="464"/>
      <c r="B98" s="1283" t="s">
        <v>13468</v>
      </c>
      <c r="C98" s="1284"/>
      <c r="D98" s="1284"/>
      <c r="E98" s="1284"/>
      <c r="F98" s="1284"/>
      <c r="G98" s="1285"/>
      <c r="H98" s="464"/>
    </row>
    <row r="99" spans="1:9" s="465" customFormat="1" ht="30.75" hidden="1" thickBot="1">
      <c r="A99" s="464"/>
      <c r="B99" s="862" t="s">
        <v>13497</v>
      </c>
      <c r="C99" s="1040" t="s">
        <v>14156</v>
      </c>
      <c r="D99" s="864" t="s">
        <v>28</v>
      </c>
      <c r="E99" s="815">
        <v>1</v>
      </c>
      <c r="F99" s="815">
        <f>D109</f>
        <v>57.78</v>
      </c>
      <c r="G99" s="845">
        <f>TRUNC(F99*E99,2)</f>
        <v>57.78</v>
      </c>
      <c r="H99" s="464"/>
    </row>
    <row r="100" spans="1:9" s="465" customFormat="1" ht="16.5" hidden="1" thickBot="1">
      <c r="A100" s="464"/>
      <c r="B100" s="1283" t="s">
        <v>13469</v>
      </c>
      <c r="C100" s="1284"/>
      <c r="D100" s="1284"/>
      <c r="E100" s="1284"/>
      <c r="F100" s="1284"/>
      <c r="G100" s="1285"/>
      <c r="H100" s="464"/>
    </row>
    <row r="101" spans="1:9" s="465" customFormat="1" ht="16.5" hidden="1" thickBot="1">
      <c r="A101" s="473" t="s">
        <v>13459</v>
      </c>
      <c r="B101" s="753">
        <v>88264</v>
      </c>
      <c r="C101" s="484" t="s">
        <v>771</v>
      </c>
      <c r="D101" s="718" t="s">
        <v>753</v>
      </c>
      <c r="E101" s="754">
        <v>0.2</v>
      </c>
      <c r="F101" s="720">
        <v>20.52</v>
      </c>
      <c r="G101" s="755">
        <f>TRUNC(F101*E101,2)</f>
        <v>4.0999999999999996</v>
      </c>
      <c r="H101" s="464"/>
    </row>
    <row r="102" spans="1:9" s="465" customFormat="1" ht="16.5" hidden="1" thickBot="1">
      <c r="A102" s="464"/>
      <c r="B102" s="1255" t="s">
        <v>14157</v>
      </c>
      <c r="C102" s="1255"/>
      <c r="D102" s="1255"/>
      <c r="E102" s="1255"/>
      <c r="F102" s="1026" t="s">
        <v>22</v>
      </c>
      <c r="G102" s="1027">
        <f>SUM(G98:G101)</f>
        <v>61.88</v>
      </c>
      <c r="H102" s="464"/>
    </row>
    <row r="103" spans="1:9" s="465" customFormat="1" ht="15.75" hidden="1" thickBot="1">
      <c r="A103" s="464"/>
      <c r="B103" s="852"/>
      <c r="C103" s="852"/>
      <c r="D103" s="852"/>
      <c r="E103" s="852"/>
      <c r="F103" s="852"/>
      <c r="G103" s="852"/>
      <c r="H103" s="464"/>
    </row>
    <row r="104" spans="1:9" s="465" customFormat="1" ht="32.25" hidden="1" thickBot="1">
      <c r="A104" s="464"/>
      <c r="B104" s="572"/>
      <c r="C104" s="607" t="s">
        <v>14156</v>
      </c>
      <c r="D104" s="574"/>
      <c r="E104" s="575"/>
      <c r="F104" s="1032" t="s">
        <v>28</v>
      </c>
      <c r="G104" s="1033" t="s">
        <v>28</v>
      </c>
      <c r="H104" s="515" t="s">
        <v>13934</v>
      </c>
    </row>
    <row r="105" spans="1:9" s="465" customFormat="1" ht="32.25" hidden="1" thickBot="1">
      <c r="A105" s="464"/>
      <c r="B105" s="578" t="s">
        <v>13502</v>
      </c>
      <c r="C105" s="579" t="s">
        <v>13503</v>
      </c>
      <c r="D105" s="580" t="s">
        <v>13504</v>
      </c>
      <c r="E105" s="581" t="s">
        <v>13505</v>
      </c>
      <c r="F105" s="582" t="s">
        <v>13506</v>
      </c>
      <c r="G105" s="583" t="s">
        <v>13507</v>
      </c>
      <c r="H105" s="464"/>
    </row>
    <row r="106" spans="1:9" s="489" customFormat="1" ht="16.5" hidden="1" thickBot="1">
      <c r="B106" s="597">
        <v>43621</v>
      </c>
      <c r="C106" s="592" t="s">
        <v>14144</v>
      </c>
      <c r="D106" s="617">
        <v>64.900000000000006</v>
      </c>
      <c r="E106" s="614" t="s">
        <v>14145</v>
      </c>
      <c r="F106" s="814" t="s">
        <v>14146</v>
      </c>
      <c r="G106" s="618" t="s">
        <v>14147</v>
      </c>
      <c r="H106"/>
      <c r="I106" s="916"/>
    </row>
    <row r="107" spans="1:9" s="465" customFormat="1" ht="16.5" hidden="1" thickBot="1">
      <c r="A107" s="464"/>
      <c r="B107" s="611">
        <v>43746</v>
      </c>
      <c r="C107" s="592" t="s">
        <v>14158</v>
      </c>
      <c r="D107" s="617">
        <v>57.78</v>
      </c>
      <c r="E107" s="988" t="s">
        <v>14017</v>
      </c>
      <c r="F107" s="814" t="s">
        <v>14018</v>
      </c>
      <c r="G107" s="618" t="s">
        <v>14019</v>
      </c>
      <c r="H107"/>
    </row>
    <row r="108" spans="1:9" s="465" customFormat="1" ht="16.5" hidden="1" thickBot="1">
      <c r="A108" s="464"/>
      <c r="B108" s="597">
        <v>43669</v>
      </c>
      <c r="C108" s="630" t="s">
        <v>13830</v>
      </c>
      <c r="D108" s="593">
        <v>55.57</v>
      </c>
      <c r="E108" s="631" t="s">
        <v>14138</v>
      </c>
      <c r="F108" s="876" t="s">
        <v>13862</v>
      </c>
      <c r="G108" s="790" t="s">
        <v>13833</v>
      </c>
      <c r="H108"/>
    </row>
    <row r="109" spans="1:9" s="465" customFormat="1" ht="16.5" hidden="1" thickBot="1">
      <c r="A109" s="464"/>
      <c r="B109" s="598"/>
      <c r="C109" s="599" t="s">
        <v>13523</v>
      </c>
      <c r="D109" s="538">
        <f>IF(COUNT(D105:D108)=3,MEDIAN(D105:D108),SMALL(D106:D108,1))</f>
        <v>57.78</v>
      </c>
      <c r="E109" s="600"/>
      <c r="F109" s="601"/>
      <c r="G109" s="602"/>
      <c r="H109" s="464"/>
    </row>
    <row r="110" spans="1:9" s="494" customFormat="1" ht="16.5" hidden="1" thickBot="1">
      <c r="B110" s="957"/>
      <c r="C110" s="795"/>
      <c r="D110" s="795"/>
      <c r="E110" s="795"/>
      <c r="F110" s="795"/>
      <c r="G110" s="795"/>
    </row>
    <row r="111" spans="1:9" s="465" customFormat="1" ht="57.75" customHeight="1">
      <c r="A111" s="464"/>
      <c r="B111" s="704" t="str">
        <f>IF(COUNT($H$8:H111)&lt;10,CONCATENATE("COMP INC 00",COUNT($H$8:H111)),CONCATENATE("COMP INC 0",COUNT($H$8:H111)))</f>
        <v>COMP INC 008</v>
      </c>
      <c r="C111" s="1257" t="str">
        <f>CONCATENATE("FORNECIMENTO E INSTALAÇÃO DE ",C114)</f>
        <v>FORNECIMENTO E INSTALAÇÃO DE PLACA DE SINALIZACAO DE SEGURANCA CONTRA INCENDIO, FOTOLUMINESCENTE, QUADRADA, *14 X 14* CM, EM PVC *2* MM ANTI-CHAMAS (SIMBOLOS, CORES E PICTOGRAMAS CONFORME NBR 13434)</v>
      </c>
      <c r="D111" s="1225"/>
      <c r="E111" s="1225"/>
      <c r="F111" s="1225"/>
      <c r="G111" s="705" t="s">
        <v>28</v>
      </c>
      <c r="H111" s="570">
        <f>G117</f>
        <v>9.3000000000000007</v>
      </c>
    </row>
    <row r="112" spans="1:9" s="465" customFormat="1" ht="31.5">
      <c r="A112" s="464"/>
      <c r="B112" s="469" t="s">
        <v>14119</v>
      </c>
      <c r="C112" s="707" t="s">
        <v>13464</v>
      </c>
      <c r="D112" s="470" t="s">
        <v>28</v>
      </c>
      <c r="E112" s="707" t="s">
        <v>13465</v>
      </c>
      <c r="F112" s="293" t="s">
        <v>13466</v>
      </c>
      <c r="G112" s="708" t="s">
        <v>13467</v>
      </c>
      <c r="H112" s="464"/>
    </row>
    <row r="113" spans="1:8" s="465" customFormat="1" ht="15.75">
      <c r="A113" s="464"/>
      <c r="B113" s="1283" t="s">
        <v>13468</v>
      </c>
      <c r="C113" s="1284"/>
      <c r="D113" s="1284"/>
      <c r="E113" s="1284"/>
      <c r="F113" s="1284"/>
      <c r="G113" s="1285"/>
      <c r="H113" s="464"/>
    </row>
    <row r="114" spans="1:8" s="465" customFormat="1" ht="60.75">
      <c r="A114" s="1041" t="s">
        <v>13458</v>
      </c>
      <c r="B114" s="1038">
        <v>37557</v>
      </c>
      <c r="C114" s="1023" t="s">
        <v>10086</v>
      </c>
      <c r="D114" s="864" t="s">
        <v>6636</v>
      </c>
      <c r="E114" s="815">
        <v>1</v>
      </c>
      <c r="F114" s="815">
        <v>6.12</v>
      </c>
      <c r="G114" s="845">
        <f>TRUNC(F114*E114,2)</f>
        <v>6.12</v>
      </c>
      <c r="H114" s="464"/>
    </row>
    <row r="115" spans="1:8" s="465" customFormat="1" ht="15.75">
      <c r="A115" s="464"/>
      <c r="B115" s="1283" t="s">
        <v>13469</v>
      </c>
      <c r="C115" s="1284"/>
      <c r="D115" s="1284"/>
      <c r="E115" s="1284"/>
      <c r="F115" s="1284"/>
      <c r="G115" s="1285"/>
      <c r="H115" s="464"/>
    </row>
    <row r="116" spans="1:8" s="465" customFormat="1" ht="16.5" thickBot="1">
      <c r="A116" s="473" t="s">
        <v>13459</v>
      </c>
      <c r="B116" s="1039">
        <v>88316</v>
      </c>
      <c r="C116" s="484" t="s">
        <v>761</v>
      </c>
      <c r="D116" s="718" t="s">
        <v>753</v>
      </c>
      <c r="E116" s="754">
        <v>0.2</v>
      </c>
      <c r="F116" s="720">
        <v>15.91</v>
      </c>
      <c r="G116" s="755">
        <f>TRUNC(F116*E116,2)</f>
        <v>3.18</v>
      </c>
      <c r="H116" s="464"/>
    </row>
    <row r="117" spans="1:8" s="465" customFormat="1" ht="16.5" thickBot="1">
      <c r="A117" s="464"/>
      <c r="B117" s="1255" t="s">
        <v>14155</v>
      </c>
      <c r="C117" s="1255"/>
      <c r="D117" s="1255"/>
      <c r="E117" s="1256"/>
      <c r="F117" s="1026" t="s">
        <v>22</v>
      </c>
      <c r="G117" s="1027">
        <f>SUM(G113:G116)</f>
        <v>9.3000000000000007</v>
      </c>
      <c r="H117" s="464"/>
    </row>
    <row r="118" spans="1:8" s="465" customFormat="1">
      <c r="A118" s="464"/>
      <c r="B118" s="1042"/>
      <c r="C118" s="1042"/>
      <c r="D118" s="1042"/>
      <c r="E118" s="1042"/>
      <c r="F118" s="1042"/>
      <c r="G118" s="1042"/>
      <c r="H118" s="464"/>
    </row>
    <row r="119" spans="1:8" s="465" customFormat="1" ht="15.75" hidden="1">
      <c r="A119" s="464"/>
      <c r="B119" s="704" t="str">
        <f>IF(COUNT($H$8:H119)&lt;10,CONCATENATE("COMP INC 00",COUNT($H$8:H119)),CONCATENATE("COMP INC 0",COUNT($H$8:H119)))</f>
        <v>COMP INC 009</v>
      </c>
      <c r="C119" s="1257" t="str">
        <f>CONCATENATE("FORNECIMENTO E INSTALAÇÃO DE ",C122)</f>
        <v>FORNECIMENTO E INSTALAÇÃO DE MARTELO COM SUPORTE C/ CORRENTE ILUMAC 2070</v>
      </c>
      <c r="D119" s="1225"/>
      <c r="E119" s="1225"/>
      <c r="F119" s="1225"/>
      <c r="G119" s="705" t="s">
        <v>28</v>
      </c>
      <c r="H119" s="570">
        <f>G126</f>
        <v>24.81</v>
      </c>
    </row>
    <row r="120" spans="1:8" s="465" customFormat="1" ht="31.5" hidden="1">
      <c r="A120" s="464"/>
      <c r="B120" s="469" t="s">
        <v>14119</v>
      </c>
      <c r="C120" s="707" t="s">
        <v>13464</v>
      </c>
      <c r="D120" s="470" t="s">
        <v>28</v>
      </c>
      <c r="E120" s="707" t="s">
        <v>13465</v>
      </c>
      <c r="F120" s="293" t="s">
        <v>13466</v>
      </c>
      <c r="G120" s="708" t="s">
        <v>13467</v>
      </c>
      <c r="H120" s="464"/>
    </row>
    <row r="121" spans="1:8" s="465" customFormat="1" ht="15.75" hidden="1">
      <c r="A121" s="464"/>
      <c r="B121" s="1283" t="s">
        <v>13468</v>
      </c>
      <c r="C121" s="1284"/>
      <c r="D121" s="1284"/>
      <c r="E121" s="1284"/>
      <c r="F121" s="1284"/>
      <c r="G121" s="1285"/>
      <c r="H121" s="464"/>
    </row>
    <row r="122" spans="1:8" s="465" customFormat="1" hidden="1">
      <c r="A122" s="464"/>
      <c r="B122" s="862" t="s">
        <v>13497</v>
      </c>
      <c r="C122" s="1040" t="s">
        <v>14159</v>
      </c>
      <c r="D122" s="864" t="s">
        <v>28</v>
      </c>
      <c r="E122" s="815">
        <v>1</v>
      </c>
      <c r="F122" s="815">
        <f>D133</f>
        <v>6.6</v>
      </c>
      <c r="G122" s="845">
        <f>TRUNC(F122*E122,2)</f>
        <v>6.6</v>
      </c>
      <c r="H122" s="464"/>
    </row>
    <row r="123" spans="1:8" s="465" customFormat="1" ht="15.75" hidden="1">
      <c r="A123" s="464"/>
      <c r="B123" s="1283" t="s">
        <v>13469</v>
      </c>
      <c r="C123" s="1284"/>
      <c r="D123" s="1284"/>
      <c r="E123" s="1284"/>
      <c r="F123" s="1284"/>
      <c r="G123" s="1285"/>
      <c r="H123" s="464"/>
    </row>
    <row r="124" spans="1:8" s="465" customFormat="1" ht="15.75" hidden="1">
      <c r="A124" s="473" t="s">
        <v>13459</v>
      </c>
      <c r="B124" s="751">
        <v>88264</v>
      </c>
      <c r="C124" s="475" t="s">
        <v>771</v>
      </c>
      <c r="D124" s="711" t="s">
        <v>753</v>
      </c>
      <c r="E124" s="752">
        <v>0.5</v>
      </c>
      <c r="F124" s="713">
        <v>20.52</v>
      </c>
      <c r="G124" s="750">
        <f>TRUNC(F124*E124,2)</f>
        <v>10.26</v>
      </c>
      <c r="H124" s="464"/>
    </row>
    <row r="125" spans="1:8" s="465" customFormat="1" ht="16.5" hidden="1" thickBot="1">
      <c r="A125" s="473" t="s">
        <v>13459</v>
      </c>
      <c r="B125" s="753">
        <v>88316</v>
      </c>
      <c r="C125" s="484" t="s">
        <v>761</v>
      </c>
      <c r="D125" s="718" t="s">
        <v>753</v>
      </c>
      <c r="E125" s="754">
        <v>0.5</v>
      </c>
      <c r="F125" s="720">
        <v>15.91</v>
      </c>
      <c r="G125" s="755">
        <f>TRUNC(F125*E125,2)</f>
        <v>7.95</v>
      </c>
      <c r="H125" s="464"/>
    </row>
    <row r="126" spans="1:8" s="465" customFormat="1" ht="16.5" hidden="1" thickBot="1">
      <c r="A126" s="464"/>
      <c r="B126" s="1287" t="s">
        <v>14160</v>
      </c>
      <c r="C126" s="1287"/>
      <c r="D126" s="1287"/>
      <c r="E126" s="1287"/>
      <c r="F126" s="1026" t="s">
        <v>22</v>
      </c>
      <c r="G126" s="1027">
        <f>SUM(G121:G125)</f>
        <v>24.81</v>
      </c>
      <c r="H126" s="464"/>
    </row>
    <row r="127" spans="1:8" s="465" customFormat="1" hidden="1">
      <c r="A127" s="464"/>
      <c r="B127" s="1043"/>
      <c r="C127" s="1043"/>
      <c r="D127" s="1043"/>
      <c r="E127" s="1043"/>
      <c r="F127" s="1043"/>
      <c r="G127" s="1043"/>
      <c r="H127" s="464"/>
    </row>
    <row r="128" spans="1:8" s="465" customFormat="1" ht="15.75" hidden="1">
      <c r="A128" s="464"/>
      <c r="B128" s="572"/>
      <c r="C128" s="607" t="s">
        <v>14159</v>
      </c>
      <c r="D128" s="574"/>
      <c r="E128" s="575"/>
      <c r="F128" s="1032" t="s">
        <v>28</v>
      </c>
      <c r="G128" s="1033" t="s">
        <v>28</v>
      </c>
      <c r="H128" s="515" t="s">
        <v>13934</v>
      </c>
    </row>
    <row r="129" spans="1:8" s="465" customFormat="1" ht="31.5" hidden="1">
      <c r="A129" s="464"/>
      <c r="B129" s="578" t="s">
        <v>13502</v>
      </c>
      <c r="C129" s="579" t="s">
        <v>13503</v>
      </c>
      <c r="D129" s="580" t="s">
        <v>13504</v>
      </c>
      <c r="E129" s="581" t="s">
        <v>13505</v>
      </c>
      <c r="F129" s="582" t="s">
        <v>13506</v>
      </c>
      <c r="G129" s="583" t="s">
        <v>13507</v>
      </c>
      <c r="H129" s="464"/>
    </row>
    <row r="130" spans="1:8" s="489" customFormat="1" hidden="1">
      <c r="B130" s="597">
        <v>43427</v>
      </c>
      <c r="C130" s="630" t="s">
        <v>13830</v>
      </c>
      <c r="D130" s="593">
        <v>5.86</v>
      </c>
      <c r="E130" s="631" t="s">
        <v>14138</v>
      </c>
      <c r="F130" s="595" t="s">
        <v>13862</v>
      </c>
      <c r="G130" s="790" t="s">
        <v>13833</v>
      </c>
      <c r="H130"/>
    </row>
    <row r="131" spans="1:8" s="465" customFormat="1" ht="15.75" hidden="1">
      <c r="A131" s="464"/>
      <c r="B131" s="597">
        <v>43426</v>
      </c>
      <c r="C131" s="630" t="s">
        <v>13763</v>
      </c>
      <c r="D131" s="617">
        <v>6.6</v>
      </c>
      <c r="E131" s="631" t="s">
        <v>13764</v>
      </c>
      <c r="F131" s="876" t="s">
        <v>13765</v>
      </c>
      <c r="G131" s="790" t="s">
        <v>14003</v>
      </c>
      <c r="H131"/>
    </row>
    <row r="132" spans="1:8" s="465" customFormat="1" ht="15.75" hidden="1">
      <c r="A132" s="464"/>
      <c r="B132" s="611">
        <v>43437</v>
      </c>
      <c r="C132" s="592" t="s">
        <v>14133</v>
      </c>
      <c r="D132" s="617">
        <v>11.9</v>
      </c>
      <c r="E132" s="614" t="s">
        <v>14017</v>
      </c>
      <c r="F132" s="814" t="s">
        <v>14134</v>
      </c>
      <c r="G132" s="618" t="s">
        <v>14135</v>
      </c>
      <c r="H132"/>
    </row>
    <row r="133" spans="1:8" s="465" customFormat="1" ht="16.5" hidden="1" thickBot="1">
      <c r="A133" s="464"/>
      <c r="B133" s="598"/>
      <c r="C133" s="599" t="s">
        <v>13523</v>
      </c>
      <c r="D133" s="538">
        <f>IF(COUNT(D129:D132)=3,MEDIAN(D129:D132),SMALL(D130:D132,1))</f>
        <v>6.6</v>
      </c>
      <c r="E133" s="600"/>
      <c r="F133" s="601"/>
      <c r="G133" s="602"/>
      <c r="H133" s="464"/>
    </row>
    <row r="134" spans="1:8" s="494" customFormat="1" ht="15.75" hidden="1">
      <c r="B134" s="957"/>
      <c r="C134" s="795"/>
      <c r="D134" s="795"/>
      <c r="E134" s="795"/>
      <c r="F134" s="795"/>
      <c r="G134" s="795"/>
    </row>
    <row r="135" spans="1:8" s="465" customFormat="1" ht="15.75" hidden="1">
      <c r="A135" s="464"/>
      <c r="B135" s="704" t="str">
        <f>IF(COUNT($H$8:H135)&lt;10,CONCATENATE("COMP INC 00",COUNT($H$8:H135)),CONCATENATE("COMP INC 0",COUNT($H$8:H135)))</f>
        <v>COMP INC 010</v>
      </c>
      <c r="C135" s="1363" t="str">
        <f>CONCATENATE("FORNECIMENTO E INSTALAÇÃO DE ",C138)</f>
        <v>FORNECIMENTO E INSTALAÇÃO DE CENTRAL DE ALARME ENDERECAVEL 80 END.</v>
      </c>
      <c r="D135" s="1363"/>
      <c r="E135" s="1363"/>
      <c r="F135" s="1363"/>
      <c r="G135" s="1044" t="s">
        <v>28</v>
      </c>
      <c r="H135" s="570">
        <f>G141</f>
        <v>1297.2</v>
      </c>
    </row>
    <row r="136" spans="1:8" s="465" customFormat="1" ht="31.5" hidden="1">
      <c r="A136" s="464"/>
      <c r="B136" s="1045" t="s">
        <v>14119</v>
      </c>
      <c r="C136" s="707" t="s">
        <v>13464</v>
      </c>
      <c r="D136" s="470" t="s">
        <v>28</v>
      </c>
      <c r="E136" s="707" t="s">
        <v>13465</v>
      </c>
      <c r="F136" s="293" t="s">
        <v>13466</v>
      </c>
      <c r="G136" s="708" t="s">
        <v>13467</v>
      </c>
      <c r="H136" s="464"/>
    </row>
    <row r="137" spans="1:8" s="465" customFormat="1" ht="15.75" hidden="1">
      <c r="A137" s="464"/>
      <c r="B137" s="1283" t="s">
        <v>13468</v>
      </c>
      <c r="C137" s="1284"/>
      <c r="D137" s="1284"/>
      <c r="E137" s="1284"/>
      <c r="F137" s="1284"/>
      <c r="G137" s="1285"/>
      <c r="H137" s="464"/>
    </row>
    <row r="138" spans="1:8" s="465" customFormat="1" hidden="1">
      <c r="A138" s="464"/>
      <c r="B138" s="862" t="s">
        <v>13497</v>
      </c>
      <c r="C138" s="1023" t="str">
        <f>C143</f>
        <v>CENTRAL DE ALARME ENDERECAVEL 80 END.</v>
      </c>
      <c r="D138" s="864" t="s">
        <v>28</v>
      </c>
      <c r="E138" s="815">
        <v>1</v>
      </c>
      <c r="F138" s="815">
        <f>D148</f>
        <v>1276.68</v>
      </c>
      <c r="G138" s="845">
        <f>TRUNC(F138*E138,2)</f>
        <v>1276.68</v>
      </c>
      <c r="H138" s="464"/>
    </row>
    <row r="139" spans="1:8" s="465" customFormat="1" ht="15.75" hidden="1">
      <c r="A139" s="464"/>
      <c r="B139" s="1283" t="s">
        <v>13469</v>
      </c>
      <c r="C139" s="1284"/>
      <c r="D139" s="1284"/>
      <c r="E139" s="1284"/>
      <c r="F139" s="1284"/>
      <c r="G139" s="1285"/>
      <c r="H139" s="464"/>
    </row>
    <row r="140" spans="1:8" s="465" customFormat="1" ht="16.5" hidden="1" thickBot="1">
      <c r="A140" s="473" t="s">
        <v>13459</v>
      </c>
      <c r="B140" s="753">
        <v>88264</v>
      </c>
      <c r="C140" s="484" t="s">
        <v>771</v>
      </c>
      <c r="D140" s="718" t="s">
        <v>753</v>
      </c>
      <c r="E140" s="754">
        <v>1</v>
      </c>
      <c r="F140" s="720">
        <v>20.52</v>
      </c>
      <c r="G140" s="842">
        <f>TRUNC(F140*E140,2)</f>
        <v>20.52</v>
      </c>
      <c r="H140" s="464"/>
    </row>
    <row r="141" spans="1:8" s="465" customFormat="1" ht="16.5" hidden="1" thickBot="1">
      <c r="A141" s="464"/>
      <c r="B141" s="1024" t="s">
        <v>14124</v>
      </c>
      <c r="C141" s="1034"/>
      <c r="D141" s="959"/>
      <c r="E141" s="959"/>
      <c r="F141" s="1046" t="s">
        <v>22</v>
      </c>
      <c r="G141" s="1047">
        <f>SUM(G137:G140)</f>
        <v>1297.2</v>
      </c>
      <c r="H141" s="464"/>
    </row>
    <row r="142" spans="1:8" s="465" customFormat="1" ht="15.75" hidden="1">
      <c r="A142" s="464"/>
      <c r="B142" s="1048"/>
      <c r="C142" s="1048"/>
      <c r="D142" s="1048"/>
      <c r="E142" s="1048"/>
      <c r="F142" s="1049"/>
      <c r="G142" s="1050"/>
      <c r="H142" s="464"/>
    </row>
    <row r="143" spans="1:8" s="465" customFormat="1" ht="15.75" hidden="1">
      <c r="A143" s="464"/>
      <c r="B143" s="572"/>
      <c r="C143" s="607" t="s">
        <v>14161</v>
      </c>
      <c r="D143" s="574"/>
      <c r="E143" s="575"/>
      <c r="F143" s="1032" t="s">
        <v>28</v>
      </c>
      <c r="G143" s="1033" t="s">
        <v>28</v>
      </c>
      <c r="H143" s="515" t="s">
        <v>13934</v>
      </c>
    </row>
    <row r="144" spans="1:8" s="465" customFormat="1" ht="31.5" hidden="1">
      <c r="A144" s="464"/>
      <c r="B144" s="578" t="s">
        <v>13502</v>
      </c>
      <c r="C144" s="579" t="s">
        <v>13503</v>
      </c>
      <c r="D144" s="580" t="s">
        <v>13504</v>
      </c>
      <c r="E144" s="581" t="s">
        <v>13505</v>
      </c>
      <c r="F144" s="582" t="s">
        <v>13506</v>
      </c>
      <c r="G144" s="583" t="s">
        <v>13507</v>
      </c>
      <c r="H144" s="464"/>
    </row>
    <row r="145" spans="1:8" s="489" customFormat="1" hidden="1">
      <c r="B145" s="611">
        <v>43622</v>
      </c>
      <c r="C145" s="630" t="s">
        <v>14144</v>
      </c>
      <c r="D145" s="593">
        <v>1203</v>
      </c>
      <c r="E145" s="631" t="s">
        <v>14145</v>
      </c>
      <c r="F145" s="876" t="s">
        <v>14146</v>
      </c>
      <c r="G145" s="790" t="s">
        <v>14147</v>
      </c>
      <c r="H145"/>
    </row>
    <row r="146" spans="1:8" s="465" customFormat="1" ht="15.75" hidden="1">
      <c r="A146" s="464"/>
      <c r="B146" s="597">
        <v>43656</v>
      </c>
      <c r="C146" s="630" t="s">
        <v>14140</v>
      </c>
      <c r="D146" s="617">
        <v>1412</v>
      </c>
      <c r="E146" s="631" t="s">
        <v>14141</v>
      </c>
      <c r="F146" s="595" t="s">
        <v>14142</v>
      </c>
      <c r="G146" s="790" t="s">
        <v>14143</v>
      </c>
      <c r="H146"/>
    </row>
    <row r="147" spans="1:8" s="465" customFormat="1" ht="15.75" hidden="1">
      <c r="A147" s="464"/>
      <c r="B147" s="597">
        <v>43669</v>
      </c>
      <c r="C147" s="630" t="s">
        <v>13830</v>
      </c>
      <c r="D147" s="593">
        <v>1276.68</v>
      </c>
      <c r="E147" s="631" t="s">
        <v>14138</v>
      </c>
      <c r="F147" s="876" t="s">
        <v>13862</v>
      </c>
      <c r="G147" s="790" t="s">
        <v>13833</v>
      </c>
      <c r="H147"/>
    </row>
    <row r="148" spans="1:8" s="465" customFormat="1" ht="16.5" hidden="1" thickBot="1">
      <c r="A148" s="464"/>
      <c r="B148" s="598"/>
      <c r="C148" s="599" t="s">
        <v>13523</v>
      </c>
      <c r="D148" s="538">
        <f>IF(COUNT(D144:D147)=3,MEDIAN(D144:D147),SMALL(D145:D147,1))</f>
        <v>1276.68</v>
      </c>
      <c r="E148" s="600"/>
      <c r="F148" s="601"/>
      <c r="G148" s="602"/>
      <c r="H148" s="464"/>
    </row>
    <row r="149" spans="1:8" hidden="1">
      <c r="A149" s="457"/>
      <c r="B149" s="458"/>
      <c r="C149" s="458"/>
      <c r="D149" s="458"/>
      <c r="E149" s="458"/>
      <c r="F149" s="458"/>
      <c r="G149" s="458"/>
      <c r="H149" s="457"/>
    </row>
    <row r="150" spans="1:8" ht="15.75" hidden="1">
      <c r="A150" s="457"/>
      <c r="B150" s="704" t="str">
        <f>IF(COUNT($H$8:H150)&lt;10,CONCATENATE("COMP INC 00",COUNT($H$8:H150)),CONCATENATE("COMP INC 0",COUNT($H$8:H150)))</f>
        <v>COMP INC 011</v>
      </c>
      <c r="C150" s="1257" t="str">
        <f>CONCATENATE("FORNECIMENTO E INSTALAÇÃO DE ",C153)</f>
        <v>FORNECIMENTO E INSTALAÇÃO DE BARRA ANTIPANICO DUPLA, PARA PORTA DE VIDRO, COR CINZA</v>
      </c>
      <c r="D150" s="1225"/>
      <c r="E150" s="1225"/>
      <c r="F150" s="1225"/>
      <c r="G150" s="705" t="s">
        <v>28</v>
      </c>
      <c r="H150" s="698">
        <f>G156</f>
        <v>1253.76</v>
      </c>
    </row>
    <row r="151" spans="1:8" ht="31.5" hidden="1">
      <c r="A151" s="457"/>
      <c r="B151" s="469" t="s">
        <v>14119</v>
      </c>
      <c r="C151" s="707" t="s">
        <v>13464</v>
      </c>
      <c r="D151" s="470" t="s">
        <v>28</v>
      </c>
      <c r="E151" s="707" t="s">
        <v>13465</v>
      </c>
      <c r="F151" s="293" t="s">
        <v>13466</v>
      </c>
      <c r="G151" s="708" t="s">
        <v>13467</v>
      </c>
      <c r="H151" s="457"/>
    </row>
    <row r="152" spans="1:8" ht="15.75" hidden="1">
      <c r="A152" s="457"/>
      <c r="B152" s="1283" t="s">
        <v>13468</v>
      </c>
      <c r="C152" s="1284"/>
      <c r="D152" s="1284"/>
      <c r="E152" s="1284"/>
      <c r="F152" s="1284"/>
      <c r="G152" s="1285"/>
      <c r="H152" s="457"/>
    </row>
    <row r="153" spans="1:8" ht="15.75" hidden="1">
      <c r="A153" s="1041" t="s">
        <v>13458</v>
      </c>
      <c r="B153" s="862">
        <v>39624</v>
      </c>
      <c r="C153" s="475" t="s">
        <v>7025</v>
      </c>
      <c r="D153" s="711" t="s">
        <v>7024</v>
      </c>
      <c r="E153" s="815">
        <v>1</v>
      </c>
      <c r="F153" s="815">
        <v>1244.22</v>
      </c>
      <c r="G153" s="845">
        <f>TRUNC(F153*E153,2)</f>
        <v>1244.22</v>
      </c>
      <c r="H153" s="457"/>
    </row>
    <row r="154" spans="1:8" ht="15.75" hidden="1">
      <c r="A154" s="457"/>
      <c r="B154" s="1283" t="s">
        <v>13469</v>
      </c>
      <c r="C154" s="1284"/>
      <c r="D154" s="1284"/>
      <c r="E154" s="1284"/>
      <c r="F154" s="1284"/>
      <c r="G154" s="1285"/>
      <c r="H154" s="457"/>
    </row>
    <row r="155" spans="1:8" ht="16.5" hidden="1" thickBot="1">
      <c r="A155" s="1041" t="s">
        <v>13459</v>
      </c>
      <c r="B155" s="1039">
        <v>88316</v>
      </c>
      <c r="C155" s="484" t="s">
        <v>761</v>
      </c>
      <c r="D155" s="718" t="s">
        <v>753</v>
      </c>
      <c r="E155" s="816">
        <v>0.6</v>
      </c>
      <c r="F155" s="720">
        <v>15.91</v>
      </c>
      <c r="G155" s="755">
        <f>TRUNC(F155*E155,2)</f>
        <v>9.5399999999999991</v>
      </c>
      <c r="H155" s="457"/>
    </row>
    <row r="156" spans="1:8" ht="16.5" hidden="1" thickBot="1">
      <c r="A156" s="457"/>
      <c r="B156" s="1255" t="s">
        <v>14162</v>
      </c>
      <c r="C156" s="1255"/>
      <c r="D156" s="1255"/>
      <c r="E156" s="1255"/>
      <c r="F156" s="756" t="s">
        <v>22</v>
      </c>
      <c r="G156" s="757">
        <f>SUM(G153:G155)</f>
        <v>1253.76</v>
      </c>
      <c r="H156" s="457"/>
    </row>
    <row r="157" spans="1:8" hidden="1">
      <c r="A157" s="457"/>
      <c r="B157" s="458"/>
      <c r="C157" s="458"/>
      <c r="D157" s="458"/>
      <c r="E157" s="458"/>
      <c r="F157" s="458"/>
      <c r="G157" s="458"/>
      <c r="H157" s="457"/>
    </row>
    <row r="158" spans="1:8" ht="15.75" hidden="1">
      <c r="A158" s="457"/>
      <c r="B158" s="704" t="str">
        <f>IF(COUNT($H$8:H158)&lt;10,CONCATENATE("COMP INC 00",COUNT($H$8:H158)),CONCATENATE("COMP INC 0",COUNT($H$8:H158)))</f>
        <v>COMP INC 012</v>
      </c>
      <c r="C158" s="1257" t="str">
        <f>CONCATENATE("FORNECIMENTO E INSTALAÇÃO DE ",C161)</f>
        <v>FORNECIMENTO E INSTALAÇÃO DE BARRA ANTIPANICO SIMPLES, PARA PORTA DE VIDRO, COR CINZA</v>
      </c>
      <c r="D158" s="1225"/>
      <c r="E158" s="1225"/>
      <c r="F158" s="1225"/>
      <c r="G158" s="705" t="s">
        <v>28</v>
      </c>
      <c r="H158" s="698">
        <f>G164</f>
        <v>640.89</v>
      </c>
    </row>
    <row r="159" spans="1:8" ht="31.5" hidden="1">
      <c r="A159" s="457"/>
      <c r="B159" s="469" t="s">
        <v>14119</v>
      </c>
      <c r="C159" s="707" t="s">
        <v>13464</v>
      </c>
      <c r="D159" s="470" t="s">
        <v>28</v>
      </c>
      <c r="E159" s="707" t="s">
        <v>13465</v>
      </c>
      <c r="F159" s="293" t="s">
        <v>13466</v>
      </c>
      <c r="G159" s="708" t="s">
        <v>13467</v>
      </c>
      <c r="H159" s="457"/>
    </row>
    <row r="160" spans="1:8" ht="15.75" hidden="1">
      <c r="A160" s="457"/>
      <c r="B160" s="1283" t="s">
        <v>13468</v>
      </c>
      <c r="C160" s="1284"/>
      <c r="D160" s="1284"/>
      <c r="E160" s="1284"/>
      <c r="F160" s="1284"/>
      <c r="G160" s="1285"/>
      <c r="H160" s="457"/>
    </row>
    <row r="161" spans="1:8" ht="30" hidden="1">
      <c r="A161" s="1041" t="s">
        <v>13458</v>
      </c>
      <c r="B161" s="862">
        <v>39623</v>
      </c>
      <c r="C161" s="475" t="s">
        <v>7028</v>
      </c>
      <c r="D161" s="711" t="s">
        <v>6636</v>
      </c>
      <c r="E161" s="815">
        <v>1</v>
      </c>
      <c r="F161" s="815">
        <v>634.99</v>
      </c>
      <c r="G161" s="845">
        <f>TRUNC(F161*E161,2)</f>
        <v>634.99</v>
      </c>
      <c r="H161" s="457"/>
    </row>
    <row r="162" spans="1:8" ht="15.75" hidden="1">
      <c r="A162" s="457"/>
      <c r="B162" s="1283" t="s">
        <v>13469</v>
      </c>
      <c r="C162" s="1284"/>
      <c r="D162" s="1284"/>
      <c r="E162" s="1284"/>
      <c r="F162" s="1284"/>
      <c r="G162" s="1285"/>
      <c r="H162" s="457"/>
    </row>
    <row r="163" spans="1:8" ht="16.5" hidden="1" thickBot="1">
      <c r="A163" s="1041" t="s">
        <v>13459</v>
      </c>
      <c r="B163" s="1051">
        <v>88262</v>
      </c>
      <c r="C163" s="484" t="s">
        <v>762</v>
      </c>
      <c r="D163" s="718" t="s">
        <v>753</v>
      </c>
      <c r="E163" s="816">
        <v>0.3</v>
      </c>
      <c r="F163" s="720">
        <v>19.670000000000002</v>
      </c>
      <c r="G163" s="755">
        <f>TRUNC(F163*E163,2)</f>
        <v>5.9</v>
      </c>
      <c r="H163" s="457"/>
    </row>
    <row r="164" spans="1:8" ht="16.5" hidden="1" thickBot="1">
      <c r="A164" s="457"/>
      <c r="B164" s="1364" t="s">
        <v>14163</v>
      </c>
      <c r="C164" s="1364"/>
      <c r="D164" s="1364"/>
      <c r="E164" s="1364"/>
      <c r="F164" s="756" t="s">
        <v>22</v>
      </c>
      <c r="G164" s="757">
        <f>SUM(G161:G163)</f>
        <v>640.89</v>
      </c>
      <c r="H164" s="457"/>
    </row>
    <row r="165" spans="1:8" hidden="1">
      <c r="A165" s="457"/>
      <c r="B165" s="458"/>
      <c r="C165" s="458"/>
      <c r="D165" s="458"/>
      <c r="E165" s="458"/>
      <c r="F165" s="458"/>
      <c r="G165" s="458"/>
      <c r="H165" s="457"/>
    </row>
    <row r="166" spans="1:8" ht="28.5" hidden="1" customHeight="1">
      <c r="A166" s="457"/>
      <c r="B166" s="704" t="str">
        <f>IF(COUNT($H$8:H166)&lt;10,CONCATENATE("COMP INC 00",COUNT($H$8:H166)),CONCATENATE("COMP INC 0",COUNT($H$8:H166)))</f>
        <v>COMP INC 013</v>
      </c>
      <c r="C166" s="1257" t="str">
        <f>CONCATENATE("FORNECIMENTO E INSTALAÇÃO DE ",C169)</f>
        <v>FORNECIMENTO E INSTALAÇÃO DE FITA METALICA PERFURADA, L = *18* MM, ROLO DE 30 M, CARGA RECOMENDADA = *30* KGF</v>
      </c>
      <c r="D166" s="1225"/>
      <c r="E166" s="1225"/>
      <c r="F166" s="1225"/>
      <c r="G166" s="705" t="s">
        <v>28</v>
      </c>
      <c r="H166" s="698">
        <f>G172</f>
        <v>39.610000000000007</v>
      </c>
    </row>
    <row r="167" spans="1:8" ht="31.5" hidden="1">
      <c r="A167" s="457"/>
      <c r="B167" s="469" t="s">
        <v>14119</v>
      </c>
      <c r="C167" s="707" t="s">
        <v>13464</v>
      </c>
      <c r="D167" s="470" t="s">
        <v>28</v>
      </c>
      <c r="E167" s="707" t="s">
        <v>13465</v>
      </c>
      <c r="F167" s="293" t="s">
        <v>13466</v>
      </c>
      <c r="G167" s="708" t="s">
        <v>13467</v>
      </c>
      <c r="H167" s="457"/>
    </row>
    <row r="168" spans="1:8" ht="15.75" hidden="1">
      <c r="A168" s="457"/>
      <c r="B168" s="1283" t="s">
        <v>13468</v>
      </c>
      <c r="C168" s="1284"/>
      <c r="D168" s="1284"/>
      <c r="E168" s="1284"/>
      <c r="F168" s="1284"/>
      <c r="G168" s="1285"/>
      <c r="H168" s="457"/>
    </row>
    <row r="169" spans="1:8" ht="30.75" hidden="1">
      <c r="A169" s="1037" t="s">
        <v>13458</v>
      </c>
      <c r="B169" s="1052">
        <v>14153</v>
      </c>
      <c r="C169" s="1053" t="s">
        <v>8722</v>
      </c>
      <c r="D169" s="864" t="s">
        <v>6636</v>
      </c>
      <c r="E169" s="815">
        <v>1</v>
      </c>
      <c r="F169" s="815">
        <v>38.590000000000003</v>
      </c>
      <c r="G169" s="845">
        <f>TRUNC(F169*E169,2)</f>
        <v>38.590000000000003</v>
      </c>
      <c r="H169" s="457"/>
    </row>
    <row r="170" spans="1:8" ht="15.75" hidden="1">
      <c r="A170" s="457"/>
      <c r="B170" s="1283" t="s">
        <v>13469</v>
      </c>
      <c r="C170" s="1284"/>
      <c r="D170" s="1284"/>
      <c r="E170" s="1284"/>
      <c r="F170" s="1284"/>
      <c r="G170" s="1285"/>
      <c r="H170" s="457"/>
    </row>
    <row r="171" spans="1:8" ht="16.5" hidden="1" thickBot="1">
      <c r="A171" s="1037" t="s">
        <v>13459</v>
      </c>
      <c r="B171" s="1054">
        <v>88264</v>
      </c>
      <c r="C171" s="484" t="s">
        <v>771</v>
      </c>
      <c r="D171" s="718" t="s">
        <v>753</v>
      </c>
      <c r="E171" s="1055">
        <v>0.05</v>
      </c>
      <c r="F171" s="720">
        <v>20.52</v>
      </c>
      <c r="G171" s="755">
        <f>TRUNC(F171*E171,2)</f>
        <v>1.02</v>
      </c>
      <c r="H171" s="457"/>
    </row>
    <row r="172" spans="1:8" ht="16.5" hidden="1" thickBot="1">
      <c r="A172" s="457"/>
      <c r="B172" s="1255" t="s">
        <v>14164</v>
      </c>
      <c r="C172" s="1255"/>
      <c r="D172" s="1255"/>
      <c r="E172" s="1255"/>
      <c r="F172" s="756" t="s">
        <v>22</v>
      </c>
      <c r="G172" s="757">
        <f>SUM(G169:G171)</f>
        <v>39.610000000000007</v>
      </c>
      <c r="H172" s="457"/>
    </row>
    <row r="173" spans="1:8" hidden="1">
      <c r="A173" s="457"/>
      <c r="B173" s="458"/>
      <c r="C173" s="458"/>
      <c r="D173" s="458"/>
      <c r="E173" s="458"/>
      <c r="F173" s="458"/>
      <c r="G173" s="458"/>
      <c r="H173" s="457"/>
    </row>
    <row r="174" spans="1:8" ht="36" hidden="1" customHeight="1">
      <c r="A174" s="457"/>
      <c r="B174" s="704" t="str">
        <f>IF(COUNT($H$8:H174)&lt;10,CONCATENATE("COMP INC 00",COUNT($H$8:H174)),CONCATENATE("COMP INC 0",COUNT($H$8:H174)))</f>
        <v>COMP INC 014</v>
      </c>
      <c r="C174" s="1257" t="str">
        <f>CONCATENATE("FORNECIMENTO E INSTALAÇÃO DE ",C177)</f>
        <v>FORNECIMENTO E INSTALAÇÃO DE BUCHA DE NYLON, DIAMETRO DO FURO 8 MM, COMPRIMENTO 40 MM, COM PARAFUSO DE ROSCA SOBERBA, CABECA CHATA, FENDA SIMPLES, 4,8 X 50 MM</v>
      </c>
      <c r="D174" s="1225"/>
      <c r="E174" s="1225"/>
      <c r="F174" s="1225"/>
      <c r="G174" s="705" t="s">
        <v>28</v>
      </c>
      <c r="H174" s="698">
        <f>G181</f>
        <v>4.08</v>
      </c>
    </row>
    <row r="175" spans="1:8" ht="31.5" hidden="1">
      <c r="A175" s="457"/>
      <c r="B175" s="469" t="s">
        <v>14119</v>
      </c>
      <c r="C175" s="707" t="s">
        <v>13464</v>
      </c>
      <c r="D175" s="470" t="s">
        <v>28</v>
      </c>
      <c r="E175" s="707" t="s">
        <v>13465</v>
      </c>
      <c r="F175" s="293" t="s">
        <v>13466</v>
      </c>
      <c r="G175" s="708" t="s">
        <v>13467</v>
      </c>
      <c r="H175" s="457"/>
    </row>
    <row r="176" spans="1:8" ht="15.75" hidden="1">
      <c r="A176" s="457"/>
      <c r="B176" s="1283" t="s">
        <v>13468</v>
      </c>
      <c r="C176" s="1284"/>
      <c r="D176" s="1284"/>
      <c r="E176" s="1284"/>
      <c r="F176" s="1284"/>
      <c r="G176" s="1285"/>
      <c r="H176" s="457"/>
    </row>
    <row r="177" spans="1:8" ht="45.75" hidden="1">
      <c r="A177" s="1037" t="s">
        <v>13458</v>
      </c>
      <c r="B177" s="1052">
        <v>4350</v>
      </c>
      <c r="C177" s="1053" t="s">
        <v>7193</v>
      </c>
      <c r="D177" s="864" t="s">
        <v>6636</v>
      </c>
      <c r="E177" s="815">
        <v>1</v>
      </c>
      <c r="F177" s="815">
        <v>0.44</v>
      </c>
      <c r="G177" s="845">
        <f>TRUNC(F177*E177,2)</f>
        <v>0.44</v>
      </c>
      <c r="H177" s="457"/>
    </row>
    <row r="178" spans="1:8" ht="15.75" hidden="1">
      <c r="A178" s="1037"/>
      <c r="B178" s="1283" t="s">
        <v>13469</v>
      </c>
      <c r="C178" s="1284"/>
      <c r="D178" s="1284"/>
      <c r="E178" s="1284"/>
      <c r="F178" s="1284"/>
      <c r="G178" s="1285"/>
      <c r="H178" s="457"/>
    </row>
    <row r="179" spans="1:8" ht="15.75" hidden="1">
      <c r="A179" s="1037" t="s">
        <v>13459</v>
      </c>
      <c r="B179" s="1056">
        <v>88264</v>
      </c>
      <c r="C179" s="475" t="s">
        <v>771</v>
      </c>
      <c r="D179" s="711" t="s">
        <v>753</v>
      </c>
      <c r="E179" s="1057">
        <v>0.1</v>
      </c>
      <c r="F179" s="713">
        <v>20.52</v>
      </c>
      <c r="G179" s="750">
        <f>TRUNC(F179*E179,2)</f>
        <v>2.0499999999999998</v>
      </c>
      <c r="H179" s="457"/>
    </row>
    <row r="180" spans="1:8" ht="16.5" hidden="1" thickBot="1">
      <c r="A180" s="1037" t="s">
        <v>13459</v>
      </c>
      <c r="B180" s="1054">
        <v>88316</v>
      </c>
      <c r="C180" s="484" t="s">
        <v>761</v>
      </c>
      <c r="D180" s="718" t="s">
        <v>753</v>
      </c>
      <c r="E180" s="1055">
        <v>0.1</v>
      </c>
      <c r="F180" s="720">
        <v>15.91</v>
      </c>
      <c r="G180" s="755">
        <f>TRUNC(F180*E180,2)</f>
        <v>1.59</v>
      </c>
      <c r="H180" s="457"/>
    </row>
    <row r="181" spans="1:8" ht="16.5" hidden="1" thickBot="1">
      <c r="A181" s="457"/>
      <c r="B181" s="1287" t="s">
        <v>14165</v>
      </c>
      <c r="C181" s="1287"/>
      <c r="D181" s="1287"/>
      <c r="E181" s="1287"/>
      <c r="F181" s="756" t="s">
        <v>22</v>
      </c>
      <c r="G181" s="757">
        <f>SUM(G177:G180)</f>
        <v>4.08</v>
      </c>
      <c r="H181" s="457"/>
    </row>
    <row r="182" spans="1:8" hidden="1">
      <c r="A182" s="457"/>
      <c r="B182" s="458"/>
      <c r="C182" s="458"/>
      <c r="D182" s="458"/>
      <c r="E182" s="458"/>
      <c r="F182" s="458"/>
      <c r="G182" s="458"/>
      <c r="H182" s="457"/>
    </row>
    <row r="183" spans="1:8" ht="33.75" hidden="1" customHeight="1">
      <c r="A183" s="457"/>
      <c r="B183" s="704" t="str">
        <f>IF(COUNT($H$8:H183)&lt;10,CONCATENATE("COMP INC 00",COUNT($H$8:H183)),CONCATENATE("COMP INC 0",COUNT($H$8:H183)))</f>
        <v>COMP INC 015</v>
      </c>
      <c r="C183" s="1257" t="str">
        <f>CONCATENATE("FORNECIMENTO E INSTALAÇÃO DE ",C186)</f>
        <v>FORNECIMENTO E INSTALAÇÃO DE ABRACADEIRA EM ACO PARA AMARRACAO DE ELETRODUTOS, TIPO D, COM 1/2" E PARAFUSO DE FIXACAO</v>
      </c>
      <c r="D183" s="1225"/>
      <c r="E183" s="1225"/>
      <c r="F183" s="1225"/>
      <c r="G183" s="705" t="s">
        <v>28</v>
      </c>
      <c r="H183" s="698">
        <f>G190</f>
        <v>4.91</v>
      </c>
    </row>
    <row r="184" spans="1:8" ht="31.5" hidden="1">
      <c r="A184" s="457"/>
      <c r="B184" s="469" t="s">
        <v>14119</v>
      </c>
      <c r="C184" s="707" t="s">
        <v>13464</v>
      </c>
      <c r="D184" s="470" t="s">
        <v>28</v>
      </c>
      <c r="E184" s="707" t="s">
        <v>13465</v>
      </c>
      <c r="F184" s="293" t="s">
        <v>13466</v>
      </c>
      <c r="G184" s="708" t="s">
        <v>13467</v>
      </c>
      <c r="H184" s="457"/>
    </row>
    <row r="185" spans="1:8" ht="15.75" hidden="1">
      <c r="A185" s="457"/>
      <c r="B185" s="1283" t="s">
        <v>13468</v>
      </c>
      <c r="C185" s="1284"/>
      <c r="D185" s="1284"/>
      <c r="E185" s="1284"/>
      <c r="F185" s="1284"/>
      <c r="G185" s="1285"/>
      <c r="H185" s="457"/>
    </row>
    <row r="186" spans="1:8" ht="30.75" hidden="1">
      <c r="A186" s="1037" t="s">
        <v>13458</v>
      </c>
      <c r="B186" s="1052">
        <v>392</v>
      </c>
      <c r="C186" s="1053" t="s">
        <v>6665</v>
      </c>
      <c r="D186" s="864" t="s">
        <v>6636</v>
      </c>
      <c r="E186" s="815">
        <v>1</v>
      </c>
      <c r="F186" s="815">
        <v>1.33</v>
      </c>
      <c r="G186" s="845">
        <f>TRUNC(F186*E186,2)</f>
        <v>1.33</v>
      </c>
      <c r="H186" s="457"/>
    </row>
    <row r="187" spans="1:8" ht="15.75" hidden="1">
      <c r="A187" s="1037"/>
      <c r="B187" s="1283" t="s">
        <v>13469</v>
      </c>
      <c r="C187" s="1284"/>
      <c r="D187" s="1284"/>
      <c r="E187" s="1284"/>
      <c r="F187" s="1284"/>
      <c r="G187" s="1285"/>
      <c r="H187" s="457"/>
    </row>
    <row r="188" spans="1:8" ht="30.75" hidden="1">
      <c r="A188" s="1037" t="s">
        <v>13459</v>
      </c>
      <c r="B188" s="1056">
        <v>88267</v>
      </c>
      <c r="C188" s="1053" t="s">
        <v>759</v>
      </c>
      <c r="D188" s="711" t="s">
        <v>753</v>
      </c>
      <c r="E188" s="815">
        <v>0.1</v>
      </c>
      <c r="F188" s="713">
        <v>19.899999999999999</v>
      </c>
      <c r="G188" s="750">
        <f>TRUNC(F188*E188,2)</f>
        <v>1.99</v>
      </c>
      <c r="H188" s="457"/>
    </row>
    <row r="189" spans="1:8" ht="16.5" hidden="1" thickBot="1">
      <c r="A189" s="1037" t="s">
        <v>13459</v>
      </c>
      <c r="B189" s="1054">
        <v>88316</v>
      </c>
      <c r="C189" s="1058" t="s">
        <v>761</v>
      </c>
      <c r="D189" s="718" t="s">
        <v>753</v>
      </c>
      <c r="E189" s="816">
        <v>0.1</v>
      </c>
      <c r="F189" s="720">
        <v>15.91</v>
      </c>
      <c r="G189" s="755">
        <f>TRUNC(F189*E189,2)</f>
        <v>1.59</v>
      </c>
      <c r="H189" s="457"/>
    </row>
    <row r="190" spans="1:8" ht="16.5" hidden="1" customHeight="1" thickBot="1">
      <c r="A190" s="457"/>
      <c r="B190" s="1287" t="s">
        <v>14166</v>
      </c>
      <c r="C190" s="1287"/>
      <c r="D190" s="1287"/>
      <c r="E190" s="1287"/>
      <c r="F190" s="756" t="s">
        <v>22</v>
      </c>
      <c r="G190" s="757">
        <f>SUM(G186:G189)</f>
        <v>4.91</v>
      </c>
      <c r="H190" s="457"/>
    </row>
    <row r="191" spans="1:8" hidden="1">
      <c r="A191" s="457"/>
      <c r="B191" s="458"/>
      <c r="C191" s="458"/>
      <c r="D191" s="458"/>
      <c r="E191" s="458"/>
      <c r="F191" s="458"/>
      <c r="G191" s="458"/>
      <c r="H191" s="457"/>
    </row>
    <row r="192" spans="1:8" ht="15.75" hidden="1">
      <c r="A192" s="457"/>
      <c r="B192" s="704" t="str">
        <f>IF(COUNT($H$8:H192)&lt;10,CONCATENATE("COMP INC 00",COUNT($H$8:H192)),CONCATENATE("COMP INC 0",COUNT($H$8:H192)))</f>
        <v>COMP INC 016</v>
      </c>
      <c r="C192" s="1257" t="str">
        <f>CONCATENATE("FORNECIMENTO E INSTALAÇÃO DE ",C195)</f>
        <v>FORNECIMENTO E INSTALAÇÃO DE BOMBA P/ COMBATE A INCENDIO TRIFASICA VERMELHA 3,0 CV THEBE</v>
      </c>
      <c r="D192" s="1225"/>
      <c r="E192" s="1225"/>
      <c r="F192" s="1225"/>
      <c r="G192" s="705" t="s">
        <v>28</v>
      </c>
      <c r="H192" s="698">
        <f>G199</f>
        <v>2096.0700000000002</v>
      </c>
    </row>
    <row r="193" spans="1:8" ht="31.5" hidden="1">
      <c r="A193" s="457"/>
      <c r="B193" s="469" t="s">
        <v>14119</v>
      </c>
      <c r="C193" s="707" t="s">
        <v>13464</v>
      </c>
      <c r="D193" s="470" t="s">
        <v>28</v>
      </c>
      <c r="E193" s="707" t="s">
        <v>13465</v>
      </c>
      <c r="F193" s="293" t="s">
        <v>13466</v>
      </c>
      <c r="G193" s="708" t="s">
        <v>13467</v>
      </c>
      <c r="H193" s="457"/>
    </row>
    <row r="194" spans="1:8" ht="15.75" hidden="1">
      <c r="A194" s="457"/>
      <c r="B194" s="1283" t="s">
        <v>13468</v>
      </c>
      <c r="C194" s="1284"/>
      <c r="D194" s="1284"/>
      <c r="E194" s="1284"/>
      <c r="F194" s="1284"/>
      <c r="G194" s="1285"/>
      <c r="H194" s="457"/>
    </row>
    <row r="195" spans="1:8" ht="30" hidden="1">
      <c r="A195" s="457"/>
      <c r="B195" s="862" t="s">
        <v>13497</v>
      </c>
      <c r="C195" s="1040" t="str">
        <f>C201</f>
        <v>BOMBA P/ COMBATE A INCENDIO TRIFASICA VERMELHA 3,0 CV THEBE</v>
      </c>
      <c r="D195" s="864" t="s">
        <v>28</v>
      </c>
      <c r="E195" s="815">
        <v>1</v>
      </c>
      <c r="F195" s="815">
        <f>D206</f>
        <v>1993.7</v>
      </c>
      <c r="G195" s="845">
        <f>TRUNC(F195*E195,2)</f>
        <v>1993.7</v>
      </c>
      <c r="H195" s="457"/>
    </row>
    <row r="196" spans="1:8" ht="15.75" hidden="1">
      <c r="A196" s="457"/>
      <c r="B196" s="1283" t="s">
        <v>13469</v>
      </c>
      <c r="C196" s="1284"/>
      <c r="D196" s="1284"/>
      <c r="E196" s="1284"/>
      <c r="F196" s="1284"/>
      <c r="G196" s="1285"/>
      <c r="H196" s="457"/>
    </row>
    <row r="197" spans="1:8" ht="30" hidden="1">
      <c r="A197" s="1041" t="s">
        <v>13459</v>
      </c>
      <c r="B197" s="1059">
        <v>88243</v>
      </c>
      <c r="C197" s="475" t="s">
        <v>834</v>
      </c>
      <c r="D197" s="711" t="s">
        <v>753</v>
      </c>
      <c r="E197" s="815">
        <v>2.5</v>
      </c>
      <c r="F197" s="713">
        <v>19.12</v>
      </c>
      <c r="G197" s="750">
        <f>TRUNC(F197*E197,2)</f>
        <v>47.8</v>
      </c>
      <c r="H197" s="457"/>
    </row>
    <row r="198" spans="1:8" ht="30.75" hidden="1" thickBot="1">
      <c r="A198" s="1041" t="s">
        <v>13459</v>
      </c>
      <c r="B198" s="1039">
        <v>88279</v>
      </c>
      <c r="C198" s="484" t="s">
        <v>934</v>
      </c>
      <c r="D198" s="718" t="s">
        <v>753</v>
      </c>
      <c r="E198" s="816">
        <v>2.5</v>
      </c>
      <c r="F198" s="720">
        <v>21.83</v>
      </c>
      <c r="G198" s="755">
        <f>TRUNC(F198*E198,2)</f>
        <v>54.57</v>
      </c>
      <c r="H198" s="457"/>
    </row>
    <row r="199" spans="1:8" ht="16.5" hidden="1" thickBot="1">
      <c r="A199" s="457"/>
      <c r="B199" s="1034" t="s">
        <v>14167</v>
      </c>
      <c r="C199" s="852"/>
      <c r="D199" s="852"/>
      <c r="E199" s="852"/>
      <c r="F199" s="1026" t="s">
        <v>22</v>
      </c>
      <c r="G199" s="1027">
        <f>SUM(G194:G198)</f>
        <v>2096.0700000000002</v>
      </c>
      <c r="H199" s="457"/>
    </row>
    <row r="200" spans="1:8" ht="15.75" hidden="1">
      <c r="A200" s="457"/>
      <c r="B200" s="847"/>
      <c r="C200" s="847"/>
      <c r="D200" s="847"/>
      <c r="E200" s="847"/>
      <c r="F200" s="865"/>
      <c r="G200" s="952"/>
      <c r="H200" s="457"/>
    </row>
    <row r="201" spans="1:8" ht="31.5" hidden="1">
      <c r="A201" s="457"/>
      <c r="B201" s="572"/>
      <c r="C201" s="607" t="s">
        <v>14168</v>
      </c>
      <c r="D201" s="574"/>
      <c r="E201" s="575"/>
      <c r="F201" s="1032" t="s">
        <v>28</v>
      </c>
      <c r="G201" s="1033" t="s">
        <v>28</v>
      </c>
      <c r="H201" s="1060" t="s">
        <v>13934</v>
      </c>
    </row>
    <row r="202" spans="1:8" ht="31.5" hidden="1">
      <c r="A202" s="457"/>
      <c r="B202" s="578" t="s">
        <v>13502</v>
      </c>
      <c r="C202" s="579" t="s">
        <v>13503</v>
      </c>
      <c r="D202" s="580" t="s">
        <v>13504</v>
      </c>
      <c r="E202" s="581" t="s">
        <v>13505</v>
      </c>
      <c r="F202" s="582" t="s">
        <v>13506</v>
      </c>
      <c r="G202" s="583" t="s">
        <v>13507</v>
      </c>
      <c r="H202" s="457"/>
    </row>
    <row r="203" spans="1:8" hidden="1">
      <c r="A203" s="457"/>
      <c r="B203" s="597">
        <v>43568</v>
      </c>
      <c r="C203" s="630" t="s">
        <v>14129</v>
      </c>
      <c r="D203" s="593">
        <v>1709.64</v>
      </c>
      <c r="E203" s="631" t="s">
        <v>14130</v>
      </c>
      <c r="F203" s="595" t="s">
        <v>14131</v>
      </c>
      <c r="G203" s="790" t="s">
        <v>14132</v>
      </c>
    </row>
    <row r="204" spans="1:8" s="489" customFormat="1" hidden="1">
      <c r="B204" s="597">
        <v>43567</v>
      </c>
      <c r="C204" s="630" t="s">
        <v>14169</v>
      </c>
      <c r="D204" s="617">
        <v>1993.7</v>
      </c>
      <c r="E204" s="631" t="s">
        <v>13673</v>
      </c>
      <c r="F204" s="876" t="s">
        <v>13674</v>
      </c>
      <c r="G204" s="790" t="s">
        <v>13675</v>
      </c>
      <c r="H204"/>
    </row>
    <row r="205" spans="1:8" s="465" customFormat="1" ht="15.75" hidden="1">
      <c r="A205" s="464"/>
      <c r="B205" s="611">
        <v>43573</v>
      </c>
      <c r="C205" s="592" t="s">
        <v>14170</v>
      </c>
      <c r="D205" s="617">
        <v>3198</v>
      </c>
      <c r="E205" s="614" t="s">
        <v>14171</v>
      </c>
      <c r="F205" s="814" t="s">
        <v>14172</v>
      </c>
      <c r="G205" s="618" t="s">
        <v>14143</v>
      </c>
      <c r="H205"/>
    </row>
    <row r="206" spans="1:8" ht="16.5" hidden="1" thickBot="1">
      <c r="A206" s="457"/>
      <c r="B206" s="598"/>
      <c r="C206" s="599" t="s">
        <v>13523</v>
      </c>
      <c r="D206" s="538">
        <f>IF(COUNT(D202:D205)=3,MEDIAN(D202:D205),SMALL(D203:D205,1))</f>
        <v>1993.7</v>
      </c>
      <c r="E206" s="600"/>
      <c r="F206" s="601"/>
      <c r="G206" s="602"/>
      <c r="H206" s="457"/>
    </row>
    <row r="207" spans="1:8" hidden="1">
      <c r="A207" s="457"/>
      <c r="B207" s="458"/>
      <c r="C207" s="458"/>
      <c r="D207" s="458"/>
      <c r="E207" s="458"/>
      <c r="F207" s="458"/>
      <c r="G207" s="458"/>
      <c r="H207" s="457"/>
    </row>
    <row r="208" spans="1:8" ht="15.75" hidden="1">
      <c r="A208" s="457"/>
      <c r="B208" s="704" t="str">
        <f>IF(COUNT($H$8:H208)&lt;10,CONCATENATE("COMP INC 00",COUNT($H$8:H208)),CONCATENATE("COMP INC 0",COUNT($H$8:H208)))</f>
        <v>COMP INC 017</v>
      </c>
      <c r="C208" s="1257" t="str">
        <f>CONCATENATE("FORNECIMENTO E INSTALAÇÃO DE ",C211)</f>
        <v>FORNECIMENTO E INSTALAÇÃO DE BOMBA P/ COMBATE A INCENDIO TRIFASICA VERMELHA 4,0 CV THEBE</v>
      </c>
      <c r="D208" s="1225"/>
      <c r="E208" s="1225"/>
      <c r="F208" s="1225"/>
      <c r="G208" s="705" t="s">
        <v>28</v>
      </c>
      <c r="H208" s="698">
        <f>G215</f>
        <v>2355.0700000000002</v>
      </c>
    </row>
    <row r="209" spans="1:8" ht="31.5" hidden="1">
      <c r="A209" s="457"/>
      <c r="B209" s="469" t="s">
        <v>14119</v>
      </c>
      <c r="C209" s="707" t="s">
        <v>13464</v>
      </c>
      <c r="D209" s="470" t="s">
        <v>28</v>
      </c>
      <c r="E209" s="707" t="s">
        <v>13465</v>
      </c>
      <c r="F209" s="293" t="s">
        <v>13466</v>
      </c>
      <c r="G209" s="708" t="s">
        <v>13467</v>
      </c>
      <c r="H209" s="457"/>
    </row>
    <row r="210" spans="1:8" ht="15.75" hidden="1">
      <c r="A210" s="457"/>
      <c r="B210" s="1283" t="s">
        <v>13468</v>
      </c>
      <c r="C210" s="1284"/>
      <c r="D210" s="1284"/>
      <c r="E210" s="1284"/>
      <c r="F210" s="1284"/>
      <c r="G210" s="1285"/>
      <c r="H210" s="457"/>
    </row>
    <row r="211" spans="1:8" ht="30" hidden="1">
      <c r="A211" s="457"/>
      <c r="B211" s="862" t="s">
        <v>13497</v>
      </c>
      <c r="C211" s="1040" t="str">
        <f>C217</f>
        <v>BOMBA P/ COMBATE A INCENDIO TRIFASICA VERMELHA 4,0 CV THEBE</v>
      </c>
      <c r="D211" s="864" t="s">
        <v>28</v>
      </c>
      <c r="E211" s="815">
        <v>1</v>
      </c>
      <c r="F211" s="815">
        <f>D222</f>
        <v>2252.6999999999998</v>
      </c>
      <c r="G211" s="845">
        <f>TRUNC(F211*E211,2)</f>
        <v>2252.6999999999998</v>
      </c>
      <c r="H211" s="457"/>
    </row>
    <row r="212" spans="1:8" ht="15.75" hidden="1">
      <c r="A212" s="457"/>
      <c r="B212" s="1283" t="s">
        <v>13469</v>
      </c>
      <c r="C212" s="1284"/>
      <c r="D212" s="1284"/>
      <c r="E212" s="1284"/>
      <c r="F212" s="1284"/>
      <c r="G212" s="1285"/>
      <c r="H212" s="457"/>
    </row>
    <row r="213" spans="1:8" ht="30" hidden="1">
      <c r="A213" s="1041" t="s">
        <v>13459</v>
      </c>
      <c r="B213" s="1059">
        <v>88243</v>
      </c>
      <c r="C213" s="475" t="s">
        <v>834</v>
      </c>
      <c r="D213" s="711" t="s">
        <v>753</v>
      </c>
      <c r="E213" s="815">
        <v>2.5</v>
      </c>
      <c r="F213" s="713">
        <v>19.12</v>
      </c>
      <c r="G213" s="750">
        <f>TRUNC(F213*E213,2)</f>
        <v>47.8</v>
      </c>
      <c r="H213" s="457"/>
    </row>
    <row r="214" spans="1:8" ht="30.75" hidden="1" thickBot="1">
      <c r="A214" s="1041" t="s">
        <v>13459</v>
      </c>
      <c r="B214" s="1039">
        <v>88279</v>
      </c>
      <c r="C214" s="484" t="s">
        <v>934</v>
      </c>
      <c r="D214" s="718" t="s">
        <v>753</v>
      </c>
      <c r="E214" s="816">
        <v>2.5</v>
      </c>
      <c r="F214" s="720">
        <v>21.83</v>
      </c>
      <c r="G214" s="755">
        <f>TRUNC(F214*E214,2)</f>
        <v>54.57</v>
      </c>
      <c r="H214" s="457"/>
    </row>
    <row r="215" spans="1:8" ht="16.5" hidden="1" thickBot="1">
      <c r="A215" s="457"/>
      <c r="B215" s="1034" t="s">
        <v>14167</v>
      </c>
      <c r="C215" s="852"/>
      <c r="D215" s="852"/>
      <c r="E215" s="852"/>
      <c r="F215" s="1026" t="s">
        <v>22</v>
      </c>
      <c r="G215" s="1027">
        <f>SUM(G210:G214)</f>
        <v>2355.0700000000002</v>
      </c>
      <c r="H215" s="457"/>
    </row>
    <row r="216" spans="1:8" ht="15.75" hidden="1">
      <c r="A216" s="457"/>
      <c r="B216" s="847"/>
      <c r="C216" s="847"/>
      <c r="D216" s="847"/>
      <c r="E216" s="847"/>
      <c r="F216" s="865"/>
      <c r="G216" s="952"/>
      <c r="H216" s="457"/>
    </row>
    <row r="217" spans="1:8" ht="31.5" hidden="1">
      <c r="A217" s="457"/>
      <c r="B217" s="572"/>
      <c r="C217" s="607" t="s">
        <v>14173</v>
      </c>
      <c r="D217" s="574"/>
      <c r="E217" s="575"/>
      <c r="F217" s="1032" t="s">
        <v>28</v>
      </c>
      <c r="G217" s="1033" t="s">
        <v>28</v>
      </c>
      <c r="H217" s="1060" t="s">
        <v>13934</v>
      </c>
    </row>
    <row r="218" spans="1:8" ht="31.5" hidden="1">
      <c r="A218" s="457"/>
      <c r="B218" s="578" t="s">
        <v>13502</v>
      </c>
      <c r="C218" s="579" t="s">
        <v>13503</v>
      </c>
      <c r="D218" s="580" t="s">
        <v>13504</v>
      </c>
      <c r="E218" s="581" t="s">
        <v>13505</v>
      </c>
      <c r="F218" s="582" t="s">
        <v>13506</v>
      </c>
      <c r="G218" s="583" t="s">
        <v>13507</v>
      </c>
      <c r="H218" s="457"/>
    </row>
    <row r="219" spans="1:8" s="458" customFormat="1" hidden="1">
      <c r="A219" s="457"/>
      <c r="B219" s="597">
        <v>43567</v>
      </c>
      <c r="C219" s="630" t="s">
        <v>14169</v>
      </c>
      <c r="D219" s="593">
        <v>2252.6999999999998</v>
      </c>
      <c r="E219" s="631" t="s">
        <v>13673</v>
      </c>
      <c r="F219" s="595" t="s">
        <v>13674</v>
      </c>
      <c r="G219" s="790" t="s">
        <v>13675</v>
      </c>
      <c r="H219"/>
    </row>
    <row r="220" spans="1:8" s="465" customFormat="1" ht="15.75" hidden="1">
      <c r="A220" s="464"/>
      <c r="B220" s="597">
        <v>43568</v>
      </c>
      <c r="C220" s="630" t="s">
        <v>14129</v>
      </c>
      <c r="D220" s="617">
        <v>1888.14</v>
      </c>
      <c r="E220" s="631" t="s">
        <v>14130</v>
      </c>
      <c r="F220" s="876" t="s">
        <v>14131</v>
      </c>
      <c r="G220" s="790" t="s">
        <v>14132</v>
      </c>
      <c r="H220"/>
    </row>
    <row r="221" spans="1:8" hidden="1">
      <c r="A221" s="457"/>
      <c r="B221" s="611">
        <v>43573</v>
      </c>
      <c r="C221" s="592" t="s">
        <v>14170</v>
      </c>
      <c r="D221" s="617">
        <v>3450</v>
      </c>
      <c r="E221" s="614" t="s">
        <v>14171</v>
      </c>
      <c r="F221" s="814" t="s">
        <v>14172</v>
      </c>
      <c r="G221" s="618" t="s">
        <v>14143</v>
      </c>
    </row>
    <row r="222" spans="1:8" ht="16.5" hidden="1" thickBot="1">
      <c r="A222" s="457"/>
      <c r="B222" s="598"/>
      <c r="C222" s="599" t="s">
        <v>13523</v>
      </c>
      <c r="D222" s="538">
        <f>IF(COUNT(D218:D221)=3,MEDIAN(D218:D221),SMALL(D219:D221,1))</f>
        <v>2252.6999999999998</v>
      </c>
      <c r="E222" s="600"/>
      <c r="F222" s="601"/>
      <c r="G222" s="602"/>
    </row>
    <row r="223" spans="1:8" hidden="1">
      <c r="A223" s="457"/>
      <c r="B223" s="458"/>
      <c r="C223" s="458"/>
      <c r="D223" s="458"/>
      <c r="E223" s="458"/>
      <c r="F223" s="458"/>
      <c r="G223" s="458"/>
      <c r="H223" s="457"/>
    </row>
    <row r="224" spans="1:8" ht="15.75" hidden="1">
      <c r="A224" s="457"/>
      <c r="B224" s="704" t="str">
        <f>IF(COUNT($H$8:H224)&lt;10,CONCATENATE("COMP INC 00",COUNT($H$8:H224)),CONCATENATE("COMP INC 0",COUNT($H$8:H224)))</f>
        <v>COMP INC 018</v>
      </c>
      <c r="C224" s="1257" t="str">
        <f>CONCATENATE("FORNECIMENTO E INSTALAÇÃO DE ",C227)</f>
        <v>FORNECIMENTO E INSTALAÇÃO DE BOMBA P/ COMBATE A INCENDIO TRIFASICA VERMELHA 5,0 CV THEBE</v>
      </c>
      <c r="D224" s="1225"/>
      <c r="E224" s="1225"/>
      <c r="F224" s="1225"/>
      <c r="G224" s="705" t="s">
        <v>28</v>
      </c>
      <c r="H224" s="698">
        <f>G231</f>
        <v>2809.59</v>
      </c>
    </row>
    <row r="225" spans="1:8" ht="31.5" hidden="1">
      <c r="A225" s="457"/>
      <c r="B225" s="469" t="s">
        <v>14119</v>
      </c>
      <c r="C225" s="707" t="s">
        <v>13464</v>
      </c>
      <c r="D225" s="470" t="s">
        <v>28</v>
      </c>
      <c r="E225" s="707" t="s">
        <v>13465</v>
      </c>
      <c r="F225" s="293" t="s">
        <v>13466</v>
      </c>
      <c r="G225" s="708" t="s">
        <v>13467</v>
      </c>
      <c r="H225" s="457"/>
    </row>
    <row r="226" spans="1:8" ht="15.75" hidden="1">
      <c r="A226" s="457"/>
      <c r="B226" s="1283" t="s">
        <v>13468</v>
      </c>
      <c r="C226" s="1284"/>
      <c r="D226" s="1284"/>
      <c r="E226" s="1284"/>
      <c r="F226" s="1284"/>
      <c r="G226" s="1285"/>
      <c r="H226" s="457"/>
    </row>
    <row r="227" spans="1:8" ht="30" hidden="1">
      <c r="A227" s="457"/>
      <c r="B227" s="862" t="s">
        <v>13497</v>
      </c>
      <c r="C227" s="1040" t="str">
        <f>C233</f>
        <v>BOMBA P/ COMBATE A INCENDIO TRIFASICA VERMELHA 5,0 CV THEBE</v>
      </c>
      <c r="D227" s="864" t="s">
        <v>28</v>
      </c>
      <c r="E227" s="815">
        <v>1</v>
      </c>
      <c r="F227" s="815">
        <f>D238</f>
        <v>2707.22</v>
      </c>
      <c r="G227" s="845">
        <f>TRUNC(F227*E227,2)</f>
        <v>2707.22</v>
      </c>
      <c r="H227" s="457"/>
    </row>
    <row r="228" spans="1:8" ht="15.75" hidden="1">
      <c r="A228" s="457"/>
      <c r="B228" s="1283" t="s">
        <v>13469</v>
      </c>
      <c r="C228" s="1284"/>
      <c r="D228" s="1284"/>
      <c r="E228" s="1284"/>
      <c r="F228" s="1284"/>
      <c r="G228" s="1285"/>
      <c r="H228" s="457"/>
    </row>
    <row r="229" spans="1:8" ht="30" hidden="1">
      <c r="A229" s="473" t="s">
        <v>13459</v>
      </c>
      <c r="B229" s="1059">
        <v>88243</v>
      </c>
      <c r="C229" s="475" t="s">
        <v>834</v>
      </c>
      <c r="D229" s="711" t="s">
        <v>753</v>
      </c>
      <c r="E229" s="815">
        <v>2.5</v>
      </c>
      <c r="F229" s="713">
        <v>19.12</v>
      </c>
      <c r="G229" s="750">
        <f>TRUNC(F229*E229,2)</f>
        <v>47.8</v>
      </c>
      <c r="H229" s="457"/>
    </row>
    <row r="230" spans="1:8" ht="30.75" hidden="1" thickBot="1">
      <c r="A230" s="473" t="s">
        <v>13459</v>
      </c>
      <c r="B230" s="1039">
        <v>88279</v>
      </c>
      <c r="C230" s="484" t="s">
        <v>934</v>
      </c>
      <c r="D230" s="718" t="s">
        <v>753</v>
      </c>
      <c r="E230" s="816">
        <v>2.5</v>
      </c>
      <c r="F230" s="720">
        <v>21.83</v>
      </c>
      <c r="G230" s="755">
        <f>TRUNC(F230*E230,2)</f>
        <v>54.57</v>
      </c>
      <c r="H230" s="457"/>
    </row>
    <row r="231" spans="1:8" ht="16.5" hidden="1" thickBot="1">
      <c r="A231" s="457"/>
      <c r="B231" s="1034" t="s">
        <v>14167</v>
      </c>
      <c r="C231" s="852"/>
      <c r="D231" s="852"/>
      <c r="E231" s="852"/>
      <c r="F231" s="1026" t="s">
        <v>22</v>
      </c>
      <c r="G231" s="1027">
        <f>SUM(G226:G230)</f>
        <v>2809.59</v>
      </c>
      <c r="H231" s="457"/>
    </row>
    <row r="232" spans="1:8" ht="15.75" hidden="1">
      <c r="A232" s="457"/>
      <c r="B232" s="847"/>
      <c r="C232" s="847"/>
      <c r="D232" s="847"/>
      <c r="E232" s="847"/>
      <c r="F232" s="865"/>
      <c r="G232" s="952"/>
      <c r="H232" s="457"/>
    </row>
    <row r="233" spans="1:8" ht="31.5" hidden="1">
      <c r="A233" s="457"/>
      <c r="B233" s="572"/>
      <c r="C233" s="607" t="s">
        <v>14174</v>
      </c>
      <c r="D233" s="574"/>
      <c r="E233" s="575"/>
      <c r="F233" s="1032" t="s">
        <v>28</v>
      </c>
      <c r="G233" s="1033" t="s">
        <v>28</v>
      </c>
      <c r="H233" s="1060" t="s">
        <v>13934</v>
      </c>
    </row>
    <row r="234" spans="1:8" ht="31.5" hidden="1">
      <c r="A234" s="457"/>
      <c r="B234" s="578" t="s">
        <v>13502</v>
      </c>
      <c r="C234" s="579" t="s">
        <v>13503</v>
      </c>
      <c r="D234" s="580" t="s">
        <v>13504</v>
      </c>
      <c r="E234" s="581" t="s">
        <v>13505</v>
      </c>
      <c r="F234" s="582" t="s">
        <v>13506</v>
      </c>
      <c r="G234" s="583" t="s">
        <v>13507</v>
      </c>
      <c r="H234" s="457"/>
    </row>
    <row r="235" spans="1:8" s="458" customFormat="1" hidden="1">
      <c r="A235" s="457"/>
      <c r="B235" s="597">
        <v>43568</v>
      </c>
      <c r="C235" s="630" t="s">
        <v>14129</v>
      </c>
      <c r="D235" s="593">
        <v>2391.6799999999998</v>
      </c>
      <c r="E235" s="631" t="s">
        <v>14130</v>
      </c>
      <c r="F235" s="595" t="s">
        <v>14131</v>
      </c>
      <c r="G235" s="790" t="s">
        <v>14132</v>
      </c>
      <c r="H235"/>
    </row>
    <row r="236" spans="1:8" s="489" customFormat="1" hidden="1">
      <c r="B236" s="597">
        <v>43567</v>
      </c>
      <c r="C236" s="630" t="s">
        <v>14169</v>
      </c>
      <c r="D236" s="617">
        <v>2707.22</v>
      </c>
      <c r="E236" s="631" t="s">
        <v>13673</v>
      </c>
      <c r="F236" s="876" t="s">
        <v>13674</v>
      </c>
      <c r="G236" s="790" t="s">
        <v>13675</v>
      </c>
      <c r="H236"/>
    </row>
    <row r="237" spans="1:8" s="465" customFormat="1" ht="15.75" hidden="1">
      <c r="A237" s="464"/>
      <c r="B237" s="611">
        <v>43573</v>
      </c>
      <c r="C237" s="592" t="s">
        <v>14170</v>
      </c>
      <c r="D237" s="617">
        <v>3855</v>
      </c>
      <c r="E237" s="614" t="s">
        <v>14171</v>
      </c>
      <c r="F237" s="814" t="s">
        <v>14172</v>
      </c>
      <c r="G237" s="618" t="s">
        <v>14143</v>
      </c>
      <c r="H237"/>
    </row>
    <row r="238" spans="1:8" ht="16.5" hidden="1" thickBot="1">
      <c r="A238" s="457"/>
      <c r="B238" s="598"/>
      <c r="C238" s="599" t="s">
        <v>13523</v>
      </c>
      <c r="D238" s="538">
        <f>IF(COUNT(D234:D237)=3,MEDIAN(D234:D237),SMALL(D235:D237,1))</f>
        <v>2707.22</v>
      </c>
      <c r="E238" s="600"/>
      <c r="F238" s="601"/>
      <c r="G238" s="602"/>
    </row>
    <row r="239" spans="1:8" s="458" customFormat="1" ht="12.75" hidden="1">
      <c r="A239" s="457"/>
      <c r="H239" s="457"/>
    </row>
    <row r="240" spans="1:8" s="458" customFormat="1" ht="15.75" hidden="1">
      <c r="A240" s="457"/>
      <c r="B240" s="704" t="str">
        <f>IF(COUNT($H$8:H240)&lt;10,CONCATENATE("COMP INC 00",COUNT($H$8:H240)),CONCATENATE("COMP INC 0",COUNT($H$8:H240)))</f>
        <v>COMP INC 019</v>
      </c>
      <c r="C240" s="1257" t="str">
        <f>CONCATENATE("FORNECIMENTO E INSTALAÇÃO DE ",C243)</f>
        <v>FORNECIMENTO E INSTALAÇÃO DE BOMBA P/ COMBATE A INCENDIO TRIFASICA VERMELHA 6,0 CV THEBE</v>
      </c>
      <c r="D240" s="1225"/>
      <c r="E240" s="1225"/>
      <c r="F240" s="1225"/>
      <c r="G240" s="705" t="s">
        <v>28</v>
      </c>
      <c r="H240" s="698">
        <f>G247</f>
        <v>3305.3700000000003</v>
      </c>
    </row>
    <row r="241" spans="1:8" s="458" customFormat="1" ht="31.5" hidden="1">
      <c r="A241" s="457"/>
      <c r="B241" s="469" t="s">
        <v>14119</v>
      </c>
      <c r="C241" s="707" t="s">
        <v>13464</v>
      </c>
      <c r="D241" s="470" t="s">
        <v>28</v>
      </c>
      <c r="E241" s="707" t="s">
        <v>13465</v>
      </c>
      <c r="F241" s="293" t="s">
        <v>13466</v>
      </c>
      <c r="G241" s="708" t="s">
        <v>13467</v>
      </c>
      <c r="H241" s="457"/>
    </row>
    <row r="242" spans="1:8" s="458" customFormat="1" ht="15.75" hidden="1">
      <c r="A242" s="457"/>
      <c r="B242" s="1283" t="s">
        <v>13468</v>
      </c>
      <c r="C242" s="1284"/>
      <c r="D242" s="1284"/>
      <c r="E242" s="1284"/>
      <c r="F242" s="1284"/>
      <c r="G242" s="1285"/>
      <c r="H242" s="457"/>
    </row>
    <row r="243" spans="1:8" s="458" customFormat="1" ht="30" hidden="1">
      <c r="A243" s="457"/>
      <c r="B243" s="862" t="s">
        <v>13497</v>
      </c>
      <c r="C243" s="1040" t="str">
        <f>C249</f>
        <v>BOMBA P/ COMBATE A INCENDIO TRIFASICA VERMELHA 6,0 CV THEBE</v>
      </c>
      <c r="D243" s="864" t="s">
        <v>28</v>
      </c>
      <c r="E243" s="815">
        <v>1</v>
      </c>
      <c r="F243" s="815">
        <f>D254</f>
        <v>3203</v>
      </c>
      <c r="G243" s="845">
        <f>TRUNC(F243*E243,2)</f>
        <v>3203</v>
      </c>
      <c r="H243" s="457"/>
    </row>
    <row r="244" spans="1:8" s="458" customFormat="1" ht="15.75" hidden="1">
      <c r="A244" s="457"/>
      <c r="B244" s="1283" t="s">
        <v>13469</v>
      </c>
      <c r="C244" s="1284"/>
      <c r="D244" s="1284"/>
      <c r="E244" s="1284"/>
      <c r="F244" s="1284"/>
      <c r="G244" s="1285"/>
      <c r="H244" s="457"/>
    </row>
    <row r="245" spans="1:8" s="458" customFormat="1" ht="30" hidden="1">
      <c r="A245" s="473" t="s">
        <v>13459</v>
      </c>
      <c r="B245" s="1059">
        <v>88243</v>
      </c>
      <c r="C245" s="475" t="s">
        <v>834</v>
      </c>
      <c r="D245" s="711" t="s">
        <v>753</v>
      </c>
      <c r="E245" s="815">
        <v>2.5</v>
      </c>
      <c r="F245" s="713">
        <v>19.12</v>
      </c>
      <c r="G245" s="750">
        <f>TRUNC(F245*E245,2)</f>
        <v>47.8</v>
      </c>
      <c r="H245" s="457"/>
    </row>
    <row r="246" spans="1:8" s="458" customFormat="1" ht="30.75" hidden="1" thickBot="1">
      <c r="A246" s="473" t="s">
        <v>13459</v>
      </c>
      <c r="B246" s="1039">
        <v>88279</v>
      </c>
      <c r="C246" s="484" t="s">
        <v>934</v>
      </c>
      <c r="D246" s="718" t="s">
        <v>753</v>
      </c>
      <c r="E246" s="816">
        <v>2.5</v>
      </c>
      <c r="F246" s="720">
        <v>21.83</v>
      </c>
      <c r="G246" s="755">
        <f>TRUNC(F246*E246,2)</f>
        <v>54.57</v>
      </c>
      <c r="H246" s="457"/>
    </row>
    <row r="247" spans="1:8" s="458" customFormat="1" ht="16.5" hidden="1" thickBot="1">
      <c r="A247" s="457"/>
      <c r="B247" s="1034" t="s">
        <v>14167</v>
      </c>
      <c r="C247" s="852"/>
      <c r="D247" s="852"/>
      <c r="E247" s="852"/>
      <c r="F247" s="1026" t="s">
        <v>22</v>
      </c>
      <c r="G247" s="1027">
        <f>SUM(G242:G246)</f>
        <v>3305.3700000000003</v>
      </c>
      <c r="H247" s="457"/>
    </row>
    <row r="248" spans="1:8" s="458" customFormat="1" ht="15.75" hidden="1">
      <c r="A248" s="457"/>
      <c r="B248" s="847"/>
      <c r="C248" s="847"/>
      <c r="D248" s="847"/>
      <c r="E248" s="847"/>
      <c r="F248" s="865"/>
      <c r="G248" s="952"/>
      <c r="H248" s="457"/>
    </row>
    <row r="249" spans="1:8" s="458" customFormat="1" ht="31.5" hidden="1">
      <c r="A249" s="457"/>
      <c r="B249" s="572"/>
      <c r="C249" s="607" t="s">
        <v>14175</v>
      </c>
      <c r="D249" s="574"/>
      <c r="E249" s="575"/>
      <c r="F249" s="1032" t="s">
        <v>28</v>
      </c>
      <c r="G249" s="1033" t="s">
        <v>28</v>
      </c>
      <c r="H249" s="1060" t="s">
        <v>13934</v>
      </c>
    </row>
    <row r="250" spans="1:8" s="458" customFormat="1" ht="31.5" hidden="1">
      <c r="A250" s="457"/>
      <c r="B250" s="578" t="s">
        <v>13502</v>
      </c>
      <c r="C250" s="579" t="s">
        <v>13503</v>
      </c>
      <c r="D250" s="580" t="s">
        <v>13504</v>
      </c>
      <c r="E250" s="581" t="s">
        <v>13505</v>
      </c>
      <c r="F250" s="582" t="s">
        <v>13506</v>
      </c>
      <c r="G250" s="583" t="s">
        <v>13507</v>
      </c>
      <c r="H250" s="457"/>
    </row>
    <row r="251" spans="1:8" s="458" customFormat="1" hidden="1">
      <c r="A251" s="457"/>
      <c r="B251" s="597">
        <v>43580</v>
      </c>
      <c r="C251" s="630" t="s">
        <v>14176</v>
      </c>
      <c r="D251" s="593">
        <v>3186.16</v>
      </c>
      <c r="E251" s="631" t="s">
        <v>14177</v>
      </c>
      <c r="F251" s="595" t="s">
        <v>14178</v>
      </c>
      <c r="G251" s="790" t="s">
        <v>14179</v>
      </c>
      <c r="H251"/>
    </row>
    <row r="252" spans="1:8" s="489" customFormat="1" hidden="1">
      <c r="B252" s="597">
        <v>43567</v>
      </c>
      <c r="C252" s="630" t="s">
        <v>14169</v>
      </c>
      <c r="D252" s="617">
        <v>3203</v>
      </c>
      <c r="E252" s="631" t="s">
        <v>13673</v>
      </c>
      <c r="F252" s="876" t="s">
        <v>13674</v>
      </c>
      <c r="G252" s="790" t="s">
        <v>13675</v>
      </c>
      <c r="H252"/>
    </row>
    <row r="253" spans="1:8" s="465" customFormat="1" ht="15.75" hidden="1">
      <c r="A253" s="464"/>
      <c r="B253" s="611">
        <v>43573</v>
      </c>
      <c r="C253" s="592" t="s">
        <v>14180</v>
      </c>
      <c r="D253" s="617">
        <v>4745</v>
      </c>
      <c r="E253" s="614" t="s">
        <v>14171</v>
      </c>
      <c r="F253" s="814" t="s">
        <v>14172</v>
      </c>
      <c r="G253" s="618" t="s">
        <v>14143</v>
      </c>
      <c r="H253"/>
    </row>
    <row r="254" spans="1:8" s="458" customFormat="1" ht="16.5" hidden="1" thickBot="1">
      <c r="A254" s="457"/>
      <c r="B254" s="598"/>
      <c r="C254" s="599" t="s">
        <v>13523</v>
      </c>
      <c r="D254" s="538">
        <f>IF(COUNT(D250:D253)=3,MEDIAN(D250:D253),SMALL(D251:D253,1))</f>
        <v>3203</v>
      </c>
      <c r="E254" s="600"/>
      <c r="F254" s="601"/>
      <c r="G254" s="602"/>
      <c r="H254"/>
    </row>
    <row r="255" spans="1:8" s="494" customFormat="1" ht="15.75" hidden="1">
      <c r="B255" s="957"/>
      <c r="C255" s="795"/>
      <c r="D255" s="795"/>
      <c r="E255" s="795"/>
      <c r="F255" s="795"/>
      <c r="G255" s="795"/>
    </row>
    <row r="256" spans="1:8" s="465" customFormat="1" ht="15.75" hidden="1">
      <c r="A256" s="464"/>
      <c r="B256" s="704" t="str">
        <f>IF(COUNT($H$8:H256)&lt;10,CONCATENATE("COMP INC 00",COUNT($H$8:H256)),CONCATENATE("COMP INC 0",COUNT($H$8:H256)))</f>
        <v>COMP INC 020</v>
      </c>
      <c r="C256" s="1257" t="str">
        <f>CONCATENATE("FORNECIMENTO E INSTALAÇÃO DE ",C259)</f>
        <v>FORNECIMENTO E INSTALAÇÃO DE BOMBA P/ COMBATE A INCENDIO TRIFASICA VERMELHA 7.5 CV THEBE</v>
      </c>
      <c r="D256" s="1225"/>
      <c r="E256" s="1225"/>
      <c r="F256" s="1225"/>
      <c r="G256" s="705" t="s">
        <v>28</v>
      </c>
      <c r="H256" s="570">
        <f>G263</f>
        <v>3361.3700000000003</v>
      </c>
    </row>
    <row r="257" spans="1:8" s="465" customFormat="1" ht="31.5" hidden="1">
      <c r="A257" s="464"/>
      <c r="B257" s="469" t="s">
        <v>14119</v>
      </c>
      <c r="C257" s="707" t="s">
        <v>13464</v>
      </c>
      <c r="D257" s="470" t="s">
        <v>28</v>
      </c>
      <c r="E257" s="707" t="s">
        <v>13465</v>
      </c>
      <c r="F257" s="293" t="s">
        <v>13466</v>
      </c>
      <c r="G257" s="708" t="s">
        <v>13467</v>
      </c>
      <c r="H257" s="464"/>
    </row>
    <row r="258" spans="1:8" s="465" customFormat="1" ht="15.75" hidden="1">
      <c r="A258" s="464"/>
      <c r="B258" s="1283" t="s">
        <v>13468</v>
      </c>
      <c r="C258" s="1284"/>
      <c r="D258" s="1284"/>
      <c r="E258" s="1284"/>
      <c r="F258" s="1284"/>
      <c r="G258" s="1285"/>
      <c r="H258" s="464"/>
    </row>
    <row r="259" spans="1:8" s="465" customFormat="1" ht="30" hidden="1">
      <c r="A259" s="464"/>
      <c r="B259" s="862" t="s">
        <v>13497</v>
      </c>
      <c r="C259" s="1040" t="str">
        <f>C265</f>
        <v>BOMBA P/ COMBATE A INCENDIO TRIFASICA VERMELHA 7.5 CV THEBE</v>
      </c>
      <c r="D259" s="864" t="s">
        <v>28</v>
      </c>
      <c r="E259" s="815">
        <v>1</v>
      </c>
      <c r="F259" s="815">
        <f>D270</f>
        <v>3259</v>
      </c>
      <c r="G259" s="845">
        <f>TRUNC(F259*E259,2)</f>
        <v>3259</v>
      </c>
      <c r="H259" s="464"/>
    </row>
    <row r="260" spans="1:8" s="465" customFormat="1" ht="15.75" hidden="1">
      <c r="A260" s="464"/>
      <c r="B260" s="1283" t="s">
        <v>13469</v>
      </c>
      <c r="C260" s="1284"/>
      <c r="D260" s="1284"/>
      <c r="E260" s="1284"/>
      <c r="F260" s="1284"/>
      <c r="G260" s="1285"/>
      <c r="H260" s="464"/>
    </row>
    <row r="261" spans="1:8" s="465" customFormat="1" ht="30" hidden="1">
      <c r="A261" s="473" t="s">
        <v>13459</v>
      </c>
      <c r="B261" s="1059">
        <v>88243</v>
      </c>
      <c r="C261" s="475" t="s">
        <v>834</v>
      </c>
      <c r="D261" s="711" t="s">
        <v>753</v>
      </c>
      <c r="E261" s="815">
        <v>2.5</v>
      </c>
      <c r="F261" s="713">
        <v>19.12</v>
      </c>
      <c r="G261" s="750">
        <f>TRUNC(F261*E261,2)</f>
        <v>47.8</v>
      </c>
      <c r="H261" s="464"/>
    </row>
    <row r="262" spans="1:8" s="465" customFormat="1" ht="30.75" hidden="1" thickBot="1">
      <c r="A262" s="473" t="s">
        <v>13459</v>
      </c>
      <c r="B262" s="1039">
        <v>88279</v>
      </c>
      <c r="C262" s="484" t="s">
        <v>934</v>
      </c>
      <c r="D262" s="718" t="s">
        <v>753</v>
      </c>
      <c r="E262" s="816">
        <v>2.5</v>
      </c>
      <c r="F262" s="720">
        <v>21.83</v>
      </c>
      <c r="G262" s="755">
        <f>TRUNC(F262*E262,2)</f>
        <v>54.57</v>
      </c>
      <c r="H262" s="464"/>
    </row>
    <row r="263" spans="1:8" s="465" customFormat="1" ht="16.5" hidden="1" thickBot="1">
      <c r="A263" s="464"/>
      <c r="B263" s="1034" t="s">
        <v>14167</v>
      </c>
      <c r="C263" s="852"/>
      <c r="D263" s="852"/>
      <c r="E263" s="852"/>
      <c r="F263" s="1026" t="s">
        <v>22</v>
      </c>
      <c r="G263" s="1027">
        <f>SUM(G258:G262)</f>
        <v>3361.3700000000003</v>
      </c>
      <c r="H263" s="464"/>
    </row>
    <row r="264" spans="1:8" s="465" customFormat="1" ht="15.75" hidden="1">
      <c r="A264" s="464"/>
      <c r="B264" s="847"/>
      <c r="C264" s="847"/>
      <c r="D264" s="847"/>
      <c r="E264" s="847"/>
      <c r="F264" s="865"/>
      <c r="G264" s="952"/>
      <c r="H264" s="464"/>
    </row>
    <row r="265" spans="1:8" s="465" customFormat="1" ht="31.5" hidden="1">
      <c r="A265" s="464"/>
      <c r="B265" s="572"/>
      <c r="C265" s="607" t="s">
        <v>14181</v>
      </c>
      <c r="D265" s="574"/>
      <c r="E265" s="575"/>
      <c r="F265" s="1032" t="s">
        <v>28</v>
      </c>
      <c r="G265" s="1033" t="s">
        <v>28</v>
      </c>
      <c r="H265" s="1060" t="s">
        <v>13934</v>
      </c>
    </row>
    <row r="266" spans="1:8" s="465" customFormat="1" ht="31.5" hidden="1">
      <c r="A266" s="464"/>
      <c r="B266" s="578" t="s">
        <v>13502</v>
      </c>
      <c r="C266" s="579" t="s">
        <v>13503</v>
      </c>
      <c r="D266" s="580" t="s">
        <v>13504</v>
      </c>
      <c r="E266" s="581" t="s">
        <v>13505</v>
      </c>
      <c r="F266" s="582" t="s">
        <v>13506</v>
      </c>
      <c r="G266" s="583" t="s">
        <v>13507</v>
      </c>
      <c r="H266" s="464"/>
    </row>
    <row r="267" spans="1:8" s="458" customFormat="1" hidden="1">
      <c r="A267" s="457"/>
      <c r="B267" s="597">
        <v>43568</v>
      </c>
      <c r="C267" s="630" t="s">
        <v>14129</v>
      </c>
      <c r="D267" s="593">
        <v>2875.53</v>
      </c>
      <c r="E267" s="631" t="s">
        <v>14130</v>
      </c>
      <c r="F267" s="595" t="s">
        <v>14131</v>
      </c>
      <c r="G267" s="790" t="s">
        <v>14132</v>
      </c>
      <c r="H267"/>
    </row>
    <row r="268" spans="1:8" s="489" customFormat="1" hidden="1">
      <c r="B268" s="597">
        <v>43567</v>
      </c>
      <c r="C268" s="630" t="s">
        <v>14169</v>
      </c>
      <c r="D268" s="617">
        <v>3259</v>
      </c>
      <c r="E268" s="631" t="s">
        <v>13673</v>
      </c>
      <c r="F268" s="876" t="s">
        <v>13674</v>
      </c>
      <c r="G268" s="790" t="s">
        <v>13675</v>
      </c>
      <c r="H268"/>
    </row>
    <row r="269" spans="1:8" s="465" customFormat="1" ht="15.75" hidden="1">
      <c r="A269" s="464"/>
      <c r="B269" s="611">
        <v>43573</v>
      </c>
      <c r="C269" s="592" t="s">
        <v>14170</v>
      </c>
      <c r="D269" s="617">
        <v>4806</v>
      </c>
      <c r="E269" s="614" t="s">
        <v>14171</v>
      </c>
      <c r="F269" s="814" t="s">
        <v>14172</v>
      </c>
      <c r="G269" s="618" t="s">
        <v>14143</v>
      </c>
      <c r="H269"/>
    </row>
    <row r="270" spans="1:8" s="465" customFormat="1" ht="16.5" hidden="1" thickBot="1">
      <c r="A270" s="464"/>
      <c r="B270" s="598"/>
      <c r="C270" s="599" t="s">
        <v>13523</v>
      </c>
      <c r="D270" s="538">
        <f>IF(COUNT(D266:D269)=3,MEDIAN(D266:D269),SMALL(D267:D269,1))</f>
        <v>3259</v>
      </c>
      <c r="E270" s="600"/>
      <c r="F270" s="601"/>
      <c r="G270" s="602"/>
      <c r="H270" s="464"/>
    </row>
    <row r="271" spans="1:8" s="494" customFormat="1" ht="15.75" hidden="1">
      <c r="B271" s="957"/>
      <c r="C271" s="795"/>
      <c r="D271" s="795"/>
      <c r="E271" s="795"/>
      <c r="F271" s="795"/>
      <c r="G271" s="795"/>
    </row>
    <row r="272" spans="1:8" s="465" customFormat="1" ht="15.75" hidden="1">
      <c r="A272" s="464"/>
      <c r="B272" s="704" t="str">
        <f>IF(COUNT($H$8:H272)&lt;10,CONCATENATE("COMP INC 00",COUNT($H$8:H272)),CONCATENATE("COMP INC 0",COUNT($H$8:H272)))</f>
        <v>COMP INC 021</v>
      </c>
      <c r="C272" s="1257" t="str">
        <f>CONCATENATE("FORNECIMENTO E INSTALAÇÃO DE ",C275)</f>
        <v>FORNECIMENTO E INSTALAÇÃO DE BOMBA P/ COMBATE A INCENDIO TRIFASICA VERMELHA 10 CV THEBE</v>
      </c>
      <c r="D272" s="1225"/>
      <c r="E272" s="1225"/>
      <c r="F272" s="1225"/>
      <c r="G272" s="705" t="s">
        <v>28</v>
      </c>
      <c r="H272" s="570">
        <f>G279</f>
        <v>4486.97</v>
      </c>
    </row>
    <row r="273" spans="1:8" s="465" customFormat="1" ht="31.5" hidden="1">
      <c r="A273" s="464"/>
      <c r="B273" s="469" t="s">
        <v>14119</v>
      </c>
      <c r="C273" s="707" t="s">
        <v>13464</v>
      </c>
      <c r="D273" s="470" t="s">
        <v>28</v>
      </c>
      <c r="E273" s="707" t="s">
        <v>13465</v>
      </c>
      <c r="F273" s="293" t="s">
        <v>13466</v>
      </c>
      <c r="G273" s="708" t="s">
        <v>13467</v>
      </c>
      <c r="H273" s="464"/>
    </row>
    <row r="274" spans="1:8" s="465" customFormat="1" ht="15.75" hidden="1">
      <c r="A274" s="464"/>
      <c r="B274" s="1283" t="s">
        <v>13468</v>
      </c>
      <c r="C274" s="1284"/>
      <c r="D274" s="1284"/>
      <c r="E274" s="1284"/>
      <c r="F274" s="1284"/>
      <c r="G274" s="1285"/>
      <c r="H274" s="464"/>
    </row>
    <row r="275" spans="1:8" s="465" customFormat="1" ht="30" hidden="1">
      <c r="A275" s="464"/>
      <c r="B275" s="862" t="s">
        <v>13497</v>
      </c>
      <c r="C275" s="1040" t="str">
        <f>C281</f>
        <v>BOMBA P/ COMBATE A INCENDIO TRIFASICA VERMELHA 10 CV THEBE</v>
      </c>
      <c r="D275" s="864" t="s">
        <v>28</v>
      </c>
      <c r="E275" s="815">
        <v>1</v>
      </c>
      <c r="F275" s="815">
        <f>D286</f>
        <v>4384.6000000000004</v>
      </c>
      <c r="G275" s="845">
        <f>TRUNC(F275*E275,2)</f>
        <v>4384.6000000000004</v>
      </c>
      <c r="H275" s="464"/>
    </row>
    <row r="276" spans="1:8" s="465" customFormat="1" ht="15.75" hidden="1">
      <c r="A276" s="464"/>
      <c r="B276" s="1283" t="s">
        <v>13469</v>
      </c>
      <c r="C276" s="1284"/>
      <c r="D276" s="1284"/>
      <c r="E276" s="1284"/>
      <c r="F276" s="1284"/>
      <c r="G276" s="1285"/>
      <c r="H276" s="464"/>
    </row>
    <row r="277" spans="1:8" s="465" customFormat="1" ht="30" hidden="1">
      <c r="A277" s="473" t="s">
        <v>13459</v>
      </c>
      <c r="B277" s="1059">
        <v>88243</v>
      </c>
      <c r="C277" s="475" t="s">
        <v>834</v>
      </c>
      <c r="D277" s="711" t="s">
        <v>753</v>
      </c>
      <c r="E277" s="815">
        <v>2.5</v>
      </c>
      <c r="F277" s="713">
        <v>19.12</v>
      </c>
      <c r="G277" s="750">
        <f>TRUNC(F277*E277,2)</f>
        <v>47.8</v>
      </c>
      <c r="H277" s="464"/>
    </row>
    <row r="278" spans="1:8" s="465" customFormat="1" ht="30.75" hidden="1" thickBot="1">
      <c r="A278" s="473" t="s">
        <v>13459</v>
      </c>
      <c r="B278" s="1039">
        <v>88279</v>
      </c>
      <c r="C278" s="484" t="s">
        <v>934</v>
      </c>
      <c r="D278" s="718" t="s">
        <v>753</v>
      </c>
      <c r="E278" s="816">
        <v>2.5</v>
      </c>
      <c r="F278" s="720">
        <v>21.83</v>
      </c>
      <c r="G278" s="755">
        <f>TRUNC(F278*E278,2)</f>
        <v>54.57</v>
      </c>
      <c r="H278" s="464"/>
    </row>
    <row r="279" spans="1:8" s="465" customFormat="1" ht="16.5" hidden="1" thickBot="1">
      <c r="A279" s="464"/>
      <c r="B279" s="1034" t="s">
        <v>14167</v>
      </c>
      <c r="C279" s="852"/>
      <c r="D279" s="852"/>
      <c r="E279" s="852"/>
      <c r="F279" s="1026" t="s">
        <v>22</v>
      </c>
      <c r="G279" s="1027">
        <f>SUM(G274:G278)</f>
        <v>4486.97</v>
      </c>
      <c r="H279" s="464"/>
    </row>
    <row r="280" spans="1:8" s="465" customFormat="1" ht="15.75" hidden="1">
      <c r="A280" s="464"/>
      <c r="B280" s="847"/>
      <c r="C280" s="847"/>
      <c r="D280" s="847"/>
      <c r="E280" s="847"/>
      <c r="F280" s="865"/>
      <c r="G280" s="952"/>
      <c r="H280" s="464"/>
    </row>
    <row r="281" spans="1:8" s="465" customFormat="1" ht="31.5" hidden="1">
      <c r="A281" s="464"/>
      <c r="B281" s="572"/>
      <c r="C281" s="607" t="s">
        <v>14182</v>
      </c>
      <c r="D281" s="574"/>
      <c r="E281" s="575"/>
      <c r="F281" s="1032" t="s">
        <v>28</v>
      </c>
      <c r="G281" s="1033" t="s">
        <v>28</v>
      </c>
      <c r="H281" s="1060" t="s">
        <v>13934</v>
      </c>
    </row>
    <row r="282" spans="1:8" s="465" customFormat="1" ht="31.5" hidden="1">
      <c r="A282" s="464"/>
      <c r="B282" s="578" t="s">
        <v>13502</v>
      </c>
      <c r="C282" s="579" t="s">
        <v>13503</v>
      </c>
      <c r="D282" s="580" t="s">
        <v>13504</v>
      </c>
      <c r="E282" s="581" t="s">
        <v>13505</v>
      </c>
      <c r="F282" s="582" t="s">
        <v>13506</v>
      </c>
      <c r="G282" s="583" t="s">
        <v>13507</v>
      </c>
      <c r="H282" s="464"/>
    </row>
    <row r="283" spans="1:8" s="458" customFormat="1" hidden="1">
      <c r="A283" s="457"/>
      <c r="B283" s="597">
        <v>43644</v>
      </c>
      <c r="C283" s="630" t="s">
        <v>14183</v>
      </c>
      <c r="D283" s="593">
        <v>4696.42</v>
      </c>
      <c r="E283" s="631" t="s">
        <v>14017</v>
      </c>
      <c r="F283" s="595" t="s">
        <v>14184</v>
      </c>
      <c r="G283" s="790" t="s">
        <v>14185</v>
      </c>
      <c r="H283"/>
    </row>
    <row r="284" spans="1:8" s="489" customFormat="1" hidden="1">
      <c r="B284" s="597">
        <v>43647</v>
      </c>
      <c r="C284" s="630" t="s">
        <v>13830</v>
      </c>
      <c r="D284" s="617">
        <v>4100</v>
      </c>
      <c r="E284" s="631" t="s">
        <v>13831</v>
      </c>
      <c r="F284" s="876" t="s">
        <v>13832</v>
      </c>
      <c r="G284" s="790" t="s">
        <v>14147</v>
      </c>
      <c r="H284"/>
    </row>
    <row r="285" spans="1:8" s="465" customFormat="1" ht="15.75" hidden="1">
      <c r="A285" s="464"/>
      <c r="B285" s="611">
        <v>43647</v>
      </c>
      <c r="C285" s="592" t="s">
        <v>13668</v>
      </c>
      <c r="D285" s="617">
        <v>4384.6000000000004</v>
      </c>
      <c r="E285" s="614" t="s">
        <v>14186</v>
      </c>
      <c r="F285" s="814" t="s">
        <v>13670</v>
      </c>
      <c r="G285" s="618" t="s">
        <v>14187</v>
      </c>
      <c r="H285"/>
    </row>
    <row r="286" spans="1:8" s="465" customFormat="1" ht="16.5" hidden="1" thickBot="1">
      <c r="A286" s="464"/>
      <c r="B286" s="598"/>
      <c r="C286" s="599" t="s">
        <v>13523</v>
      </c>
      <c r="D286" s="538">
        <f>IF(COUNT(D282:D285)=3,MEDIAN(D282:D285),SMALL(D283:D285,1))</f>
        <v>4384.6000000000004</v>
      </c>
      <c r="E286" s="600"/>
      <c r="F286" s="601"/>
      <c r="G286" s="602"/>
      <c r="H286" s="464"/>
    </row>
    <row r="287" spans="1:8" s="458" customFormat="1" ht="12.75" hidden="1">
      <c r="A287" s="457"/>
      <c r="H287" s="457"/>
    </row>
    <row r="288" spans="1:8" ht="45" hidden="1" customHeight="1">
      <c r="A288" s="464"/>
      <c r="B288" s="704" t="str">
        <f>IF(COUNT($H$8:H288)&lt;10,CONCATENATE("COMP INC 00",COUNT($H$8:H288)),CONCATENATE("COMP INC 0",COUNT($H$8:H288)))</f>
        <v>COMP INC 022</v>
      </c>
      <c r="C288" s="1257" t="str">
        <f>CONCATENATE("FORNECIMENTO E INSTALAÇÃO DE ",C292)</f>
        <v>FORNECIMENTO E INSTALAÇÃO DE CHAVE DE PARTIDA DIRETA TRIFASICA, COM CAIXA TERMOPLASTICA, COM FUSIVEL DE 25 A, PARA MOTOR COM POTENCIA DE 7,5 CV E TENSAO DE 380 V</v>
      </c>
      <c r="D288" s="1225"/>
      <c r="E288" s="1225"/>
      <c r="F288" s="1225"/>
      <c r="G288" s="705" t="s">
        <v>28</v>
      </c>
      <c r="H288" s="698">
        <f>G296</f>
        <v>620.32000000000005</v>
      </c>
    </row>
    <row r="289" spans="1:8" ht="31.5" hidden="1">
      <c r="A289" s="464"/>
      <c r="B289" s="469" t="s">
        <v>14119</v>
      </c>
      <c r="C289" s="707" t="s">
        <v>13464</v>
      </c>
      <c r="D289" s="470" t="s">
        <v>28</v>
      </c>
      <c r="E289" s="707" t="s">
        <v>13465</v>
      </c>
      <c r="F289" s="293" t="s">
        <v>13466</v>
      </c>
      <c r="G289" s="708" t="s">
        <v>13467</v>
      </c>
      <c r="H289" s="457"/>
    </row>
    <row r="290" spans="1:8" ht="15.75" hidden="1">
      <c r="A290" s="464"/>
      <c r="B290" s="1283" t="s">
        <v>13468</v>
      </c>
      <c r="C290" s="1284"/>
      <c r="D290" s="1284"/>
      <c r="E290" s="1284"/>
      <c r="F290" s="1284"/>
      <c r="G290" s="1285"/>
      <c r="H290" s="457"/>
    </row>
    <row r="291" spans="1:8" s="458" customFormat="1" ht="30" hidden="1">
      <c r="A291" s="1041" t="s">
        <v>13458</v>
      </c>
      <c r="B291" s="844">
        <v>39772</v>
      </c>
      <c r="C291" s="475" t="s">
        <v>7484</v>
      </c>
      <c r="D291" s="711" t="s">
        <v>6636</v>
      </c>
      <c r="E291" s="815">
        <v>1</v>
      </c>
      <c r="F291" s="713">
        <v>42.76</v>
      </c>
      <c r="G291" s="845">
        <f>TRUNC(F291*E291,2)</f>
        <v>42.76</v>
      </c>
      <c r="H291" s="457"/>
    </row>
    <row r="292" spans="1:8" s="458" customFormat="1" ht="45" hidden="1">
      <c r="A292" s="1041" t="s">
        <v>13458</v>
      </c>
      <c r="B292" s="844">
        <v>13354</v>
      </c>
      <c r="C292" s="475" t="s">
        <v>7736</v>
      </c>
      <c r="D292" s="711" t="s">
        <v>6636</v>
      </c>
      <c r="E292" s="815">
        <v>1</v>
      </c>
      <c r="F292" s="713">
        <v>504.7</v>
      </c>
      <c r="G292" s="845">
        <f>TRUNC(F292*E292,2)</f>
        <v>504.7</v>
      </c>
      <c r="H292" s="457"/>
    </row>
    <row r="293" spans="1:8" ht="15.75" hidden="1">
      <c r="A293" s="464"/>
      <c r="B293" s="1283" t="s">
        <v>13469</v>
      </c>
      <c r="C293" s="1284"/>
      <c r="D293" s="1284"/>
      <c r="E293" s="1284"/>
      <c r="F293" s="1284"/>
      <c r="G293" s="1285"/>
      <c r="H293" s="457"/>
    </row>
    <row r="294" spans="1:8" ht="15.75" hidden="1">
      <c r="A294" s="473" t="s">
        <v>13459</v>
      </c>
      <c r="B294" s="751">
        <v>88264</v>
      </c>
      <c r="C294" s="475" t="s">
        <v>771</v>
      </c>
      <c r="D294" s="711" t="s">
        <v>753</v>
      </c>
      <c r="E294" s="752">
        <v>2</v>
      </c>
      <c r="F294" s="713">
        <v>20.52</v>
      </c>
      <c r="G294" s="750">
        <f>TRUNC(F294*E294,2)</f>
        <v>41.04</v>
      </c>
      <c r="H294" s="457"/>
    </row>
    <row r="295" spans="1:8" ht="16.5" hidden="1" thickBot="1">
      <c r="A295" s="473" t="s">
        <v>13459</v>
      </c>
      <c r="B295" s="753">
        <v>88316</v>
      </c>
      <c r="C295" s="484" t="s">
        <v>761</v>
      </c>
      <c r="D295" s="718" t="s">
        <v>753</v>
      </c>
      <c r="E295" s="754">
        <v>2</v>
      </c>
      <c r="F295" s="720">
        <v>15.91</v>
      </c>
      <c r="G295" s="755">
        <f>TRUNC(F295*E295,2)</f>
        <v>31.82</v>
      </c>
      <c r="H295" s="457"/>
    </row>
    <row r="296" spans="1:8" ht="16.5" hidden="1" thickBot="1">
      <c r="A296" s="464"/>
      <c r="B296" s="1287" t="s">
        <v>14188</v>
      </c>
      <c r="C296" s="1287"/>
      <c r="D296" s="1287"/>
      <c r="E296" s="1287"/>
      <c r="F296" s="1026" t="s">
        <v>22</v>
      </c>
      <c r="G296" s="1027">
        <f>SUM(G290:G295)</f>
        <v>620.32000000000005</v>
      </c>
      <c r="H296" s="457"/>
    </row>
    <row r="297" spans="1:8" ht="15.75" hidden="1">
      <c r="A297" s="464"/>
      <c r="B297" s="852"/>
      <c r="C297" s="852"/>
      <c r="D297" s="852"/>
      <c r="E297" s="852"/>
      <c r="F297" s="852"/>
      <c r="G297" s="852"/>
      <c r="H297" s="457"/>
    </row>
    <row r="298" spans="1:8" ht="31.5" hidden="1" customHeight="1">
      <c r="A298" s="464"/>
      <c r="B298" s="704" t="str">
        <f>IF(COUNT($H$8:H298)&lt;10,CONCATENATE("COMP INC 00",COUNT($H$8:H298)),CONCATENATE("COMP INC 0",COUNT($H$8:H298)))</f>
        <v>COMP INC 023</v>
      </c>
      <c r="C298" s="1257" t="str">
        <f>CONCATENATE("FORNECIMENTO E INSTALAÇÃO DE ",C302)</f>
        <v>FORNECIMENTO E INSTALAÇÃO DE CHAVE DE PARTIDA DIRETA TRIFASICA, COM CAIXA TERMOPLASTICA, COM FUSIVEL DE 35 A, PARA MOTOR COM POTENCIA DE 5 CV E TENSAO DE 220 V</v>
      </c>
      <c r="D298" s="1225"/>
      <c r="E298" s="1225"/>
      <c r="F298" s="1225"/>
      <c r="G298" s="705" t="s">
        <v>28</v>
      </c>
      <c r="H298" s="698">
        <f>G306</f>
        <v>397.4</v>
      </c>
    </row>
    <row r="299" spans="1:8" ht="31.5" hidden="1">
      <c r="A299" s="464"/>
      <c r="B299" s="469" t="s">
        <v>14119</v>
      </c>
      <c r="C299" s="707" t="s">
        <v>13464</v>
      </c>
      <c r="D299" s="470" t="s">
        <v>28</v>
      </c>
      <c r="E299" s="707" t="s">
        <v>13465</v>
      </c>
      <c r="F299" s="293" t="s">
        <v>13466</v>
      </c>
      <c r="G299" s="708" t="s">
        <v>13467</v>
      </c>
      <c r="H299" s="457"/>
    </row>
    <row r="300" spans="1:8" ht="15.75" hidden="1">
      <c r="A300" s="464"/>
      <c r="B300" s="1283" t="s">
        <v>13468</v>
      </c>
      <c r="C300" s="1284"/>
      <c r="D300" s="1284"/>
      <c r="E300" s="1284"/>
      <c r="F300" s="1284"/>
      <c r="G300" s="1285"/>
      <c r="H300" s="457"/>
    </row>
    <row r="301" spans="1:8" s="458" customFormat="1" ht="30" hidden="1">
      <c r="A301" s="1041" t="s">
        <v>13458</v>
      </c>
      <c r="B301" s="844">
        <v>39772</v>
      </c>
      <c r="C301" s="475" t="s">
        <v>7484</v>
      </c>
      <c r="D301" s="711" t="s">
        <v>6636</v>
      </c>
      <c r="E301" s="815">
        <v>1</v>
      </c>
      <c r="F301" s="713">
        <v>42.76</v>
      </c>
      <c r="G301" s="845">
        <f>TRUNC(F301*E301,2)</f>
        <v>42.76</v>
      </c>
      <c r="H301" s="457"/>
    </row>
    <row r="302" spans="1:8" s="458" customFormat="1" ht="45" hidden="1">
      <c r="A302" s="1041" t="s">
        <v>13458</v>
      </c>
      <c r="B302" s="844">
        <v>14057</v>
      </c>
      <c r="C302" s="475" t="s">
        <v>7737</v>
      </c>
      <c r="D302" s="711" t="s">
        <v>6636</v>
      </c>
      <c r="E302" s="815">
        <v>1</v>
      </c>
      <c r="F302" s="713">
        <v>281.77999999999997</v>
      </c>
      <c r="G302" s="845">
        <f>TRUNC(F302*E302,2)</f>
        <v>281.77999999999997</v>
      </c>
      <c r="H302" s="457"/>
    </row>
    <row r="303" spans="1:8" ht="15.75" hidden="1">
      <c r="A303" s="464"/>
      <c r="B303" s="1283" t="s">
        <v>13469</v>
      </c>
      <c r="C303" s="1284"/>
      <c r="D303" s="1284"/>
      <c r="E303" s="1284"/>
      <c r="F303" s="1284"/>
      <c r="G303" s="1285"/>
      <c r="H303" s="457"/>
    </row>
    <row r="304" spans="1:8" ht="15.75" hidden="1">
      <c r="A304" s="473" t="s">
        <v>13459</v>
      </c>
      <c r="B304" s="751">
        <v>88264</v>
      </c>
      <c r="C304" s="475" t="s">
        <v>771</v>
      </c>
      <c r="D304" s="711" t="s">
        <v>753</v>
      </c>
      <c r="E304" s="752">
        <v>2</v>
      </c>
      <c r="F304" s="713">
        <v>20.52</v>
      </c>
      <c r="G304" s="750">
        <f>TRUNC(F304*E304,2)</f>
        <v>41.04</v>
      </c>
      <c r="H304" s="457"/>
    </row>
    <row r="305" spans="1:8" ht="16.5" hidden="1" thickBot="1">
      <c r="A305" s="473" t="s">
        <v>13459</v>
      </c>
      <c r="B305" s="753">
        <v>88316</v>
      </c>
      <c r="C305" s="484" t="s">
        <v>761</v>
      </c>
      <c r="D305" s="718" t="s">
        <v>753</v>
      </c>
      <c r="E305" s="754">
        <v>2</v>
      </c>
      <c r="F305" s="720">
        <v>15.91</v>
      </c>
      <c r="G305" s="755">
        <f>TRUNC(F305*E305,2)</f>
        <v>31.82</v>
      </c>
      <c r="H305" s="457"/>
    </row>
    <row r="306" spans="1:8" ht="16.5" hidden="1" thickBot="1">
      <c r="A306" s="464"/>
      <c r="B306" s="1287" t="s">
        <v>14189</v>
      </c>
      <c r="C306" s="1287"/>
      <c r="D306" s="1287"/>
      <c r="E306" s="1287"/>
      <c r="F306" s="1026" t="s">
        <v>22</v>
      </c>
      <c r="G306" s="1027">
        <f>SUM(G300:G305)</f>
        <v>397.4</v>
      </c>
      <c r="H306" s="457"/>
    </row>
    <row r="307" spans="1:8" s="458" customFormat="1" hidden="1">
      <c r="A307" s="464"/>
      <c r="B307" s="847"/>
      <c r="C307" s="847"/>
      <c r="D307" s="847"/>
      <c r="E307" s="847"/>
      <c r="F307" s="852"/>
      <c r="G307" s="852"/>
      <c r="H307" s="457"/>
    </row>
    <row r="308" spans="1:8" s="465" customFormat="1" ht="15.75" hidden="1">
      <c r="A308" s="464"/>
      <c r="B308" s="704" t="str">
        <f>IF(COUNT($H$8:H308)&lt;10,CONCATENATE("COMP INC 00",COUNT($H$8:H308)),CONCATENATE("COMP INC 0",COUNT($H$8:H308)))</f>
        <v>COMP INC 024</v>
      </c>
      <c r="C308" s="1257" t="str">
        <f>CONCATENATE("FORNECIMENTO E INSTALAÇÃO DE ",C312)</f>
        <v>FORNECIMENTO E INSTALAÇÃO DE CHAVE DE PARTIDA MOTOR 10CV</v>
      </c>
      <c r="D308" s="1225"/>
      <c r="E308" s="1225"/>
      <c r="F308" s="1225"/>
      <c r="G308" s="705" t="s">
        <v>28</v>
      </c>
      <c r="H308" s="570">
        <f>G316</f>
        <v>4509.26</v>
      </c>
    </row>
    <row r="309" spans="1:8" s="465" customFormat="1" ht="31.5" hidden="1">
      <c r="A309" s="464"/>
      <c r="B309" s="469" t="s">
        <v>14119</v>
      </c>
      <c r="C309" s="707" t="s">
        <v>13464</v>
      </c>
      <c r="D309" s="470" t="s">
        <v>28</v>
      </c>
      <c r="E309" s="707" t="s">
        <v>13465</v>
      </c>
      <c r="F309" s="293" t="s">
        <v>13466</v>
      </c>
      <c r="G309" s="708" t="s">
        <v>13467</v>
      </c>
      <c r="H309" s="464"/>
    </row>
    <row r="310" spans="1:8" s="465" customFormat="1" ht="15.75" hidden="1">
      <c r="A310" s="464"/>
      <c r="B310" s="1283" t="s">
        <v>13468</v>
      </c>
      <c r="C310" s="1284"/>
      <c r="D310" s="1284"/>
      <c r="E310" s="1284"/>
      <c r="F310" s="1284"/>
      <c r="G310" s="1285"/>
      <c r="H310" s="464"/>
    </row>
    <row r="311" spans="1:8" s="458" customFormat="1" ht="30" hidden="1">
      <c r="A311" s="1041" t="s">
        <v>13458</v>
      </c>
      <c r="B311" s="844">
        <v>39772</v>
      </c>
      <c r="C311" s="475" t="s">
        <v>7484</v>
      </c>
      <c r="D311" s="711" t="s">
        <v>6636</v>
      </c>
      <c r="E311" s="815">
        <v>1</v>
      </c>
      <c r="F311" s="713">
        <v>42.76</v>
      </c>
      <c r="G311" s="845">
        <f>TRUNC(F311*E311,2)</f>
        <v>42.76</v>
      </c>
      <c r="H311" s="457"/>
    </row>
    <row r="312" spans="1:8" s="465" customFormat="1" hidden="1">
      <c r="A312" s="464"/>
      <c r="B312" s="862" t="s">
        <v>13497</v>
      </c>
      <c r="C312" s="1040" t="str">
        <f>C318</f>
        <v>CHAVE DE PARTIDA MOTOR 10CV</v>
      </c>
      <c r="D312" s="864" t="s">
        <v>28</v>
      </c>
      <c r="E312" s="815">
        <v>1</v>
      </c>
      <c r="F312" s="815">
        <f>D323</f>
        <v>4384.6000000000004</v>
      </c>
      <c r="G312" s="845">
        <f>TRUNC(F312*E312,2)</f>
        <v>4384.6000000000004</v>
      </c>
      <c r="H312" s="464"/>
    </row>
    <row r="313" spans="1:8" s="465" customFormat="1" ht="15.75" hidden="1">
      <c r="A313" s="464"/>
      <c r="B313" s="1283" t="s">
        <v>13469</v>
      </c>
      <c r="C313" s="1284"/>
      <c r="D313" s="1284"/>
      <c r="E313" s="1284"/>
      <c r="F313" s="1284"/>
      <c r="G313" s="1285"/>
      <c r="H313" s="464"/>
    </row>
    <row r="314" spans="1:8" s="465" customFormat="1" ht="30" hidden="1">
      <c r="A314" s="473" t="s">
        <v>13459</v>
      </c>
      <c r="B314" s="1059">
        <v>88243</v>
      </c>
      <c r="C314" s="475" t="s">
        <v>834</v>
      </c>
      <c r="D314" s="711" t="s">
        <v>753</v>
      </c>
      <c r="E314" s="815">
        <v>2</v>
      </c>
      <c r="F314" s="713">
        <v>19.12</v>
      </c>
      <c r="G314" s="750">
        <f>TRUNC(F314*E314,2)</f>
        <v>38.24</v>
      </c>
      <c r="H314" s="464"/>
    </row>
    <row r="315" spans="1:8" s="465" customFormat="1" ht="30.75" hidden="1" thickBot="1">
      <c r="A315" s="473" t="s">
        <v>13459</v>
      </c>
      <c r="B315" s="1039">
        <v>88279</v>
      </c>
      <c r="C315" s="484" t="s">
        <v>934</v>
      </c>
      <c r="D315" s="718" t="s">
        <v>753</v>
      </c>
      <c r="E315" s="816">
        <v>2</v>
      </c>
      <c r="F315" s="720">
        <v>21.83</v>
      </c>
      <c r="G315" s="755">
        <f>TRUNC(F315*E315,2)</f>
        <v>43.66</v>
      </c>
      <c r="H315" s="464"/>
    </row>
    <row r="316" spans="1:8" s="465" customFormat="1" ht="16.5" hidden="1" thickBot="1">
      <c r="A316" s="464"/>
      <c r="B316" s="1034" t="s">
        <v>14190</v>
      </c>
      <c r="C316" s="852"/>
      <c r="D316" s="852"/>
      <c r="E316" s="852"/>
      <c r="F316" s="1026" t="s">
        <v>22</v>
      </c>
      <c r="G316" s="1027">
        <f>SUM(G310:G315)</f>
        <v>4509.26</v>
      </c>
      <c r="H316" s="464"/>
    </row>
    <row r="317" spans="1:8" s="465" customFormat="1" ht="15.75" hidden="1">
      <c r="A317" s="464"/>
      <c r="B317" s="847"/>
      <c r="C317" s="847"/>
      <c r="D317" s="847"/>
      <c r="E317" s="847"/>
      <c r="F317" s="865"/>
      <c r="G317" s="952"/>
      <c r="H317" s="464"/>
    </row>
    <row r="318" spans="1:8" s="465" customFormat="1" ht="15.75" hidden="1">
      <c r="A318" s="464"/>
      <c r="B318" s="572"/>
      <c r="C318" s="607" t="s">
        <v>14191</v>
      </c>
      <c r="D318" s="574"/>
      <c r="E318" s="575"/>
      <c r="F318" s="1032" t="s">
        <v>28</v>
      </c>
      <c r="G318" s="1033" t="s">
        <v>28</v>
      </c>
      <c r="H318" s="1060" t="s">
        <v>13934</v>
      </c>
    </row>
    <row r="319" spans="1:8" s="465" customFormat="1" ht="31.5" hidden="1">
      <c r="A319" s="464"/>
      <c r="B319" s="578" t="s">
        <v>13502</v>
      </c>
      <c r="C319" s="579" t="s">
        <v>13503</v>
      </c>
      <c r="D319" s="580" t="s">
        <v>13504</v>
      </c>
      <c r="E319" s="581" t="s">
        <v>13505</v>
      </c>
      <c r="F319" s="582" t="s">
        <v>13506</v>
      </c>
      <c r="G319" s="583" t="s">
        <v>13507</v>
      </c>
      <c r="H319" s="464"/>
    </row>
    <row r="320" spans="1:8" s="458" customFormat="1" hidden="1">
      <c r="A320" s="457"/>
      <c r="B320" s="611">
        <v>43644</v>
      </c>
      <c r="C320" s="592" t="s">
        <v>14183</v>
      </c>
      <c r="D320" s="617">
        <v>4696.42</v>
      </c>
      <c r="E320" s="614" t="s">
        <v>14017</v>
      </c>
      <c r="F320" s="1061" t="s">
        <v>14184</v>
      </c>
      <c r="G320" s="618" t="s">
        <v>14192</v>
      </c>
      <c r="H320"/>
    </row>
    <row r="321" spans="1:8" s="489" customFormat="1" hidden="1">
      <c r="B321" s="611">
        <v>43647</v>
      </c>
      <c r="C321" s="592" t="s">
        <v>13830</v>
      </c>
      <c r="D321" s="617">
        <v>4100</v>
      </c>
      <c r="E321" s="652" t="s">
        <v>13831</v>
      </c>
      <c r="F321" s="1061" t="s">
        <v>13832</v>
      </c>
      <c r="G321" s="618" t="s">
        <v>14147</v>
      </c>
      <c r="H321"/>
    </row>
    <row r="322" spans="1:8" s="465" customFormat="1" ht="15.75" hidden="1">
      <c r="A322" s="464"/>
      <c r="B322" s="885">
        <v>43647</v>
      </c>
      <c r="C322" s="592" t="s">
        <v>13668</v>
      </c>
      <c r="D322" s="617">
        <v>4384.6000000000004</v>
      </c>
      <c r="E322" s="652" t="s">
        <v>14186</v>
      </c>
      <c r="F322" s="814" t="s">
        <v>13670</v>
      </c>
      <c r="G322" s="618" t="s">
        <v>14187</v>
      </c>
      <c r="H322"/>
    </row>
    <row r="323" spans="1:8" s="465" customFormat="1" ht="16.5" hidden="1" thickBot="1">
      <c r="A323" s="464"/>
      <c r="B323" s="598"/>
      <c r="C323" s="599" t="s">
        <v>13523</v>
      </c>
      <c r="D323" s="538">
        <f>IF(COUNT(D319:D322)=3,MEDIAN(D319:D322),SMALL(D320:D322,1))</f>
        <v>4384.6000000000004</v>
      </c>
      <c r="E323" s="600"/>
      <c r="F323" s="601"/>
      <c r="G323" s="602"/>
      <c r="H323" s="464"/>
    </row>
    <row r="324" spans="1:8" ht="15.75" hidden="1">
      <c r="A324" s="464"/>
      <c r="B324" s="852"/>
      <c r="C324" s="852"/>
      <c r="D324" s="852"/>
      <c r="E324" s="852"/>
      <c r="F324" s="852"/>
      <c r="G324" s="852"/>
      <c r="H324" s="457"/>
    </row>
    <row r="325" spans="1:8" s="458" customFormat="1" ht="15.75" hidden="1">
      <c r="A325" s="464"/>
      <c r="B325" s="704" t="str">
        <f>IF(COUNT($H$8:H325)&lt;10,CONCATENATE("COMP INC 00",COUNT($H$8:H325)),CONCATENATE("COMP INC 0",COUNT($H$8:H325)))</f>
        <v>COMP INC 025</v>
      </c>
      <c r="C325" s="1257" t="str">
        <f>CONCATENATE("FORNECIMENTO E INSTALAÇÃO DE ",C328)</f>
        <v>FORNECIMENTO E INSTALAÇÃO DE EXTINTOR PORTÁTIL PÓ QUIMICO 8KG</v>
      </c>
      <c r="D325" s="1225"/>
      <c r="E325" s="1225"/>
      <c r="F325" s="1225"/>
      <c r="G325" s="705" t="s">
        <v>28</v>
      </c>
      <c r="H325" s="698">
        <f>G331</f>
        <v>146.59</v>
      </c>
    </row>
    <row r="326" spans="1:8" s="458" customFormat="1" ht="31.5" hidden="1">
      <c r="A326" s="464"/>
      <c r="B326" s="469" t="s">
        <v>14119</v>
      </c>
      <c r="C326" s="707" t="s">
        <v>13464</v>
      </c>
      <c r="D326" s="470" t="s">
        <v>28</v>
      </c>
      <c r="E326" s="707" t="s">
        <v>13465</v>
      </c>
      <c r="F326" s="293" t="s">
        <v>13466</v>
      </c>
      <c r="G326" s="708" t="s">
        <v>13467</v>
      </c>
      <c r="H326" s="457"/>
    </row>
    <row r="327" spans="1:8" s="458" customFormat="1" ht="15.75" hidden="1">
      <c r="A327" s="464"/>
      <c r="B327" s="1283" t="s">
        <v>13468</v>
      </c>
      <c r="C327" s="1284"/>
      <c r="D327" s="1284"/>
      <c r="E327" s="1284"/>
      <c r="F327" s="1284"/>
      <c r="G327" s="1285"/>
      <c r="H327" s="457"/>
    </row>
    <row r="328" spans="1:8" s="458" customFormat="1" ht="15.75" hidden="1">
      <c r="A328" s="1041" t="s">
        <v>13458</v>
      </c>
      <c r="B328" s="844" t="s">
        <v>13497</v>
      </c>
      <c r="C328" s="475" t="str">
        <f>C333</f>
        <v>EXTINTOR PORTÁTIL PÓ QUIMICO 8KG</v>
      </c>
      <c r="D328" s="1062" t="str">
        <f>G333</f>
        <v>UN</v>
      </c>
      <c r="E328" s="815">
        <v>1</v>
      </c>
      <c r="F328" s="713">
        <f>D338</f>
        <v>145</v>
      </c>
      <c r="G328" s="845">
        <f>TRUNC(F328*E328,2)</f>
        <v>145</v>
      </c>
      <c r="H328" s="457"/>
    </row>
    <row r="329" spans="1:8" s="458" customFormat="1" ht="15.75" hidden="1">
      <c r="A329" s="464"/>
      <c r="B329" s="1283" t="s">
        <v>13469</v>
      </c>
      <c r="C329" s="1284"/>
      <c r="D329" s="1284"/>
      <c r="E329" s="1284"/>
      <c r="F329" s="1284"/>
      <c r="G329" s="1285"/>
      <c r="H329" s="457"/>
    </row>
    <row r="330" spans="1:8" s="458" customFormat="1" ht="16.5" hidden="1" thickBot="1">
      <c r="A330" s="473" t="s">
        <v>13459</v>
      </c>
      <c r="B330" s="753">
        <v>88316</v>
      </c>
      <c r="C330" s="484" t="s">
        <v>761</v>
      </c>
      <c r="D330" s="718" t="s">
        <v>753</v>
      </c>
      <c r="E330" s="754">
        <v>0.1</v>
      </c>
      <c r="F330" s="720">
        <v>15.91</v>
      </c>
      <c r="G330" s="755">
        <f>TRUNC(F330*E330,2)</f>
        <v>1.59</v>
      </c>
      <c r="H330" s="457"/>
    </row>
    <row r="331" spans="1:8" s="458" customFormat="1" ht="16.5" hidden="1" thickBot="1">
      <c r="A331" s="464"/>
      <c r="B331" s="1287" t="s">
        <v>14193</v>
      </c>
      <c r="C331" s="1287"/>
      <c r="D331" s="1287"/>
      <c r="E331" s="1287"/>
      <c r="F331" s="1026" t="s">
        <v>22</v>
      </c>
      <c r="G331" s="1027">
        <f>SUM(G327:G330)</f>
        <v>146.59</v>
      </c>
      <c r="H331" s="457"/>
    </row>
    <row r="332" spans="1:8" hidden="1">
      <c r="A332" s="457"/>
      <c r="B332" s="458"/>
      <c r="C332" s="458"/>
      <c r="D332" s="458"/>
      <c r="E332" s="458"/>
      <c r="F332" s="458"/>
      <c r="G332" s="458"/>
      <c r="H332" s="457"/>
    </row>
    <row r="333" spans="1:8" s="465" customFormat="1" ht="15.75" hidden="1">
      <c r="A333" s="464"/>
      <c r="B333" s="572"/>
      <c r="C333" s="607" t="s">
        <v>14194</v>
      </c>
      <c r="D333" s="574"/>
      <c r="E333" s="575"/>
      <c r="F333" s="1032"/>
      <c r="G333" s="1033" t="s">
        <v>28</v>
      </c>
      <c r="H333" s="1060" t="s">
        <v>13934</v>
      </c>
    </row>
    <row r="334" spans="1:8" s="465" customFormat="1" ht="31.5" hidden="1">
      <c r="A334" s="464"/>
      <c r="B334" s="578" t="s">
        <v>13502</v>
      </c>
      <c r="C334" s="579" t="s">
        <v>13503</v>
      </c>
      <c r="D334" s="580" t="s">
        <v>13504</v>
      </c>
      <c r="E334" s="581" t="s">
        <v>13505</v>
      </c>
      <c r="F334" s="582" t="s">
        <v>13506</v>
      </c>
      <c r="G334" s="583" t="s">
        <v>13507</v>
      </c>
      <c r="H334" s="464"/>
    </row>
    <row r="335" spans="1:8" s="458" customFormat="1" hidden="1">
      <c r="A335" s="457"/>
      <c r="B335" s="597">
        <v>43567</v>
      </c>
      <c r="C335" s="630" t="s">
        <v>14195</v>
      </c>
      <c r="D335" s="593">
        <v>160</v>
      </c>
      <c r="E335" s="631" t="s">
        <v>14196</v>
      </c>
      <c r="F335" s="595" t="s">
        <v>14197</v>
      </c>
      <c r="G335" s="790" t="s">
        <v>14198</v>
      </c>
      <c r="H335"/>
    </row>
    <row r="336" spans="1:8" s="489" customFormat="1" hidden="1">
      <c r="B336" s="597">
        <v>43567</v>
      </c>
      <c r="C336" s="630" t="s">
        <v>14199</v>
      </c>
      <c r="D336" s="617">
        <v>110</v>
      </c>
      <c r="E336" s="631" t="s">
        <v>14200</v>
      </c>
      <c r="F336" s="876" t="s">
        <v>14201</v>
      </c>
      <c r="G336" s="790" t="s">
        <v>14202</v>
      </c>
      <c r="H336"/>
    </row>
    <row r="337" spans="1:8" s="465" customFormat="1" ht="15.75" hidden="1">
      <c r="A337" s="464"/>
      <c r="B337" s="611">
        <v>43581</v>
      </c>
      <c r="C337" s="592" t="s">
        <v>14125</v>
      </c>
      <c r="D337" s="617">
        <v>145</v>
      </c>
      <c r="E337" s="614" t="s">
        <v>14126</v>
      </c>
      <c r="F337" s="814" t="s">
        <v>14127</v>
      </c>
      <c r="G337" s="618" t="s">
        <v>14128</v>
      </c>
      <c r="H337"/>
    </row>
    <row r="338" spans="1:8" s="465" customFormat="1" ht="16.5" hidden="1" thickBot="1">
      <c r="A338" s="464"/>
      <c r="B338" s="598"/>
      <c r="C338" s="599" t="s">
        <v>13523</v>
      </c>
      <c r="D338" s="538">
        <f>IF(COUNT(D334:D337)=3,MEDIAN(D334:D337),SMALL(D335:D337,1))</f>
        <v>145</v>
      </c>
      <c r="E338" s="600"/>
      <c r="F338" s="601"/>
      <c r="G338" s="602"/>
      <c r="H338"/>
    </row>
    <row r="339" spans="1:8" hidden="1">
      <c r="A339" s="457"/>
      <c r="B339" s="458"/>
      <c r="C339" s="458"/>
      <c r="D339" s="458"/>
      <c r="E339" s="458"/>
      <c r="F339" s="458"/>
      <c r="G339" s="458"/>
      <c r="H339" s="457"/>
    </row>
    <row r="340" spans="1:8" s="458" customFormat="1" ht="15.75" hidden="1">
      <c r="A340" s="464"/>
      <c r="B340" s="704" t="str">
        <f>IF(COUNT($H$8:H340)&lt;10,CONCATENATE("COMP INC 00",COUNT($H$8:H340)),CONCATENATE("COMP INC 0",COUNT($H$8:H340)))</f>
        <v>COMP INC 026</v>
      </c>
      <c r="C340" s="1257" t="str">
        <f>CONCATENATE("FORNECIMENTO E INSTALAÇÃO DE ",C343)</f>
        <v>FORNECIMENTO E INSTALAÇÃO DE EXTINTOR PORTÁTIL ESPUMA MECÂNICA 10L</v>
      </c>
      <c r="D340" s="1225"/>
      <c r="E340" s="1225"/>
      <c r="F340" s="1225"/>
      <c r="G340" s="705" t="s">
        <v>28</v>
      </c>
      <c r="H340" s="698">
        <f>G346</f>
        <v>471.59</v>
      </c>
    </row>
    <row r="341" spans="1:8" s="458" customFormat="1" ht="31.5" hidden="1">
      <c r="A341" s="464"/>
      <c r="B341" s="469" t="s">
        <v>14119</v>
      </c>
      <c r="C341" s="707" t="s">
        <v>13464</v>
      </c>
      <c r="D341" s="470" t="s">
        <v>28</v>
      </c>
      <c r="E341" s="707" t="s">
        <v>13465</v>
      </c>
      <c r="F341" s="293" t="s">
        <v>13466</v>
      </c>
      <c r="G341" s="708" t="s">
        <v>13467</v>
      </c>
      <c r="H341" s="457"/>
    </row>
    <row r="342" spans="1:8" s="458" customFormat="1" ht="15.75" hidden="1">
      <c r="A342" s="464"/>
      <c r="B342" s="1283" t="s">
        <v>13468</v>
      </c>
      <c r="C342" s="1284"/>
      <c r="D342" s="1284"/>
      <c r="E342" s="1284"/>
      <c r="F342" s="1284"/>
      <c r="G342" s="1285"/>
      <c r="H342" s="457"/>
    </row>
    <row r="343" spans="1:8" s="458" customFormat="1" ht="15.75" hidden="1">
      <c r="A343" s="1041" t="s">
        <v>13458</v>
      </c>
      <c r="B343" s="844" t="s">
        <v>13497</v>
      </c>
      <c r="C343" s="475" t="str">
        <f>C348</f>
        <v>EXTINTOR PORTÁTIL ESPUMA MECÂNICA 10L</v>
      </c>
      <c r="D343" s="1062" t="str">
        <f>G348</f>
        <v>UN</v>
      </c>
      <c r="E343" s="815">
        <v>1</v>
      </c>
      <c r="F343" s="713">
        <f>D353</f>
        <v>470</v>
      </c>
      <c r="G343" s="845">
        <f>TRUNC(F343*E343,2)</f>
        <v>470</v>
      </c>
      <c r="H343" s="457"/>
    </row>
    <row r="344" spans="1:8" s="458" customFormat="1" ht="15.75" hidden="1">
      <c r="A344" s="464"/>
      <c r="B344" s="1283" t="s">
        <v>13469</v>
      </c>
      <c r="C344" s="1284"/>
      <c r="D344" s="1284"/>
      <c r="E344" s="1284"/>
      <c r="F344" s="1284"/>
      <c r="G344" s="1285"/>
      <c r="H344" s="457"/>
    </row>
    <row r="345" spans="1:8" s="458" customFormat="1" ht="16.5" hidden="1" thickBot="1">
      <c r="A345" s="473" t="s">
        <v>13459</v>
      </c>
      <c r="B345" s="753">
        <v>88316</v>
      </c>
      <c r="C345" s="484" t="s">
        <v>761</v>
      </c>
      <c r="D345" s="718" t="s">
        <v>753</v>
      </c>
      <c r="E345" s="754">
        <v>0.1</v>
      </c>
      <c r="F345" s="720">
        <v>15.91</v>
      </c>
      <c r="G345" s="755">
        <f>TRUNC(F345*E345,2)</f>
        <v>1.59</v>
      </c>
      <c r="H345" s="457"/>
    </row>
    <row r="346" spans="1:8" s="458" customFormat="1" ht="16.5" hidden="1" thickBot="1">
      <c r="A346" s="464"/>
      <c r="B346" s="1287" t="s">
        <v>14193</v>
      </c>
      <c r="C346" s="1287"/>
      <c r="D346" s="1287"/>
      <c r="E346" s="1287"/>
      <c r="F346" s="1026" t="s">
        <v>22</v>
      </c>
      <c r="G346" s="1027">
        <f>SUM(G342:G345)</f>
        <v>471.59</v>
      </c>
      <c r="H346" s="457"/>
    </row>
    <row r="347" spans="1:8" s="458" customFormat="1" ht="12.75" hidden="1">
      <c r="A347" s="457"/>
      <c r="H347" s="457"/>
    </row>
    <row r="348" spans="1:8" s="465" customFormat="1" ht="15.75" hidden="1">
      <c r="A348" s="464"/>
      <c r="B348" s="572"/>
      <c r="C348" s="607" t="s">
        <v>14203</v>
      </c>
      <c r="D348" s="574"/>
      <c r="E348" s="575"/>
      <c r="F348" s="1032"/>
      <c r="G348" s="1033" t="s">
        <v>28</v>
      </c>
      <c r="H348" s="1060" t="s">
        <v>13934</v>
      </c>
    </row>
    <row r="349" spans="1:8" s="465" customFormat="1" ht="31.5" hidden="1">
      <c r="A349" s="464"/>
      <c r="B349" s="578" t="s">
        <v>13502</v>
      </c>
      <c r="C349" s="579" t="s">
        <v>13503</v>
      </c>
      <c r="D349" s="580" t="s">
        <v>13504</v>
      </c>
      <c r="E349" s="581" t="s">
        <v>13505</v>
      </c>
      <c r="F349" s="582" t="s">
        <v>13506</v>
      </c>
      <c r="G349" s="583" t="s">
        <v>13507</v>
      </c>
      <c r="H349" s="464"/>
    </row>
    <row r="350" spans="1:8" s="458" customFormat="1" hidden="1">
      <c r="A350" s="457"/>
      <c r="B350" s="597">
        <v>43567</v>
      </c>
      <c r="C350" s="630" t="s">
        <v>14195</v>
      </c>
      <c r="D350" s="593">
        <v>550</v>
      </c>
      <c r="E350" s="631" t="s">
        <v>14196</v>
      </c>
      <c r="F350" s="595" t="s">
        <v>14197</v>
      </c>
      <c r="G350" s="790" t="s">
        <v>14198</v>
      </c>
      <c r="H350"/>
    </row>
    <row r="351" spans="1:8" s="489" customFormat="1" hidden="1">
      <c r="B351" s="597">
        <v>43567</v>
      </c>
      <c r="C351" s="630" t="s">
        <v>14199</v>
      </c>
      <c r="D351" s="617">
        <v>410</v>
      </c>
      <c r="E351" s="631" t="s">
        <v>14200</v>
      </c>
      <c r="F351" s="876" t="s">
        <v>14201</v>
      </c>
      <c r="G351" s="790" t="s">
        <v>14202</v>
      </c>
      <c r="H351"/>
    </row>
    <row r="352" spans="1:8" s="465" customFormat="1" ht="15.75" hidden="1">
      <c r="A352" s="464"/>
      <c r="B352" s="611">
        <v>43391</v>
      </c>
      <c r="C352" s="592" t="s">
        <v>14125</v>
      </c>
      <c r="D352" s="617">
        <v>470</v>
      </c>
      <c r="E352" s="614" t="s">
        <v>14126</v>
      </c>
      <c r="F352" s="814" t="s">
        <v>14127</v>
      </c>
      <c r="G352" s="618" t="s">
        <v>14204</v>
      </c>
      <c r="H352"/>
    </row>
    <row r="353" spans="1:8" s="465" customFormat="1" ht="16.5" hidden="1" thickBot="1">
      <c r="A353" s="464"/>
      <c r="B353" s="598"/>
      <c r="C353" s="599" t="s">
        <v>13523</v>
      </c>
      <c r="D353" s="538">
        <f>IF(COUNT(D349:D352)=3,MEDIAN(D349:D352),SMALL(D350:D352,1))</f>
        <v>470</v>
      </c>
      <c r="E353" s="600"/>
      <c r="F353" s="601"/>
      <c r="G353" s="602"/>
      <c r="H353"/>
    </row>
    <row r="354" spans="1:8" hidden="1">
      <c r="A354" s="457"/>
      <c r="B354" s="458"/>
      <c r="C354" s="458"/>
      <c r="D354" s="458"/>
      <c r="E354" s="458"/>
      <c r="F354" s="458"/>
      <c r="G354" s="458"/>
      <c r="H354" s="457"/>
    </row>
    <row r="355" spans="1:8" s="458" customFormat="1" ht="15.75" hidden="1">
      <c r="A355" s="464"/>
      <c r="B355" s="704" t="str">
        <f>IF(COUNT($H$8:H355)&lt;10,CONCATENATE("COMP INC 00",COUNT($H$8:H355)),CONCATENATE("COMP INC 0",COUNT($H$8:H355)))</f>
        <v>COMP INC 027</v>
      </c>
      <c r="C355" s="1257" t="str">
        <f>CONCATENATE("FORNECIMENTO E INSTALAÇÃO DE ",C358)</f>
        <v>FORNECIMENTO E INSTALAÇÃO DE EXTINTOR SOBRE RODAS DE ESPUMA MECÂNICA 50L</v>
      </c>
      <c r="D355" s="1225"/>
      <c r="E355" s="1225"/>
      <c r="F355" s="1225"/>
      <c r="G355" s="705" t="s">
        <v>28</v>
      </c>
      <c r="H355" s="698">
        <f>G361</f>
        <v>5215.59</v>
      </c>
    </row>
    <row r="356" spans="1:8" s="458" customFormat="1" ht="31.5" hidden="1">
      <c r="A356" s="464"/>
      <c r="B356" s="469" t="s">
        <v>14119</v>
      </c>
      <c r="C356" s="707" t="s">
        <v>13464</v>
      </c>
      <c r="D356" s="470" t="s">
        <v>28</v>
      </c>
      <c r="E356" s="707" t="s">
        <v>13465</v>
      </c>
      <c r="F356" s="293" t="s">
        <v>13466</v>
      </c>
      <c r="G356" s="708" t="s">
        <v>13467</v>
      </c>
      <c r="H356" s="457"/>
    </row>
    <row r="357" spans="1:8" s="458" customFormat="1" ht="15.75" hidden="1">
      <c r="A357" s="464"/>
      <c r="B357" s="1283" t="s">
        <v>13468</v>
      </c>
      <c r="C357" s="1284"/>
      <c r="D357" s="1284"/>
      <c r="E357" s="1284"/>
      <c r="F357" s="1284"/>
      <c r="G357" s="1285"/>
      <c r="H357" s="457"/>
    </row>
    <row r="358" spans="1:8" s="458" customFormat="1" ht="15.75" hidden="1">
      <c r="A358" s="1041" t="s">
        <v>13458</v>
      </c>
      <c r="B358" s="844" t="s">
        <v>13497</v>
      </c>
      <c r="C358" s="475" t="str">
        <f>C363</f>
        <v>EXTINTOR SOBRE RODAS DE ESPUMA MECÂNICA 50L</v>
      </c>
      <c r="D358" s="1062" t="str">
        <f>G363</f>
        <v>UN</v>
      </c>
      <c r="E358" s="815">
        <v>1</v>
      </c>
      <c r="F358" s="713">
        <f>D368</f>
        <v>5214</v>
      </c>
      <c r="G358" s="845">
        <f>TRUNC(F358*E358,2)</f>
        <v>5214</v>
      </c>
      <c r="H358" s="457"/>
    </row>
    <row r="359" spans="1:8" s="458" customFormat="1" ht="15.75" hidden="1">
      <c r="A359" s="464"/>
      <c r="B359" s="1283" t="s">
        <v>13469</v>
      </c>
      <c r="C359" s="1284"/>
      <c r="D359" s="1284"/>
      <c r="E359" s="1284"/>
      <c r="F359" s="1284"/>
      <c r="G359" s="1285"/>
      <c r="H359" s="457"/>
    </row>
    <row r="360" spans="1:8" s="458" customFormat="1" ht="16.5" hidden="1" thickBot="1">
      <c r="A360" s="473" t="s">
        <v>13459</v>
      </c>
      <c r="B360" s="753">
        <v>88316</v>
      </c>
      <c r="C360" s="484" t="s">
        <v>761</v>
      </c>
      <c r="D360" s="718" t="s">
        <v>753</v>
      </c>
      <c r="E360" s="754">
        <v>0.1</v>
      </c>
      <c r="F360" s="720">
        <v>15.91</v>
      </c>
      <c r="G360" s="755">
        <f>TRUNC(F360*E360,2)</f>
        <v>1.59</v>
      </c>
      <c r="H360" s="457"/>
    </row>
    <row r="361" spans="1:8" s="458" customFormat="1" ht="16.5" hidden="1" thickBot="1">
      <c r="A361" s="464"/>
      <c r="B361" s="1287" t="s">
        <v>14193</v>
      </c>
      <c r="C361" s="1287"/>
      <c r="D361" s="1287"/>
      <c r="E361" s="1287"/>
      <c r="F361" s="1026" t="s">
        <v>22</v>
      </c>
      <c r="G361" s="1027">
        <f>SUM(G357:G360)</f>
        <v>5215.59</v>
      </c>
      <c r="H361" s="457"/>
    </row>
    <row r="362" spans="1:8" s="458" customFormat="1" ht="12.75" hidden="1">
      <c r="A362" s="457"/>
      <c r="H362" s="457"/>
    </row>
    <row r="363" spans="1:8" s="465" customFormat="1" ht="15.75" hidden="1">
      <c r="A363" s="464"/>
      <c r="B363" s="572"/>
      <c r="C363" s="607" t="s">
        <v>14205</v>
      </c>
      <c r="D363" s="574"/>
      <c r="E363" s="575"/>
      <c r="F363" s="1032"/>
      <c r="G363" s="1033" t="s">
        <v>28</v>
      </c>
      <c r="H363" s="1060" t="s">
        <v>13934</v>
      </c>
    </row>
    <row r="364" spans="1:8" s="465" customFormat="1" ht="31.5" hidden="1">
      <c r="A364" s="464"/>
      <c r="B364" s="578" t="s">
        <v>13502</v>
      </c>
      <c r="C364" s="579" t="s">
        <v>13503</v>
      </c>
      <c r="D364" s="580" t="s">
        <v>13504</v>
      </c>
      <c r="E364" s="581" t="s">
        <v>13505</v>
      </c>
      <c r="F364" s="582" t="s">
        <v>13506</v>
      </c>
      <c r="G364" s="583" t="s">
        <v>13507</v>
      </c>
      <c r="H364" s="464"/>
    </row>
    <row r="365" spans="1:8" s="458" customFormat="1" hidden="1">
      <c r="A365" s="457"/>
      <c r="B365" s="597">
        <v>43567</v>
      </c>
      <c r="C365" s="630" t="s">
        <v>14195</v>
      </c>
      <c r="D365" s="593">
        <v>5700</v>
      </c>
      <c r="E365" s="631" t="s">
        <v>14196</v>
      </c>
      <c r="F365" s="595" t="s">
        <v>14197</v>
      </c>
      <c r="G365" s="790" t="s">
        <v>14198</v>
      </c>
      <c r="H365"/>
    </row>
    <row r="366" spans="1:8" s="489" customFormat="1" hidden="1">
      <c r="B366" s="597">
        <v>43567</v>
      </c>
      <c r="C366" s="630" t="s">
        <v>14199</v>
      </c>
      <c r="D366" s="617">
        <v>5214</v>
      </c>
      <c r="E366" s="631" t="s">
        <v>14200</v>
      </c>
      <c r="F366" s="876" t="s">
        <v>14201</v>
      </c>
      <c r="G366" s="790" t="s">
        <v>14202</v>
      </c>
      <c r="H366"/>
    </row>
    <row r="367" spans="1:8" s="465" customFormat="1" ht="15.75" hidden="1">
      <c r="A367" s="464"/>
      <c r="B367" s="611">
        <v>43391</v>
      </c>
      <c r="C367" s="592" t="s">
        <v>14125</v>
      </c>
      <c r="D367" s="617">
        <v>3700</v>
      </c>
      <c r="E367" s="614" t="s">
        <v>14126</v>
      </c>
      <c r="F367" s="814" t="s">
        <v>14127</v>
      </c>
      <c r="G367" s="618" t="s">
        <v>14204</v>
      </c>
      <c r="H367"/>
    </row>
    <row r="368" spans="1:8" s="465" customFormat="1" ht="16.5" hidden="1" thickBot="1">
      <c r="A368" s="464"/>
      <c r="B368" s="598"/>
      <c r="C368" s="599" t="s">
        <v>13523</v>
      </c>
      <c r="D368" s="538">
        <f>IF(COUNT(D364:D367)=3,MEDIAN(D364:D367),SMALL(D365:D367,1))</f>
        <v>5214</v>
      </c>
      <c r="E368" s="600"/>
      <c r="F368" s="601"/>
      <c r="G368" s="602"/>
      <c r="H368"/>
    </row>
    <row r="369" spans="1:8" hidden="1"/>
    <row r="370" spans="1:8" s="458" customFormat="1" ht="15.75" hidden="1">
      <c r="A370" s="464"/>
      <c r="B370" s="704" t="str">
        <f>IF(COUNT($H$8:H370)&lt;10,CONCATENATE("COMP INC 00",COUNT($H$8:H370)),CONCATENATE("COMP INC 0",COUNT($H$8:H370)))</f>
        <v>COMP INC 028</v>
      </c>
      <c r="C370" s="1257" t="str">
        <f>CONCATENATE("FORNECIMENTO E INSTALAÇÃO DE ",C373)</f>
        <v>FORNECIMENTO E INSTALAÇÃO DE VERGALHAO ZINCADO ROSCA TOTAL, 1/4 " (6,3 MM)</v>
      </c>
      <c r="D370" s="1225"/>
      <c r="E370" s="1225"/>
      <c r="F370" s="1225"/>
      <c r="G370" s="705" t="s">
        <v>28</v>
      </c>
      <c r="H370" s="698">
        <f>G377</f>
        <v>5.2200000000000006</v>
      </c>
    </row>
    <row r="371" spans="1:8" s="458" customFormat="1" ht="31.5" hidden="1">
      <c r="A371" s="464"/>
      <c r="B371" s="469" t="s">
        <v>14119</v>
      </c>
      <c r="C371" s="707" t="s">
        <v>13464</v>
      </c>
      <c r="D371" s="470" t="s">
        <v>28</v>
      </c>
      <c r="E371" s="707" t="s">
        <v>13465</v>
      </c>
      <c r="F371" s="293" t="s">
        <v>13466</v>
      </c>
      <c r="G371" s="708" t="s">
        <v>13467</v>
      </c>
      <c r="H371" s="457"/>
    </row>
    <row r="372" spans="1:8" s="458" customFormat="1" ht="15.75" hidden="1">
      <c r="A372" s="464"/>
      <c r="B372" s="1283" t="s">
        <v>13468</v>
      </c>
      <c r="C372" s="1284"/>
      <c r="D372" s="1284"/>
      <c r="E372" s="1284"/>
      <c r="F372" s="1284"/>
      <c r="G372" s="1285"/>
      <c r="H372" s="457"/>
    </row>
    <row r="373" spans="1:8" s="458" customFormat="1" ht="15.75" hidden="1">
      <c r="A373" s="1041" t="s">
        <v>13458</v>
      </c>
      <c r="B373" s="844">
        <v>39996</v>
      </c>
      <c r="C373" s="475" t="s">
        <v>11469</v>
      </c>
      <c r="D373" s="711" t="s">
        <v>6649</v>
      </c>
      <c r="E373" s="815">
        <v>1</v>
      </c>
      <c r="F373" s="713">
        <v>2.31</v>
      </c>
      <c r="G373" s="845">
        <f>TRUNC(F373*E373,2)</f>
        <v>2.31</v>
      </c>
      <c r="H373" s="457"/>
    </row>
    <row r="374" spans="1:8" s="458" customFormat="1" ht="15.75" hidden="1">
      <c r="A374" s="464"/>
      <c r="B374" s="1283" t="s">
        <v>13469</v>
      </c>
      <c r="C374" s="1284"/>
      <c r="D374" s="1284"/>
      <c r="E374" s="1284"/>
      <c r="F374" s="1284"/>
      <c r="G374" s="1285"/>
      <c r="H374" s="457"/>
    </row>
    <row r="375" spans="1:8" s="458" customFormat="1" ht="15.75" hidden="1">
      <c r="A375" s="473" t="s">
        <v>13459</v>
      </c>
      <c r="B375" s="751">
        <v>88264</v>
      </c>
      <c r="C375" s="475" t="s">
        <v>771</v>
      </c>
      <c r="D375" s="711" t="s">
        <v>753</v>
      </c>
      <c r="E375" s="752">
        <v>0.08</v>
      </c>
      <c r="F375" s="713">
        <v>20.52</v>
      </c>
      <c r="G375" s="750">
        <f>TRUNC(F375*E375,2)</f>
        <v>1.64</v>
      </c>
      <c r="H375" s="457"/>
    </row>
    <row r="376" spans="1:8" s="458" customFormat="1" ht="16.5" hidden="1" thickBot="1">
      <c r="A376" s="473" t="s">
        <v>13459</v>
      </c>
      <c r="B376" s="753">
        <v>88316</v>
      </c>
      <c r="C376" s="484" t="s">
        <v>761</v>
      </c>
      <c r="D376" s="718" t="s">
        <v>753</v>
      </c>
      <c r="E376" s="754">
        <v>0.08</v>
      </c>
      <c r="F376" s="720">
        <v>15.91</v>
      </c>
      <c r="G376" s="755">
        <f>TRUNC(F376*E376,2)</f>
        <v>1.27</v>
      </c>
      <c r="H376" s="457"/>
    </row>
    <row r="377" spans="1:8" s="458" customFormat="1" ht="16.5" hidden="1" thickBot="1">
      <c r="A377" s="464"/>
      <c r="B377" s="1287" t="s">
        <v>14206</v>
      </c>
      <c r="C377" s="1287"/>
      <c r="D377" s="1287"/>
      <c r="E377" s="1287"/>
      <c r="F377" s="1026" t="s">
        <v>22</v>
      </c>
      <c r="G377" s="1027">
        <f>SUM(G372:G376)</f>
        <v>5.2200000000000006</v>
      </c>
      <c r="H377" s="457"/>
    </row>
    <row r="378" spans="1:8" hidden="1">
      <c r="A378" s="457"/>
      <c r="B378" s="458"/>
      <c r="C378" s="458"/>
      <c r="D378" s="458"/>
      <c r="E378" s="458"/>
      <c r="F378" s="458"/>
      <c r="G378" s="458"/>
      <c r="H378" s="457"/>
    </row>
    <row r="379" spans="1:8" s="458" customFormat="1" ht="15.75" hidden="1">
      <c r="A379" s="464"/>
      <c r="B379" s="704" t="str">
        <f>IF(COUNT($H$8:H379)&lt;10,CONCATENATE("COMP INC 00",COUNT($H$8:H379)),CONCATENATE("COMP INC 0",COUNT($H$8:H379)))</f>
        <v>COMP INC 029</v>
      </c>
      <c r="C379" s="1257" t="s">
        <v>14207</v>
      </c>
      <c r="D379" s="1225"/>
      <c r="E379" s="1225"/>
      <c r="F379" s="1225"/>
      <c r="G379" s="705" t="s">
        <v>28</v>
      </c>
      <c r="H379" s="698">
        <f>G386</f>
        <v>3.54</v>
      </c>
    </row>
    <row r="380" spans="1:8" s="458" customFormat="1" ht="31.5" hidden="1">
      <c r="A380" s="464"/>
      <c r="B380" s="469" t="s">
        <v>14119</v>
      </c>
      <c r="C380" s="707" t="s">
        <v>13464</v>
      </c>
      <c r="D380" s="470" t="s">
        <v>28</v>
      </c>
      <c r="E380" s="707" t="s">
        <v>13465</v>
      </c>
      <c r="F380" s="293" t="s">
        <v>13466</v>
      </c>
      <c r="G380" s="708" t="s">
        <v>13467</v>
      </c>
      <c r="H380" s="457"/>
    </row>
    <row r="381" spans="1:8" s="458" customFormat="1" ht="15.75" hidden="1">
      <c r="A381" s="464"/>
      <c r="B381" s="1283" t="s">
        <v>13468</v>
      </c>
      <c r="C381" s="1284"/>
      <c r="D381" s="1284"/>
      <c r="E381" s="1284"/>
      <c r="F381" s="1284"/>
      <c r="G381" s="1285"/>
      <c r="H381" s="457"/>
    </row>
    <row r="382" spans="1:8" s="458" customFormat="1" ht="15.75" hidden="1">
      <c r="A382" s="1041" t="s">
        <v>13458</v>
      </c>
      <c r="B382" s="844" t="s">
        <v>13497</v>
      </c>
      <c r="C382" s="475" t="str">
        <f>C388</f>
        <v xml:space="preserve">CHUMBADOR DE AÇO SEM PARAFUSO </v>
      </c>
      <c r="D382" s="1062" t="str">
        <f>G388</f>
        <v>UN</v>
      </c>
      <c r="E382" s="815">
        <v>1</v>
      </c>
      <c r="F382" s="713">
        <f>D393</f>
        <v>0.63</v>
      </c>
      <c r="G382" s="845">
        <f>TRUNC(F382*E382,2)</f>
        <v>0.63</v>
      </c>
      <c r="H382" s="457"/>
    </row>
    <row r="383" spans="1:8" s="458" customFormat="1" ht="15.75" hidden="1">
      <c r="A383" s="464"/>
      <c r="B383" s="1283" t="s">
        <v>13469</v>
      </c>
      <c r="C383" s="1284"/>
      <c r="D383" s="1284"/>
      <c r="E383" s="1284"/>
      <c r="F383" s="1284"/>
      <c r="G383" s="1285"/>
      <c r="H383" s="457"/>
    </row>
    <row r="384" spans="1:8" s="458" customFormat="1" ht="15.75" hidden="1">
      <c r="A384" s="473" t="s">
        <v>13459</v>
      </c>
      <c r="B384" s="751">
        <v>88264</v>
      </c>
      <c r="C384" s="475" t="s">
        <v>771</v>
      </c>
      <c r="D384" s="711" t="s">
        <v>753</v>
      </c>
      <c r="E384" s="752">
        <v>0.08</v>
      </c>
      <c r="F384" s="713">
        <v>20.52</v>
      </c>
      <c r="G384" s="750">
        <f>TRUNC(F384*E384,2)</f>
        <v>1.64</v>
      </c>
      <c r="H384" s="457"/>
    </row>
    <row r="385" spans="1:8" s="458" customFormat="1" ht="16.5" hidden="1" thickBot="1">
      <c r="A385" s="473" t="s">
        <v>13459</v>
      </c>
      <c r="B385" s="769">
        <v>88316</v>
      </c>
      <c r="C385" s="1063" t="s">
        <v>761</v>
      </c>
      <c r="D385" s="771" t="s">
        <v>753</v>
      </c>
      <c r="E385" s="772">
        <v>0.08</v>
      </c>
      <c r="F385" s="773">
        <v>15.91</v>
      </c>
      <c r="G385" s="774">
        <f>TRUNC(F385*E385,2)</f>
        <v>1.27</v>
      </c>
      <c r="H385" s="457"/>
    </row>
    <row r="386" spans="1:8" s="458" customFormat="1" ht="16.5" hidden="1" thickBot="1">
      <c r="A386" s="464"/>
      <c r="B386" s="1287" t="s">
        <v>14208</v>
      </c>
      <c r="C386" s="1287"/>
      <c r="D386" s="1287"/>
      <c r="E386" s="1287"/>
      <c r="F386" s="1026" t="s">
        <v>22</v>
      </c>
      <c r="G386" s="1027">
        <f>SUM(G381:G385)</f>
        <v>3.54</v>
      </c>
      <c r="H386" s="457"/>
    </row>
    <row r="387" spans="1:8" s="458" customFormat="1" ht="12.75" hidden="1">
      <c r="A387" s="457"/>
      <c r="H387" s="457"/>
    </row>
    <row r="388" spans="1:8" s="465" customFormat="1" ht="15.75" hidden="1">
      <c r="A388" s="464"/>
      <c r="B388" s="572"/>
      <c r="C388" s="607" t="s">
        <v>14209</v>
      </c>
      <c r="D388" s="574"/>
      <c r="E388" s="575"/>
      <c r="F388" s="1032"/>
      <c r="G388" s="1033" t="s">
        <v>28</v>
      </c>
      <c r="H388" s="1060" t="s">
        <v>13934</v>
      </c>
    </row>
    <row r="389" spans="1:8" s="465" customFormat="1" ht="31.5" hidden="1">
      <c r="A389" s="464"/>
      <c r="B389" s="578" t="s">
        <v>13502</v>
      </c>
      <c r="C389" s="579" t="s">
        <v>13503</v>
      </c>
      <c r="D389" s="580" t="s">
        <v>13504</v>
      </c>
      <c r="E389" s="581" t="s">
        <v>13505</v>
      </c>
      <c r="F389" s="582" t="s">
        <v>13506</v>
      </c>
      <c r="G389" s="583" t="s">
        <v>13507</v>
      </c>
      <c r="H389" s="464"/>
    </row>
    <row r="390" spans="1:8" s="458" customFormat="1" hidden="1">
      <c r="A390" s="457"/>
      <c r="B390" s="597">
        <v>43649</v>
      </c>
      <c r="C390" s="630" t="s">
        <v>14210</v>
      </c>
      <c r="D390" s="617">
        <v>0.62</v>
      </c>
      <c r="E390" s="988" t="s">
        <v>14211</v>
      </c>
      <c r="F390" s="876" t="s">
        <v>14212</v>
      </c>
      <c r="G390" s="790" t="s">
        <v>14213</v>
      </c>
      <c r="H390"/>
    </row>
    <row r="391" spans="1:8" s="489" customFormat="1" hidden="1">
      <c r="B391" s="597">
        <v>43650</v>
      </c>
      <c r="C391" s="612" t="s">
        <v>14214</v>
      </c>
      <c r="D391" s="613">
        <v>0.63</v>
      </c>
      <c r="E391" s="988" t="s">
        <v>14215</v>
      </c>
      <c r="F391" s="876" t="s">
        <v>14216</v>
      </c>
      <c r="G391" s="616" t="s">
        <v>14217</v>
      </c>
      <c r="H391"/>
    </row>
    <row r="392" spans="1:8" s="465" customFormat="1" ht="15.75" hidden="1">
      <c r="A392" s="464"/>
      <c r="B392" s="611">
        <v>43650</v>
      </c>
      <c r="C392" s="592" t="s">
        <v>14218</v>
      </c>
      <c r="D392" s="617">
        <v>1.26</v>
      </c>
      <c r="E392" s="988" t="s">
        <v>14219</v>
      </c>
      <c r="F392" s="814" t="s">
        <v>14220</v>
      </c>
      <c r="G392" s="618" t="s">
        <v>14221</v>
      </c>
      <c r="H392"/>
    </row>
    <row r="393" spans="1:8" s="465" customFormat="1" ht="16.5" hidden="1" thickBot="1">
      <c r="A393" s="464"/>
      <c r="B393" s="598"/>
      <c r="C393" s="599" t="s">
        <v>13523</v>
      </c>
      <c r="D393" s="538">
        <f>IF(COUNT(D389:D392)=3,MEDIAN(D389:D392),SMALL(D390:D392,1))</f>
        <v>0.63</v>
      </c>
      <c r="E393" s="600"/>
      <c r="F393" s="601"/>
      <c r="G393" s="602"/>
      <c r="H393"/>
    </row>
    <row r="394" spans="1:8" hidden="1">
      <c r="A394" s="457"/>
      <c r="B394" s="458"/>
      <c r="C394" s="458"/>
      <c r="D394" s="458"/>
      <c r="E394" s="458"/>
      <c r="F394" s="458"/>
      <c r="G394" s="458"/>
      <c r="H394" s="457"/>
    </row>
    <row r="395" spans="1:8" s="458" customFormat="1" ht="15.75" hidden="1">
      <c r="A395" s="464"/>
      <c r="B395" s="704" t="str">
        <f>IF(COUNT($H$8:H395)&lt;10,CONCATENATE("COMP INC 00",COUNT($H$8:H395)),CONCATENATE("COMP INC 0",COUNT($H$8:H395)))</f>
        <v>COMP INC 030</v>
      </c>
      <c r="C395" s="1257" t="s">
        <v>14222</v>
      </c>
      <c r="D395" s="1225"/>
      <c r="E395" s="1225"/>
      <c r="F395" s="1225"/>
      <c r="G395" s="705" t="s">
        <v>28</v>
      </c>
      <c r="H395" s="698">
        <f>G401</f>
        <v>6.37</v>
      </c>
    </row>
    <row r="396" spans="1:8" s="458" customFormat="1" ht="31.5" hidden="1">
      <c r="A396" s="464"/>
      <c r="B396" s="469" t="s">
        <v>14119</v>
      </c>
      <c r="C396" s="707" t="s">
        <v>13464</v>
      </c>
      <c r="D396" s="470" t="s">
        <v>28</v>
      </c>
      <c r="E396" s="707" t="s">
        <v>13465</v>
      </c>
      <c r="F396" s="293" t="s">
        <v>13466</v>
      </c>
      <c r="G396" s="708" t="s">
        <v>13467</v>
      </c>
      <c r="H396" s="457"/>
    </row>
    <row r="397" spans="1:8" s="458" customFormat="1" ht="15.75" hidden="1">
      <c r="A397" s="464"/>
      <c r="B397" s="1283" t="s">
        <v>13468</v>
      </c>
      <c r="C397" s="1284"/>
      <c r="D397" s="1284"/>
      <c r="E397" s="1284"/>
      <c r="F397" s="1284"/>
      <c r="G397" s="1285"/>
      <c r="H397" s="457"/>
    </row>
    <row r="398" spans="1:8" s="458" customFormat="1" ht="15.75" hidden="1">
      <c r="A398" s="1041" t="s">
        <v>13458</v>
      </c>
      <c r="B398" s="844" t="s">
        <v>13497</v>
      </c>
      <c r="C398" s="475" t="str">
        <f>C403</f>
        <v>ABRAÇADEIRA TIPO GOTA 1"</v>
      </c>
      <c r="D398" s="1062" t="str">
        <f>G403</f>
        <v>UN</v>
      </c>
      <c r="E398" s="815">
        <v>1</v>
      </c>
      <c r="F398" s="713">
        <f>D408</f>
        <v>1.62</v>
      </c>
      <c r="G398" s="845">
        <f>TRUNC(F398*E398,2)</f>
        <v>1.62</v>
      </c>
      <c r="H398" s="457"/>
    </row>
    <row r="399" spans="1:8" s="458" customFormat="1" ht="15.75" hidden="1">
      <c r="A399" s="464"/>
      <c r="B399" s="1283" t="s">
        <v>13469</v>
      </c>
      <c r="C399" s="1284"/>
      <c r="D399" s="1284"/>
      <c r="E399" s="1284"/>
      <c r="F399" s="1284"/>
      <c r="G399" s="1285"/>
      <c r="H399" s="457"/>
    </row>
    <row r="400" spans="1:8" s="458" customFormat="1" ht="27" hidden="1" customHeight="1">
      <c r="A400" s="473" t="s">
        <v>13459</v>
      </c>
      <c r="B400" s="751">
        <v>88247</v>
      </c>
      <c r="C400" s="475" t="s">
        <v>924</v>
      </c>
      <c r="D400" s="711" t="s">
        <v>753</v>
      </c>
      <c r="E400" s="752">
        <v>0.3</v>
      </c>
      <c r="F400" s="713">
        <v>15.84</v>
      </c>
      <c r="G400" s="750">
        <f>TRUNC(F400*E400,2)</f>
        <v>4.75</v>
      </c>
      <c r="H400" s="457"/>
    </row>
    <row r="401" spans="1:8" s="458" customFormat="1" ht="16.5" hidden="1" thickBot="1">
      <c r="A401" s="464"/>
      <c r="B401" s="1287" t="s">
        <v>14223</v>
      </c>
      <c r="C401" s="1287"/>
      <c r="D401" s="1287"/>
      <c r="E401" s="1287"/>
      <c r="F401" s="1026" t="s">
        <v>22</v>
      </c>
      <c r="G401" s="1027">
        <f>SUM(G397:G400)</f>
        <v>6.37</v>
      </c>
      <c r="H401" s="457"/>
    </row>
    <row r="402" spans="1:8" s="458" customFormat="1" ht="12.75" hidden="1">
      <c r="A402" s="457"/>
      <c r="H402" s="457"/>
    </row>
    <row r="403" spans="1:8" s="465" customFormat="1" ht="15.75" hidden="1">
      <c r="A403" s="464"/>
      <c r="B403" s="572"/>
      <c r="C403" s="607" t="s">
        <v>14224</v>
      </c>
      <c r="D403" s="574"/>
      <c r="E403" s="575"/>
      <c r="F403" s="1032"/>
      <c r="G403" s="1033" t="s">
        <v>28</v>
      </c>
      <c r="H403" s="1060" t="s">
        <v>13934</v>
      </c>
    </row>
    <row r="404" spans="1:8" s="465" customFormat="1" ht="31.5" hidden="1">
      <c r="A404" s="464"/>
      <c r="B404" s="578" t="s">
        <v>13502</v>
      </c>
      <c r="C404" s="579" t="s">
        <v>13503</v>
      </c>
      <c r="D404" s="580" t="s">
        <v>13504</v>
      </c>
      <c r="E404" s="581" t="s">
        <v>13505</v>
      </c>
      <c r="F404" s="582" t="s">
        <v>13506</v>
      </c>
      <c r="G404" s="583" t="s">
        <v>13507</v>
      </c>
      <c r="H404" s="464"/>
    </row>
    <row r="405" spans="1:8" s="458" customFormat="1" hidden="1">
      <c r="A405" s="457"/>
      <c r="B405" s="597">
        <v>43650</v>
      </c>
      <c r="C405" s="630" t="s">
        <v>14225</v>
      </c>
      <c r="D405" s="617">
        <v>1.62</v>
      </c>
      <c r="E405" s="988" t="s">
        <v>14130</v>
      </c>
      <c r="F405" s="876" t="s">
        <v>14226</v>
      </c>
      <c r="G405" s="790" t="s">
        <v>14227</v>
      </c>
      <c r="H405"/>
    </row>
    <row r="406" spans="1:8" s="489" customFormat="1" hidden="1">
      <c r="B406" s="597">
        <v>43651</v>
      </c>
      <c r="C406" s="612" t="s">
        <v>14228</v>
      </c>
      <c r="D406" s="613">
        <v>1.26</v>
      </c>
      <c r="E406" s="988" t="s">
        <v>14145</v>
      </c>
      <c r="F406" s="876" t="s">
        <v>14229</v>
      </c>
      <c r="G406" s="616" t="s">
        <v>14230</v>
      </c>
      <c r="H406"/>
    </row>
    <row r="407" spans="1:8" s="465" customFormat="1" ht="15.75" hidden="1">
      <c r="A407" s="464"/>
      <c r="B407" s="611">
        <v>43746</v>
      </c>
      <c r="C407" s="592" t="s">
        <v>14158</v>
      </c>
      <c r="D407" s="617">
        <v>2.13</v>
      </c>
      <c r="E407" s="988" t="s">
        <v>14017</v>
      </c>
      <c r="F407" s="814" t="s">
        <v>14018</v>
      </c>
      <c r="G407" s="618" t="s">
        <v>14019</v>
      </c>
      <c r="H407"/>
    </row>
    <row r="408" spans="1:8" s="465" customFormat="1" ht="16.5" hidden="1" thickBot="1">
      <c r="A408" s="464"/>
      <c r="B408" s="598"/>
      <c r="C408" s="599" t="s">
        <v>13523</v>
      </c>
      <c r="D408" s="538">
        <f>IF(COUNT(D404:D407)=3,MEDIAN(D404:D407),SMALL(D405:D407,1))</f>
        <v>1.62</v>
      </c>
      <c r="E408" s="600"/>
      <c r="F408" s="601"/>
      <c r="G408" s="602"/>
      <c r="H408"/>
    </row>
    <row r="409" spans="1:8" hidden="1">
      <c r="A409" s="457"/>
      <c r="B409" s="458"/>
      <c r="C409" s="458"/>
      <c r="D409" s="458"/>
      <c r="E409" s="458"/>
      <c r="F409" s="458"/>
      <c r="G409" s="458"/>
      <c r="H409" s="457"/>
    </row>
    <row r="410" spans="1:8" s="458" customFormat="1" ht="15.75" hidden="1">
      <c r="A410" s="464"/>
      <c r="B410" s="704" t="str">
        <f>IF(COUNT($H$8:H410)&lt;10,CONCATENATE("COMP INC 00",COUNT($H$8:H410)),CONCATENATE("COMP INC 0",COUNT($H$8:H410)))</f>
        <v>COMP INC 031</v>
      </c>
      <c r="C410" s="1257" t="s">
        <v>14231</v>
      </c>
      <c r="D410" s="1225"/>
      <c r="E410" s="1225"/>
      <c r="F410" s="1225"/>
      <c r="G410" s="705" t="s">
        <v>28</v>
      </c>
      <c r="H410" s="698">
        <f>G416</f>
        <v>6.79</v>
      </c>
    </row>
    <row r="411" spans="1:8" s="458" customFormat="1" ht="31.5" hidden="1">
      <c r="A411" s="464"/>
      <c r="B411" s="469" t="s">
        <v>14119</v>
      </c>
      <c r="C411" s="707" t="s">
        <v>13464</v>
      </c>
      <c r="D411" s="470" t="s">
        <v>28</v>
      </c>
      <c r="E411" s="707" t="s">
        <v>13465</v>
      </c>
      <c r="F411" s="293" t="s">
        <v>13466</v>
      </c>
      <c r="G411" s="708" t="s">
        <v>13467</v>
      </c>
      <c r="H411" s="457"/>
    </row>
    <row r="412" spans="1:8" s="458" customFormat="1" ht="15.75" hidden="1">
      <c r="A412" s="464"/>
      <c r="B412" s="1283" t="s">
        <v>13468</v>
      </c>
      <c r="C412" s="1284"/>
      <c r="D412" s="1284"/>
      <c r="E412" s="1284"/>
      <c r="F412" s="1284"/>
      <c r="G412" s="1285"/>
      <c r="H412" s="457"/>
    </row>
    <row r="413" spans="1:8" s="458" customFormat="1" ht="15.75" hidden="1">
      <c r="A413" s="1041" t="s">
        <v>13458</v>
      </c>
      <c r="B413" s="844" t="s">
        <v>13497</v>
      </c>
      <c r="C413" s="475" t="str">
        <f>C418</f>
        <v>ABRAÇADEIRA TIPO GOTA 1.1/4"</v>
      </c>
      <c r="D413" s="1062" t="str">
        <f>G418</f>
        <v>UN</v>
      </c>
      <c r="E413" s="815">
        <v>1</v>
      </c>
      <c r="F413" s="713">
        <f>D423</f>
        <v>2.04</v>
      </c>
      <c r="G413" s="845">
        <f>TRUNC(F413*E413,2)</f>
        <v>2.04</v>
      </c>
      <c r="H413" s="457"/>
    </row>
    <row r="414" spans="1:8" s="458" customFormat="1" ht="15.75" hidden="1">
      <c r="A414" s="464"/>
      <c r="B414" s="1283" t="s">
        <v>13469</v>
      </c>
      <c r="C414" s="1284"/>
      <c r="D414" s="1284"/>
      <c r="E414" s="1284"/>
      <c r="F414" s="1284"/>
      <c r="G414" s="1285"/>
      <c r="H414" s="457"/>
    </row>
    <row r="415" spans="1:8" s="458" customFormat="1" ht="27" hidden="1" customHeight="1">
      <c r="A415" s="473" t="s">
        <v>13459</v>
      </c>
      <c r="B415" s="751">
        <v>88247</v>
      </c>
      <c r="C415" s="475" t="s">
        <v>924</v>
      </c>
      <c r="D415" s="711" t="s">
        <v>753</v>
      </c>
      <c r="E415" s="752">
        <v>0.3</v>
      </c>
      <c r="F415" s="713">
        <v>15.84</v>
      </c>
      <c r="G415" s="750">
        <f>TRUNC(F415*E415,2)</f>
        <v>4.75</v>
      </c>
      <c r="H415" s="457"/>
    </row>
    <row r="416" spans="1:8" s="458" customFormat="1" ht="16.5" hidden="1" thickBot="1">
      <c r="A416" s="464"/>
      <c r="B416" s="1287" t="s">
        <v>14223</v>
      </c>
      <c r="C416" s="1287"/>
      <c r="D416" s="1287"/>
      <c r="E416" s="1287"/>
      <c r="F416" s="1026" t="s">
        <v>22</v>
      </c>
      <c r="G416" s="1027">
        <f>SUM(G412:G415)</f>
        <v>6.79</v>
      </c>
      <c r="H416" s="457"/>
    </row>
    <row r="417" spans="1:8" s="458" customFormat="1" ht="12.75" hidden="1">
      <c r="A417" s="457"/>
      <c r="H417" s="457"/>
    </row>
    <row r="418" spans="1:8" s="465" customFormat="1" ht="15.75" hidden="1">
      <c r="A418" s="464"/>
      <c r="B418" s="572"/>
      <c r="C418" s="607" t="s">
        <v>14232</v>
      </c>
      <c r="D418" s="574"/>
      <c r="E418" s="575"/>
      <c r="F418" s="1032"/>
      <c r="G418" s="1033" t="s">
        <v>28</v>
      </c>
      <c r="H418" s="1060" t="s">
        <v>13934</v>
      </c>
    </row>
    <row r="419" spans="1:8" s="465" customFormat="1" ht="31.5" hidden="1">
      <c r="A419" s="464"/>
      <c r="B419" s="578" t="s">
        <v>13502</v>
      </c>
      <c r="C419" s="579" t="s">
        <v>13503</v>
      </c>
      <c r="D419" s="580" t="s">
        <v>13504</v>
      </c>
      <c r="E419" s="581" t="s">
        <v>13505</v>
      </c>
      <c r="F419" s="582" t="s">
        <v>13506</v>
      </c>
      <c r="G419" s="583" t="s">
        <v>13507</v>
      </c>
      <c r="H419" s="464"/>
    </row>
    <row r="420" spans="1:8" s="458" customFormat="1" hidden="1">
      <c r="A420" s="457"/>
      <c r="B420" s="597">
        <v>43650</v>
      </c>
      <c r="C420" s="630" t="s">
        <v>14233</v>
      </c>
      <c r="D420" s="617">
        <v>1.59</v>
      </c>
      <c r="E420" s="988" t="s">
        <v>14130</v>
      </c>
      <c r="F420" s="876" t="s">
        <v>14226</v>
      </c>
      <c r="G420" s="790" t="s">
        <v>14227</v>
      </c>
      <c r="H420"/>
    </row>
    <row r="421" spans="1:8" s="489" customFormat="1" hidden="1">
      <c r="B421" s="597">
        <v>43651</v>
      </c>
      <c r="C421" s="612" t="s">
        <v>14228</v>
      </c>
      <c r="D421" s="613">
        <v>2.4300000000000002</v>
      </c>
      <c r="E421" s="988" t="s">
        <v>14145</v>
      </c>
      <c r="F421" s="876" t="s">
        <v>14229</v>
      </c>
      <c r="G421" s="616" t="s">
        <v>14230</v>
      </c>
      <c r="H421"/>
    </row>
    <row r="422" spans="1:8" s="465" customFormat="1" ht="15.75" hidden="1">
      <c r="A422" s="464"/>
      <c r="B422" s="611">
        <v>43746</v>
      </c>
      <c r="C422" s="592" t="s">
        <v>14158</v>
      </c>
      <c r="D422" s="617">
        <v>2.04</v>
      </c>
      <c r="E422" s="988" t="s">
        <v>14017</v>
      </c>
      <c r="F422" s="814" t="s">
        <v>14018</v>
      </c>
      <c r="G422" s="618" t="s">
        <v>14019</v>
      </c>
      <c r="H422"/>
    </row>
    <row r="423" spans="1:8" s="465" customFormat="1" ht="16.5" hidden="1" thickBot="1">
      <c r="A423" s="464"/>
      <c r="B423" s="598"/>
      <c r="C423" s="599" t="s">
        <v>13523</v>
      </c>
      <c r="D423" s="538">
        <f>IF(COUNT(D419:D422)=3,MEDIAN(D419:D422),SMALL(D420:D422,1))</f>
        <v>2.04</v>
      </c>
      <c r="E423" s="600"/>
      <c r="F423" s="601"/>
      <c r="G423" s="602"/>
      <c r="H423"/>
    </row>
    <row r="424" spans="1:8" hidden="1">
      <c r="A424" s="457"/>
      <c r="B424" s="458"/>
      <c r="C424" s="458"/>
      <c r="D424" s="458"/>
      <c r="E424" s="458"/>
      <c r="F424" s="458"/>
      <c r="G424" s="458"/>
      <c r="H424" s="457"/>
    </row>
    <row r="425" spans="1:8" s="458" customFormat="1" ht="15.75" hidden="1">
      <c r="A425" s="464"/>
      <c r="B425" s="704" t="str">
        <f>IF(COUNT($H$8:H425)&lt;10,CONCATENATE("COMP INC 00",COUNT($H$8:H425)),CONCATENATE("COMP INC 0",COUNT($H$8:H425)))</f>
        <v>COMP INC 032</v>
      </c>
      <c r="C425" s="1257" t="s">
        <v>14234</v>
      </c>
      <c r="D425" s="1225"/>
      <c r="E425" s="1225"/>
      <c r="F425" s="1225"/>
      <c r="G425" s="705" t="s">
        <v>28</v>
      </c>
      <c r="H425" s="698">
        <f>G431</f>
        <v>6.54</v>
      </c>
    </row>
    <row r="426" spans="1:8" s="458" customFormat="1" ht="31.5" hidden="1">
      <c r="A426" s="464"/>
      <c r="B426" s="469" t="s">
        <v>14119</v>
      </c>
      <c r="C426" s="707" t="s">
        <v>13464</v>
      </c>
      <c r="D426" s="470" t="s">
        <v>28</v>
      </c>
      <c r="E426" s="707" t="s">
        <v>13465</v>
      </c>
      <c r="F426" s="293" t="s">
        <v>13466</v>
      </c>
      <c r="G426" s="708" t="s">
        <v>13467</v>
      </c>
      <c r="H426" s="457"/>
    </row>
    <row r="427" spans="1:8" s="458" customFormat="1" ht="15.75" hidden="1">
      <c r="A427" s="464"/>
      <c r="B427" s="1283" t="s">
        <v>13468</v>
      </c>
      <c r="C427" s="1284"/>
      <c r="D427" s="1284"/>
      <c r="E427" s="1284"/>
      <c r="F427" s="1284"/>
      <c r="G427" s="1285"/>
      <c r="H427" s="457"/>
    </row>
    <row r="428" spans="1:8" s="458" customFormat="1" ht="15.75" hidden="1">
      <c r="A428" s="1041" t="s">
        <v>13458</v>
      </c>
      <c r="B428" s="844" t="s">
        <v>13497</v>
      </c>
      <c r="C428" s="475" t="str">
        <f>C433</f>
        <v>ABRAÇADEIRA TIPO GOTA 1.4/2"</v>
      </c>
      <c r="D428" s="1062" t="str">
        <f>G433</f>
        <v>UN</v>
      </c>
      <c r="E428" s="815">
        <v>1</v>
      </c>
      <c r="F428" s="713">
        <f>D438</f>
        <v>1.79</v>
      </c>
      <c r="G428" s="845">
        <f>TRUNC(F428*E428,2)</f>
        <v>1.79</v>
      </c>
      <c r="H428" s="457"/>
    </row>
    <row r="429" spans="1:8" s="458" customFormat="1" ht="15.75" hidden="1">
      <c r="A429" s="464"/>
      <c r="B429" s="1283" t="s">
        <v>13469</v>
      </c>
      <c r="C429" s="1284"/>
      <c r="D429" s="1284"/>
      <c r="E429" s="1284"/>
      <c r="F429" s="1284"/>
      <c r="G429" s="1285"/>
      <c r="H429" s="457"/>
    </row>
    <row r="430" spans="1:8" s="458" customFormat="1" ht="27" hidden="1" customHeight="1">
      <c r="A430" s="473" t="s">
        <v>13459</v>
      </c>
      <c r="B430" s="751">
        <v>88247</v>
      </c>
      <c r="C430" s="475" t="s">
        <v>924</v>
      </c>
      <c r="D430" s="711" t="s">
        <v>753</v>
      </c>
      <c r="E430" s="752">
        <v>0.3</v>
      </c>
      <c r="F430" s="713">
        <v>15.84</v>
      </c>
      <c r="G430" s="750">
        <f>TRUNC(F430*E430,2)</f>
        <v>4.75</v>
      </c>
      <c r="H430" s="457"/>
    </row>
    <row r="431" spans="1:8" s="458" customFormat="1" ht="16.5" hidden="1" thickBot="1">
      <c r="A431" s="464"/>
      <c r="B431" s="1287" t="s">
        <v>14223</v>
      </c>
      <c r="C431" s="1287"/>
      <c r="D431" s="1287"/>
      <c r="E431" s="1287"/>
      <c r="F431" s="1026" t="s">
        <v>22</v>
      </c>
      <c r="G431" s="1027">
        <f>SUM(G427:G430)</f>
        <v>6.54</v>
      </c>
      <c r="H431" s="457"/>
    </row>
    <row r="432" spans="1:8" s="458" customFormat="1" ht="12.75" hidden="1">
      <c r="A432" s="457"/>
      <c r="H432" s="457"/>
    </row>
    <row r="433" spans="1:8" s="465" customFormat="1" ht="15.75" hidden="1">
      <c r="A433" s="464"/>
      <c r="B433" s="572"/>
      <c r="C433" s="607" t="s">
        <v>14235</v>
      </c>
      <c r="D433" s="574"/>
      <c r="E433" s="575"/>
      <c r="F433" s="1032"/>
      <c r="G433" s="1033" t="s">
        <v>28</v>
      </c>
      <c r="H433" s="1060" t="s">
        <v>13934</v>
      </c>
    </row>
    <row r="434" spans="1:8" s="465" customFormat="1" ht="31.5" hidden="1">
      <c r="A434" s="464"/>
      <c r="B434" s="578" t="s">
        <v>13502</v>
      </c>
      <c r="C434" s="579" t="s">
        <v>13503</v>
      </c>
      <c r="D434" s="580" t="s">
        <v>13504</v>
      </c>
      <c r="E434" s="581" t="s">
        <v>13505</v>
      </c>
      <c r="F434" s="582" t="s">
        <v>13506</v>
      </c>
      <c r="G434" s="583" t="s">
        <v>13507</v>
      </c>
      <c r="H434" s="464"/>
    </row>
    <row r="435" spans="1:8" s="458" customFormat="1" hidden="1">
      <c r="A435" s="457"/>
      <c r="B435" s="597">
        <v>43650</v>
      </c>
      <c r="C435" s="630" t="s">
        <v>14225</v>
      </c>
      <c r="D435" s="617">
        <v>1.77</v>
      </c>
      <c r="E435" s="988" t="s">
        <v>14130</v>
      </c>
      <c r="F435" s="876" t="s">
        <v>14226</v>
      </c>
      <c r="G435" s="790" t="s">
        <v>14227</v>
      </c>
      <c r="H435"/>
    </row>
    <row r="436" spans="1:8" s="489" customFormat="1" hidden="1">
      <c r="B436" s="597">
        <v>43651</v>
      </c>
      <c r="C436" s="612" t="s">
        <v>14228</v>
      </c>
      <c r="D436" s="613">
        <v>1.79</v>
      </c>
      <c r="E436" s="988" t="s">
        <v>14145</v>
      </c>
      <c r="F436" s="876" t="s">
        <v>14229</v>
      </c>
      <c r="G436" s="616" t="s">
        <v>14230</v>
      </c>
      <c r="H436"/>
    </row>
    <row r="437" spans="1:8" s="465" customFormat="1" ht="15.75" hidden="1">
      <c r="A437" s="464"/>
      <c r="B437" s="611">
        <v>43746</v>
      </c>
      <c r="C437" s="592" t="s">
        <v>14158</v>
      </c>
      <c r="D437" s="617">
        <v>2.2799999999999998</v>
      </c>
      <c r="E437" s="988" t="s">
        <v>14017</v>
      </c>
      <c r="F437" s="814" t="s">
        <v>14018</v>
      </c>
      <c r="G437" s="618" t="s">
        <v>14019</v>
      </c>
      <c r="H437"/>
    </row>
    <row r="438" spans="1:8" s="465" customFormat="1" ht="16.5" hidden="1" thickBot="1">
      <c r="A438" s="464"/>
      <c r="B438" s="598"/>
      <c r="C438" s="599" t="s">
        <v>13523</v>
      </c>
      <c r="D438" s="538">
        <f>IF(COUNT(D434:D437)=3,MEDIAN(D434:D437),SMALL(D435:D437,1))</f>
        <v>1.79</v>
      </c>
      <c r="E438" s="600"/>
      <c r="F438" s="601"/>
      <c r="G438" s="602"/>
      <c r="H438"/>
    </row>
    <row r="439" spans="1:8">
      <c r="A439" s="457"/>
      <c r="B439" s="458"/>
      <c r="C439" s="458"/>
      <c r="D439" s="458"/>
      <c r="E439" s="458"/>
      <c r="F439" s="458"/>
      <c r="G439" s="458"/>
      <c r="H439" s="457"/>
    </row>
    <row r="450" spans="3:3">
      <c r="C450" s="348"/>
    </row>
    <row r="451" spans="3:3">
      <c r="C451" s="349" t="s">
        <v>12862</v>
      </c>
    </row>
    <row r="452" spans="3:3">
      <c r="C452" s="351" t="s">
        <v>12863</v>
      </c>
    </row>
    <row r="453" spans="3:3">
      <c r="C453" s="351" t="s">
        <v>12864</v>
      </c>
    </row>
  </sheetData>
  <mergeCells count="118">
    <mergeCell ref="C425:F425"/>
    <mergeCell ref="B427:G427"/>
    <mergeCell ref="B429:G429"/>
    <mergeCell ref="B431:E431"/>
    <mergeCell ref="B399:G399"/>
    <mergeCell ref="B401:E401"/>
    <mergeCell ref="C410:F410"/>
    <mergeCell ref="B412:G412"/>
    <mergeCell ref="B414:G414"/>
    <mergeCell ref="B416:E416"/>
    <mergeCell ref="C379:F379"/>
    <mergeCell ref="B381:G381"/>
    <mergeCell ref="B383:G383"/>
    <mergeCell ref="B386:E386"/>
    <mergeCell ref="C395:F395"/>
    <mergeCell ref="B397:G397"/>
    <mergeCell ref="B359:G359"/>
    <mergeCell ref="B361:E361"/>
    <mergeCell ref="C370:F370"/>
    <mergeCell ref="B372:G372"/>
    <mergeCell ref="B374:G374"/>
    <mergeCell ref="B377:E377"/>
    <mergeCell ref="C340:F340"/>
    <mergeCell ref="B342:G342"/>
    <mergeCell ref="B344:G344"/>
    <mergeCell ref="B346:E346"/>
    <mergeCell ref="C355:F355"/>
    <mergeCell ref="B357:G357"/>
    <mergeCell ref="B310:G310"/>
    <mergeCell ref="B313:G313"/>
    <mergeCell ref="C325:F325"/>
    <mergeCell ref="B327:G327"/>
    <mergeCell ref="B329:G329"/>
    <mergeCell ref="B331:E331"/>
    <mergeCell ref="B296:E296"/>
    <mergeCell ref="C298:F298"/>
    <mergeCell ref="B300:G300"/>
    <mergeCell ref="B303:G303"/>
    <mergeCell ref="B306:E306"/>
    <mergeCell ref="C308:F308"/>
    <mergeCell ref="C272:F272"/>
    <mergeCell ref="B274:G274"/>
    <mergeCell ref="B276:G276"/>
    <mergeCell ref="C288:F288"/>
    <mergeCell ref="B290:G290"/>
    <mergeCell ref="B293:G293"/>
    <mergeCell ref="C240:F240"/>
    <mergeCell ref="B242:G242"/>
    <mergeCell ref="B244:G244"/>
    <mergeCell ref="C256:F256"/>
    <mergeCell ref="B258:G258"/>
    <mergeCell ref="B260:G260"/>
    <mergeCell ref="C208:F208"/>
    <mergeCell ref="B210:G210"/>
    <mergeCell ref="B212:G212"/>
    <mergeCell ref="C224:F224"/>
    <mergeCell ref="B226:G226"/>
    <mergeCell ref="B228:G228"/>
    <mergeCell ref="B185:G185"/>
    <mergeCell ref="B187:G187"/>
    <mergeCell ref="B190:E190"/>
    <mergeCell ref="C192:F192"/>
    <mergeCell ref="B194:G194"/>
    <mergeCell ref="B196:G196"/>
    <mergeCell ref="B172:E172"/>
    <mergeCell ref="C174:F174"/>
    <mergeCell ref="B176:G176"/>
    <mergeCell ref="B178:G178"/>
    <mergeCell ref="B181:E181"/>
    <mergeCell ref="C183:F183"/>
    <mergeCell ref="B160:G160"/>
    <mergeCell ref="B162:G162"/>
    <mergeCell ref="B164:E164"/>
    <mergeCell ref="C166:F166"/>
    <mergeCell ref="B168:G168"/>
    <mergeCell ref="B170:G170"/>
    <mergeCell ref="B139:G139"/>
    <mergeCell ref="C150:F150"/>
    <mergeCell ref="B152:G152"/>
    <mergeCell ref="B154:G154"/>
    <mergeCell ref="B156:E156"/>
    <mergeCell ref="C158:F158"/>
    <mergeCell ref="C119:F119"/>
    <mergeCell ref="B121:G121"/>
    <mergeCell ref="B123:G123"/>
    <mergeCell ref="B126:E126"/>
    <mergeCell ref="C135:F135"/>
    <mergeCell ref="B137:G137"/>
    <mergeCell ref="B100:G100"/>
    <mergeCell ref="B102:E102"/>
    <mergeCell ref="C111:F111"/>
    <mergeCell ref="B113:G113"/>
    <mergeCell ref="B115:G115"/>
    <mergeCell ref="B117:E117"/>
    <mergeCell ref="C88:F88"/>
    <mergeCell ref="B90:G90"/>
    <mergeCell ref="B92:G92"/>
    <mergeCell ref="B95:E95"/>
    <mergeCell ref="C96:F96"/>
    <mergeCell ref="B98:G98"/>
    <mergeCell ref="B58:G58"/>
    <mergeCell ref="B60:G60"/>
    <mergeCell ref="C72:F72"/>
    <mergeCell ref="B74:G74"/>
    <mergeCell ref="B76:G76"/>
    <mergeCell ref="B80:E80"/>
    <mergeCell ref="B42:G42"/>
    <mergeCell ref="B44:G44"/>
    <mergeCell ref="C56:F56"/>
    <mergeCell ref="B6:G6"/>
    <mergeCell ref="C8:F8"/>
    <mergeCell ref="B10:G10"/>
    <mergeCell ref="B12:G12"/>
    <mergeCell ref="C23:F23"/>
    <mergeCell ref="B25:G25"/>
    <mergeCell ref="B27:G27"/>
    <mergeCell ref="B30:E31"/>
    <mergeCell ref="C40:F40"/>
  </mergeCells>
  <dataValidations count="1">
    <dataValidation type="list" allowBlank="1" showInputMessage="1" showErrorMessage="1" sqref="A13:A14 A314:A315 A277:A278 A245:A246 A430 A415 A400 A375:A376 A384:A385 A360 A345 A330 A304:A305 A229:A230 A294:A295 A140 A124:A125 A116 A101 A261:A262 A93 A77:A78 A61:A62 A45:A46 A28:A29">
      <formula1>#REF!</formula1>
    </dataValidation>
  </dataValidations>
  <printOptions horizontalCentered="1"/>
  <pageMargins left="0.59055118110236227" right="0.59055118110236227" top="1.7716535433070868" bottom="0.78740157480314965" header="0.31496062992125984" footer="0.31496062992125984"/>
  <pageSetup paperSize="9" scale="49" fitToHeight="100" orientation="portrait" r:id="rId1"/>
  <headerFooter scaleWithDoc="0" alignWithMargins="0">
    <oddHeader>&amp;RPágina &amp;P de &amp;N</oddHeader>
    <oddFooter>Página &amp;P de &amp;N</oddFooter>
  </headerFooter>
</worksheet>
</file>

<file path=xl/worksheets/sheet11.xml><?xml version="1.0" encoding="utf-8"?>
<worksheet xmlns="http://schemas.openxmlformats.org/spreadsheetml/2006/main" xmlns:r="http://schemas.openxmlformats.org/officeDocument/2006/relationships">
  <dimension ref="A1:H139"/>
  <sheetViews>
    <sheetView view="pageBreakPreview" zoomScaleSheetLayoutView="100" workbookViewId="0">
      <selection activeCell="C5" sqref="C5"/>
    </sheetView>
  </sheetViews>
  <sheetFormatPr defaultRowHeight="15"/>
  <cols>
    <col min="1" max="1" width="12.7109375" bestFit="1" customWidth="1"/>
    <col min="2" max="2" width="48.5703125" customWidth="1"/>
    <col min="3" max="3" width="8" bestFit="1" customWidth="1"/>
    <col min="4" max="4" width="7.85546875" bestFit="1" customWidth="1"/>
    <col min="5" max="5" width="24.140625" customWidth="1"/>
    <col min="6" max="6" width="20.140625" customWidth="1"/>
  </cols>
  <sheetData>
    <row r="1" spans="1:8" ht="15.75">
      <c r="A1" s="1178" t="str">
        <f>RESUMO!A1</f>
        <v>OBRA:</v>
      </c>
      <c r="B1" t="str">
        <f>RESUMO!B1</f>
        <v>Construção da Lavanderia e Predio Sede da Secretaria Municipal de Saúde de Barra do Bugres - MT</v>
      </c>
    </row>
    <row r="2" spans="1:8" ht="15.75">
      <c r="A2" s="1178" t="str">
        <f>RESUMO!A2</f>
        <v>Endereço:</v>
      </c>
      <c r="B2" t="str">
        <f>RESUMO!B2</f>
        <v>Rua Voluntários da Pátria, 861 - Bairro Maracanã</v>
      </c>
    </row>
    <row r="3" spans="1:8" ht="15.75">
      <c r="A3" s="1178" t="str">
        <f>RESUMO!A3</f>
        <v>Município:</v>
      </c>
      <c r="B3" t="str">
        <f>RESUMO!B3</f>
        <v>Barra do Bugres - MT</v>
      </c>
    </row>
    <row r="4" spans="1:8" ht="15.75">
      <c r="A4" s="1178" t="str">
        <f>RESUMO!A4</f>
        <v>Data:</v>
      </c>
      <c r="B4" s="1090">
        <f>RESUMO!B4</f>
        <v>43952</v>
      </c>
    </row>
    <row r="6" spans="1:8">
      <c r="B6" s="289" t="s">
        <v>12861</v>
      </c>
      <c r="C6" s="277"/>
      <c r="D6" s="277"/>
      <c r="E6" s="178"/>
      <c r="F6" s="178"/>
      <c r="G6" s="178"/>
      <c r="H6" s="178"/>
    </row>
    <row r="7" spans="1:8" ht="15.75" thickBot="1">
      <c r="A7" s="289"/>
      <c r="B7" s="277"/>
      <c r="C7" s="277"/>
      <c r="D7" s="277"/>
      <c r="E7" s="178"/>
      <c r="F7" s="178"/>
      <c r="G7" s="178"/>
      <c r="H7" s="178"/>
    </row>
    <row r="8" spans="1:8">
      <c r="A8" s="387"/>
      <c r="B8" s="388" t="s">
        <v>11682</v>
      </c>
      <c r="C8" s="381"/>
      <c r="D8" s="389"/>
      <c r="E8" s="390"/>
      <c r="F8" s="391"/>
      <c r="G8" s="392"/>
      <c r="H8" s="393"/>
    </row>
    <row r="9" spans="1:8">
      <c r="A9" s="394"/>
      <c r="B9" s="300" t="s">
        <v>11682</v>
      </c>
      <c r="C9" s="252" t="s">
        <v>11525</v>
      </c>
      <c r="D9" s="335">
        <v>1</v>
      </c>
      <c r="E9" s="336"/>
      <c r="F9" s="337"/>
      <c r="G9" s="334"/>
      <c r="H9" s="395"/>
    </row>
    <row r="10" spans="1:8">
      <c r="A10" s="396"/>
      <c r="B10" s="338"/>
      <c r="C10" s="339"/>
      <c r="D10" s="339"/>
      <c r="E10" s="333"/>
      <c r="F10" s="337"/>
      <c r="G10" s="334"/>
      <c r="H10" s="395"/>
    </row>
    <row r="11" spans="1:8">
      <c r="A11" s="397"/>
      <c r="B11" s="332" t="s">
        <v>29</v>
      </c>
      <c r="C11" s="249"/>
      <c r="D11" s="335"/>
      <c r="E11" s="333"/>
      <c r="F11" s="337"/>
      <c r="G11" s="334"/>
      <c r="H11" s="395"/>
    </row>
    <row r="12" spans="1:8">
      <c r="A12" s="396"/>
      <c r="B12" s="338"/>
      <c r="C12" s="339"/>
      <c r="D12" s="339"/>
      <c r="E12" s="333"/>
      <c r="F12" s="337"/>
      <c r="G12" s="334"/>
      <c r="H12" s="395"/>
    </row>
    <row r="13" spans="1:8">
      <c r="A13" s="398"/>
      <c r="B13" s="332" t="s">
        <v>11683</v>
      </c>
      <c r="C13" s="249"/>
      <c r="D13" s="249"/>
      <c r="E13" s="333"/>
      <c r="F13" s="337"/>
      <c r="G13" s="334"/>
      <c r="H13" s="395"/>
    </row>
    <row r="14" spans="1:8" ht="28.5">
      <c r="A14" s="397"/>
      <c r="B14" s="332" t="s">
        <v>12730</v>
      </c>
      <c r="C14" s="249"/>
      <c r="D14" s="249"/>
      <c r="E14" s="333"/>
      <c r="F14" s="337"/>
      <c r="G14" s="334"/>
      <c r="H14" s="395"/>
    </row>
    <row r="15" spans="1:8">
      <c r="A15" s="394"/>
      <c r="B15" s="340" t="s">
        <v>29</v>
      </c>
      <c r="C15" s="252"/>
      <c r="D15" s="335"/>
      <c r="E15" s="333"/>
      <c r="F15" s="337"/>
      <c r="G15" s="334"/>
      <c r="H15" s="395"/>
    </row>
    <row r="16" spans="1:8" ht="28.5">
      <c r="A16" s="372" t="s">
        <v>1422</v>
      </c>
      <c r="B16" s="300" t="str">
        <f t="shared" ref="B16:B21" si="0">IFERROR(VLOOKUP(A16,comp_nãodes,2,FALSE),VLOOKUP(A16,insnãodes,2,FALSE))</f>
        <v>PLACA DE OBRA EM CHAPA DE ACO GALVANIZADO</v>
      </c>
      <c r="C16" s="252" t="str">
        <f t="shared" ref="C16:C21" si="1">IFERROR(VLOOKUP(A16,comp_nãodes,3,FALSE),VLOOKUP(A16,insnãodes,3,FALSE))</f>
        <v>M2</v>
      </c>
      <c r="D16" s="335">
        <v>12.5</v>
      </c>
      <c r="E16" s="341" t="s">
        <v>12844</v>
      </c>
      <c r="F16" s="337"/>
      <c r="G16" s="334"/>
      <c r="H16" s="395"/>
    </row>
    <row r="17" spans="1:8" ht="42.75">
      <c r="A17" s="394">
        <v>93584</v>
      </c>
      <c r="B17" s="300" t="str">
        <f t="shared" si="0"/>
        <v>EXECUÇÃO DE DEPÓSITO EM CANTEIRO DE OBRA EM CHAPA DE MADEIRA COMPENSADA, NÃO INCLUSO MOBILIÁRIO. AF_04/2016</v>
      </c>
      <c r="C17" s="252" t="str">
        <f t="shared" si="1"/>
        <v>M2</v>
      </c>
      <c r="D17" s="335">
        <v>9</v>
      </c>
      <c r="E17" s="341" t="s">
        <v>12786</v>
      </c>
      <c r="F17" s="337"/>
      <c r="G17" s="334"/>
      <c r="H17" s="395"/>
    </row>
    <row r="18" spans="1:8" ht="71.25">
      <c r="A18" s="394" t="s">
        <v>12632</v>
      </c>
      <c r="B18" s="300" t="str">
        <f t="shared" si="0"/>
        <v>CAPINA E LIMPEZA MANUAL DE TERRENO</v>
      </c>
      <c r="C18" s="252" t="str">
        <f t="shared" si="1"/>
        <v>M2</v>
      </c>
      <c r="D18" s="335">
        <v>296.18</v>
      </c>
      <c r="E18" s="341" t="s">
        <v>12845</v>
      </c>
      <c r="F18" s="333" t="s">
        <v>12739</v>
      </c>
      <c r="G18" s="341" t="s">
        <v>12785</v>
      </c>
      <c r="H18" s="399" t="s">
        <v>12770</v>
      </c>
    </row>
    <row r="19" spans="1:8" ht="71.25">
      <c r="A19" s="372">
        <v>99059</v>
      </c>
      <c r="B19" s="300" t="str">
        <f t="shared" si="0"/>
        <v>LOCACAO CONVENCIONAL DE OBRA, UTILIZANDO GABARITO DE TÁBUAS CORRIDAS PONTALETADAS A CADA 2,00M -  2 UTILIZAÇÕES. AF_10/2018</v>
      </c>
      <c r="C19" s="252" t="str">
        <f t="shared" si="1"/>
        <v>M</v>
      </c>
      <c r="D19" s="335">
        <v>73.400000000000006</v>
      </c>
      <c r="E19" s="341" t="s">
        <v>12846</v>
      </c>
      <c r="F19" s="333" t="s">
        <v>12740</v>
      </c>
      <c r="G19" s="341" t="s">
        <v>12847</v>
      </c>
      <c r="H19" s="399" t="s">
        <v>12770</v>
      </c>
    </row>
    <row r="20" spans="1:8" ht="28.5">
      <c r="A20" s="372">
        <v>72898</v>
      </c>
      <c r="B20" s="300" t="str">
        <f t="shared" si="0"/>
        <v>CARGA E DESCARGA MECANIZADAS DE ENTULHO EM CAMINHAO BASCULANTE 6 M3</v>
      </c>
      <c r="C20" s="252" t="str">
        <f t="shared" si="1"/>
        <v>M3</v>
      </c>
      <c r="D20" s="335">
        <v>106.82</v>
      </c>
      <c r="E20" s="341" t="s">
        <v>12787</v>
      </c>
      <c r="F20" s="333"/>
      <c r="G20" s="333"/>
      <c r="H20" s="399"/>
    </row>
    <row r="21" spans="1:8" ht="42.75">
      <c r="A21" s="372">
        <v>97912</v>
      </c>
      <c r="B21" s="300" t="str">
        <f t="shared" si="0"/>
        <v>TRANSPORTE COM CAMINHÃO BASCULANTE DE 6 M3, EM VIA URBANA EM LEITO NATURAL (UNIDADE: M3XKM). AF_01/2018</v>
      </c>
      <c r="C21" s="252" t="str">
        <f t="shared" si="1"/>
        <v>M3XKM</v>
      </c>
      <c r="D21" s="335">
        <v>534.12</v>
      </c>
      <c r="E21" s="341" t="s">
        <v>12788</v>
      </c>
      <c r="F21" s="333" t="s">
        <v>12741</v>
      </c>
      <c r="G21" s="333"/>
      <c r="H21" s="399"/>
    </row>
    <row r="22" spans="1:8">
      <c r="A22" s="394"/>
      <c r="B22" s="300"/>
      <c r="C22" s="252"/>
      <c r="D22" s="335"/>
      <c r="E22" s="333"/>
      <c r="F22" s="333"/>
      <c r="G22" s="333"/>
      <c r="H22" s="399"/>
    </row>
    <row r="23" spans="1:8">
      <c r="A23" s="394"/>
      <c r="B23" s="340" t="s">
        <v>12734</v>
      </c>
      <c r="C23" s="252"/>
      <c r="D23" s="335"/>
      <c r="E23" s="333"/>
      <c r="F23" s="333"/>
      <c r="G23" s="333"/>
      <c r="H23" s="399"/>
    </row>
    <row r="24" spans="1:8" ht="57">
      <c r="A24" s="372">
        <v>96521</v>
      </c>
      <c r="B24" s="300" t="str">
        <f>IFERROR(VLOOKUP(A24,comp_nãodes,2,FALSE),VLOOKUP(A24,insnãodes,2,FALSE))</f>
        <v>ESCAVAÇÃO MECANIZADA PARA BLOCO DE COROAMENTO OU SAPATA, COM PREVISÃO DE FÔRMA, COM RETROESCAVADEIRA. AF_06/2017</v>
      </c>
      <c r="C24" s="252" t="str">
        <f>IFERROR(VLOOKUP(A24,comp_nãodes,3,FALSE),VLOOKUP(A24,insnãodes,3,FALSE))</f>
        <v>M3</v>
      </c>
      <c r="D24" s="308">
        <v>48.08</v>
      </c>
      <c r="E24" s="341" t="s">
        <v>12791</v>
      </c>
      <c r="F24" s="333" t="s">
        <v>12738</v>
      </c>
      <c r="G24" s="333"/>
      <c r="H24" s="399"/>
    </row>
    <row r="25" spans="1:8" ht="85.5">
      <c r="A25" s="372">
        <v>96527</v>
      </c>
      <c r="B25" s="300" t="str">
        <f>IFERROR(VLOOKUP(A25,comp_nãodes,2,FALSE),VLOOKUP(A25,insnãodes,2,FALSE))</f>
        <v>ESCAVAÇÃO MANUAL DE VALA PARA VIGA BALDRAME, COM PREVISÃO DE FÔRMA. AF_06/2017</v>
      </c>
      <c r="C25" s="252" t="str">
        <f>IFERROR(VLOOKUP(A25,comp_nãodes,3,FALSE),VLOOKUP(A25,insnãodes,3,FALSE))</f>
        <v>M3</v>
      </c>
      <c r="D25" s="342">
        <v>25.46</v>
      </c>
      <c r="E25" s="341" t="s">
        <v>12790</v>
      </c>
      <c r="F25" s="333" t="s">
        <v>12737</v>
      </c>
      <c r="G25" s="341" t="s">
        <v>12792</v>
      </c>
      <c r="H25" s="399" t="s">
        <v>12782</v>
      </c>
    </row>
    <row r="26" spans="1:8" ht="99.75">
      <c r="A26" s="372">
        <v>94097</v>
      </c>
      <c r="B26" s="300" t="str">
        <f>IFERROR(VLOOKUP(A26,comp_nãodes,2,FALSE),VLOOKUP(A26,insnãodes,2,FALSE))</f>
        <v>PREPARO DE FUNDO DE VALA COM LARGURA MENOR QUE 1,5 M, EM LOCAL COM NÍVEL BAIXO DE INTERFERÊNCIA. AF_06/2016</v>
      </c>
      <c r="C26" s="252" t="str">
        <f>IFERROR(VLOOKUP(A26,comp_nãodes,3,FALSE),VLOOKUP(A26,insnãodes,3,FALSE))</f>
        <v>M2</v>
      </c>
      <c r="D26" s="342">
        <v>109.2</v>
      </c>
      <c r="E26" s="341" t="s">
        <v>12793</v>
      </c>
      <c r="F26" s="341" t="s">
        <v>12789</v>
      </c>
      <c r="G26" s="341" t="s">
        <v>12794</v>
      </c>
      <c r="H26" s="399" t="s">
        <v>12782</v>
      </c>
    </row>
    <row r="27" spans="1:8" ht="114">
      <c r="A27" s="372">
        <v>94962</v>
      </c>
      <c r="B27" s="300" t="str">
        <f>IFERROR(VLOOKUP(A27,comp_nãodes,2,FALSE),VLOOKUP(A27,insnãodes,2,FALSE))</f>
        <v>CONCRETO MAGRO PARA LASTRO, TRAÇO 1:4,5:4,5 (CIMENTO/ AREIA MÉDIA/ BRITA 1)  - PREPARO MECÂNICO COM BETONEIRA 400 L. AF_07/2016</v>
      </c>
      <c r="C27" s="252" t="str">
        <f>IFERROR(VLOOKUP(A27,comp_nãodes,3,FALSE),VLOOKUP(A27,insnãodes,3,FALSE))</f>
        <v>M3</v>
      </c>
      <c r="D27" s="342">
        <v>5.45</v>
      </c>
      <c r="E27" s="341" t="s">
        <v>12795</v>
      </c>
      <c r="F27" s="341" t="s">
        <v>12796</v>
      </c>
      <c r="G27" s="333"/>
      <c r="H27" s="399"/>
    </row>
    <row r="28" spans="1:8" ht="28.5">
      <c r="A28" s="372">
        <v>93382</v>
      </c>
      <c r="B28" s="300" t="str">
        <f>IFERROR(VLOOKUP(A28,comp_nãodes,2,FALSE),VLOOKUP(A28,insnãodes,2,FALSE))</f>
        <v>REATERRO MANUAL DE VALAS COM COMPACTAÇÃO MECANIZADA. AF_04/2016</v>
      </c>
      <c r="C28" s="252" t="str">
        <f>IFERROR(VLOOKUP(A28,comp_nãodes,3,FALSE),VLOOKUP(A28,insnãodes,3,FALSE))</f>
        <v>M3</v>
      </c>
      <c r="D28" s="342">
        <v>62.28</v>
      </c>
      <c r="E28" s="341" t="s">
        <v>12797</v>
      </c>
      <c r="F28" s="333"/>
      <c r="G28" s="333"/>
      <c r="H28" s="399"/>
    </row>
    <row r="29" spans="1:8">
      <c r="A29" s="394"/>
      <c r="B29" s="300"/>
      <c r="C29" s="252"/>
      <c r="D29" s="342"/>
      <c r="E29" s="333"/>
      <c r="F29" s="333"/>
      <c r="G29" s="333"/>
      <c r="H29" s="399"/>
    </row>
    <row r="30" spans="1:8">
      <c r="A30" s="394"/>
      <c r="B30" s="340" t="s">
        <v>12735</v>
      </c>
      <c r="C30" s="252"/>
      <c r="D30" s="335"/>
      <c r="E30" s="333"/>
      <c r="F30" s="333"/>
      <c r="G30" s="333"/>
      <c r="H30" s="399"/>
    </row>
    <row r="31" spans="1:8" ht="71.25">
      <c r="A31" s="400">
        <v>96535</v>
      </c>
      <c r="B31" s="300" t="str">
        <f>IFERROR(VLOOKUP(A31,comp_nãodes,2,FALSE),VLOOKUP(A31,insnãodes,2,FALSE))</f>
        <v>FABRICAÇÃO, MONTAGEM E DESMONTAGEM DE FÔRMA PARA SAPATA, EM MADEIRA SERRADA, E=25 MM, 4 UTILIZAÇÕES. AF_06/2017</v>
      </c>
      <c r="C31" s="252" t="str">
        <f>IFERROR(VLOOKUP(A31,comp_nãodes,3,FALSE),VLOOKUP(A31,insnãodes,3,FALSE))</f>
        <v>M2</v>
      </c>
      <c r="D31" s="335">
        <v>28.63</v>
      </c>
      <c r="E31" s="335">
        <v>20.71</v>
      </c>
      <c r="F31" s="341" t="s">
        <v>12798</v>
      </c>
      <c r="G31" s="333" t="s">
        <v>12782</v>
      </c>
      <c r="H31" s="399"/>
    </row>
    <row r="32" spans="1:8" ht="71.25">
      <c r="A32" s="372">
        <v>94971</v>
      </c>
      <c r="B32" s="300" t="str">
        <f>IFERROR(VLOOKUP(A32,comp_nãodes,2,FALSE),VLOOKUP(A32,insnãodes,2,FALSE))</f>
        <v>CONCRETO FCK = 25MPA, TRAÇO 1:2,3:2,7 (CIMENTO/ AREIA MÉDIA/ BRITA 1)  - PREPARO MECÂNICO COM BETONEIRA 600 L. AF_07/2016</v>
      </c>
      <c r="C32" s="252" t="str">
        <f>IFERROR(VLOOKUP(A32,comp_nãodes,3,FALSE),VLOOKUP(A32,insnãodes,3,FALSE))</f>
        <v>M3</v>
      </c>
      <c r="D32" s="335">
        <v>5.81</v>
      </c>
      <c r="E32" s="335">
        <v>4.62</v>
      </c>
      <c r="F32" s="341" t="s">
        <v>12799</v>
      </c>
      <c r="G32" s="333" t="s">
        <v>12782</v>
      </c>
      <c r="H32" s="399"/>
    </row>
    <row r="33" spans="1:8" ht="28.5">
      <c r="A33" s="372" t="s">
        <v>3188</v>
      </c>
      <c r="B33" s="300" t="str">
        <f>IFERROR(VLOOKUP(A33,comp_nãodes,2,FALSE),VLOOKUP(A33,insnãodes,2,FALSE))</f>
        <v>LANCAMENTO/APLICACAO MANUAL DE CONCRETO EM FUNDACOES</v>
      </c>
      <c r="C33" s="252" t="str">
        <f>IFERROR(VLOOKUP(A33,comp_nãodes,3,FALSE),VLOOKUP(A33,insnãodes,3,FALSE))</f>
        <v>M3</v>
      </c>
      <c r="D33" s="335">
        <f>D32</f>
        <v>5.81</v>
      </c>
      <c r="E33" s="333"/>
      <c r="F33" s="333"/>
      <c r="G33" s="333"/>
      <c r="H33" s="399"/>
    </row>
    <row r="34" spans="1:8" ht="42.75">
      <c r="A34" s="372">
        <v>96545</v>
      </c>
      <c r="B34" s="300" t="str">
        <f>IFERROR(VLOOKUP(A34,comp_nãodes,2,FALSE),VLOOKUP(A34,insnãodes,2,FALSE))</f>
        <v>ARMAÇÃO DE BLOCO, VIGA BALDRAME OU SAPATA UTILIZANDO AÇO CA-50 DE 8 MM - MONTAGEM. AF_06/2017</v>
      </c>
      <c r="C34" s="252" t="str">
        <f>IFERROR(VLOOKUP(A34,comp_nãodes,3,FALSE),VLOOKUP(A34,insnãodes,3,FALSE))</f>
        <v>KG</v>
      </c>
      <c r="D34" s="335">
        <v>232.02</v>
      </c>
      <c r="E34" s="333">
        <f>152.2*0.9</f>
        <v>136.97999999999999</v>
      </c>
      <c r="F34" s="341" t="s">
        <v>12800</v>
      </c>
      <c r="G34" s="333" t="s">
        <v>12783</v>
      </c>
      <c r="H34" s="399"/>
    </row>
    <row r="35" spans="1:8">
      <c r="A35" s="394"/>
      <c r="B35" s="340"/>
      <c r="C35" s="252"/>
      <c r="D35" s="335"/>
      <c r="E35" s="333"/>
      <c r="F35" s="333"/>
      <c r="G35" s="333"/>
      <c r="H35" s="399"/>
    </row>
    <row r="36" spans="1:8">
      <c r="A36" s="394"/>
      <c r="B36" s="340" t="s">
        <v>12736</v>
      </c>
      <c r="C36" s="252"/>
      <c r="D36" s="335"/>
      <c r="E36" s="333"/>
      <c r="F36" s="333"/>
      <c r="G36" s="333"/>
      <c r="H36" s="399"/>
    </row>
    <row r="37" spans="1:8">
      <c r="A37" s="394"/>
      <c r="B37" s="340" t="s">
        <v>65</v>
      </c>
      <c r="C37" s="252"/>
      <c r="D37" s="335"/>
      <c r="E37" s="333"/>
      <c r="F37" s="333"/>
      <c r="G37" s="333"/>
      <c r="H37" s="399"/>
    </row>
    <row r="38" spans="1:8" ht="99.75">
      <c r="A38" s="372">
        <v>92426</v>
      </c>
      <c r="B38" s="300" t="str">
        <f t="shared" ref="B38:B43" si="2">IFERROR(VLOOKUP(A38,comp_nãodes,2,FALSE),VLOOKUP(A38,insnãodes,2,FALSE))</f>
        <v>MONTAGEM E DESMONTAGEM DE FÔRMA DE PILARES RETANGULARES E ESTRUTURAS SIMILARES COM ÁREA MÉDIA DAS SEÇÕES MENOR OU IGUAL A 0,25 M², PÉ-DIREITO SIMPLES, EM CHAPA DE MADEIRA COMPENSADA RESINADA, 8 UTILIZAÇÕES. AF_12/2015</v>
      </c>
      <c r="C38" s="252" t="str">
        <f t="shared" ref="C38:C43" si="3">IFERROR(VLOOKUP(A38,comp_nãodes,3,FALSE),VLOOKUP(A38,insnãodes,3,FALSE))</f>
        <v>M2</v>
      </c>
      <c r="D38" s="335">
        <v>110.45</v>
      </c>
      <c r="E38" s="333">
        <v>91.3</v>
      </c>
      <c r="F38" s="341" t="s">
        <v>12801</v>
      </c>
      <c r="G38" s="333" t="s">
        <v>12782</v>
      </c>
      <c r="H38" s="399"/>
    </row>
    <row r="39" spans="1:8" ht="57">
      <c r="A39" s="372">
        <v>94971</v>
      </c>
      <c r="B39" s="300" t="str">
        <f t="shared" si="2"/>
        <v>CONCRETO FCK = 25MPA, TRAÇO 1:2,3:2,7 (CIMENTO/ AREIA MÉDIA/ BRITA 1)  - PREPARO MECÂNICO COM BETONEIRA 600 L. AF_07/2016</v>
      </c>
      <c r="C39" s="252" t="str">
        <f t="shared" si="3"/>
        <v>M3</v>
      </c>
      <c r="D39" s="335">
        <v>5.18</v>
      </c>
      <c r="E39" s="333">
        <v>4.3600000000000003</v>
      </c>
      <c r="F39" s="341" t="s">
        <v>12802</v>
      </c>
      <c r="G39" s="333"/>
      <c r="H39" s="399"/>
    </row>
    <row r="40" spans="1:8" ht="42.75">
      <c r="A40" s="370">
        <v>92873</v>
      </c>
      <c r="B40" s="300" t="str">
        <f t="shared" si="2"/>
        <v>LANÇAMENTO COM USO DE BALDES, ADENSAMENTO E ACABAMENTO DE CONCRETO EM ESTRUTURAS. AF_12/2015</v>
      </c>
      <c r="C40" s="252" t="str">
        <f t="shared" si="3"/>
        <v>M3</v>
      </c>
      <c r="D40" s="335">
        <f>D39</f>
        <v>5.18</v>
      </c>
      <c r="E40" s="333"/>
      <c r="F40" s="333"/>
      <c r="G40" s="333"/>
      <c r="H40" s="399"/>
    </row>
    <row r="41" spans="1:8" ht="71.25">
      <c r="A41" s="372">
        <v>92775</v>
      </c>
      <c r="B41" s="300" t="str">
        <f t="shared" si="2"/>
        <v>ARMAÇÃO DE PILAR OU VIGA DE UMA ESTRUTURA CONVENCIONAL DE CONCRETO ARMADO EM UMA EDIFICAÇÃO TÉRREA OU SOBRADO UTILIZANDO AÇO CA-60 DE 5,0 MM - MONTAGEM. AF_12/2015</v>
      </c>
      <c r="C41" s="252" t="str">
        <f t="shared" si="3"/>
        <v>KG</v>
      </c>
      <c r="D41" s="335">
        <v>115.38</v>
      </c>
      <c r="E41" s="333">
        <f>128.2*0.9</f>
        <v>115.38</v>
      </c>
      <c r="F41" s="333"/>
      <c r="G41" s="333"/>
      <c r="H41" s="399"/>
    </row>
    <row r="42" spans="1:8" ht="71.25">
      <c r="A42" s="372">
        <v>92778</v>
      </c>
      <c r="B42" s="300" t="str">
        <f t="shared" si="2"/>
        <v>ARMAÇÃO DE PILAR OU VIGA DE UMA ESTRUTURA CONVENCIONAL DE CONCRETO ARMADO EM UMA EDIFICAÇÃO TÉRREA OU SOBRADO UTILIZANDO AÇO CA-50 DE 10,0 MM - MONTAGEM. AF_12/2015</v>
      </c>
      <c r="C42" s="252" t="str">
        <f t="shared" si="3"/>
        <v>KG</v>
      </c>
      <c r="D42" s="335">
        <v>339.98</v>
      </c>
      <c r="E42" s="333">
        <f>304.8*0.9</f>
        <v>274.32</v>
      </c>
      <c r="F42" s="333" t="s">
        <v>12800</v>
      </c>
      <c r="G42" s="333" t="s">
        <v>12781</v>
      </c>
      <c r="H42" s="399"/>
    </row>
    <row r="43" spans="1:8" ht="71.25">
      <c r="A43" s="372">
        <v>92779</v>
      </c>
      <c r="B43" s="300" t="str">
        <f t="shared" si="2"/>
        <v>ARMAÇÃO DE PILAR OU VIGA DE UMA ESTRUTURA CONVENCIONAL DE CONCRETO ARMADO EM UMA EDIFICAÇÃO TÉRREA OU SOBRADO UTILIZANDO AÇO CA-50 DE 12,5 MM - MONTAGEM. AF_12/2015</v>
      </c>
      <c r="C43" s="252" t="str">
        <f t="shared" si="3"/>
        <v>KG</v>
      </c>
      <c r="D43" s="335">
        <v>46.98</v>
      </c>
      <c r="E43" s="333">
        <f>52.2*0.9</f>
        <v>46.980000000000004</v>
      </c>
      <c r="F43" s="333"/>
      <c r="G43" s="333"/>
      <c r="H43" s="399"/>
    </row>
    <row r="44" spans="1:8">
      <c r="A44" s="394"/>
      <c r="B44" s="340" t="s">
        <v>66</v>
      </c>
      <c r="C44" s="252"/>
      <c r="D44" s="335"/>
      <c r="E44" s="333"/>
      <c r="F44" s="333"/>
      <c r="G44" s="333"/>
      <c r="H44" s="399"/>
    </row>
    <row r="45" spans="1:8" ht="71.25">
      <c r="A45" s="372">
        <v>92463</v>
      </c>
      <c r="B45" s="300" t="str">
        <f t="shared" ref="B45:B51" si="4">IFERROR(VLOOKUP(A45,comp_nãodes,2,FALSE),VLOOKUP(A45,insnãodes,2,FALSE))</f>
        <v>MONTAGEM E DESMONTAGEM DE FÔRMA DE VIGA, ESCORAMENTO COM GARFO DE MADEIRA, PÉ-DIREITO SIMPLES, EM CHAPA DE MADEIRA RESINADA, 8 UTILIZAÇÕES. AF_12/2015</v>
      </c>
      <c r="C45" s="252" t="str">
        <f t="shared" ref="C45:C51" si="5">IFERROR(VLOOKUP(A45,comp_nãodes,3,FALSE),VLOOKUP(A45,insnãodes,3,FALSE))</f>
        <v>M2</v>
      </c>
      <c r="D45" s="335">
        <v>250.14</v>
      </c>
      <c r="E45" s="335">
        <v>232.32</v>
      </c>
      <c r="F45" s="341" t="s">
        <v>12803</v>
      </c>
      <c r="G45" s="333" t="s">
        <v>12782</v>
      </c>
      <c r="H45" s="399"/>
    </row>
    <row r="46" spans="1:8" ht="71.25">
      <c r="A46" s="372">
        <v>94971</v>
      </c>
      <c r="B46" s="300" t="str">
        <f t="shared" si="4"/>
        <v>CONCRETO FCK = 25MPA, TRAÇO 1:2,3:2,7 (CIMENTO/ AREIA MÉDIA/ BRITA 1)  - PREPARO MECÂNICO COM BETONEIRA 600 L. AF_07/2016</v>
      </c>
      <c r="C46" s="252" t="str">
        <f t="shared" si="5"/>
        <v>M3</v>
      </c>
      <c r="D46" s="335">
        <v>14.45</v>
      </c>
      <c r="E46" s="335">
        <v>13.26</v>
      </c>
      <c r="F46" s="341" t="s">
        <v>12799</v>
      </c>
      <c r="G46" s="333" t="s">
        <v>12782</v>
      </c>
      <c r="H46" s="399"/>
    </row>
    <row r="47" spans="1:8" ht="42.75">
      <c r="A47" s="370">
        <v>92873</v>
      </c>
      <c r="B47" s="300" t="str">
        <f t="shared" si="4"/>
        <v>LANÇAMENTO COM USO DE BALDES, ADENSAMENTO E ACABAMENTO DE CONCRETO EM ESTRUTURAS. AF_12/2015</v>
      </c>
      <c r="C47" s="252" t="str">
        <f t="shared" si="5"/>
        <v>M3</v>
      </c>
      <c r="D47" s="335">
        <f>D46</f>
        <v>14.45</v>
      </c>
      <c r="E47" s="333"/>
      <c r="F47" s="333"/>
      <c r="G47" s="333"/>
      <c r="H47" s="399"/>
    </row>
    <row r="48" spans="1:8" ht="71.25">
      <c r="A48" s="372">
        <v>92775</v>
      </c>
      <c r="B48" s="300" t="str">
        <f t="shared" si="4"/>
        <v>ARMAÇÃO DE PILAR OU VIGA DE UMA ESTRUTURA CONVENCIONAL DE CONCRETO ARMADO EM UMA EDIFICAÇÃO TÉRREA OU SOBRADO UTILIZANDO AÇO CA-60 DE 5,0 MM - MONTAGEM. AF_12/2015</v>
      </c>
      <c r="C48" s="252" t="str">
        <f t="shared" si="5"/>
        <v>KG</v>
      </c>
      <c r="D48" s="335">
        <v>216.72</v>
      </c>
      <c r="E48" s="333">
        <f>240.8*0.9</f>
        <v>216.72000000000003</v>
      </c>
      <c r="F48" s="333"/>
      <c r="G48" s="333"/>
      <c r="H48" s="399"/>
    </row>
    <row r="49" spans="1:8" ht="71.25">
      <c r="A49" s="372">
        <v>92777</v>
      </c>
      <c r="B49" s="300" t="str">
        <f t="shared" si="4"/>
        <v>ARMAÇÃO DE PILAR OU VIGA DE UMA ESTRUTURA CONVENCIONAL DE CONCRETO ARMADO EM UMA EDIFICAÇÃO TÉRREA OU SOBRADO UTILIZANDO AÇO CA-50 DE 8,0 MM - MONTAGEM. AF_12/2015</v>
      </c>
      <c r="C49" s="252" t="str">
        <f t="shared" si="5"/>
        <v>KG</v>
      </c>
      <c r="D49" s="335">
        <v>544.14</v>
      </c>
      <c r="E49" s="333">
        <f>499*0.9</f>
        <v>449.1</v>
      </c>
      <c r="F49" s="333" t="s">
        <v>12800</v>
      </c>
      <c r="G49" s="333" t="s">
        <v>12783</v>
      </c>
      <c r="H49" s="399"/>
    </row>
    <row r="50" spans="1:8" ht="71.25">
      <c r="A50" s="372">
        <v>92778</v>
      </c>
      <c r="B50" s="300" t="str">
        <f t="shared" si="4"/>
        <v>ARMAÇÃO DE PILAR OU VIGA DE UMA ESTRUTURA CONVENCIONAL DE CONCRETO ARMADO EM UMA EDIFICAÇÃO TÉRREA OU SOBRADO UTILIZANDO AÇO CA-50 DE 10,0 MM - MONTAGEM. AF_12/2015</v>
      </c>
      <c r="C50" s="252" t="str">
        <f t="shared" si="5"/>
        <v>KG</v>
      </c>
      <c r="D50" s="335">
        <v>57.87</v>
      </c>
      <c r="E50" s="333">
        <f>64.3*0.9</f>
        <v>57.87</v>
      </c>
      <c r="F50" s="333"/>
      <c r="G50" s="333"/>
      <c r="H50" s="399"/>
    </row>
    <row r="51" spans="1:8" ht="71.25">
      <c r="A51" s="372">
        <v>92779</v>
      </c>
      <c r="B51" s="300" t="str">
        <f t="shared" si="4"/>
        <v>ARMAÇÃO DE PILAR OU VIGA DE UMA ESTRUTURA CONVENCIONAL DE CONCRETO ARMADO EM UMA EDIFICAÇÃO TÉRREA OU SOBRADO UTILIZANDO AÇO CA-50 DE 12,5 MM - MONTAGEM. AF_12/2015</v>
      </c>
      <c r="C51" s="252" t="str">
        <f t="shared" si="5"/>
        <v>KG</v>
      </c>
      <c r="D51" s="308">
        <v>100.35</v>
      </c>
      <c r="E51" s="333">
        <f>111.5*0.9</f>
        <v>100.35000000000001</v>
      </c>
      <c r="F51" s="333"/>
      <c r="G51" s="333"/>
      <c r="H51" s="399"/>
    </row>
    <row r="52" spans="1:8">
      <c r="A52" s="394"/>
      <c r="B52" s="340" t="s">
        <v>12778</v>
      </c>
      <c r="C52" s="252"/>
      <c r="D52" s="335"/>
      <c r="E52" s="333"/>
      <c r="F52" s="333"/>
      <c r="G52" s="333"/>
      <c r="H52" s="399"/>
    </row>
    <row r="53" spans="1:8" ht="85.5">
      <c r="A53" s="372" t="s">
        <v>3263</v>
      </c>
      <c r="B53" s="300" t="str">
        <f>IFERROR(VLOOKUP(A53,comp_nãodes,2,FALSE),VLOOKUP(A53,insnãodes,2,FALSE))</f>
        <v>LAJE PRE-MOLDADA P/FORRO, SOBRECARGA 100KG/M2, VAOS ATE 3,50M/E=8CM, C/LAJOTAS E CAP.C/CONC FCK=20MPA, 3CM, INTER-EIXO 38CM, C/ESCORAMENTO (REAPR.3X) E FERRAGEM NEGATIVA</v>
      </c>
      <c r="C53" s="252" t="str">
        <f>IFERROR(VLOOKUP(A53,comp_nãodes,3,FALSE),VLOOKUP(A53,insnãodes,3,FALSE))</f>
        <v>M2</v>
      </c>
      <c r="D53" s="308">
        <v>21.33</v>
      </c>
      <c r="E53" s="341" t="s">
        <v>12804</v>
      </c>
      <c r="F53" s="333" t="s">
        <v>12772</v>
      </c>
      <c r="G53" s="333"/>
      <c r="H53" s="399"/>
    </row>
    <row r="54" spans="1:8">
      <c r="A54" s="394"/>
      <c r="B54" s="300"/>
      <c r="C54" s="252"/>
      <c r="D54" s="342"/>
      <c r="E54" s="333"/>
      <c r="F54" s="333"/>
      <c r="G54" s="333"/>
      <c r="H54" s="399"/>
    </row>
    <row r="55" spans="1:8">
      <c r="A55" s="394"/>
      <c r="B55" s="340" t="s">
        <v>439</v>
      </c>
      <c r="C55" s="252"/>
      <c r="D55" s="335"/>
      <c r="E55" s="333"/>
      <c r="F55" s="333"/>
      <c r="G55" s="333"/>
      <c r="H55" s="399"/>
    </row>
    <row r="56" spans="1:8" ht="99.75">
      <c r="A56" s="372" t="s">
        <v>3336</v>
      </c>
      <c r="B56" s="300" t="str">
        <f>IFERROR(VLOOKUP(A56,comp_nãodes,2,FALSE),VLOOKUP(A56,insnãodes,2,FALSE))</f>
        <v>IMPERMEABILIZACAO DE ESTRUTURAS ENTERRADAS, COM TINTA ASFALTICA, DUAS DEMAOS.</v>
      </c>
      <c r="C56" s="252" t="str">
        <f>IFERROR(VLOOKUP(A56,comp_nãodes,3,FALSE),VLOOKUP(A56,insnãodes,3,FALSE))</f>
        <v>M2</v>
      </c>
      <c r="D56" s="342">
        <v>109.2</v>
      </c>
      <c r="E56" s="341" t="s">
        <v>12793</v>
      </c>
      <c r="F56" s="341" t="s">
        <v>12789</v>
      </c>
      <c r="G56" s="333"/>
      <c r="H56" s="399"/>
    </row>
    <row r="57" spans="1:8" ht="42.75">
      <c r="A57" s="372">
        <v>98565</v>
      </c>
      <c r="B57" s="300" t="str">
        <f>IFERROR(VLOOKUP(A57,comp_nãodes,2,FALSE),VLOOKUP(A57,insnãodes,2,FALSE))</f>
        <v>PROTEÇÃO MECÂNICA DE SUPERFICIE HORIZONTAL COM ARGAMASSA DE CIMENTO E AREIA, TRAÇO 1:3, E=3CM. AF_06/2018</v>
      </c>
      <c r="C57" s="252" t="str">
        <f>IFERROR(VLOOKUP(A57,comp_nãodes,3,FALSE),VLOOKUP(A57,insnãodes,3,FALSE))</f>
        <v>M2</v>
      </c>
      <c r="D57" s="342">
        <f>D58</f>
        <v>21.33</v>
      </c>
      <c r="E57" s="333"/>
      <c r="F57" s="333"/>
      <c r="G57" s="333"/>
      <c r="H57" s="399"/>
    </row>
    <row r="58" spans="1:8" ht="57">
      <c r="A58" s="372">
        <v>98547</v>
      </c>
      <c r="B58" s="300" t="str">
        <f>IFERROR(VLOOKUP(A58,comp_nãodes,2,FALSE),VLOOKUP(A58,insnãodes,2,FALSE))</f>
        <v>IMPERMEABILIZAÇÃO DE SUPERFÍCIE COM MANTA ASFÁLTICA, DUAS CAMADAS, INCLUSIVE APLICAÇÃO DE PRIMER ASFÁLTICO, E=3MM E E=4MM. AF_06/2018</v>
      </c>
      <c r="C58" s="252" t="str">
        <f>IFERROR(VLOOKUP(A58,comp_nãodes,3,FALSE),VLOOKUP(A58,insnãodes,3,FALSE))</f>
        <v>M2</v>
      </c>
      <c r="D58" s="342">
        <v>21.33</v>
      </c>
      <c r="E58" s="341" t="s">
        <v>12804</v>
      </c>
      <c r="F58" s="333" t="s">
        <v>12772</v>
      </c>
      <c r="G58" s="333"/>
      <c r="H58" s="399"/>
    </row>
    <row r="59" spans="1:8">
      <c r="A59" s="394"/>
      <c r="B59" s="300"/>
      <c r="C59" s="252"/>
      <c r="D59" s="342"/>
      <c r="E59" s="333"/>
      <c r="F59" s="333"/>
      <c r="G59" s="333"/>
      <c r="H59" s="399"/>
    </row>
    <row r="60" spans="1:8">
      <c r="A60" s="394"/>
      <c r="B60" s="340" t="s">
        <v>31</v>
      </c>
      <c r="C60" s="252"/>
      <c r="D60" s="335"/>
      <c r="E60" s="333"/>
      <c r="F60" s="333"/>
      <c r="G60" s="333"/>
      <c r="H60" s="399"/>
    </row>
    <row r="61" spans="1:8" ht="71.25">
      <c r="A61" s="372">
        <v>92620</v>
      </c>
      <c r="B61" s="300" t="str">
        <f>IFERROR(VLOOKUP(A61,comp_nãodes,2,FALSE),VLOOKUP(A61,insnãodes,2,FALSE))</f>
        <v>FABRICAÇÃO E INSTALAÇÃO DE TESOURA INTEIRA EM AÇO, VÃO DE 12 M, PARA TELHA ONDULADA DE FIBROCIMENTO, METÁLICA, PLÁSTICA OU TERMOACÚSTICA, INCLUSO IÇAMENTO. AF_12/2015</v>
      </c>
      <c r="C61" s="252" t="str">
        <f>IFERROR(VLOOKUP(A61,comp_nãodes,3,FALSE),VLOOKUP(A61,insnãodes,3,FALSE))</f>
        <v>UN</v>
      </c>
      <c r="D61" s="342">
        <v>7</v>
      </c>
      <c r="E61" s="341" t="s">
        <v>12805</v>
      </c>
      <c r="F61" s="333"/>
      <c r="G61" s="333"/>
      <c r="H61" s="399"/>
    </row>
    <row r="62" spans="1:8" ht="85.5">
      <c r="A62" s="372">
        <v>92580</v>
      </c>
      <c r="B62" s="300" t="str">
        <f>IFERROR(VLOOKUP(A62,comp_nãodes,2,FALSE),VLOOKUP(A62,insnãodes,2,FALSE))</f>
        <v>TRAMA DE AÇO COMPOSTA POR TERÇAS PARA TELHADOS DE ATÉ 2 ÁGUAS PARA TELHA ONDULADA DE FIBROCIMENTO, METÁLICA, PLÁSTICA OU TERMOACÚSTICA, INCLUSO TRANSPORTE VERTICAL. AF_07/2019</v>
      </c>
      <c r="C62" s="252" t="str">
        <f>IFERROR(VLOOKUP(A62,comp_nãodes,3,FALSE),VLOOKUP(A62,insnãodes,3,FALSE))</f>
        <v>M2</v>
      </c>
      <c r="D62" s="342">
        <v>242.94</v>
      </c>
      <c r="E62" s="341" t="s">
        <v>12806</v>
      </c>
      <c r="F62" s="333"/>
      <c r="G62" s="333"/>
      <c r="H62" s="399"/>
    </row>
    <row r="63" spans="1:8" ht="71.25">
      <c r="A63" s="370" t="s">
        <v>12742</v>
      </c>
      <c r="B63" s="300" t="s">
        <v>169</v>
      </c>
      <c r="C63" s="252" t="s">
        <v>117</v>
      </c>
      <c r="D63" s="342">
        <v>242.94</v>
      </c>
      <c r="E63" s="341" t="s">
        <v>12806</v>
      </c>
      <c r="F63" s="333"/>
      <c r="G63" s="333"/>
      <c r="H63" s="399"/>
    </row>
    <row r="64" spans="1:8" ht="42.75">
      <c r="A64" s="372">
        <v>94213</v>
      </c>
      <c r="B64" s="300" t="str">
        <f>IFERROR(VLOOKUP(A64,comp_nãodes,2,FALSE),VLOOKUP(A64,insnãodes,2,FALSE))</f>
        <v>TELHAMENTO COM TELHA DE AÇO/ALUMÍNIO E = 0,5 MM, COM ATÉ 2 ÁGUAS, INCLUSO IÇAMENTO. AF_07/2019</v>
      </c>
      <c r="C64" s="252" t="str">
        <f>IFERROR(VLOOKUP(A64,comp_nãodes,3,FALSE),VLOOKUP(A64,insnãodes,3,FALSE))</f>
        <v>M2</v>
      </c>
      <c r="D64" s="342">
        <v>242.94</v>
      </c>
      <c r="E64" s="341" t="s">
        <v>12806</v>
      </c>
      <c r="F64" s="333"/>
      <c r="G64" s="333"/>
      <c r="H64" s="399"/>
    </row>
    <row r="65" spans="1:8" ht="28.5">
      <c r="A65" s="370" t="s">
        <v>11706</v>
      </c>
      <c r="B65" s="300" t="s">
        <v>11703</v>
      </c>
      <c r="C65" s="252" t="s">
        <v>35</v>
      </c>
      <c r="D65" s="342">
        <v>14.85</v>
      </c>
      <c r="E65" s="333">
        <v>14.85</v>
      </c>
      <c r="F65" s="333"/>
      <c r="G65" s="333"/>
      <c r="H65" s="399"/>
    </row>
    <row r="66" spans="1:8" ht="57">
      <c r="A66" s="370">
        <v>94227</v>
      </c>
      <c r="B66" s="300" t="str">
        <f>IFERROR(VLOOKUP(A66,comp_nãodes,2,FALSE),VLOOKUP(A66,insnãodes,2,FALSE))</f>
        <v>CALHA EM CHAPA DE AÇO GALVANIZADO NÚMERO 24, DESENVOLVIMENTO DE 33 CM, INCLUSO TRANSPORTE VERTICAL. AF_07/2019</v>
      </c>
      <c r="C66" s="252" t="str">
        <f>IFERROR(VLOOKUP(A66,comp_nãodes,3,FALSE),VLOOKUP(A66,insnãodes,3,FALSE))</f>
        <v>M</v>
      </c>
      <c r="D66" s="342">
        <v>29.7</v>
      </c>
      <c r="E66" s="341" t="s">
        <v>12807</v>
      </c>
      <c r="F66" s="333"/>
      <c r="G66" s="333"/>
      <c r="H66" s="399"/>
    </row>
    <row r="67" spans="1:8" ht="42.75">
      <c r="A67" s="370">
        <v>94231</v>
      </c>
      <c r="B67" s="300" t="str">
        <f>IFERROR(VLOOKUP(A67,comp_nãodes,2,FALSE),VLOOKUP(A67,insnãodes,2,FALSE))</f>
        <v>RUFO EM CHAPA DE AÇO GALVANIZADO NÚMERO 24, CORTE DE 25 CM, INCLUSO TRANSPORTE VERTICAL. AF_07/2019</v>
      </c>
      <c r="C67" s="252" t="str">
        <f>IFERROR(VLOOKUP(A67,comp_nãodes,3,FALSE),VLOOKUP(A67,insnãodes,3,FALSE))</f>
        <v>M</v>
      </c>
      <c r="D67" s="342">
        <v>35.1</v>
      </c>
      <c r="E67" s="341" t="s">
        <v>12808</v>
      </c>
      <c r="F67" s="333"/>
      <c r="G67" s="333"/>
      <c r="H67" s="399"/>
    </row>
    <row r="68" spans="1:8" ht="28.5">
      <c r="A68" s="370" t="s">
        <v>11707</v>
      </c>
      <c r="B68" s="300" t="s">
        <v>11704</v>
      </c>
      <c r="C68" s="252" t="s">
        <v>117</v>
      </c>
      <c r="D68" s="342">
        <v>34.15</v>
      </c>
      <c r="E68" s="341" t="s">
        <v>12809</v>
      </c>
      <c r="F68" s="333"/>
      <c r="G68" s="333"/>
      <c r="H68" s="399"/>
    </row>
    <row r="69" spans="1:8">
      <c r="A69" s="396"/>
      <c r="B69" s="338"/>
      <c r="C69" s="339"/>
      <c r="D69" s="339"/>
      <c r="E69" s="333"/>
      <c r="F69" s="333"/>
      <c r="G69" s="333"/>
      <c r="H69" s="399"/>
    </row>
    <row r="70" spans="1:8">
      <c r="A70" s="394"/>
      <c r="B70" s="340" t="s">
        <v>12762</v>
      </c>
      <c r="C70" s="252"/>
      <c r="D70" s="335"/>
      <c r="E70" s="333"/>
      <c r="F70" s="333"/>
      <c r="G70" s="333"/>
      <c r="H70" s="399"/>
    </row>
    <row r="71" spans="1:8" ht="114">
      <c r="A71" s="372">
        <v>89168</v>
      </c>
      <c r="B71" s="300" t="str">
        <f t="shared" ref="B71:B78" si="6">IFERROR(VLOOKUP(A71,comp_nãodes,2,FALSE),VLOOKUP(A71,insnãodes,2,FALSE))</f>
        <v>(COMPOSIÇÃO REPRESENTATIVA) DO SERVIÇO DE ALVENARIA DE VEDAÇÃO DE BLOCOS VAZADOS DE CERÂMICA DE 9X19X19CM (ESPESSURA 9CM), PARA EDIFICAÇÃO HABITACIONAL UNIFAMILIAR (CASA) E EDIFICAÇÃO PÚBLICA PADRÃO. AF_11/2014</v>
      </c>
      <c r="C71" s="252" t="str">
        <f t="shared" ref="C71:C78" si="7">IFERROR(VLOOKUP(A71,comp_nãodes,3,FALSE),VLOOKUP(A71,insnãodes,3,FALSE))</f>
        <v>M2</v>
      </c>
      <c r="D71" s="308">
        <v>501.12</v>
      </c>
      <c r="E71" s="341" t="s">
        <v>12810</v>
      </c>
      <c r="F71" s="333"/>
      <c r="G71" s="341" t="s">
        <v>12811</v>
      </c>
      <c r="H71" s="399" t="s">
        <v>12772</v>
      </c>
    </row>
    <row r="72" spans="1:8" ht="71.25">
      <c r="A72" s="400">
        <v>93204</v>
      </c>
      <c r="B72" s="300" t="str">
        <f t="shared" si="6"/>
        <v>CINTA DE AMARRAÇÃO DE ALVENARIA MOLDADA IN LOCO EM CONCRETO. AF_03/2016</v>
      </c>
      <c r="C72" s="252" t="str">
        <f t="shared" si="7"/>
        <v>M</v>
      </c>
      <c r="D72" s="308">
        <v>175.5</v>
      </c>
      <c r="E72" s="341" t="s">
        <v>12812</v>
      </c>
      <c r="F72" s="333"/>
      <c r="G72" s="341" t="s">
        <v>12813</v>
      </c>
      <c r="H72" s="399" t="s">
        <v>12772</v>
      </c>
    </row>
    <row r="73" spans="1:8" ht="57">
      <c r="A73" s="372">
        <v>93188</v>
      </c>
      <c r="B73" s="300" t="str">
        <f t="shared" si="6"/>
        <v>VERGA MOLDADA IN LOCO EM CONCRETO PARA PORTAS COM ATÉ 1,5 M DE VÃO. AF_03/2016</v>
      </c>
      <c r="C73" s="252" t="str">
        <f t="shared" si="7"/>
        <v>M</v>
      </c>
      <c r="D73" s="308">
        <v>40.200000000000003</v>
      </c>
      <c r="E73" s="341" t="s">
        <v>12814</v>
      </c>
      <c r="F73" s="333" t="s">
        <v>12761</v>
      </c>
      <c r="G73" s="341" t="s">
        <v>12817</v>
      </c>
      <c r="H73" s="399" t="s">
        <v>12772</v>
      </c>
    </row>
    <row r="74" spans="1:8" ht="42.75">
      <c r="A74" s="372">
        <v>93186</v>
      </c>
      <c r="B74" s="300" t="str">
        <f t="shared" si="6"/>
        <v>VERGA MOLDADA IN LOCO EM CONCRETO PARA JANELAS COM ATÉ 1,5 M DE VÃO. AF_03/2016</v>
      </c>
      <c r="C74" s="252" t="str">
        <f t="shared" si="7"/>
        <v>M</v>
      </c>
      <c r="D74" s="308">
        <v>32.200000000000003</v>
      </c>
      <c r="E74" s="341" t="s">
        <v>12815</v>
      </c>
      <c r="F74" s="333"/>
      <c r="G74" s="333"/>
      <c r="H74" s="399"/>
    </row>
    <row r="75" spans="1:8" ht="42.75">
      <c r="A75" s="400">
        <v>93187</v>
      </c>
      <c r="B75" s="300" t="str">
        <f t="shared" si="6"/>
        <v>VERGA MOLDADA IN LOCO EM CONCRETO PARA JANELAS COM MAIS DE 1,5 M DE VÃO. AF_03/2016</v>
      </c>
      <c r="C75" s="252" t="str">
        <f t="shared" si="7"/>
        <v>M</v>
      </c>
      <c r="D75" s="308">
        <v>5.6</v>
      </c>
      <c r="E75" s="341" t="s">
        <v>12816</v>
      </c>
      <c r="F75" s="333"/>
      <c r="G75" s="333"/>
      <c r="H75" s="399"/>
    </row>
    <row r="76" spans="1:8" ht="42.75">
      <c r="A76" s="400">
        <v>93196</v>
      </c>
      <c r="B76" s="300" t="str">
        <f t="shared" si="6"/>
        <v>CONTRAVERGA MOLDADA IN LOCO EM CONCRETO PARA VÃOS DE ATÉ 1,5 M DE COMPRIMENTO. AF_03/2016</v>
      </c>
      <c r="C76" s="252" t="str">
        <f t="shared" si="7"/>
        <v>M</v>
      </c>
      <c r="D76" s="308">
        <v>32.200000000000003</v>
      </c>
      <c r="E76" s="333"/>
      <c r="F76" s="333"/>
      <c r="G76" s="333"/>
      <c r="H76" s="399"/>
    </row>
    <row r="77" spans="1:8" ht="42.75">
      <c r="A77" s="400">
        <v>93187</v>
      </c>
      <c r="B77" s="300" t="str">
        <f t="shared" si="6"/>
        <v>VERGA MOLDADA IN LOCO EM CONCRETO PARA JANELAS COM MAIS DE 1,5 M DE VÃO. AF_03/2016</v>
      </c>
      <c r="C77" s="252" t="str">
        <f t="shared" si="7"/>
        <v>M</v>
      </c>
      <c r="D77" s="308">
        <v>5.6</v>
      </c>
      <c r="E77" s="333"/>
      <c r="F77" s="333"/>
      <c r="G77" s="333"/>
      <c r="H77" s="399"/>
    </row>
    <row r="78" spans="1:8" ht="71.25">
      <c r="A78" s="400" t="s">
        <v>5654</v>
      </c>
      <c r="B78" s="300" t="str">
        <f t="shared" si="6"/>
        <v>DIVISORIA EM MARMORITE ESPESSURA 35MM, CHUMBAMENTO NO PISO E PAREDE COM ARGAMASSA DE CIMENTO E AREIA, POLIMENTO MANUAL, EXCLUSIVE FERRAGENS</v>
      </c>
      <c r="C78" s="252" t="str">
        <f t="shared" si="7"/>
        <v>M2</v>
      </c>
      <c r="D78" s="308">
        <v>10.08</v>
      </c>
      <c r="E78" s="341" t="s">
        <v>12818</v>
      </c>
      <c r="F78" s="333"/>
      <c r="G78" s="333"/>
      <c r="H78" s="399"/>
    </row>
    <row r="79" spans="1:8">
      <c r="A79" s="396"/>
      <c r="B79" s="338"/>
      <c r="C79" s="339"/>
      <c r="D79" s="339"/>
      <c r="E79" s="333"/>
      <c r="F79" s="333"/>
      <c r="G79" s="333"/>
      <c r="H79" s="399"/>
    </row>
    <row r="80" spans="1:8">
      <c r="A80" s="394"/>
      <c r="B80" s="340" t="s">
        <v>11685</v>
      </c>
      <c r="C80" s="252"/>
      <c r="D80" s="335"/>
      <c r="E80" s="333"/>
      <c r="F80" s="333"/>
      <c r="G80" s="333"/>
      <c r="H80" s="399"/>
    </row>
    <row r="81" spans="1:8" ht="99.75">
      <c r="A81" s="372">
        <v>90843</v>
      </c>
      <c r="B81" s="300" t="str">
        <f>IFERROR(VLOOKUP(A81,comp_nãodes,2,FALSE),VLOOKUP(A81,insnãodes,2,FALSE))</f>
        <v>KIT DE PORTA DE MADEIRA PARA PINTURA, SEMI-OCA (LEVE OU MÉDIA), PADRÃO MÉDIO, 80X210CM, ESPESSURA DE 3,5CM, ITENS INCLUSOS: DOBRADIÇAS, MONTAGEM E INSTALAÇÃO DO BATENTE, FECHADURA COM EXECUÇÃO DO FURO - FORNECIMENTO E INSTALAÇÃO. AF_12/2019</v>
      </c>
      <c r="C81" s="252" t="str">
        <f>IFERROR(VLOOKUP(A81,comp_nãodes,3,FALSE),VLOOKUP(A81,insnãodes,3,FALSE))</f>
        <v>UN</v>
      </c>
      <c r="D81" s="308">
        <v>11</v>
      </c>
      <c r="E81" s="333">
        <v>11</v>
      </c>
      <c r="F81" s="333" t="s">
        <v>12744</v>
      </c>
      <c r="G81" s="333"/>
      <c r="H81" s="399"/>
    </row>
    <row r="82" spans="1:8" ht="28.5">
      <c r="A82" s="400" t="s">
        <v>12748</v>
      </c>
      <c r="B82" s="343" t="s">
        <v>12745</v>
      </c>
      <c r="C82" s="252" t="s">
        <v>11525</v>
      </c>
      <c r="D82" s="308">
        <v>1</v>
      </c>
      <c r="E82" s="333"/>
      <c r="F82" s="333" t="s">
        <v>12744</v>
      </c>
      <c r="G82" s="333"/>
      <c r="H82" s="399"/>
    </row>
    <row r="83" spans="1:8" ht="99.75">
      <c r="A83" s="400" t="s">
        <v>12749</v>
      </c>
      <c r="B83" s="343" t="s">
        <v>12768</v>
      </c>
      <c r="C83" s="252" t="s">
        <v>11525</v>
      </c>
      <c r="D83" s="308">
        <v>1</v>
      </c>
      <c r="E83" s="333"/>
      <c r="F83" s="333" t="s">
        <v>12744</v>
      </c>
      <c r="G83" s="333"/>
      <c r="H83" s="399"/>
    </row>
    <row r="84" spans="1:8" ht="42.75">
      <c r="A84" s="400" t="s">
        <v>12754</v>
      </c>
      <c r="B84" s="343" t="s">
        <v>12756</v>
      </c>
      <c r="C84" s="308" t="s">
        <v>117</v>
      </c>
      <c r="D84" s="308">
        <v>4.2</v>
      </c>
      <c r="E84" s="333" t="s">
        <v>12757</v>
      </c>
      <c r="F84" s="333">
        <f>2*1*2.1</f>
        <v>4.2</v>
      </c>
      <c r="G84" s="333"/>
      <c r="H84" s="399"/>
    </row>
    <row r="85" spans="1:8" ht="57">
      <c r="A85" s="400">
        <v>91341</v>
      </c>
      <c r="B85" s="300" t="str">
        <f>IFERROR(VLOOKUP(A85,comp_nãodes,2,FALSE),VLOOKUP(A85,insnãodes,2,FALSE))</f>
        <v>PORTA EM ALUMÍNIO DE ABRIR TIPO VENEZIANA COM GUARNIÇÃO, FIXAÇÃO COM PARAFUSOS - FORNECIMENTO E INSTALAÇÃO. AF_12/2019</v>
      </c>
      <c r="C85" s="252" t="str">
        <f>IFERROR(VLOOKUP(A85,comp_nãodes,3,FALSE),VLOOKUP(A85,insnãodes,3,FALSE))</f>
        <v>M2</v>
      </c>
      <c r="D85" s="308">
        <v>20.079999999999998</v>
      </c>
      <c r="E85" s="341" t="s">
        <v>12819</v>
      </c>
      <c r="F85" s="341" t="s">
        <v>12819</v>
      </c>
      <c r="G85" s="333" t="s">
        <v>12771</v>
      </c>
      <c r="H85" s="399"/>
    </row>
    <row r="86" spans="1:8" ht="71.25">
      <c r="A86" s="400">
        <v>94569</v>
      </c>
      <c r="B86" s="300" t="str">
        <f>IFERROR(VLOOKUP(A86,comp_nãodes,2,FALSE),VLOOKUP(A86,insnãodes,2,FALSE))</f>
        <v>JANELA DE ALUMÍNIO TIPO MAXIM-AR, COM VIDROS, BATENTE E FERRAGENS. EXCLUSIVE ALIZAR, ACABAMENTO E CONTRAMARCO. FORNECIMENTO E INSTALAÇÃO. AF_12/2019</v>
      </c>
      <c r="C86" s="252" t="str">
        <f>IFERROR(VLOOKUP(A86,comp_nãodes,3,FALSE),VLOOKUP(A86,insnãodes,3,FALSE))</f>
        <v>M2</v>
      </c>
      <c r="D86" s="308">
        <v>12.24</v>
      </c>
      <c r="E86" s="341" t="s">
        <v>12820</v>
      </c>
      <c r="F86" s="333"/>
      <c r="G86" s="333"/>
      <c r="H86" s="399"/>
    </row>
    <row r="87" spans="1:8">
      <c r="A87" s="400" t="s">
        <v>12758</v>
      </c>
      <c r="B87" s="300" t="s">
        <v>12760</v>
      </c>
      <c r="C87" s="252" t="s">
        <v>117</v>
      </c>
      <c r="D87" s="308">
        <v>7.2</v>
      </c>
      <c r="E87" s="341" t="s">
        <v>12821</v>
      </c>
      <c r="F87" s="333"/>
      <c r="G87" s="333"/>
      <c r="H87" s="399"/>
    </row>
    <row r="88" spans="1:8" ht="57">
      <c r="A88" s="400">
        <v>91341</v>
      </c>
      <c r="B88" s="300" t="str">
        <f>IFERROR(VLOOKUP(A88,comp_nãodes,2,FALSE),VLOOKUP(A88,insnãodes,2,FALSE))</f>
        <v>PORTA EM ALUMÍNIO DE ABRIR TIPO VENEZIANA COM GUARNIÇÃO, FIXAÇÃO COM PARAFUSOS - FORNECIMENTO E INSTALAÇÃO. AF_12/2019</v>
      </c>
      <c r="C88" s="252" t="str">
        <f>IFERROR(VLOOKUP(A88,comp_nãodes,3,FALSE),VLOOKUP(A88,insnãodes,3,FALSE))</f>
        <v>M2</v>
      </c>
      <c r="D88" s="308">
        <v>1.92</v>
      </c>
      <c r="E88" s="341" t="s">
        <v>12822</v>
      </c>
      <c r="F88" s="333" t="s">
        <v>12769</v>
      </c>
      <c r="G88" s="333"/>
      <c r="H88" s="399"/>
    </row>
    <row r="89" spans="1:8" ht="42.75">
      <c r="A89" s="400">
        <v>100701</v>
      </c>
      <c r="B89" s="300" t="str">
        <f>IFERROR(VLOOKUP(A89,comp_nãodes,2,FALSE),VLOOKUP(A89,insnãodes,2,FALSE))</f>
        <v>PORTA DE FERRO, DE ABRIR, TIPO GRADE COM CHAPA, COM GUARNIÇÕES. AF_12/2019</v>
      </c>
      <c r="C89" s="252" t="str">
        <f>IFERROR(VLOOKUP(A89,comp_nãodes,3,FALSE),VLOOKUP(A89,insnãodes,3,FALSE))</f>
        <v>M2</v>
      </c>
      <c r="D89" s="308">
        <v>1.68</v>
      </c>
      <c r="E89" s="333"/>
      <c r="F89" s="341" t="s">
        <v>12848</v>
      </c>
      <c r="G89" s="333" t="s">
        <v>12773</v>
      </c>
      <c r="H89" s="399"/>
    </row>
    <row r="90" spans="1:8" ht="71.25">
      <c r="A90" s="400">
        <v>90830</v>
      </c>
      <c r="B90" s="300" t="str">
        <f>IFERROR(VLOOKUP(A90,comp_nãodes,2,FALSE),VLOOKUP(A90,insnãodes,2,FALSE))</f>
        <v>FECHADURA DE EMBUTIR COM CILINDRO, EXTERNA, COMPLETA, ACABAMENTO PADRÃO MÉDIO, INCLUSO EXECUÇÃO DE FURO - FORNECIMENTO E INSTALAÇÃO. AF_12/2019</v>
      </c>
      <c r="C90" s="252" t="str">
        <f>IFERROR(VLOOKUP(A90,comp_nãodes,3,FALSE),VLOOKUP(A90,insnãodes,3,FALSE))</f>
        <v>UN</v>
      </c>
      <c r="D90" s="308">
        <v>12</v>
      </c>
      <c r="E90" s="333"/>
      <c r="F90" s="333"/>
      <c r="G90" s="333"/>
      <c r="H90" s="399"/>
    </row>
    <row r="91" spans="1:8" ht="28.5">
      <c r="A91" s="400">
        <v>100705</v>
      </c>
      <c r="B91" s="300" t="str">
        <f>IFERROR(VLOOKUP(A91,comp_nãodes,2,FALSE),VLOOKUP(A91,insnãodes,2,FALSE))</f>
        <v>TARJETA TIPO LIVRE/OCUPADO PARA PORTA DE BANHEIRO. AF_12/2019</v>
      </c>
      <c r="C91" s="252" t="str">
        <f>IFERROR(VLOOKUP(A91,comp_nãodes,3,FALSE),VLOOKUP(A91,insnãodes,3,FALSE))</f>
        <v>UN</v>
      </c>
      <c r="D91" s="308">
        <v>2</v>
      </c>
      <c r="E91" s="333"/>
      <c r="F91" s="333"/>
      <c r="G91" s="333"/>
      <c r="H91" s="399"/>
    </row>
    <row r="92" spans="1:8" ht="57">
      <c r="A92" s="400">
        <v>84088</v>
      </c>
      <c r="B92" s="300" t="str">
        <f>IFERROR(VLOOKUP(A92,comp_nãodes,2,FALSE),VLOOKUP(A92,insnãodes,2,FALSE))</f>
        <v>PEITORIL EM MARMORE BRANCO, LARGURA DE 15CM, ASSENTADO COM ARGAMASSA TRACO 1:4 (CIMENTO E AREIA MEDIA), PREPARO MANUAL DA ARGAMASSA</v>
      </c>
      <c r="C92" s="252" t="str">
        <f>IFERROR(VLOOKUP(A92,comp_nãodes,3,FALSE),VLOOKUP(A92,insnãodes,3,FALSE))</f>
        <v>M</v>
      </c>
      <c r="D92" s="308">
        <v>26.4</v>
      </c>
      <c r="E92" s="341" t="s">
        <v>12823</v>
      </c>
      <c r="F92" s="333"/>
      <c r="G92" s="333"/>
      <c r="H92" s="399"/>
    </row>
    <row r="93" spans="1:8">
      <c r="A93" s="396"/>
      <c r="B93" s="338"/>
      <c r="C93" s="339"/>
      <c r="D93" s="339"/>
      <c r="E93" s="333"/>
      <c r="F93" s="333"/>
      <c r="G93" s="333"/>
      <c r="H93" s="399"/>
    </row>
    <row r="94" spans="1:8" ht="57">
      <c r="A94" s="394"/>
      <c r="B94" s="340" t="s">
        <v>12784</v>
      </c>
      <c r="C94" s="252"/>
      <c r="D94" s="335"/>
      <c r="E94" s="333"/>
      <c r="F94" s="341" t="s">
        <v>12849</v>
      </c>
      <c r="G94" s="341" t="s">
        <v>12850</v>
      </c>
      <c r="H94" s="399" t="s">
        <v>12772</v>
      </c>
    </row>
    <row r="95" spans="1:8" ht="71.25">
      <c r="A95" s="372">
        <v>87879</v>
      </c>
      <c r="B95" s="300" t="str">
        <f t="shared" ref="B95:B102" si="8">IFERROR(VLOOKUP(A95,comp_nãodes,2,FALSE),VLOOKUP(A95,insnãodes,2,FALSE))</f>
        <v>CHAPISCO APLICADO EM ALVENARIAS E ESTRUTURAS DE CONCRETO INTERNAS, COM COLHER DE PEDREIRO.  ARGAMASSA TRAÇO 1:3 COM PREPARO EM BETONEIRA 400L. AF_06/2014</v>
      </c>
      <c r="C95" s="252" t="str">
        <f t="shared" ref="C95:C102" si="9">IFERROR(VLOOKUP(A95,comp_nãodes,3,FALSE),VLOOKUP(A95,insnãodes,3,FALSE))</f>
        <v>M2</v>
      </c>
      <c r="D95" s="308">
        <v>655.27</v>
      </c>
      <c r="E95" s="341" t="s">
        <v>12776</v>
      </c>
      <c r="F95" s="333" t="s">
        <v>12774</v>
      </c>
      <c r="G95" s="333"/>
      <c r="H95" s="399"/>
    </row>
    <row r="96" spans="1:8" ht="99.75">
      <c r="A96" s="372">
        <v>89173</v>
      </c>
      <c r="B96" s="300" t="str">
        <f t="shared" si="8"/>
        <v>(COMPOSIÇÃO REPRESENTATIVA) DO SERVIÇO DE EMBOÇO/MASSA ÚNICA, APLICADO MANUALMENTE, TRAÇO 1:2:8, EM BETONEIRA DE 400L, PAREDES INTERNAS, COM EXECUÇÃO DE TALISCAS, EDIFICAÇÃO HABITACIONAL UNIFAMILIAR (CASAS) E EDIFICAÇÃO PÚBLICA PADRÃO. AF_12/2014</v>
      </c>
      <c r="C96" s="252" t="str">
        <f t="shared" si="9"/>
        <v>M2</v>
      </c>
      <c r="D96" s="308">
        <f>D95</f>
        <v>655.27</v>
      </c>
      <c r="E96" s="333"/>
      <c r="F96" s="333"/>
      <c r="G96" s="333"/>
      <c r="H96" s="399"/>
    </row>
    <row r="97" spans="1:8" ht="99.75">
      <c r="A97" s="372">
        <v>87905</v>
      </c>
      <c r="B97" s="300" t="str">
        <f t="shared" si="8"/>
        <v>CHAPISCO APLICADO EM ALVENARIA (COM PRESENÇA DE VÃOS) E ESTRUTURAS DE CONCRETO DE FACHADA, COM COLHER DE PEDREIRO.  ARGAMASSA TRAÇO 1:3 COM PREPARO EM BETONEIRA 400L. AF_06/2014</v>
      </c>
      <c r="C97" s="252" t="str">
        <f t="shared" si="9"/>
        <v>M2</v>
      </c>
      <c r="D97" s="308">
        <v>202.48</v>
      </c>
      <c r="E97" s="341" t="s">
        <v>12824</v>
      </c>
      <c r="F97" s="333" t="s">
        <v>12775</v>
      </c>
      <c r="G97" s="333" t="s">
        <v>12771</v>
      </c>
      <c r="H97" s="401" t="s">
        <v>12825</v>
      </c>
    </row>
    <row r="98" spans="1:8" ht="71.25">
      <c r="A98" s="372">
        <v>87775</v>
      </c>
      <c r="B98" s="300" t="str">
        <f t="shared" si="8"/>
        <v>EMBOÇO OU MASSA ÚNICA EM ARGAMASSA TRAÇO 1:2:8, PREPARO MECÂNICO COM BETONEIRA 400 L, APLICADA MANUALMENTE EM PANOS DE FACHADA COM PRESENÇA DE VÃOS, ESPESSURA DE 25 MM. AF_06/2014</v>
      </c>
      <c r="C98" s="252" t="str">
        <f t="shared" si="9"/>
        <v>M2</v>
      </c>
      <c r="D98" s="308">
        <f>D97</f>
        <v>202.48</v>
      </c>
      <c r="E98" s="333"/>
      <c r="F98" s="333"/>
      <c r="G98" s="333"/>
      <c r="H98" s="399"/>
    </row>
    <row r="99" spans="1:8" ht="71.25">
      <c r="A99" s="372">
        <v>87881</v>
      </c>
      <c r="B99" s="300" t="str">
        <f t="shared" si="8"/>
        <v>CHAPISCO APLICADO NO TETO, COM ROLO PARA TEXTURA ACRÍLICA. ARGAMASSA TRAÇO 1:4 E EMULSÃO POLIMÉRICA (ADESIVO) COM PREPARO MANUAL. AF_06/2014</v>
      </c>
      <c r="C99" s="252" t="str">
        <f t="shared" si="9"/>
        <v>M2</v>
      </c>
      <c r="D99" s="308">
        <v>16.690000000000001</v>
      </c>
      <c r="E99" s="333"/>
      <c r="F99" s="341" t="s">
        <v>12826</v>
      </c>
      <c r="G99" s="333" t="s">
        <v>12780</v>
      </c>
      <c r="H99" s="399"/>
    </row>
    <row r="100" spans="1:8" ht="71.25">
      <c r="A100" s="372">
        <v>90407</v>
      </c>
      <c r="B100" s="300" t="str">
        <f t="shared" si="8"/>
        <v>MASSA ÚNICA, PARA RECEBIMENTO DE PINTURA, EM ARGAMASSA TRAÇO 1:2:8, PREPARO MANUAL, APLICADA MANUALMENTE EM TETO, ESPESSURA DE 20MM, COM EXECUÇÃO DE TALISCAS. AF_03/2015</v>
      </c>
      <c r="C100" s="252" t="str">
        <f t="shared" si="9"/>
        <v>M2</v>
      </c>
      <c r="D100" s="308">
        <v>16.690000000000001</v>
      </c>
      <c r="E100" s="333"/>
      <c r="F100" s="341" t="s">
        <v>12826</v>
      </c>
      <c r="G100" s="333" t="s">
        <v>12780</v>
      </c>
      <c r="H100" s="399"/>
    </row>
    <row r="101" spans="1:8" ht="57">
      <c r="A101" s="372">
        <v>98561</v>
      </c>
      <c r="B101" s="300" t="str">
        <f t="shared" si="8"/>
        <v>IMPERMEABILIZAÇÃO DE PAREDES COM ARGAMASSA DE CIMENTO E AREIA, COM ADITIVO IMPERMEABILIZANTE, E = 2CM. AF_06/2018</v>
      </c>
      <c r="C101" s="252" t="str">
        <f t="shared" si="9"/>
        <v>M2</v>
      </c>
      <c r="D101" s="308">
        <v>67.8</v>
      </c>
      <c r="E101" s="341" t="s">
        <v>12827</v>
      </c>
      <c r="F101" s="333"/>
      <c r="G101" s="333"/>
      <c r="H101" s="399"/>
    </row>
    <row r="102" spans="1:8" ht="114">
      <c r="A102" s="372">
        <v>89170</v>
      </c>
      <c r="B102" s="300" t="str">
        <f t="shared" si="8"/>
        <v>(COMPOSIÇÃO REPRESENTATIVA) DO SERVIÇO DE REVESTIMENTO CERÂMICO PARA PAREDES INTERNAS, MEIA PAREDE, OU PAREDE INTEIRA, PLACAS GRÊS OU SEMI-GRÊS DE 20X20 CM, PARA EDIFICAÇÕES HABITACIONAIS UNIFAMILIAR (CASAS) E EDIFICAÇÕES PÚBLICAS PADRÃO. AF_11/2014</v>
      </c>
      <c r="C102" s="252" t="str">
        <f t="shared" si="9"/>
        <v>M2</v>
      </c>
      <c r="D102" s="308">
        <v>144.71</v>
      </c>
      <c r="E102" s="341" t="s">
        <v>12828</v>
      </c>
      <c r="F102" s="341" t="s">
        <v>12829</v>
      </c>
      <c r="G102" s="333" t="s">
        <v>12780</v>
      </c>
      <c r="H102" s="399"/>
    </row>
    <row r="103" spans="1:8">
      <c r="A103" s="396"/>
      <c r="B103" s="338"/>
      <c r="C103" s="339"/>
      <c r="D103" s="339"/>
      <c r="E103" s="333"/>
      <c r="F103" s="333"/>
      <c r="G103" s="333"/>
      <c r="H103" s="399"/>
    </row>
    <row r="104" spans="1:8">
      <c r="A104" s="394"/>
      <c r="B104" s="340" t="s">
        <v>12763</v>
      </c>
      <c r="C104" s="252"/>
      <c r="D104" s="335"/>
      <c r="E104" s="333"/>
      <c r="F104" s="333"/>
      <c r="G104" s="333"/>
      <c r="H104" s="399"/>
    </row>
    <row r="105" spans="1:8" ht="57">
      <c r="A105" s="372" t="s">
        <v>11709</v>
      </c>
      <c r="B105" s="343" t="s">
        <v>11681</v>
      </c>
      <c r="C105" s="308" t="s">
        <v>60</v>
      </c>
      <c r="D105" s="308">
        <v>72.900000000000006</v>
      </c>
      <c r="E105" s="341" t="s">
        <v>12851</v>
      </c>
      <c r="F105" s="341" t="s">
        <v>12834</v>
      </c>
      <c r="G105" s="333"/>
      <c r="H105" s="399" t="s">
        <v>12772</v>
      </c>
    </row>
    <row r="106" spans="1:8" ht="57">
      <c r="A106" s="372">
        <v>83534</v>
      </c>
      <c r="B106" s="300" t="str">
        <f>IFERROR(VLOOKUP(A106,comp_nãodes,2,FALSE),VLOOKUP(A106,insnãodes,2,FALSE))</f>
        <v>LASTRO DE CONCRETO, PREPARO MECÂNICO, INCLUSOS ADITIVO IMPERMEABILIZANTE, LANÇAMENTO E ADENSAMENTO</v>
      </c>
      <c r="C106" s="252" t="str">
        <f>IFERROR(VLOOKUP(A106,comp_nãodes,3,FALSE),VLOOKUP(A106,insnãodes,3,FALSE))</f>
        <v>M3</v>
      </c>
      <c r="D106" s="308">
        <v>12.15</v>
      </c>
      <c r="E106" s="341" t="s">
        <v>12830</v>
      </c>
      <c r="F106" s="341" t="s">
        <v>12835</v>
      </c>
      <c r="G106" s="333"/>
      <c r="H106" s="399" t="s">
        <v>12772</v>
      </c>
    </row>
    <row r="107" spans="1:8" ht="99.75">
      <c r="A107" s="372">
        <v>94438</v>
      </c>
      <c r="B107" s="300" t="str">
        <f>IFERROR(VLOOKUP(A107,comp_nãodes,2,FALSE),VLOOKUP(A107,insnãodes,2,FALSE))</f>
        <v>(COMPOSIÇÃO REPRESENTATIVA) DO SERVIÇO DE CONTRAPISO EM ARGAMASSA TRAÇO 1:4 (CIM E AREIA), EM BETONEIRA 400 L, ESPESSURA 3 CM ÁREAS SECAS E 3 CM ÁREAS MOLHADAS, PARA EDIFICAÇÃO HABITACIONAL UNIFAMILIAR (CASA) E EDIFICAÇÃO PÚBLICA PADRÃO. AF_11/2014</v>
      </c>
      <c r="C107" s="252" t="str">
        <f>IFERROR(VLOOKUP(A107,comp_nãodes,3,FALSE),VLOOKUP(A107,insnãodes,3,FALSE))</f>
        <v>M2</v>
      </c>
      <c r="D107" s="308">
        <v>243.02</v>
      </c>
      <c r="E107" s="341" t="s">
        <v>12831</v>
      </c>
      <c r="F107" s="341" t="s">
        <v>12826</v>
      </c>
      <c r="G107" s="333"/>
      <c r="H107" s="399" t="s">
        <v>12772</v>
      </c>
    </row>
    <row r="108" spans="1:8" ht="71.25">
      <c r="A108" s="372">
        <v>87246</v>
      </c>
      <c r="B108" s="300" t="str">
        <f>IFERROR(VLOOKUP(A108,comp_nãodes,2,FALSE),VLOOKUP(A108,insnãodes,2,FALSE))</f>
        <v>REVESTIMENTO CERÂMICO PARA PISO COM PLACAS TIPO ESMALTADA EXTRA DE DIMENSÕES 35X35 CM APLICADA EM AMBIENTES DE ÁREA MENOR QUE 5 M2. AF_06/2014</v>
      </c>
      <c r="C108" s="252" t="str">
        <f>IFERROR(VLOOKUP(A108,comp_nãodes,3,FALSE),VLOOKUP(A108,insnãodes,3,FALSE))</f>
        <v>M2</v>
      </c>
      <c r="D108" s="308">
        <v>11.97</v>
      </c>
      <c r="E108" s="341" t="s">
        <v>12832</v>
      </c>
      <c r="F108" s="333" t="s">
        <v>12780</v>
      </c>
      <c r="G108" s="333"/>
      <c r="H108" s="399"/>
    </row>
    <row r="109" spans="1:8" ht="57">
      <c r="A109" s="372">
        <v>84191</v>
      </c>
      <c r="B109" s="300" t="str">
        <f>IFERROR(VLOOKUP(A109,comp_nãodes,2,FALSE),VLOOKUP(A109,insnãodes,2,FALSE))</f>
        <v>PISO EM GRANILITE, MARMORITE OU GRANITINA ESPESSURA 8 MM, INCLUSO JUNTAS DE DILATACAO PLASTICAS</v>
      </c>
      <c r="C109" s="252" t="str">
        <f>IFERROR(VLOOKUP(A109,comp_nãodes,3,FALSE),VLOOKUP(A109,insnãodes,3,FALSE))</f>
        <v>M2</v>
      </c>
      <c r="D109" s="308">
        <v>231.05</v>
      </c>
      <c r="E109" s="341" t="s">
        <v>12831</v>
      </c>
      <c r="F109" s="333"/>
      <c r="G109" s="333">
        <f>(4.72)</f>
        <v>4.72</v>
      </c>
      <c r="H109" s="399" t="s">
        <v>12779</v>
      </c>
    </row>
    <row r="110" spans="1:8" ht="99.75">
      <c r="A110" s="372" t="s">
        <v>11710</v>
      </c>
      <c r="B110" s="343" t="s">
        <v>11711</v>
      </c>
      <c r="C110" s="308" t="s">
        <v>35</v>
      </c>
      <c r="D110" s="308">
        <v>177.45</v>
      </c>
      <c r="E110" s="341" t="s">
        <v>12833</v>
      </c>
      <c r="F110" s="341" t="s">
        <v>12836</v>
      </c>
      <c r="G110" s="333"/>
      <c r="H110" s="399" t="s">
        <v>12777</v>
      </c>
    </row>
    <row r="111" spans="1:8">
      <c r="A111" s="372"/>
      <c r="B111" s="343"/>
      <c r="C111" s="308"/>
      <c r="D111" s="308"/>
      <c r="E111" s="333"/>
      <c r="F111" s="333"/>
      <c r="G111" s="333"/>
      <c r="H111" s="399"/>
    </row>
    <row r="112" spans="1:8">
      <c r="A112" s="394"/>
      <c r="B112" s="340" t="s">
        <v>12764</v>
      </c>
      <c r="C112" s="252"/>
      <c r="D112" s="335"/>
      <c r="E112" s="333"/>
      <c r="F112" s="333"/>
      <c r="G112" s="333"/>
      <c r="H112" s="399"/>
    </row>
    <row r="113" spans="1:8" ht="28.5">
      <c r="A113" s="372">
        <v>88485</v>
      </c>
      <c r="B113" s="300" t="str">
        <f>IFERROR(VLOOKUP(A113,comp_nãodes,2,FALSE),VLOOKUP(A113,insnãodes,2,FALSE))</f>
        <v>APLICAÇÃO DE FUNDO SELADOR ACRÍLICO EM PAREDES, UMA DEMÃO. AF_06/2014</v>
      </c>
      <c r="C113" s="252" t="str">
        <f>IFERROR(VLOOKUP(A113,comp_nãodes,3,FALSE),VLOOKUP(A113,insnãodes,3,FALSE))</f>
        <v>M2</v>
      </c>
      <c r="D113" s="308">
        <v>857.75</v>
      </c>
      <c r="E113" s="341" t="s">
        <v>12837</v>
      </c>
      <c r="F113" s="333" t="s">
        <v>12766</v>
      </c>
      <c r="G113" s="333"/>
      <c r="H113" s="399"/>
    </row>
    <row r="114" spans="1:8" ht="28.5">
      <c r="A114" s="372">
        <v>84651</v>
      </c>
      <c r="B114" s="300" t="str">
        <f>IFERROR(VLOOKUP(A114,comp_nãodes,2,FALSE),VLOOKUP(A114,insnãodes,2,FALSE))</f>
        <v>PINTURA COM TINTA IMPERMEAVEL MINERAL EM PO, DUAS DEMAOS</v>
      </c>
      <c r="C114" s="252" t="str">
        <f>IFERROR(VLOOKUP(A114,comp_nãodes,3,FALSE),VLOOKUP(A114,insnãodes,3,FALSE))</f>
        <v>M2</v>
      </c>
      <c r="D114" s="308">
        <v>135.6</v>
      </c>
      <c r="E114" s="341" t="s">
        <v>12838</v>
      </c>
      <c r="F114" s="333"/>
      <c r="G114" s="333"/>
      <c r="H114" s="399"/>
    </row>
    <row r="115" spans="1:8" ht="42.75">
      <c r="A115" s="372">
        <v>88489</v>
      </c>
      <c r="B115" s="300" t="str">
        <f>IFERROR(VLOOKUP(A115,comp_nãodes,2,FALSE),VLOOKUP(A115,insnãodes,2,FALSE))</f>
        <v>APLICAÇÃO MANUAL DE PINTURA COM TINTA LÁTEX ACRÍLICA EM PAREDES, DUAS DEMÃOS. AF_06/2014</v>
      </c>
      <c r="C115" s="252" t="str">
        <f>IFERROR(VLOOKUP(A115,comp_nãodes,3,FALSE),VLOOKUP(A115,insnãodes,3,FALSE))</f>
        <v>M2</v>
      </c>
      <c r="D115" s="308">
        <v>722.15</v>
      </c>
      <c r="E115" s="341" t="s">
        <v>12839</v>
      </c>
      <c r="F115" s="333" t="s">
        <v>12765</v>
      </c>
      <c r="G115" s="333"/>
      <c r="H115" s="399"/>
    </row>
    <row r="116" spans="1:8" ht="57">
      <c r="A116" s="372">
        <v>88488</v>
      </c>
      <c r="B116" s="300" t="str">
        <f>IFERROR(VLOOKUP(A116,comp_nãodes,2,FALSE),VLOOKUP(A116,insnãodes,2,FALSE))</f>
        <v>APLICAÇÃO MANUAL DE PINTURA COM TINTA LÁTEX ACRÍLICA EM TETO, DUAS DEMÃOS. AF_06/2014</v>
      </c>
      <c r="C116" s="252" t="str">
        <f>IFERROR(VLOOKUP(A116,comp_nãodes,3,FALSE),VLOOKUP(A116,insnãodes,3,FALSE))</f>
        <v>M2</v>
      </c>
      <c r="D116" s="308">
        <v>16.690000000000001</v>
      </c>
      <c r="E116" s="333"/>
      <c r="F116" s="341" t="s">
        <v>12826</v>
      </c>
      <c r="G116" s="333"/>
      <c r="H116" s="399" t="s">
        <v>12772</v>
      </c>
    </row>
    <row r="117" spans="1:8" ht="42.75">
      <c r="A117" s="372" t="s">
        <v>5767</v>
      </c>
      <c r="B117" s="300" t="str">
        <f>IFERROR(VLOOKUP(A117,comp_nãodes,2,FALSE),VLOOKUP(A117,insnãodes,2,FALSE))</f>
        <v>PINTURA ESMALTE FOSCO PARA MADEIRA, DUAS DEMAOS, SOBRE FUNDO NIVELADOR BRANCO</v>
      </c>
      <c r="C117" s="252" t="str">
        <f>IFERROR(VLOOKUP(A117,comp_nãodes,3,FALSE),VLOOKUP(A117,insnãodes,3,FALSE))</f>
        <v>M2</v>
      </c>
      <c r="D117" s="308">
        <v>73.709999999999994</v>
      </c>
      <c r="E117" s="341" t="s">
        <v>12840</v>
      </c>
      <c r="F117" s="333"/>
      <c r="G117" s="333"/>
      <c r="H117" s="399"/>
    </row>
    <row r="118" spans="1:8">
      <c r="A118" s="372"/>
      <c r="B118" s="343"/>
      <c r="C118" s="308"/>
      <c r="D118" s="308"/>
      <c r="E118" s="333"/>
      <c r="F118" s="333"/>
      <c r="G118" s="333"/>
      <c r="H118" s="399"/>
    </row>
    <row r="119" spans="1:8">
      <c r="A119" s="394"/>
      <c r="B119" s="340" t="s">
        <v>329</v>
      </c>
      <c r="C119" s="252"/>
      <c r="D119" s="335"/>
      <c r="E119" s="333"/>
      <c r="F119" s="333"/>
      <c r="G119" s="333"/>
      <c r="H119" s="399"/>
    </row>
    <row r="120" spans="1:8" ht="42.75">
      <c r="A120" s="372">
        <v>96486</v>
      </c>
      <c r="B120" s="300" t="str">
        <f>IFERROR(VLOOKUP(A120,comp_nãodes,2,FALSE),VLOOKUP(A120,insnãodes,2,FALSE))</f>
        <v>FORRO DE PVC, LISO, PARA AMBIENTES COMERCIAIS, INCLUSIVE ESTRUTURA DE FIXAÇÃO. AF_05/2017_P</v>
      </c>
      <c r="C120" s="252" t="str">
        <f>IFERROR(VLOOKUP(A120,comp_nãodes,3,FALSE),VLOOKUP(A120,insnãodes,3,FALSE))</f>
        <v>M2</v>
      </c>
      <c r="D120" s="308">
        <v>38.880000000000003</v>
      </c>
      <c r="E120" s="341" t="s">
        <v>12841</v>
      </c>
      <c r="F120" s="333" t="s">
        <v>12767</v>
      </c>
      <c r="G120" s="333"/>
      <c r="H120" s="399"/>
    </row>
    <row r="121" spans="1:8" ht="42.75">
      <c r="A121" s="372">
        <v>96121</v>
      </c>
      <c r="B121" s="300" t="str">
        <f>IFERROR(VLOOKUP(A121,comp_nãodes,2,FALSE),VLOOKUP(A121,insnãodes,2,FALSE))</f>
        <v>ACABAMENTOS PARA FORRO (RODA-FORRO EM PERFIL METÁLICO E PLÁSTICO). AF_05/2017</v>
      </c>
      <c r="C121" s="252" t="str">
        <f>IFERROR(VLOOKUP(A121,comp_nãodes,3,FALSE),VLOOKUP(A121,insnãodes,3,FALSE))</f>
        <v>M</v>
      </c>
      <c r="D121" s="308">
        <v>132</v>
      </c>
      <c r="E121" s="341" t="s">
        <v>12842</v>
      </c>
      <c r="F121" s="333"/>
      <c r="G121" s="333"/>
      <c r="H121" s="399"/>
    </row>
    <row r="122" spans="1:8" ht="57">
      <c r="A122" s="372">
        <v>96113</v>
      </c>
      <c r="B122" s="300" t="str">
        <f>IFERROR(VLOOKUP(A122,comp_nãodes,2,FALSE),VLOOKUP(A122,insnãodes,2,FALSE))</f>
        <v>FORRO EM PLACAS DE GESSO, PARA AMBIENTES COMERCIAIS. AF_05/2017_P</v>
      </c>
      <c r="C122" s="252" t="str">
        <f>IFERROR(VLOOKUP(A122,comp_nãodes,3,FALSE),VLOOKUP(A122,insnãodes,3,FALSE))</f>
        <v>M2</v>
      </c>
      <c r="D122" s="308">
        <v>226.33</v>
      </c>
      <c r="E122" s="341" t="s">
        <v>12831</v>
      </c>
      <c r="F122" s="333"/>
      <c r="G122" s="333"/>
      <c r="H122" s="399"/>
    </row>
    <row r="123" spans="1:8" ht="99.75">
      <c r="A123" s="372">
        <v>96120</v>
      </c>
      <c r="B123" s="300" t="str">
        <f>IFERROR(VLOOKUP(A123,comp_nãodes,2,FALSE),VLOOKUP(A123,insnãodes,2,FALSE))</f>
        <v>ACABAMENTOS PARA FORRO (MOLDURA DE GESSO). AF_05/2017</v>
      </c>
      <c r="C123" s="252" t="str">
        <f>IFERROR(VLOOKUP(A123,comp_nãodes,3,FALSE),VLOOKUP(A123,insnãodes,3,FALSE))</f>
        <v>M</v>
      </c>
      <c r="D123" s="308">
        <v>186.75</v>
      </c>
      <c r="E123" s="341" t="s">
        <v>12843</v>
      </c>
      <c r="F123" s="333"/>
      <c r="G123" s="333"/>
      <c r="H123" s="399"/>
    </row>
    <row r="124" spans="1:8">
      <c r="A124" s="372"/>
      <c r="B124" s="343"/>
      <c r="C124" s="308"/>
      <c r="D124" s="308"/>
      <c r="E124" s="333"/>
      <c r="F124" s="333"/>
      <c r="G124" s="333"/>
      <c r="H124" s="399"/>
    </row>
    <row r="125" spans="1:8">
      <c r="A125" s="402"/>
      <c r="B125" s="340" t="s">
        <v>12731</v>
      </c>
      <c r="C125" s="1365"/>
      <c r="D125" s="1365"/>
      <c r="E125" s="333"/>
      <c r="F125" s="333"/>
      <c r="G125" s="333"/>
      <c r="H125" s="399"/>
    </row>
    <row r="126" spans="1:8">
      <c r="A126" s="372" t="s">
        <v>11715</v>
      </c>
      <c r="B126" s="343" t="s">
        <v>442</v>
      </c>
      <c r="C126" s="247" t="s">
        <v>117</v>
      </c>
      <c r="D126" s="342">
        <v>243.02</v>
      </c>
      <c r="E126" s="333">
        <v>239.03</v>
      </c>
      <c r="F126" s="333"/>
      <c r="G126" s="333"/>
      <c r="H126" s="399"/>
    </row>
    <row r="127" spans="1:8">
      <c r="A127" s="396"/>
      <c r="B127" s="338"/>
      <c r="C127" s="339"/>
      <c r="D127" s="339"/>
      <c r="E127" s="344"/>
      <c r="F127" s="344"/>
      <c r="G127" s="344"/>
      <c r="H127" s="403"/>
    </row>
    <row r="128" spans="1:8">
      <c r="A128" s="404"/>
      <c r="B128" s="262"/>
      <c r="C128" s="260"/>
      <c r="D128" s="260"/>
      <c r="E128" s="344"/>
      <c r="F128" s="344"/>
      <c r="G128" s="344"/>
      <c r="H128" s="403"/>
    </row>
    <row r="129" spans="1:8" ht="15.75" thickBot="1">
      <c r="A129" s="265"/>
      <c r="B129" s="266"/>
      <c r="C129" s="405"/>
      <c r="D129" s="405"/>
      <c r="E129" s="406"/>
      <c r="F129" s="406"/>
      <c r="G129" s="406"/>
      <c r="H129" s="407"/>
    </row>
    <row r="136" spans="1:8">
      <c r="B136" s="386"/>
    </row>
    <row r="137" spans="1:8">
      <c r="B137" s="385" t="str">
        <f>RESUMO!B61</f>
        <v>ORGPLAN ENGENHARIA LTDA.</v>
      </c>
    </row>
    <row r="138" spans="1:8">
      <c r="B138" s="385" t="str">
        <f>RESUMO!B62</f>
        <v>Eng. Jean Martins e Silva Nunes</v>
      </c>
    </row>
    <row r="139" spans="1:8">
      <c r="B139" s="385" t="str">
        <f>RESUMO!B63</f>
        <v>CREA - 9398-VD/MT</v>
      </c>
    </row>
  </sheetData>
  <mergeCells count="1">
    <mergeCell ref="C125:D125"/>
  </mergeCells>
  <conditionalFormatting sqref="A16">
    <cfRule type="duplicateValues" dxfId="7" priority="1"/>
  </conditionalFormatting>
  <printOptions horizontalCentered="1"/>
  <pageMargins left="0.59055118110236227" right="0.59055118110236227" top="1.7716535433070868" bottom="0.78740157480314965" header="0.31496062992125984" footer="0.31496062992125984"/>
  <pageSetup paperSize="9" scale="60" orientation="portrait" r:id="rId1"/>
  <headerFooter>
    <oddFooter>Página &amp;P de &amp;N</oddFooter>
  </headerFooter>
</worksheet>
</file>

<file path=xl/worksheets/sheet12.xml><?xml version="1.0" encoding="utf-8"?>
<worksheet xmlns="http://schemas.openxmlformats.org/spreadsheetml/2006/main" xmlns:r="http://schemas.openxmlformats.org/officeDocument/2006/relationships">
  <dimension ref="A1:I91"/>
  <sheetViews>
    <sheetView workbookViewId="0">
      <pane ySplit="2" topLeftCell="A3" activePane="bottomLeft" state="frozen"/>
      <selection sqref="A1:C1"/>
      <selection pane="bottomLeft" sqref="A1:E1"/>
    </sheetView>
  </sheetViews>
  <sheetFormatPr defaultColWidth="0" defaultRowHeight="15" zeroHeight="1"/>
  <cols>
    <col min="1" max="1" width="9.140625" customWidth="1"/>
    <col min="2" max="2" width="14.140625" customWidth="1"/>
    <col min="3" max="3" width="65.140625" style="231" bestFit="1" customWidth="1"/>
    <col min="4" max="4" width="5.85546875" customWidth="1"/>
    <col min="5" max="5" width="9" style="232" customWidth="1"/>
    <col min="6" max="6" width="9.140625" hidden="1" customWidth="1"/>
    <col min="7" max="7" width="60.7109375" hidden="1" customWidth="1"/>
    <col min="8" max="9" width="0" hidden="1" customWidth="1"/>
    <col min="10" max="16384" width="9.140625" hidden="1"/>
  </cols>
  <sheetData>
    <row r="1" spans="1:6" ht="19.5" thickBot="1">
      <c r="A1" s="1366" t="s">
        <v>37</v>
      </c>
      <c r="B1" s="1366"/>
      <c r="C1" s="1366"/>
      <c r="D1" s="1366"/>
      <c r="E1" s="1366"/>
    </row>
    <row r="2" spans="1:6" ht="20.25" thickTop="1" thickBot="1">
      <c r="A2" s="223" t="s">
        <v>0</v>
      </c>
      <c r="B2" s="223" t="s">
        <v>4</v>
      </c>
      <c r="C2" s="223" t="s">
        <v>1</v>
      </c>
      <c r="D2" s="223" t="s">
        <v>28</v>
      </c>
      <c r="E2" s="223" t="s">
        <v>563</v>
      </c>
    </row>
    <row r="3" spans="1:6" ht="16.5" thickTop="1">
      <c r="A3" s="108" t="s">
        <v>16</v>
      </c>
      <c r="B3" s="109"/>
      <c r="C3" s="110" t="s">
        <v>38</v>
      </c>
      <c r="D3" s="109"/>
      <c r="E3" s="111"/>
    </row>
    <row r="4" spans="1:6" ht="30">
      <c r="A4" s="11" t="s">
        <v>570</v>
      </c>
      <c r="B4" s="11" t="s">
        <v>995</v>
      </c>
      <c r="C4" s="17" t="s">
        <v>564</v>
      </c>
      <c r="D4" s="11" t="s">
        <v>30</v>
      </c>
      <c r="E4" s="224">
        <v>10</v>
      </c>
      <c r="F4" s="155"/>
    </row>
    <row r="5" spans="1:6" ht="30">
      <c r="A5" s="11" t="s">
        <v>571</v>
      </c>
      <c r="B5" s="11" t="s">
        <v>86</v>
      </c>
      <c r="C5" s="17" t="s">
        <v>87</v>
      </c>
      <c r="D5" s="11" t="s">
        <v>30</v>
      </c>
      <c r="E5" s="224">
        <v>34</v>
      </c>
      <c r="F5" s="155"/>
    </row>
    <row r="6" spans="1:6" ht="15.75" thickBot="1">
      <c r="A6" s="11" t="s">
        <v>572</v>
      </c>
      <c r="B6" s="11" t="s">
        <v>200</v>
      </c>
      <c r="C6" s="17" t="s">
        <v>73</v>
      </c>
      <c r="D6" s="11" t="s">
        <v>9</v>
      </c>
      <c r="E6" s="224">
        <v>20</v>
      </c>
      <c r="F6" s="155"/>
    </row>
    <row r="7" spans="1:6" ht="16.5" thickTop="1">
      <c r="A7" s="108" t="s">
        <v>17</v>
      </c>
      <c r="B7" s="109"/>
      <c r="C7" s="110" t="s">
        <v>39</v>
      </c>
      <c r="D7" s="109"/>
      <c r="E7" s="111"/>
      <c r="F7" s="155"/>
    </row>
    <row r="8" spans="1:6" ht="45">
      <c r="A8" s="11" t="s">
        <v>575</v>
      </c>
      <c r="B8" s="11" t="s">
        <v>88</v>
      </c>
      <c r="C8" s="17" t="s">
        <v>89</v>
      </c>
      <c r="D8" s="11" t="s">
        <v>30</v>
      </c>
      <c r="E8" s="224">
        <v>54</v>
      </c>
      <c r="F8" s="155"/>
    </row>
    <row r="9" spans="1:6" ht="60.75" thickBot="1">
      <c r="A9" s="11" t="s">
        <v>576</v>
      </c>
      <c r="B9" s="11" t="s">
        <v>113</v>
      </c>
      <c r="C9" s="17" t="s">
        <v>114</v>
      </c>
      <c r="D9" s="11" t="s">
        <v>30</v>
      </c>
      <c r="E9" s="224">
        <v>2</v>
      </c>
      <c r="F9" s="155"/>
    </row>
    <row r="10" spans="1:6" ht="16.5" thickTop="1">
      <c r="A10" s="108" t="s">
        <v>43</v>
      </c>
      <c r="B10" s="109"/>
      <c r="C10" s="110" t="s">
        <v>40</v>
      </c>
      <c r="D10" s="109"/>
      <c r="E10" s="111"/>
      <c r="F10" s="155"/>
    </row>
    <row r="11" spans="1:6" ht="45">
      <c r="A11" s="11" t="s">
        <v>577</v>
      </c>
      <c r="B11" s="11" t="s">
        <v>92</v>
      </c>
      <c r="C11" s="17" t="s">
        <v>93</v>
      </c>
      <c r="D11" s="11" t="s">
        <v>28</v>
      </c>
      <c r="E11" s="224">
        <v>5</v>
      </c>
      <c r="F11" s="155"/>
    </row>
    <row r="12" spans="1:6" ht="30">
      <c r="A12" s="11" t="s">
        <v>579</v>
      </c>
      <c r="B12" s="11" t="s">
        <v>94</v>
      </c>
      <c r="C12" s="17" t="s">
        <v>95</v>
      </c>
      <c r="D12" s="11" t="s">
        <v>28</v>
      </c>
      <c r="E12" s="224">
        <v>5</v>
      </c>
      <c r="F12" s="155"/>
    </row>
    <row r="13" spans="1:6" ht="30">
      <c r="A13" s="11" t="s">
        <v>580</v>
      </c>
      <c r="B13" s="11" t="s">
        <v>96</v>
      </c>
      <c r="C13" s="17" t="s">
        <v>97</v>
      </c>
      <c r="D13" s="11" t="s">
        <v>28</v>
      </c>
      <c r="E13" s="224">
        <v>1</v>
      </c>
      <c r="F13" s="155"/>
    </row>
    <row r="14" spans="1:6" ht="30">
      <c r="A14" s="11" t="s">
        <v>582</v>
      </c>
      <c r="B14" s="11" t="s">
        <v>98</v>
      </c>
      <c r="C14" s="17" t="s">
        <v>99</v>
      </c>
      <c r="D14" s="11" t="s">
        <v>28</v>
      </c>
      <c r="E14" s="224">
        <v>2</v>
      </c>
      <c r="F14" s="155"/>
    </row>
    <row r="15" spans="1:6" ht="45">
      <c r="A15" s="11" t="s">
        <v>584</v>
      </c>
      <c r="B15" s="11" t="s">
        <v>210</v>
      </c>
      <c r="C15" s="17" t="s">
        <v>148</v>
      </c>
      <c r="D15" s="11" t="s">
        <v>35</v>
      </c>
      <c r="E15" s="225">
        <v>1484</v>
      </c>
      <c r="F15" s="155"/>
    </row>
    <row r="16" spans="1:6" ht="45">
      <c r="A16" s="11" t="s">
        <v>586</v>
      </c>
      <c r="B16" s="11" t="s">
        <v>201</v>
      </c>
      <c r="C16" s="17" t="s">
        <v>146</v>
      </c>
      <c r="D16" s="11" t="s">
        <v>28</v>
      </c>
      <c r="E16" s="224">
        <v>4</v>
      </c>
      <c r="F16" s="155"/>
    </row>
    <row r="17" spans="1:6" ht="60">
      <c r="A17" s="11" t="s">
        <v>587</v>
      </c>
      <c r="B17" s="11" t="s">
        <v>90</v>
      </c>
      <c r="C17" s="17" t="s">
        <v>91</v>
      </c>
      <c r="D17" s="11" t="s">
        <v>28</v>
      </c>
      <c r="E17" s="224">
        <v>2</v>
      </c>
      <c r="F17" s="155"/>
    </row>
    <row r="18" spans="1:6">
      <c r="A18" s="11" t="s">
        <v>589</v>
      </c>
      <c r="B18" s="11" t="s">
        <v>1080</v>
      </c>
      <c r="C18" s="17" t="s">
        <v>568</v>
      </c>
      <c r="D18" s="11" t="s">
        <v>35</v>
      </c>
      <c r="E18" s="224">
        <v>12</v>
      </c>
      <c r="F18" s="155"/>
    </row>
    <row r="19" spans="1:6">
      <c r="A19" s="11" t="s">
        <v>591</v>
      </c>
      <c r="B19" s="11" t="s">
        <v>262</v>
      </c>
      <c r="C19" s="17" t="s">
        <v>263</v>
      </c>
      <c r="D19" s="11" t="s">
        <v>28</v>
      </c>
      <c r="E19" s="224">
        <v>4</v>
      </c>
      <c r="F19" s="155"/>
    </row>
    <row r="20" spans="1:6">
      <c r="A20" s="11" t="s">
        <v>592</v>
      </c>
      <c r="B20" s="11" t="s">
        <v>166</v>
      </c>
      <c r="C20" s="17" t="s">
        <v>569</v>
      </c>
      <c r="D20" s="11" t="s">
        <v>28</v>
      </c>
      <c r="E20" s="224">
        <v>4</v>
      </c>
      <c r="F20" s="155"/>
    </row>
    <row r="21" spans="1:6">
      <c r="A21" s="11" t="s">
        <v>594</v>
      </c>
      <c r="B21" s="11" t="s">
        <v>83</v>
      </c>
      <c r="C21" s="17" t="s">
        <v>84</v>
      </c>
      <c r="D21" s="11" t="s">
        <v>28</v>
      </c>
      <c r="E21" s="224">
        <v>12</v>
      </c>
      <c r="F21" s="155"/>
    </row>
    <row r="22" spans="1:6" ht="30">
      <c r="A22" s="11" t="s">
        <v>595</v>
      </c>
      <c r="B22" s="11" t="s">
        <v>100</v>
      </c>
      <c r="C22" s="17" t="s">
        <v>202</v>
      </c>
      <c r="D22" s="11" t="s">
        <v>28</v>
      </c>
      <c r="E22" s="224">
        <v>5</v>
      </c>
      <c r="F22" s="155"/>
    </row>
    <row r="23" spans="1:6" ht="45">
      <c r="A23" s="11" t="s">
        <v>596</v>
      </c>
      <c r="B23" s="11">
        <v>95818</v>
      </c>
      <c r="C23" s="17" t="s">
        <v>264</v>
      </c>
      <c r="D23" s="11" t="s">
        <v>28</v>
      </c>
      <c r="E23" s="224">
        <v>6</v>
      </c>
      <c r="F23" s="155"/>
    </row>
    <row r="24" spans="1:6" ht="30">
      <c r="A24" s="11" t="s">
        <v>597</v>
      </c>
      <c r="B24" s="11" t="s">
        <v>265</v>
      </c>
      <c r="C24" s="17" t="s">
        <v>266</v>
      </c>
      <c r="D24" s="11" t="s">
        <v>28</v>
      </c>
      <c r="E24" s="224">
        <v>6</v>
      </c>
      <c r="F24" s="155"/>
    </row>
    <row r="25" spans="1:6" ht="60">
      <c r="A25" s="11" t="s">
        <v>598</v>
      </c>
      <c r="B25" s="11" t="s">
        <v>53</v>
      </c>
      <c r="C25" s="17" t="s">
        <v>169</v>
      </c>
      <c r="D25" s="11" t="s">
        <v>9</v>
      </c>
      <c r="E25" s="224">
        <v>4</v>
      </c>
      <c r="F25" s="155"/>
    </row>
    <row r="26" spans="1:6" ht="45">
      <c r="A26" s="11" t="s">
        <v>599</v>
      </c>
      <c r="B26" s="11" t="s">
        <v>267</v>
      </c>
      <c r="C26" s="17" t="s">
        <v>268</v>
      </c>
      <c r="D26" s="11" t="s">
        <v>28</v>
      </c>
      <c r="E26" s="224">
        <v>15</v>
      </c>
      <c r="F26" s="155"/>
    </row>
    <row r="27" spans="1:6" ht="45">
      <c r="A27" s="11" t="s">
        <v>600</v>
      </c>
      <c r="B27" s="11" t="s">
        <v>269</v>
      </c>
      <c r="C27" s="17" t="s">
        <v>270</v>
      </c>
      <c r="D27" s="11" t="s">
        <v>28</v>
      </c>
      <c r="E27" s="224">
        <v>20</v>
      </c>
      <c r="F27" s="155"/>
    </row>
    <row r="28" spans="1:6" ht="45">
      <c r="A28" s="11" t="s">
        <v>601</v>
      </c>
      <c r="B28" s="11" t="s">
        <v>271</v>
      </c>
      <c r="C28" s="17" t="s">
        <v>272</v>
      </c>
      <c r="D28" s="11" t="s">
        <v>28</v>
      </c>
      <c r="E28" s="224">
        <v>100</v>
      </c>
      <c r="F28" s="155"/>
    </row>
    <row r="29" spans="1:6">
      <c r="A29" s="11" t="s">
        <v>602</v>
      </c>
      <c r="B29" s="11" t="s">
        <v>273</v>
      </c>
      <c r="C29" s="226" t="s">
        <v>1081</v>
      </c>
      <c r="D29" s="11" t="s">
        <v>52</v>
      </c>
      <c r="E29" s="224">
        <v>87</v>
      </c>
      <c r="F29" s="155"/>
    </row>
    <row r="30" spans="1:6" ht="30.75" thickBot="1">
      <c r="A30" s="11" t="s">
        <v>603</v>
      </c>
      <c r="B30" s="11" t="s">
        <v>274</v>
      </c>
      <c r="C30" s="17" t="s">
        <v>275</v>
      </c>
      <c r="D30" s="11" t="s">
        <v>28</v>
      </c>
      <c r="E30" s="224">
        <v>60</v>
      </c>
      <c r="F30" s="155"/>
    </row>
    <row r="31" spans="1:6" ht="16.5" thickTop="1">
      <c r="A31" s="108" t="s">
        <v>47</v>
      </c>
      <c r="B31" s="109"/>
      <c r="C31" s="110" t="s">
        <v>41</v>
      </c>
      <c r="D31" s="109"/>
      <c r="E31" s="111"/>
      <c r="F31" s="155"/>
    </row>
    <row r="32" spans="1:6" ht="30">
      <c r="A32" s="112" t="s">
        <v>1082</v>
      </c>
      <c r="B32" s="11">
        <v>72288</v>
      </c>
      <c r="C32" s="17" t="s">
        <v>276</v>
      </c>
      <c r="D32" s="11" t="s">
        <v>28</v>
      </c>
      <c r="E32" s="227">
        <v>5</v>
      </c>
      <c r="F32" s="155"/>
    </row>
    <row r="33" spans="1:9" ht="45">
      <c r="A33" s="112" t="s">
        <v>1083</v>
      </c>
      <c r="B33" s="11">
        <v>92346</v>
      </c>
      <c r="C33" s="17" t="s">
        <v>277</v>
      </c>
      <c r="D33" s="11" t="s">
        <v>28</v>
      </c>
      <c r="E33" s="227">
        <v>10</v>
      </c>
      <c r="F33" s="155"/>
    </row>
    <row r="34" spans="1:9" ht="60">
      <c r="A34" s="112" t="s">
        <v>1084</v>
      </c>
      <c r="B34" s="11" t="s">
        <v>278</v>
      </c>
      <c r="C34" s="17" t="s">
        <v>279</v>
      </c>
      <c r="D34" s="11" t="s">
        <v>28</v>
      </c>
      <c r="E34" s="227">
        <v>5</v>
      </c>
      <c r="F34" s="155"/>
    </row>
    <row r="35" spans="1:9" ht="60">
      <c r="A35" s="112" t="s">
        <v>1085</v>
      </c>
      <c r="B35" s="11"/>
      <c r="C35" s="226" t="s">
        <v>573</v>
      </c>
      <c r="D35" s="11" t="s">
        <v>28</v>
      </c>
      <c r="E35" s="227">
        <v>5</v>
      </c>
      <c r="F35" s="155"/>
    </row>
    <row r="36" spans="1:9" ht="45">
      <c r="A36" s="112" t="s">
        <v>1086</v>
      </c>
      <c r="B36" s="11" t="s">
        <v>280</v>
      </c>
      <c r="C36" s="17" t="s">
        <v>281</v>
      </c>
      <c r="D36" s="11" t="s">
        <v>28</v>
      </c>
      <c r="E36" s="227">
        <v>5</v>
      </c>
      <c r="F36" s="155"/>
    </row>
    <row r="37" spans="1:9" s="228" customFormat="1" ht="30">
      <c r="A37" s="112" t="s">
        <v>1087</v>
      </c>
      <c r="B37" s="11" t="s">
        <v>164</v>
      </c>
      <c r="C37" s="17" t="s">
        <v>282</v>
      </c>
      <c r="D37" s="11" t="s">
        <v>28</v>
      </c>
      <c r="E37" s="227">
        <v>5</v>
      </c>
    </row>
    <row r="38" spans="1:9" s="228" customFormat="1" ht="45">
      <c r="A38" s="112" t="s">
        <v>1088</v>
      </c>
      <c r="B38" s="11" t="s">
        <v>163</v>
      </c>
      <c r="C38" s="17" t="s">
        <v>574</v>
      </c>
      <c r="D38" s="11" t="s">
        <v>28</v>
      </c>
      <c r="E38" s="227">
        <v>5</v>
      </c>
    </row>
    <row r="39" spans="1:9" s="228" customFormat="1" ht="30">
      <c r="A39" s="112" t="s">
        <v>1089</v>
      </c>
      <c r="B39" s="11">
        <v>72287</v>
      </c>
      <c r="C39" s="17" t="s">
        <v>283</v>
      </c>
      <c r="D39" s="11" t="s">
        <v>28</v>
      </c>
      <c r="E39" s="227">
        <v>1</v>
      </c>
    </row>
    <row r="40" spans="1:9" s="228" customFormat="1">
      <c r="A40" s="112" t="s">
        <v>1090</v>
      </c>
      <c r="B40" s="11" t="s">
        <v>284</v>
      </c>
      <c r="C40" s="17" t="s">
        <v>285</v>
      </c>
      <c r="D40" s="11" t="s">
        <v>28</v>
      </c>
      <c r="E40" s="227">
        <v>2</v>
      </c>
    </row>
    <row r="41" spans="1:9" s="228" customFormat="1" ht="45">
      <c r="A41" s="112" t="s">
        <v>1091</v>
      </c>
      <c r="B41" s="11">
        <v>92346</v>
      </c>
      <c r="C41" s="17" t="s">
        <v>277</v>
      </c>
      <c r="D41" s="11" t="s">
        <v>28</v>
      </c>
      <c r="E41" s="227">
        <v>4</v>
      </c>
    </row>
    <row r="42" spans="1:9" s="228" customFormat="1" ht="45">
      <c r="A42" s="112" t="s">
        <v>1092</v>
      </c>
      <c r="B42" s="11" t="s">
        <v>1093</v>
      </c>
      <c r="C42" s="17" t="s">
        <v>286</v>
      </c>
      <c r="D42" s="11" t="s">
        <v>28</v>
      </c>
      <c r="E42" s="227">
        <v>1</v>
      </c>
    </row>
    <row r="43" spans="1:9" s="228" customFormat="1" ht="30">
      <c r="A43" s="112" t="s">
        <v>1094</v>
      </c>
      <c r="B43" s="11" t="s">
        <v>287</v>
      </c>
      <c r="C43" s="17" t="s">
        <v>578</v>
      </c>
      <c r="D43" s="11" t="s">
        <v>28</v>
      </c>
      <c r="E43" s="227">
        <v>2</v>
      </c>
      <c r="G43" s="161"/>
      <c r="H43" s="160"/>
      <c r="I43" s="229"/>
    </row>
    <row r="44" spans="1:9" s="228" customFormat="1" ht="30">
      <c r="A44" s="112" t="s">
        <v>1095</v>
      </c>
      <c r="B44" s="11" t="s">
        <v>54</v>
      </c>
      <c r="C44" s="17" t="s">
        <v>105</v>
      </c>
      <c r="D44" s="11" t="s">
        <v>28</v>
      </c>
      <c r="E44" s="227">
        <v>1</v>
      </c>
      <c r="G44" s="161"/>
      <c r="H44" s="160"/>
      <c r="I44" s="229"/>
    </row>
    <row r="45" spans="1:9" s="228" customFormat="1" ht="30">
      <c r="A45" s="112" t="s">
        <v>1096</v>
      </c>
      <c r="B45" s="11" t="s">
        <v>288</v>
      </c>
      <c r="C45" s="17" t="s">
        <v>581</v>
      </c>
      <c r="D45" s="11" t="s">
        <v>28</v>
      </c>
      <c r="E45" s="227">
        <v>1</v>
      </c>
      <c r="G45" s="161"/>
      <c r="H45" s="160"/>
      <c r="I45" s="229"/>
    </row>
    <row r="46" spans="1:9" s="228" customFormat="1" ht="30">
      <c r="A46" s="112" t="s">
        <v>1097</v>
      </c>
      <c r="B46" s="11">
        <v>73607</v>
      </c>
      <c r="C46" s="17" t="s">
        <v>583</v>
      </c>
      <c r="D46" s="11" t="s">
        <v>28</v>
      </c>
      <c r="E46" s="227">
        <v>1</v>
      </c>
      <c r="G46" s="161"/>
      <c r="H46" s="160"/>
      <c r="I46" s="229"/>
    </row>
    <row r="47" spans="1:9" s="228" customFormat="1" ht="45">
      <c r="A47" s="112" t="s">
        <v>1098</v>
      </c>
      <c r="B47" s="11">
        <v>72132</v>
      </c>
      <c r="C47" s="17" t="s">
        <v>585</v>
      </c>
      <c r="D47" s="11" t="s">
        <v>9</v>
      </c>
      <c r="E47" s="227">
        <v>2</v>
      </c>
      <c r="G47" s="161"/>
      <c r="H47" s="160"/>
      <c r="I47" s="229"/>
    </row>
    <row r="48" spans="1:9" s="228" customFormat="1" ht="45">
      <c r="A48" s="112" t="s">
        <v>1099</v>
      </c>
      <c r="B48" s="11" t="s">
        <v>289</v>
      </c>
      <c r="C48" s="17" t="s">
        <v>290</v>
      </c>
      <c r="D48" s="11" t="s">
        <v>28</v>
      </c>
      <c r="E48" s="227">
        <v>6</v>
      </c>
      <c r="G48" s="161"/>
      <c r="H48" s="160"/>
      <c r="I48" s="229"/>
    </row>
    <row r="49" spans="1:9" s="228" customFormat="1" ht="30">
      <c r="A49" s="112" t="s">
        <v>1100</v>
      </c>
      <c r="B49" s="11" t="s">
        <v>291</v>
      </c>
      <c r="C49" s="226" t="s">
        <v>1101</v>
      </c>
      <c r="D49" s="11" t="s">
        <v>28</v>
      </c>
      <c r="E49" s="227">
        <v>1</v>
      </c>
      <c r="G49" s="161"/>
      <c r="H49" s="160"/>
      <c r="I49" s="229"/>
    </row>
    <row r="50" spans="1:9" s="228" customFormat="1" ht="60">
      <c r="A50" s="112" t="s">
        <v>1102</v>
      </c>
      <c r="B50" s="11"/>
      <c r="C50" s="226" t="s">
        <v>588</v>
      </c>
      <c r="D50" s="11" t="s">
        <v>35</v>
      </c>
      <c r="E50" s="227">
        <v>6</v>
      </c>
      <c r="G50" s="161"/>
      <c r="H50" s="160"/>
      <c r="I50" s="229"/>
    </row>
    <row r="51" spans="1:9" s="228" customFormat="1" ht="60">
      <c r="A51" s="112" t="s">
        <v>1103</v>
      </c>
      <c r="B51" s="11" t="s">
        <v>165</v>
      </c>
      <c r="C51" s="17" t="s">
        <v>590</v>
      </c>
      <c r="D51" s="11" t="s">
        <v>35</v>
      </c>
      <c r="E51" s="227">
        <v>108</v>
      </c>
      <c r="G51" s="161"/>
      <c r="H51" s="160"/>
      <c r="I51" s="229"/>
    </row>
    <row r="52" spans="1:9" s="228" customFormat="1" ht="75">
      <c r="A52" s="112" t="s">
        <v>1104</v>
      </c>
      <c r="B52" s="11">
        <v>94473</v>
      </c>
      <c r="C52" s="17" t="s">
        <v>102</v>
      </c>
      <c r="D52" s="11" t="s">
        <v>28</v>
      </c>
      <c r="E52" s="227">
        <v>10</v>
      </c>
      <c r="G52" s="161"/>
      <c r="H52" s="160"/>
      <c r="I52" s="229"/>
    </row>
    <row r="53" spans="1:9" s="228" customFormat="1" ht="60">
      <c r="A53" s="112" t="s">
        <v>1105</v>
      </c>
      <c r="B53" s="11"/>
      <c r="C53" s="226" t="s">
        <v>593</v>
      </c>
      <c r="D53" s="11" t="s">
        <v>28</v>
      </c>
      <c r="E53" s="227">
        <v>4</v>
      </c>
      <c r="G53" s="161"/>
      <c r="H53" s="160"/>
      <c r="I53" s="229"/>
    </row>
    <row r="54" spans="1:9" s="228" customFormat="1" ht="60">
      <c r="A54" s="112" t="s">
        <v>1106</v>
      </c>
      <c r="B54" s="11">
        <v>92378</v>
      </c>
      <c r="C54" s="17" t="s">
        <v>103</v>
      </c>
      <c r="D54" s="11" t="s">
        <v>28</v>
      </c>
      <c r="E54" s="227">
        <v>10</v>
      </c>
      <c r="G54" s="161"/>
      <c r="H54" s="160"/>
      <c r="I54" s="229"/>
    </row>
    <row r="55" spans="1:9" s="228" customFormat="1" ht="60">
      <c r="A55" s="112" t="s">
        <v>1107</v>
      </c>
      <c r="B55" s="11">
        <v>92642</v>
      </c>
      <c r="C55" s="17" t="s">
        <v>104</v>
      </c>
      <c r="D55" s="11" t="s">
        <v>28</v>
      </c>
      <c r="E55" s="227">
        <v>4</v>
      </c>
      <c r="G55" s="161"/>
      <c r="H55" s="160"/>
      <c r="I55" s="229"/>
    </row>
    <row r="56" spans="1:9" s="228" customFormat="1" ht="30">
      <c r="A56" s="112" t="s">
        <v>1108</v>
      </c>
      <c r="B56" s="11" t="s">
        <v>55</v>
      </c>
      <c r="C56" s="17" t="s">
        <v>106</v>
      </c>
      <c r="D56" s="11" t="s">
        <v>28</v>
      </c>
      <c r="E56" s="227">
        <v>1</v>
      </c>
      <c r="G56" s="161"/>
      <c r="H56" s="160"/>
      <c r="I56" s="229"/>
    </row>
    <row r="57" spans="1:9" s="228" customFormat="1" ht="30">
      <c r="A57" s="112" t="s">
        <v>1109</v>
      </c>
      <c r="B57" s="11" t="s">
        <v>292</v>
      </c>
      <c r="C57" s="226" t="s">
        <v>1110</v>
      </c>
      <c r="D57" s="11" t="s">
        <v>28</v>
      </c>
      <c r="E57" s="227">
        <v>1</v>
      </c>
      <c r="G57" s="161"/>
      <c r="H57" s="160"/>
      <c r="I57" s="229"/>
    </row>
    <row r="58" spans="1:9" s="228" customFormat="1" ht="30">
      <c r="A58" s="112" t="s">
        <v>1111</v>
      </c>
      <c r="B58" s="11" t="s">
        <v>293</v>
      </c>
      <c r="C58" s="17" t="s">
        <v>294</v>
      </c>
      <c r="D58" s="11" t="s">
        <v>35</v>
      </c>
      <c r="E58" s="227">
        <v>60</v>
      </c>
      <c r="G58" s="161"/>
      <c r="H58" s="160"/>
      <c r="I58" s="229"/>
    </row>
    <row r="59" spans="1:9" s="228" customFormat="1" ht="45">
      <c r="A59" s="112" t="s">
        <v>1112</v>
      </c>
      <c r="B59" s="11" t="s">
        <v>295</v>
      </c>
      <c r="C59" s="17" t="s">
        <v>296</v>
      </c>
      <c r="D59" s="11" t="s">
        <v>35</v>
      </c>
      <c r="E59" s="227">
        <v>161</v>
      </c>
      <c r="G59" s="161"/>
      <c r="H59" s="160"/>
      <c r="I59" s="229"/>
    </row>
    <row r="60" spans="1:9" s="228" customFormat="1" ht="30">
      <c r="A60" s="112" t="s">
        <v>1113</v>
      </c>
      <c r="B60" s="11" t="s">
        <v>297</v>
      </c>
      <c r="C60" s="17" t="s">
        <v>298</v>
      </c>
      <c r="D60" s="11" t="s">
        <v>9</v>
      </c>
      <c r="E60" s="227">
        <v>1.5</v>
      </c>
      <c r="G60" s="161"/>
      <c r="H60" s="160"/>
      <c r="I60" s="229"/>
    </row>
    <row r="61" spans="1:9" s="228" customFormat="1" ht="90">
      <c r="A61" s="112" t="s">
        <v>1114</v>
      </c>
      <c r="B61" s="11" t="s">
        <v>109</v>
      </c>
      <c r="C61" s="17" t="s">
        <v>122</v>
      </c>
      <c r="D61" s="11" t="s">
        <v>28</v>
      </c>
      <c r="E61" s="227">
        <v>16</v>
      </c>
      <c r="G61" s="161"/>
      <c r="H61" s="160"/>
      <c r="I61" s="229"/>
    </row>
    <row r="62" spans="1:9" s="228" customFormat="1" ht="60">
      <c r="A62" s="112" t="s">
        <v>1115</v>
      </c>
      <c r="B62" s="11" t="s">
        <v>53</v>
      </c>
      <c r="C62" s="17" t="s">
        <v>169</v>
      </c>
      <c r="D62" s="11" t="s">
        <v>9</v>
      </c>
      <c r="E62" s="162">
        <v>2</v>
      </c>
      <c r="G62" s="161"/>
      <c r="H62" s="160"/>
      <c r="I62" s="229"/>
    </row>
    <row r="63" spans="1:9" s="228" customFormat="1" ht="30">
      <c r="A63" s="112" t="s">
        <v>1116</v>
      </c>
      <c r="B63" s="11" t="s">
        <v>299</v>
      </c>
      <c r="C63" s="17" t="s">
        <v>300</v>
      </c>
      <c r="D63" s="11" t="s">
        <v>28</v>
      </c>
      <c r="E63" s="227">
        <v>1</v>
      </c>
      <c r="G63" s="161"/>
      <c r="H63" s="160"/>
      <c r="I63" s="229"/>
    </row>
    <row r="64" spans="1:9" s="228" customFormat="1" ht="30">
      <c r="A64" s="112" t="s">
        <v>1117</v>
      </c>
      <c r="B64" s="11"/>
      <c r="C64" s="226" t="s">
        <v>604</v>
      </c>
      <c r="D64" s="11" t="s">
        <v>28</v>
      </c>
      <c r="E64" s="227">
        <v>2</v>
      </c>
      <c r="G64" s="161"/>
      <c r="H64" s="160"/>
      <c r="I64" s="229"/>
    </row>
    <row r="65" spans="1:9" s="228" customFormat="1" ht="30">
      <c r="A65" s="112" t="s">
        <v>1118</v>
      </c>
      <c r="B65" s="11">
        <v>93672</v>
      </c>
      <c r="C65" s="17" t="s">
        <v>605</v>
      </c>
      <c r="D65" s="11" t="s">
        <v>28</v>
      </c>
      <c r="E65" s="227">
        <v>1</v>
      </c>
      <c r="G65" s="161"/>
      <c r="H65" s="160"/>
      <c r="I65" s="229"/>
    </row>
    <row r="66" spans="1:9" s="228" customFormat="1">
      <c r="A66" s="112" t="s">
        <v>1119</v>
      </c>
      <c r="B66" s="11">
        <v>93358</v>
      </c>
      <c r="C66" s="17" t="s">
        <v>62</v>
      </c>
      <c r="D66" s="11" t="s">
        <v>10</v>
      </c>
      <c r="E66" s="227">
        <v>24</v>
      </c>
      <c r="G66" s="161"/>
      <c r="H66" s="160"/>
      <c r="I66" s="229"/>
    </row>
    <row r="67" spans="1:9" s="228" customFormat="1">
      <c r="A67" s="112" t="s">
        <v>1120</v>
      </c>
      <c r="B67" s="11" t="s">
        <v>44</v>
      </c>
      <c r="C67" s="17" t="s">
        <v>61</v>
      </c>
      <c r="D67" s="11" t="s">
        <v>10</v>
      </c>
      <c r="E67" s="227">
        <v>24</v>
      </c>
      <c r="G67" s="161"/>
      <c r="H67" s="160"/>
      <c r="I67" s="229"/>
    </row>
    <row r="68" spans="1:9" s="228" customFormat="1" ht="30">
      <c r="A68" s="112" t="s">
        <v>1121</v>
      </c>
      <c r="B68" s="11" t="s">
        <v>1080</v>
      </c>
      <c r="C68" s="17" t="s">
        <v>606</v>
      </c>
      <c r="D68" s="11" t="s">
        <v>35</v>
      </c>
      <c r="E68" s="227">
        <v>12</v>
      </c>
      <c r="G68" s="161"/>
      <c r="H68" s="160"/>
      <c r="I68" s="229"/>
    </row>
    <row r="69" spans="1:9" s="228" customFormat="1">
      <c r="A69" s="112" t="s">
        <v>1122</v>
      </c>
      <c r="B69" s="11" t="s">
        <v>262</v>
      </c>
      <c r="C69" s="17" t="s">
        <v>607</v>
      </c>
      <c r="D69" s="11" t="s">
        <v>28</v>
      </c>
      <c r="E69" s="227">
        <v>4</v>
      </c>
      <c r="G69" s="161"/>
      <c r="H69" s="160"/>
      <c r="I69" s="229"/>
    </row>
    <row r="70" spans="1:9" s="228" customFormat="1" ht="30">
      <c r="A70" s="112" t="s">
        <v>1123</v>
      </c>
      <c r="B70" s="11" t="s">
        <v>166</v>
      </c>
      <c r="C70" s="17" t="s">
        <v>608</v>
      </c>
      <c r="D70" s="11" t="s">
        <v>28</v>
      </c>
      <c r="E70" s="227">
        <v>4</v>
      </c>
      <c r="G70" s="161"/>
      <c r="H70" s="160"/>
      <c r="I70" s="229"/>
    </row>
    <row r="71" spans="1:9" s="228" customFormat="1" ht="30.75" thickBot="1">
      <c r="A71" s="112" t="s">
        <v>1124</v>
      </c>
      <c r="B71" s="11" t="s">
        <v>83</v>
      </c>
      <c r="C71" s="17" t="s">
        <v>609</v>
      </c>
      <c r="D71" s="11" t="s">
        <v>28</v>
      </c>
      <c r="E71" s="227">
        <v>12</v>
      </c>
      <c r="G71" s="161"/>
      <c r="H71" s="160"/>
      <c r="I71" s="229"/>
    </row>
    <row r="72" spans="1:9" ht="16.5" thickTop="1">
      <c r="A72" s="108" t="s">
        <v>48</v>
      </c>
      <c r="B72" s="109"/>
      <c r="C72" s="110" t="s">
        <v>42</v>
      </c>
      <c r="D72" s="109"/>
      <c r="E72" s="111"/>
    </row>
    <row r="73" spans="1:9" ht="30">
      <c r="A73" s="11" t="s">
        <v>1125</v>
      </c>
      <c r="B73" s="11" t="s">
        <v>111</v>
      </c>
      <c r="C73" s="17" t="s">
        <v>112</v>
      </c>
      <c r="D73" s="11" t="s">
        <v>30</v>
      </c>
      <c r="E73" s="227">
        <v>51</v>
      </c>
    </row>
    <row r="74" spans="1:9" ht="30">
      <c r="A74" s="11" t="s">
        <v>1126</v>
      </c>
      <c r="B74" s="11" t="s">
        <v>303</v>
      </c>
      <c r="C74" s="17" t="s">
        <v>610</v>
      </c>
      <c r="D74" s="11" t="s">
        <v>30</v>
      </c>
      <c r="E74" s="230">
        <v>2</v>
      </c>
    </row>
    <row r="75" spans="1:9"/>
    <row r="76" spans="1:9"/>
    <row r="77" spans="1:9"/>
    <row r="78" spans="1:9"/>
    <row r="79" spans="1:9"/>
    <row r="80" spans="1:9"/>
    <row r="81"/>
    <row r="82"/>
    <row r="83"/>
    <row r="84"/>
    <row r="85"/>
    <row r="86"/>
    <row r="87"/>
    <row r="88"/>
    <row r="89"/>
    <row r="90"/>
    <row r="91"/>
  </sheetData>
  <mergeCells count="1">
    <mergeCell ref="A1:E1"/>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dimension ref="A1:L155"/>
  <sheetViews>
    <sheetView showGridLines="0" zoomScaleSheetLayoutView="100" workbookViewId="0">
      <pane ySplit="7" topLeftCell="A56" activePane="bottomLeft" state="frozen"/>
      <selection sqref="A1:C1"/>
      <selection pane="bottomLeft" activeCell="C73" sqref="C73"/>
    </sheetView>
  </sheetViews>
  <sheetFormatPr defaultRowHeight="15"/>
  <cols>
    <col min="1" max="1" width="82.7109375" style="182" customWidth="1"/>
    <col min="2" max="2" width="7.42578125" style="181" customWidth="1"/>
    <col min="3" max="3" width="12.7109375" style="155" customWidth="1"/>
    <col min="4" max="4" width="9.140625" bestFit="1" customWidth="1"/>
  </cols>
  <sheetData>
    <row r="1" spans="1:5" s="163" customFormat="1" ht="15" customHeight="1">
      <c r="A1" s="1370" t="s">
        <v>423</v>
      </c>
      <c r="B1" s="1371"/>
      <c r="C1" s="1372"/>
      <c r="E1" s="164"/>
    </row>
    <row r="2" spans="1:5" s="163" customFormat="1" ht="15" customHeight="1">
      <c r="A2" s="1373" t="s">
        <v>424</v>
      </c>
      <c r="B2" s="1374"/>
      <c r="C2" s="1375"/>
      <c r="E2" s="164"/>
    </row>
    <row r="3" spans="1:5" s="163" customFormat="1" ht="15" customHeight="1">
      <c r="A3" s="42" t="s">
        <v>999</v>
      </c>
      <c r="B3" s="165"/>
      <c r="C3" s="166"/>
      <c r="E3" s="164"/>
    </row>
    <row r="4" spans="1:5" s="163" customFormat="1" ht="15" customHeight="1">
      <c r="A4" s="42" t="s">
        <v>1000</v>
      </c>
      <c r="B4" s="167"/>
      <c r="C4" s="168"/>
    </row>
    <row r="5" spans="1:5" s="163" customFormat="1" ht="15" customHeight="1">
      <c r="A5" s="42" t="s">
        <v>425</v>
      </c>
      <c r="B5" s="167"/>
      <c r="C5" s="168"/>
    </row>
    <row r="6" spans="1:5" s="163" customFormat="1" ht="15" customHeight="1">
      <c r="A6" s="43" t="s">
        <v>1001</v>
      </c>
      <c r="B6" s="169"/>
      <c r="C6" s="170"/>
    </row>
    <row r="7" spans="1:5">
      <c r="A7" s="44" t="s">
        <v>1</v>
      </c>
      <c r="B7" s="171" t="s">
        <v>426</v>
      </c>
      <c r="C7" s="172" t="s">
        <v>427</v>
      </c>
    </row>
    <row r="8" spans="1:5">
      <c r="A8" s="1367" t="s">
        <v>29</v>
      </c>
      <c r="B8" s="1368"/>
      <c r="C8" s="1369"/>
    </row>
    <row r="9" spans="1:5" ht="18.75" customHeight="1">
      <c r="A9" s="45" t="s">
        <v>1007</v>
      </c>
      <c r="B9" s="46" t="s">
        <v>51</v>
      </c>
      <c r="C9" s="48">
        <v>101.79</v>
      </c>
      <c r="D9" s="173">
        <f>TRUNC(C9,2)</f>
        <v>101.79</v>
      </c>
    </row>
    <row r="10" spans="1:5">
      <c r="A10" s="45" t="s">
        <v>1008</v>
      </c>
      <c r="B10" s="46" t="s">
        <v>51</v>
      </c>
      <c r="C10" s="48">
        <v>6.46</v>
      </c>
      <c r="D10" s="173">
        <f t="shared" ref="D10:D73" si="0">TRUNC(C10,2)</f>
        <v>6.46</v>
      </c>
    </row>
    <row r="11" spans="1:5">
      <c r="A11" s="1367" t="s">
        <v>428</v>
      </c>
      <c r="B11" s="1368"/>
      <c r="C11" s="1369"/>
      <c r="D11" s="174"/>
    </row>
    <row r="12" spans="1:5" ht="30">
      <c r="A12" s="45" t="s">
        <v>429</v>
      </c>
      <c r="B12" s="46" t="s">
        <v>9</v>
      </c>
      <c r="C12" s="48">
        <v>13.22</v>
      </c>
      <c r="D12" s="173">
        <f t="shared" si="0"/>
        <v>13.22</v>
      </c>
    </row>
    <row r="13" spans="1:5" ht="36" customHeight="1">
      <c r="A13" s="45" t="s">
        <v>430</v>
      </c>
      <c r="B13" s="46" t="s">
        <v>9</v>
      </c>
      <c r="C13" s="48">
        <v>21.8</v>
      </c>
      <c r="D13" s="173">
        <f t="shared" si="0"/>
        <v>21.8</v>
      </c>
    </row>
    <row r="14" spans="1:5" ht="30">
      <c r="A14" s="45" t="s">
        <v>431</v>
      </c>
      <c r="B14" s="46" t="s">
        <v>9</v>
      </c>
      <c r="C14" s="48">
        <v>14.5</v>
      </c>
      <c r="D14" s="173">
        <f t="shared" si="0"/>
        <v>14.5</v>
      </c>
    </row>
    <row r="15" spans="1:5" ht="30" hidden="1">
      <c r="A15" s="175" t="s">
        <v>57</v>
      </c>
      <c r="B15" s="176" t="s">
        <v>9</v>
      </c>
      <c r="C15" s="48">
        <v>1122</v>
      </c>
      <c r="D15" s="173">
        <f t="shared" si="0"/>
        <v>1122</v>
      </c>
    </row>
    <row r="16" spans="1:5">
      <c r="A16" s="45" t="s">
        <v>1002</v>
      </c>
      <c r="B16" s="46" t="s">
        <v>5</v>
      </c>
      <c r="C16" s="48">
        <v>1</v>
      </c>
      <c r="D16" s="173">
        <f t="shared" si="0"/>
        <v>1</v>
      </c>
      <c r="E16" s="177"/>
    </row>
    <row r="17" spans="1:7">
      <c r="A17" s="1367" t="s">
        <v>432</v>
      </c>
      <c r="B17" s="1368"/>
      <c r="C17" s="1369"/>
      <c r="D17" s="174"/>
      <c r="F17" s="177"/>
    </row>
    <row r="18" spans="1:7">
      <c r="A18" s="45" t="s">
        <v>433</v>
      </c>
      <c r="B18" s="46" t="s">
        <v>1003</v>
      </c>
      <c r="C18" s="48">
        <v>1506.6299999999999</v>
      </c>
      <c r="D18" s="173">
        <f t="shared" si="0"/>
        <v>1506.63</v>
      </c>
    </row>
    <row r="19" spans="1:7">
      <c r="A19" s="1367" t="s">
        <v>434</v>
      </c>
      <c r="B19" s="1368"/>
      <c r="C19" s="1369"/>
      <c r="D19" s="174"/>
    </row>
    <row r="20" spans="1:7" ht="37.5" customHeight="1">
      <c r="A20" s="49" t="s">
        <v>435</v>
      </c>
      <c r="B20" s="46" t="s">
        <v>9</v>
      </c>
      <c r="C20" s="48">
        <v>10453.540000000001</v>
      </c>
      <c r="D20" s="173">
        <f t="shared" si="0"/>
        <v>10453.540000000001</v>
      </c>
    </row>
    <row r="21" spans="1:7" ht="20.25" customHeight="1">
      <c r="A21" s="45" t="s">
        <v>436</v>
      </c>
      <c r="B21" s="50" t="s">
        <v>10</v>
      </c>
      <c r="C21" s="48">
        <v>1568.0310000000002</v>
      </c>
      <c r="D21" s="173">
        <f t="shared" si="0"/>
        <v>1568.03</v>
      </c>
    </row>
    <row r="22" spans="1:7" ht="19.5" customHeight="1">
      <c r="A22" s="45" t="s">
        <v>1004</v>
      </c>
      <c r="B22" s="50" t="s">
        <v>30</v>
      </c>
      <c r="C22" s="48">
        <v>1</v>
      </c>
      <c r="D22" s="173">
        <f t="shared" si="0"/>
        <v>1</v>
      </c>
    </row>
    <row r="23" spans="1:7" ht="18.75" customHeight="1">
      <c r="A23" s="45" t="s">
        <v>1005</v>
      </c>
      <c r="B23" s="50" t="s">
        <v>30</v>
      </c>
      <c r="C23" s="48">
        <v>1</v>
      </c>
      <c r="D23" s="173">
        <f t="shared" si="0"/>
        <v>1</v>
      </c>
    </row>
    <row r="24" spans="1:7" ht="25.5" customHeight="1">
      <c r="A24" s="45" t="s">
        <v>437</v>
      </c>
      <c r="B24" s="50" t="s">
        <v>438</v>
      </c>
      <c r="C24" s="48"/>
      <c r="D24" s="173">
        <f t="shared" si="0"/>
        <v>0</v>
      </c>
    </row>
    <row r="25" spans="1:7" ht="19.5" customHeight="1">
      <c r="A25" s="1367" t="s">
        <v>324</v>
      </c>
      <c r="B25" s="1368"/>
      <c r="C25" s="1369"/>
      <c r="D25" s="174"/>
    </row>
    <row r="26" spans="1:7" ht="19.5" customHeight="1">
      <c r="A26" s="51" t="s">
        <v>668</v>
      </c>
      <c r="B26" s="46" t="s">
        <v>9</v>
      </c>
      <c r="C26" s="48">
        <v>2259.1500000000005</v>
      </c>
      <c r="D26" s="173">
        <f t="shared" si="0"/>
        <v>2259.15</v>
      </c>
      <c r="G26" s="177"/>
    </row>
    <row r="27" spans="1:7" ht="19.5" customHeight="1">
      <c r="A27" s="51" t="s">
        <v>669</v>
      </c>
      <c r="B27" s="46" t="s">
        <v>9</v>
      </c>
      <c r="C27" s="48">
        <v>173.24</v>
      </c>
      <c r="D27" s="173">
        <f t="shared" si="0"/>
        <v>173.24</v>
      </c>
    </row>
    <row r="28" spans="1:7" ht="21.75" customHeight="1">
      <c r="A28" s="51" t="s">
        <v>670</v>
      </c>
      <c r="B28" s="46" t="s">
        <v>35</v>
      </c>
      <c r="C28" s="48">
        <v>19.7</v>
      </c>
      <c r="D28" s="173">
        <f t="shared" si="0"/>
        <v>19.7</v>
      </c>
    </row>
    <row r="29" spans="1:7" ht="19.5" customHeight="1">
      <c r="A29" s="51" t="s">
        <v>671</v>
      </c>
      <c r="B29" s="53" t="s">
        <v>35</v>
      </c>
      <c r="C29" s="48">
        <v>21.400000000000002</v>
      </c>
      <c r="D29" s="173">
        <f t="shared" si="0"/>
        <v>21.4</v>
      </c>
    </row>
    <row r="30" spans="1:7" ht="15" customHeight="1">
      <c r="A30" s="51" t="s">
        <v>672</v>
      </c>
      <c r="B30" s="53" t="s">
        <v>35</v>
      </c>
      <c r="C30" s="48">
        <v>11.049999999999999</v>
      </c>
      <c r="D30" s="173">
        <f t="shared" si="0"/>
        <v>11.05</v>
      </c>
    </row>
    <row r="31" spans="1:7" ht="19.5" customHeight="1">
      <c r="A31" s="51" t="s">
        <v>673</v>
      </c>
      <c r="B31" s="53" t="s">
        <v>35</v>
      </c>
      <c r="C31" s="48">
        <v>11.049999999999999</v>
      </c>
      <c r="D31" s="173">
        <f t="shared" si="0"/>
        <v>11.05</v>
      </c>
    </row>
    <row r="32" spans="1:7" ht="18" customHeight="1">
      <c r="A32" s="51" t="s">
        <v>674</v>
      </c>
      <c r="B32" s="53" t="s">
        <v>35</v>
      </c>
      <c r="C32" s="48">
        <v>45.2</v>
      </c>
      <c r="D32" s="173">
        <f t="shared" si="0"/>
        <v>45.2</v>
      </c>
      <c r="E32" s="177"/>
    </row>
    <row r="33" spans="1:12" ht="17.25" customHeight="1">
      <c r="A33" s="51" t="s">
        <v>675</v>
      </c>
      <c r="B33" s="53" t="s">
        <v>35</v>
      </c>
      <c r="C33" s="48">
        <v>45.2</v>
      </c>
      <c r="D33" s="173">
        <f t="shared" si="0"/>
        <v>45.2</v>
      </c>
      <c r="I33" s="177"/>
    </row>
    <row r="34" spans="1:12">
      <c r="A34" s="52" t="s">
        <v>676</v>
      </c>
      <c r="B34" s="46" t="s">
        <v>9</v>
      </c>
      <c r="C34" s="48">
        <v>60.519999999999996</v>
      </c>
      <c r="D34" s="173">
        <f t="shared" si="0"/>
        <v>60.52</v>
      </c>
    </row>
    <row r="35" spans="1:12">
      <c r="A35" s="1367" t="s">
        <v>326</v>
      </c>
      <c r="B35" s="1368"/>
      <c r="C35" s="1369"/>
      <c r="D35" s="174"/>
    </row>
    <row r="36" spans="1:12" ht="60">
      <c r="A36" s="51" t="s">
        <v>677</v>
      </c>
      <c r="B36" s="53" t="s">
        <v>5</v>
      </c>
      <c r="C36" s="48">
        <v>13</v>
      </c>
      <c r="D36" s="173">
        <f t="shared" si="0"/>
        <v>13</v>
      </c>
    </row>
    <row r="37" spans="1:12" ht="60">
      <c r="A37" s="51" t="s">
        <v>678</v>
      </c>
      <c r="B37" s="53" t="s">
        <v>5</v>
      </c>
      <c r="C37" s="48">
        <v>14</v>
      </c>
      <c r="D37" s="173">
        <f t="shared" si="0"/>
        <v>14</v>
      </c>
    </row>
    <row r="38" spans="1:12" ht="75">
      <c r="A38" s="51" t="s">
        <v>679</v>
      </c>
      <c r="B38" s="53" t="s">
        <v>5</v>
      </c>
      <c r="C38" s="48">
        <v>6</v>
      </c>
      <c r="D38" s="173">
        <f t="shared" si="0"/>
        <v>6</v>
      </c>
    </row>
    <row r="39" spans="1:12" ht="66" customHeight="1">
      <c r="A39" s="51" t="s">
        <v>680</v>
      </c>
      <c r="B39" s="53" t="s">
        <v>5</v>
      </c>
      <c r="C39" s="48">
        <v>7</v>
      </c>
      <c r="D39" s="173">
        <f t="shared" si="0"/>
        <v>7</v>
      </c>
    </row>
    <row r="40" spans="1:12" ht="67.5" customHeight="1">
      <c r="A40" s="51" t="s">
        <v>681</v>
      </c>
      <c r="B40" s="53" t="s">
        <v>9</v>
      </c>
      <c r="C40" s="48">
        <v>5.88</v>
      </c>
      <c r="D40" s="173">
        <f t="shared" si="0"/>
        <v>5.88</v>
      </c>
    </row>
    <row r="41" spans="1:12" ht="30">
      <c r="A41" s="51" t="s">
        <v>682</v>
      </c>
      <c r="B41" s="53" t="s">
        <v>9</v>
      </c>
      <c r="C41" s="48">
        <v>32.64</v>
      </c>
      <c r="D41" s="173">
        <f t="shared" si="0"/>
        <v>32.64</v>
      </c>
    </row>
    <row r="42" spans="1:12" ht="30">
      <c r="A42" s="51" t="s">
        <v>683</v>
      </c>
      <c r="B42" s="46" t="s">
        <v>9</v>
      </c>
      <c r="C42" s="48">
        <v>48</v>
      </c>
      <c r="D42" s="173">
        <f t="shared" si="0"/>
        <v>48</v>
      </c>
      <c r="L42" s="177"/>
    </row>
    <row r="43" spans="1:12">
      <c r="A43" s="51" t="s">
        <v>684</v>
      </c>
      <c r="B43" s="46" t="s">
        <v>9</v>
      </c>
      <c r="C43" s="48">
        <v>39.6</v>
      </c>
      <c r="D43" s="173">
        <f t="shared" si="0"/>
        <v>39.6</v>
      </c>
    </row>
    <row r="44" spans="1:12">
      <c r="A44" s="51" t="s">
        <v>685</v>
      </c>
      <c r="B44" s="46" t="s">
        <v>9</v>
      </c>
      <c r="C44" s="48">
        <v>2.4</v>
      </c>
      <c r="D44" s="173">
        <f t="shared" si="0"/>
        <v>2.4</v>
      </c>
    </row>
    <row r="45" spans="1:12" ht="33" customHeight="1">
      <c r="A45" s="51" t="s">
        <v>686</v>
      </c>
      <c r="B45" s="46" t="s">
        <v>9</v>
      </c>
      <c r="C45" s="48">
        <v>9</v>
      </c>
      <c r="D45" s="173">
        <f t="shared" si="0"/>
        <v>9</v>
      </c>
    </row>
    <row r="46" spans="1:12">
      <c r="A46" s="51" t="s">
        <v>687</v>
      </c>
      <c r="B46" s="46" t="s">
        <v>9</v>
      </c>
      <c r="C46" s="48">
        <v>3</v>
      </c>
      <c r="D46" s="173">
        <f t="shared" si="0"/>
        <v>3</v>
      </c>
    </row>
    <row r="47" spans="1:12">
      <c r="A47" s="51" t="s">
        <v>688</v>
      </c>
      <c r="B47" s="46" t="s">
        <v>9</v>
      </c>
      <c r="C47" s="48">
        <v>2.88</v>
      </c>
      <c r="D47" s="173">
        <f t="shared" si="0"/>
        <v>2.88</v>
      </c>
    </row>
    <row r="48" spans="1:12">
      <c r="A48" s="51" t="s">
        <v>689</v>
      </c>
      <c r="B48" s="46" t="s">
        <v>9</v>
      </c>
      <c r="C48" s="48">
        <v>1.6</v>
      </c>
      <c r="D48" s="173">
        <f t="shared" si="0"/>
        <v>1.6</v>
      </c>
    </row>
    <row r="49" spans="1:7">
      <c r="A49" s="51" t="s">
        <v>684</v>
      </c>
      <c r="B49" s="46" t="s">
        <v>9</v>
      </c>
      <c r="C49" s="48">
        <v>4.8</v>
      </c>
      <c r="D49" s="173">
        <f t="shared" si="0"/>
        <v>4.8</v>
      </c>
    </row>
    <row r="50" spans="1:7">
      <c r="A50" s="51" t="s">
        <v>684</v>
      </c>
      <c r="B50" s="46" t="s">
        <v>9</v>
      </c>
      <c r="C50" s="48">
        <v>4.8</v>
      </c>
      <c r="D50" s="173">
        <f t="shared" si="0"/>
        <v>4.8</v>
      </c>
      <c r="F50" s="177"/>
      <c r="G50" s="177"/>
    </row>
    <row r="51" spans="1:7">
      <c r="A51" s="51" t="s">
        <v>690</v>
      </c>
      <c r="B51" s="46" t="s">
        <v>9</v>
      </c>
      <c r="C51" s="48">
        <v>41.680000000000007</v>
      </c>
      <c r="D51" s="173">
        <f t="shared" si="0"/>
        <v>41.68</v>
      </c>
    </row>
    <row r="52" spans="1:7">
      <c r="A52" s="51" t="s">
        <v>691</v>
      </c>
      <c r="B52" s="46" t="s">
        <v>9</v>
      </c>
      <c r="C52" s="48">
        <v>28.380000000000003</v>
      </c>
      <c r="D52" s="173">
        <f t="shared" si="0"/>
        <v>28.38</v>
      </c>
    </row>
    <row r="53" spans="1:7">
      <c r="A53" s="51" t="s">
        <v>692</v>
      </c>
      <c r="B53" s="46" t="s">
        <v>9</v>
      </c>
      <c r="C53" s="48">
        <v>3.7800000000000002</v>
      </c>
      <c r="D53" s="173">
        <f t="shared" si="0"/>
        <v>3.78</v>
      </c>
    </row>
    <row r="54" spans="1:7">
      <c r="A54" s="1367" t="s">
        <v>31</v>
      </c>
      <c r="B54" s="1368"/>
      <c r="C54" s="1369"/>
      <c r="D54" s="174"/>
    </row>
    <row r="55" spans="1:7">
      <c r="A55" s="51" t="s">
        <v>1009</v>
      </c>
      <c r="B55" s="46" t="s">
        <v>9</v>
      </c>
      <c r="C55" s="48">
        <v>902.75</v>
      </c>
      <c r="D55" s="173">
        <f t="shared" si="0"/>
        <v>902.75</v>
      </c>
    </row>
    <row r="56" spans="1:7">
      <c r="A56" s="51" t="s">
        <v>693</v>
      </c>
      <c r="B56" s="46" t="s">
        <v>9</v>
      </c>
      <c r="C56" s="48">
        <v>1481.8100000000002</v>
      </c>
      <c r="D56" s="173">
        <f t="shared" si="0"/>
        <v>1481.81</v>
      </c>
    </row>
    <row r="57" spans="1:7">
      <c r="A57" s="51" t="s">
        <v>694</v>
      </c>
      <c r="B57" s="46" t="s">
        <v>35</v>
      </c>
      <c r="C57" s="48">
        <v>77.64</v>
      </c>
      <c r="D57" s="173">
        <f t="shared" si="0"/>
        <v>77.64</v>
      </c>
      <c r="E57" s="177"/>
    </row>
    <row r="58" spans="1:7">
      <c r="A58" s="51" t="s">
        <v>695</v>
      </c>
      <c r="B58" s="46" t="s">
        <v>35</v>
      </c>
      <c r="C58" s="48">
        <v>100.74000000000001</v>
      </c>
      <c r="D58" s="173">
        <f t="shared" si="0"/>
        <v>100.74</v>
      </c>
    </row>
    <row r="59" spans="1:7">
      <c r="A59" s="51" t="s">
        <v>696</v>
      </c>
      <c r="B59" s="46" t="s">
        <v>35</v>
      </c>
      <c r="C59" s="48">
        <v>95.86</v>
      </c>
      <c r="D59" s="173">
        <f t="shared" si="0"/>
        <v>95.86</v>
      </c>
    </row>
    <row r="60" spans="1:7">
      <c r="A60" s="51" t="s">
        <v>697</v>
      </c>
      <c r="B60" s="46" t="s">
        <v>9</v>
      </c>
      <c r="C60" s="48">
        <v>70.75</v>
      </c>
      <c r="D60" s="173">
        <f t="shared" si="0"/>
        <v>70.75</v>
      </c>
      <c r="F60" s="178"/>
    </row>
    <row r="61" spans="1:7">
      <c r="A61" s="1367" t="s">
        <v>439</v>
      </c>
      <c r="B61" s="1368"/>
      <c r="C61" s="1369"/>
      <c r="D61" s="174"/>
    </row>
    <row r="62" spans="1:7">
      <c r="A62" s="51" t="s">
        <v>698</v>
      </c>
      <c r="B62" s="46" t="s">
        <v>9</v>
      </c>
      <c r="C62" s="48">
        <v>323.89</v>
      </c>
      <c r="D62" s="173">
        <f t="shared" si="0"/>
        <v>323.89</v>
      </c>
    </row>
    <row r="63" spans="1:7">
      <c r="A63" s="1367" t="s">
        <v>32</v>
      </c>
      <c r="B63" s="1368"/>
      <c r="C63" s="1369"/>
      <c r="D63" s="174"/>
    </row>
    <row r="64" spans="1:7">
      <c r="A64" s="51" t="s">
        <v>699</v>
      </c>
      <c r="B64" s="46" t="s">
        <v>9</v>
      </c>
      <c r="C64" s="48">
        <v>4518.3000000000011</v>
      </c>
      <c r="D64" s="173">
        <f t="shared" si="0"/>
        <v>4518.3</v>
      </c>
    </row>
    <row r="65" spans="1:6">
      <c r="A65" s="51" t="s">
        <v>700</v>
      </c>
      <c r="B65" s="46" t="s">
        <v>9</v>
      </c>
      <c r="C65" s="48">
        <v>2675.4954999999995</v>
      </c>
      <c r="D65" s="173">
        <f t="shared" si="0"/>
        <v>2675.49</v>
      </c>
    </row>
    <row r="66" spans="1:6">
      <c r="A66" s="51" t="s">
        <v>701</v>
      </c>
      <c r="B66" s="46" t="s">
        <v>9</v>
      </c>
      <c r="C66" s="48">
        <v>2048.3530000000001</v>
      </c>
      <c r="D66" s="173">
        <f t="shared" si="0"/>
        <v>2048.35</v>
      </c>
      <c r="E66" s="178"/>
    </row>
    <row r="67" spans="1:6">
      <c r="A67" s="51" t="s">
        <v>702</v>
      </c>
      <c r="B67" s="46" t="s">
        <v>9</v>
      </c>
      <c r="C67" s="48">
        <v>1436.9120000000003</v>
      </c>
      <c r="D67" s="173">
        <f t="shared" si="0"/>
        <v>1436.91</v>
      </c>
    </row>
    <row r="68" spans="1:6">
      <c r="A68" s="45" t="s">
        <v>703</v>
      </c>
      <c r="B68" s="46" t="s">
        <v>9</v>
      </c>
      <c r="C68" s="48">
        <v>88.77000000000001</v>
      </c>
      <c r="D68" s="173">
        <f t="shared" si="0"/>
        <v>88.77</v>
      </c>
    </row>
    <row r="69" spans="1:6">
      <c r="A69" s="45" t="s">
        <v>704</v>
      </c>
      <c r="B69" s="46" t="s">
        <v>9</v>
      </c>
      <c r="C69" s="48">
        <v>22.356000000000002</v>
      </c>
      <c r="D69" s="173">
        <f t="shared" si="0"/>
        <v>22.35</v>
      </c>
    </row>
    <row r="70" spans="1:6" ht="15" customHeight="1">
      <c r="A70" s="51" t="s">
        <v>1010</v>
      </c>
      <c r="B70" s="46" t="s">
        <v>9</v>
      </c>
      <c r="C70" s="48">
        <v>36.315000000000005</v>
      </c>
      <c r="D70" s="173">
        <f t="shared" si="0"/>
        <v>36.31</v>
      </c>
    </row>
    <row r="71" spans="1:6">
      <c r="A71" s="51" t="s">
        <v>705</v>
      </c>
      <c r="B71" s="46" t="s">
        <v>9</v>
      </c>
      <c r="C71" s="48">
        <v>697.78</v>
      </c>
      <c r="D71" s="173">
        <f t="shared" si="0"/>
        <v>697.78</v>
      </c>
    </row>
    <row r="72" spans="1:6" ht="15" customHeight="1">
      <c r="A72" s="51" t="s">
        <v>706</v>
      </c>
      <c r="B72" s="46" t="s">
        <v>35</v>
      </c>
      <c r="C72" s="48">
        <v>16.800000000000004</v>
      </c>
      <c r="D72" s="173">
        <f t="shared" si="0"/>
        <v>16.8</v>
      </c>
    </row>
    <row r="73" spans="1:6" ht="14.25" customHeight="1">
      <c r="A73" s="51" t="s">
        <v>707</v>
      </c>
      <c r="B73" s="46" t="s">
        <v>9</v>
      </c>
      <c r="C73" s="48">
        <v>13.02</v>
      </c>
      <c r="D73" s="173">
        <f t="shared" si="0"/>
        <v>13.02</v>
      </c>
      <c r="F73" s="177"/>
    </row>
    <row r="74" spans="1:6">
      <c r="A74" s="1367" t="s">
        <v>329</v>
      </c>
      <c r="B74" s="1368"/>
      <c r="C74" s="1369"/>
      <c r="D74" s="174"/>
    </row>
    <row r="75" spans="1:6">
      <c r="A75" s="51" t="s">
        <v>708</v>
      </c>
      <c r="B75" s="46" t="s">
        <v>9</v>
      </c>
      <c r="C75" s="48">
        <v>929.88599999999985</v>
      </c>
      <c r="D75" s="173">
        <f t="shared" ref="D75:D136" si="1">TRUNC(C75,2)</f>
        <v>929.88</v>
      </c>
      <c r="F75" s="177"/>
    </row>
    <row r="76" spans="1:6">
      <c r="A76" s="51" t="s">
        <v>709</v>
      </c>
      <c r="B76" s="53" t="s">
        <v>35</v>
      </c>
      <c r="C76" s="48">
        <v>601.2700000000001</v>
      </c>
      <c r="D76" s="173">
        <f t="shared" si="1"/>
        <v>601.27</v>
      </c>
    </row>
    <row r="77" spans="1:6">
      <c r="A77" s="1367" t="s">
        <v>11</v>
      </c>
      <c r="B77" s="1368"/>
      <c r="C77" s="1369"/>
      <c r="D77" s="174"/>
      <c r="F77" s="177"/>
    </row>
    <row r="78" spans="1:6">
      <c r="A78" s="51" t="s">
        <v>710</v>
      </c>
      <c r="B78" s="46" t="s">
        <v>9</v>
      </c>
      <c r="C78" s="48">
        <v>1135.1889999999999</v>
      </c>
      <c r="D78" s="173">
        <f t="shared" si="1"/>
        <v>1135.18</v>
      </c>
    </row>
    <row r="79" spans="1:6">
      <c r="A79" s="51" t="s">
        <v>711</v>
      </c>
      <c r="B79" s="46" t="s">
        <v>9</v>
      </c>
      <c r="C79" s="48">
        <v>100.014</v>
      </c>
      <c r="D79" s="173">
        <f t="shared" si="1"/>
        <v>100.01</v>
      </c>
    </row>
    <row r="80" spans="1:6">
      <c r="A80" s="51" t="s">
        <v>712</v>
      </c>
      <c r="B80" s="46" t="s">
        <v>9</v>
      </c>
      <c r="C80" s="48">
        <v>481.08449999999999</v>
      </c>
      <c r="D80" s="173">
        <f t="shared" si="1"/>
        <v>481.08</v>
      </c>
    </row>
    <row r="81" spans="1:7">
      <c r="A81" s="51" t="s">
        <v>713</v>
      </c>
      <c r="B81" s="46" t="s">
        <v>9</v>
      </c>
      <c r="C81" s="48">
        <v>1075.9919999999997</v>
      </c>
      <c r="D81" s="173">
        <f t="shared" si="1"/>
        <v>1075.99</v>
      </c>
    </row>
    <row r="82" spans="1:7">
      <c r="A82" s="51" t="s">
        <v>714</v>
      </c>
      <c r="B82" s="46" t="s">
        <v>9</v>
      </c>
      <c r="C82" s="48">
        <v>1075.9919999999997</v>
      </c>
      <c r="D82" s="173">
        <f t="shared" si="1"/>
        <v>1075.99</v>
      </c>
    </row>
    <row r="83" spans="1:7">
      <c r="A83" s="51" t="s">
        <v>715</v>
      </c>
      <c r="B83" s="46" t="s">
        <v>9</v>
      </c>
      <c r="C83" s="48">
        <v>1075.9919999999997</v>
      </c>
      <c r="D83" s="173">
        <f t="shared" si="1"/>
        <v>1075.99</v>
      </c>
    </row>
    <row r="84" spans="1:7">
      <c r="A84" s="51" t="s">
        <v>716</v>
      </c>
      <c r="B84" s="46" t="s">
        <v>9</v>
      </c>
      <c r="C84" s="48">
        <v>1548.6334999999999</v>
      </c>
      <c r="D84" s="173">
        <f t="shared" si="1"/>
        <v>1548.63</v>
      </c>
    </row>
    <row r="85" spans="1:7">
      <c r="A85" s="51" t="s">
        <v>717</v>
      </c>
      <c r="B85" s="46" t="s">
        <v>9</v>
      </c>
      <c r="C85" s="48">
        <v>1548.6334999999999</v>
      </c>
      <c r="D85" s="173">
        <f t="shared" si="1"/>
        <v>1548.63</v>
      </c>
      <c r="G85" s="177"/>
    </row>
    <row r="86" spans="1:7">
      <c r="A86" s="51" t="s">
        <v>718</v>
      </c>
      <c r="B86" s="46" t="s">
        <v>9</v>
      </c>
      <c r="C86" s="48">
        <v>2441.4002999999998</v>
      </c>
      <c r="D86" s="173">
        <f t="shared" si="1"/>
        <v>2441.4</v>
      </c>
    </row>
    <row r="87" spans="1:7">
      <c r="A87" s="51" t="s">
        <v>719</v>
      </c>
      <c r="B87" s="46" t="s">
        <v>9</v>
      </c>
      <c r="C87" s="48">
        <v>67.81</v>
      </c>
      <c r="D87" s="173">
        <f t="shared" si="1"/>
        <v>67.81</v>
      </c>
    </row>
    <row r="88" spans="1:7">
      <c r="A88" s="51" t="s">
        <v>720</v>
      </c>
      <c r="B88" s="46" t="s">
        <v>9</v>
      </c>
      <c r="C88" s="48">
        <v>923.83600000000013</v>
      </c>
      <c r="D88" s="173">
        <f t="shared" si="1"/>
        <v>923.83</v>
      </c>
    </row>
    <row r="89" spans="1:7">
      <c r="A89" s="51" t="s">
        <v>721</v>
      </c>
      <c r="B89" s="46" t="s">
        <v>9</v>
      </c>
      <c r="C89" s="48">
        <v>923.83600000000013</v>
      </c>
      <c r="D89" s="173">
        <f t="shared" si="1"/>
        <v>923.83</v>
      </c>
    </row>
    <row r="90" spans="1:7">
      <c r="A90" s="51" t="s">
        <v>1006</v>
      </c>
      <c r="B90" s="46" t="s">
        <v>9</v>
      </c>
      <c r="C90" s="48">
        <v>177.49</v>
      </c>
      <c r="D90" s="173">
        <f t="shared" si="1"/>
        <v>177.49</v>
      </c>
    </row>
    <row r="91" spans="1:7">
      <c r="A91" s="51" t="s">
        <v>1011</v>
      </c>
      <c r="B91" s="46" t="s">
        <v>35</v>
      </c>
      <c r="C91" s="48">
        <v>324.36</v>
      </c>
      <c r="D91" s="173">
        <f t="shared" si="1"/>
        <v>324.36</v>
      </c>
    </row>
    <row r="92" spans="1:7">
      <c r="A92" s="51" t="s">
        <v>1012</v>
      </c>
      <c r="B92" s="46" t="s">
        <v>9</v>
      </c>
      <c r="C92" s="48">
        <v>272.22000000000003</v>
      </c>
      <c r="D92" s="173">
        <f t="shared" si="1"/>
        <v>272.22000000000003</v>
      </c>
    </row>
    <row r="93" spans="1:7">
      <c r="A93" s="51" t="s">
        <v>1013</v>
      </c>
      <c r="B93" s="46"/>
      <c r="C93" s="48">
        <v>162</v>
      </c>
      <c r="D93" s="173">
        <f t="shared" si="1"/>
        <v>162</v>
      </c>
    </row>
    <row r="94" spans="1:7">
      <c r="A94" s="1367" t="s">
        <v>440</v>
      </c>
      <c r="B94" s="1368"/>
      <c r="C94" s="1369"/>
      <c r="D94" s="56"/>
    </row>
    <row r="95" spans="1:7">
      <c r="A95" s="51" t="s">
        <v>722</v>
      </c>
      <c r="B95" s="46" t="s">
        <v>9</v>
      </c>
      <c r="C95" s="48">
        <v>1810.0219999999993</v>
      </c>
      <c r="D95" s="173">
        <f t="shared" si="1"/>
        <v>1810.02</v>
      </c>
    </row>
    <row r="96" spans="1:7">
      <c r="A96" s="51" t="s">
        <v>723</v>
      </c>
      <c r="B96" s="46" t="s">
        <v>9</v>
      </c>
      <c r="C96" s="48">
        <v>141.56</v>
      </c>
      <c r="D96" s="173">
        <f t="shared" si="1"/>
        <v>141.56</v>
      </c>
    </row>
    <row r="97" spans="1:4">
      <c r="A97" s="51" t="s">
        <v>724</v>
      </c>
      <c r="B97" s="53" t="s">
        <v>10</v>
      </c>
      <c r="C97" s="48">
        <v>80.641800000000003</v>
      </c>
      <c r="D97" s="173">
        <f t="shared" si="1"/>
        <v>80.64</v>
      </c>
    </row>
    <row r="98" spans="1:4">
      <c r="A98" s="51" t="s">
        <v>1014</v>
      </c>
      <c r="B98" s="53" t="s">
        <v>35</v>
      </c>
      <c r="C98" s="48">
        <v>26.94</v>
      </c>
      <c r="D98" s="173">
        <f t="shared" si="1"/>
        <v>26.94</v>
      </c>
    </row>
    <row r="99" spans="1:4">
      <c r="A99" s="51" t="s">
        <v>726</v>
      </c>
      <c r="B99" s="46" t="s">
        <v>9</v>
      </c>
      <c r="C99" s="48">
        <f>48.61*0.08</f>
        <v>3.8888000000000003</v>
      </c>
      <c r="D99" s="173">
        <f t="shared" si="1"/>
        <v>3.88</v>
      </c>
    </row>
    <row r="100" spans="1:4">
      <c r="A100" s="51" t="s">
        <v>725</v>
      </c>
      <c r="B100" s="46" t="s">
        <v>35</v>
      </c>
      <c r="C100" s="48">
        <v>1387.5900000000001</v>
      </c>
      <c r="D100" s="173">
        <f t="shared" si="1"/>
        <v>1387.59</v>
      </c>
    </row>
    <row r="101" spans="1:4">
      <c r="A101" s="51" t="s">
        <v>1015</v>
      </c>
      <c r="B101" s="46" t="s">
        <v>10</v>
      </c>
      <c r="C101" s="48">
        <v>143.9</v>
      </c>
      <c r="D101" s="173">
        <f t="shared" si="1"/>
        <v>143.9</v>
      </c>
    </row>
    <row r="102" spans="1:4">
      <c r="A102" s="51" t="s">
        <v>1016</v>
      </c>
      <c r="B102" s="46" t="s">
        <v>9</v>
      </c>
      <c r="C102" s="48">
        <v>1566.17</v>
      </c>
      <c r="D102" s="173">
        <f t="shared" si="1"/>
        <v>1566.17</v>
      </c>
    </row>
    <row r="103" spans="1:4">
      <c r="A103" s="1367" t="s">
        <v>441</v>
      </c>
      <c r="B103" s="1368"/>
      <c r="C103" s="1369"/>
      <c r="D103" s="56"/>
    </row>
    <row r="104" spans="1:4">
      <c r="A104" s="179" t="s">
        <v>727</v>
      </c>
      <c r="B104" s="46" t="s">
        <v>9</v>
      </c>
      <c r="C104" s="48">
        <v>40.369999999999997</v>
      </c>
      <c r="D104" s="173">
        <f t="shared" si="1"/>
        <v>40.369999999999997</v>
      </c>
    </row>
    <row r="105" spans="1:4" ht="16.5" customHeight="1">
      <c r="A105" s="179" t="s">
        <v>728</v>
      </c>
      <c r="B105" s="46" t="s">
        <v>9</v>
      </c>
      <c r="C105" s="48">
        <v>35.119999999999997</v>
      </c>
      <c r="D105" s="173">
        <f t="shared" si="1"/>
        <v>35.119999999999997</v>
      </c>
    </row>
    <row r="106" spans="1:4" ht="17.25" customHeight="1">
      <c r="A106" s="179" t="s">
        <v>729</v>
      </c>
      <c r="B106" s="46" t="s">
        <v>9</v>
      </c>
      <c r="C106" s="48">
        <v>36.75</v>
      </c>
      <c r="D106" s="173">
        <f t="shared" si="1"/>
        <v>36.75</v>
      </c>
    </row>
    <row r="107" spans="1:4">
      <c r="A107" s="179" t="s">
        <v>730</v>
      </c>
      <c r="B107" s="46" t="s">
        <v>9</v>
      </c>
      <c r="C107" s="48">
        <v>6.18</v>
      </c>
      <c r="D107" s="173">
        <f t="shared" si="1"/>
        <v>6.18</v>
      </c>
    </row>
    <row r="108" spans="1:4">
      <c r="A108" s="51" t="s">
        <v>731</v>
      </c>
      <c r="B108" s="53" t="s">
        <v>5</v>
      </c>
      <c r="C108" s="48">
        <v>12</v>
      </c>
      <c r="D108" s="173">
        <f t="shared" si="1"/>
        <v>12</v>
      </c>
    </row>
    <row r="109" spans="1:4">
      <c r="A109" s="51" t="s">
        <v>732</v>
      </c>
      <c r="B109" s="53" t="s">
        <v>5</v>
      </c>
      <c r="C109" s="48">
        <v>18</v>
      </c>
      <c r="D109" s="173">
        <f t="shared" si="1"/>
        <v>18</v>
      </c>
    </row>
    <row r="110" spans="1:4">
      <c r="A110" s="51" t="s">
        <v>733</v>
      </c>
      <c r="B110" s="53" t="s">
        <v>5</v>
      </c>
      <c r="C110" s="48">
        <v>1</v>
      </c>
      <c r="D110" s="173">
        <f t="shared" si="1"/>
        <v>1</v>
      </c>
    </row>
    <row r="111" spans="1:4">
      <c r="A111" s="51" t="s">
        <v>336</v>
      </c>
      <c r="B111" s="53" t="s">
        <v>5</v>
      </c>
      <c r="C111" s="48">
        <v>2</v>
      </c>
      <c r="D111" s="173">
        <f t="shared" si="1"/>
        <v>2</v>
      </c>
    </row>
    <row r="112" spans="1:4">
      <c r="A112" s="51" t="s">
        <v>734</v>
      </c>
      <c r="B112" s="53" t="s">
        <v>5</v>
      </c>
      <c r="C112" s="48">
        <v>8</v>
      </c>
      <c r="D112" s="173">
        <f t="shared" si="1"/>
        <v>8</v>
      </c>
    </row>
    <row r="113" spans="1:4">
      <c r="A113" s="51" t="s">
        <v>735</v>
      </c>
      <c r="B113" s="53" t="s">
        <v>35</v>
      </c>
      <c r="C113" s="48">
        <v>7</v>
      </c>
      <c r="D113" s="173">
        <f t="shared" si="1"/>
        <v>7</v>
      </c>
    </row>
    <row r="114" spans="1:4">
      <c r="A114" s="51" t="s">
        <v>736</v>
      </c>
      <c r="B114" s="53" t="s">
        <v>5</v>
      </c>
      <c r="C114" s="48">
        <v>16</v>
      </c>
      <c r="D114" s="173">
        <f t="shared" si="1"/>
        <v>16</v>
      </c>
    </row>
    <row r="115" spans="1:4">
      <c r="A115" s="51" t="s">
        <v>737</v>
      </c>
      <c r="B115" s="53" t="s">
        <v>9</v>
      </c>
      <c r="C115" s="48">
        <v>95.018000000000001</v>
      </c>
      <c r="D115" s="173">
        <f t="shared" si="1"/>
        <v>95.01</v>
      </c>
    </row>
    <row r="116" spans="1:4">
      <c r="A116" s="51" t="s">
        <v>1017</v>
      </c>
      <c r="B116" s="53" t="s">
        <v>35</v>
      </c>
      <c r="C116" s="48">
        <v>69.61</v>
      </c>
      <c r="D116" s="173">
        <f t="shared" si="1"/>
        <v>69.61</v>
      </c>
    </row>
    <row r="117" spans="1:4" ht="30">
      <c r="A117" s="51" t="s">
        <v>738</v>
      </c>
      <c r="B117" s="53" t="s">
        <v>35</v>
      </c>
      <c r="C117" s="48">
        <v>102.14999999999999</v>
      </c>
      <c r="D117" s="173">
        <f t="shared" si="1"/>
        <v>102.15</v>
      </c>
    </row>
    <row r="118" spans="1:4">
      <c r="A118" s="1367" t="s">
        <v>337</v>
      </c>
      <c r="B118" s="1368"/>
      <c r="C118" s="1369"/>
      <c r="D118" s="56"/>
    </row>
    <row r="119" spans="1:4">
      <c r="A119" s="47" t="s">
        <v>739</v>
      </c>
      <c r="B119" s="46" t="s">
        <v>9</v>
      </c>
      <c r="C119" s="48">
        <v>3166.93</v>
      </c>
      <c r="D119" s="173">
        <f t="shared" si="1"/>
        <v>3166.93</v>
      </c>
    </row>
    <row r="120" spans="1:4">
      <c r="A120" s="47" t="s">
        <v>1018</v>
      </c>
      <c r="B120" s="53" t="s">
        <v>5</v>
      </c>
      <c r="C120" s="48">
        <v>5</v>
      </c>
      <c r="D120" s="173">
        <f t="shared" si="1"/>
        <v>5</v>
      </c>
    </row>
    <row r="121" spans="1:4">
      <c r="A121" s="45" t="s">
        <v>1019</v>
      </c>
      <c r="B121" s="53" t="s">
        <v>5</v>
      </c>
      <c r="C121" s="48">
        <v>6</v>
      </c>
      <c r="D121" s="173">
        <f t="shared" si="1"/>
        <v>6</v>
      </c>
    </row>
    <row r="122" spans="1:4">
      <c r="A122" s="45" t="s">
        <v>1020</v>
      </c>
      <c r="B122" s="53" t="s">
        <v>5</v>
      </c>
      <c r="C122" s="48">
        <v>5</v>
      </c>
      <c r="D122" s="173">
        <f t="shared" si="1"/>
        <v>5</v>
      </c>
    </row>
    <row r="123" spans="1:4">
      <c r="A123" s="45" t="s">
        <v>1021</v>
      </c>
      <c r="B123" s="53" t="s">
        <v>5</v>
      </c>
      <c r="C123" s="48">
        <v>21</v>
      </c>
      <c r="D123" s="173">
        <f t="shared" si="1"/>
        <v>21</v>
      </c>
    </row>
    <row r="124" spans="1:4">
      <c r="A124" s="1367" t="s">
        <v>33</v>
      </c>
      <c r="B124" s="1368"/>
      <c r="C124" s="1369"/>
      <c r="D124" s="56"/>
    </row>
    <row r="125" spans="1:4">
      <c r="A125" s="54" t="s">
        <v>1022</v>
      </c>
      <c r="B125" s="46" t="s">
        <v>9</v>
      </c>
      <c r="C125" s="48">
        <v>9.7049999999999983</v>
      </c>
      <c r="D125" s="173">
        <f t="shared" si="1"/>
        <v>9.6999999999999993</v>
      </c>
    </row>
    <row r="126" spans="1:4">
      <c r="A126" s="45" t="s">
        <v>740</v>
      </c>
      <c r="B126" s="53" t="s">
        <v>5</v>
      </c>
      <c r="C126" s="48">
        <v>1</v>
      </c>
      <c r="D126" s="173">
        <f t="shared" si="1"/>
        <v>1</v>
      </c>
    </row>
    <row r="127" spans="1:4">
      <c r="A127" s="45" t="s">
        <v>741</v>
      </c>
      <c r="B127" s="53" t="s">
        <v>5</v>
      </c>
      <c r="C127" s="48">
        <v>2</v>
      </c>
      <c r="D127" s="173">
        <f t="shared" si="1"/>
        <v>2</v>
      </c>
    </row>
    <row r="128" spans="1:4">
      <c r="A128" s="45" t="s">
        <v>742</v>
      </c>
      <c r="B128" s="53" t="s">
        <v>5</v>
      </c>
      <c r="C128" s="48">
        <v>12</v>
      </c>
      <c r="D128" s="173">
        <f t="shared" si="1"/>
        <v>12</v>
      </c>
    </row>
    <row r="129" spans="1:4">
      <c r="A129" s="45" t="s">
        <v>1023</v>
      </c>
      <c r="B129" s="53" t="s">
        <v>5</v>
      </c>
      <c r="C129" s="48">
        <v>6.4349999999999996</v>
      </c>
      <c r="D129" s="173">
        <f t="shared" si="1"/>
        <v>6.43</v>
      </c>
    </row>
    <row r="130" spans="1:4">
      <c r="A130" s="47" t="s">
        <v>743</v>
      </c>
      <c r="B130" s="53" t="s">
        <v>5</v>
      </c>
      <c r="C130" s="48">
        <v>1</v>
      </c>
      <c r="D130" s="173">
        <f t="shared" si="1"/>
        <v>1</v>
      </c>
    </row>
    <row r="131" spans="1:4">
      <c r="A131" s="47" t="s">
        <v>744</v>
      </c>
      <c r="B131" s="53" t="s">
        <v>5</v>
      </c>
      <c r="C131" s="48">
        <v>1</v>
      </c>
      <c r="D131" s="173">
        <f t="shared" si="1"/>
        <v>1</v>
      </c>
    </row>
    <row r="132" spans="1:4">
      <c r="A132" s="45" t="s">
        <v>745</v>
      </c>
      <c r="B132" s="53" t="s">
        <v>5</v>
      </c>
      <c r="C132" s="48">
        <v>34</v>
      </c>
      <c r="D132" s="173">
        <f t="shared" si="1"/>
        <v>34</v>
      </c>
    </row>
    <row r="133" spans="1:4">
      <c r="A133" s="45" t="s">
        <v>746</v>
      </c>
      <c r="B133" s="53" t="s">
        <v>5</v>
      </c>
      <c r="C133" s="48">
        <v>1</v>
      </c>
      <c r="D133" s="173">
        <f t="shared" si="1"/>
        <v>1</v>
      </c>
    </row>
    <row r="134" spans="1:4">
      <c r="A134" s="45" t="s">
        <v>747</v>
      </c>
      <c r="B134" s="53" t="s">
        <v>5</v>
      </c>
      <c r="C134" s="48">
        <v>40</v>
      </c>
      <c r="D134" s="173">
        <f t="shared" si="1"/>
        <v>40</v>
      </c>
    </row>
    <row r="135" spans="1:4">
      <c r="A135" s="45" t="s">
        <v>748</v>
      </c>
      <c r="B135" s="53" t="s">
        <v>5</v>
      </c>
      <c r="C135" s="48">
        <v>2</v>
      </c>
      <c r="D135" s="173">
        <f t="shared" si="1"/>
        <v>2</v>
      </c>
    </row>
    <row r="136" spans="1:4">
      <c r="A136" s="45" t="s">
        <v>1024</v>
      </c>
      <c r="B136" s="46" t="s">
        <v>9</v>
      </c>
      <c r="C136" s="48">
        <v>149.67999999999998</v>
      </c>
      <c r="D136" s="173">
        <f t="shared" si="1"/>
        <v>149.68</v>
      </c>
    </row>
    <row r="137" spans="1:4">
      <c r="A137" s="45" t="s">
        <v>1025</v>
      </c>
      <c r="B137" s="46" t="s">
        <v>9</v>
      </c>
      <c r="C137" s="48">
        <v>1.74</v>
      </c>
      <c r="D137" s="173">
        <f t="shared" ref="D137:D150" si="2">TRUNC(C137,2)</f>
        <v>1.74</v>
      </c>
    </row>
    <row r="138" spans="1:4">
      <c r="A138" s="175" t="s">
        <v>1026</v>
      </c>
      <c r="B138" s="53" t="s">
        <v>5</v>
      </c>
      <c r="C138" s="48">
        <v>1</v>
      </c>
      <c r="D138" s="173">
        <f t="shared" si="2"/>
        <v>1</v>
      </c>
    </row>
    <row r="139" spans="1:4">
      <c r="A139" s="45" t="s">
        <v>1130</v>
      </c>
      <c r="B139" s="53" t="s">
        <v>199</v>
      </c>
      <c r="C139" s="48">
        <v>1</v>
      </c>
      <c r="D139" s="173">
        <f>TRUNC(C139,2)</f>
        <v>1</v>
      </c>
    </row>
    <row r="140" spans="1:4">
      <c r="A140" s="45" t="s">
        <v>1129</v>
      </c>
      <c r="B140" s="53" t="s">
        <v>5</v>
      </c>
      <c r="C140" s="48">
        <v>2</v>
      </c>
      <c r="D140" s="173">
        <f t="shared" si="2"/>
        <v>2</v>
      </c>
    </row>
    <row r="141" spans="1:4">
      <c r="A141" s="45" t="s">
        <v>1027</v>
      </c>
      <c r="B141" s="53" t="s">
        <v>199</v>
      </c>
      <c r="C141" s="48">
        <v>1</v>
      </c>
      <c r="D141" s="173">
        <f t="shared" si="2"/>
        <v>1</v>
      </c>
    </row>
    <row r="142" spans="1:4">
      <c r="A142" s="45" t="s">
        <v>1028</v>
      </c>
      <c r="B142" s="53" t="s">
        <v>199</v>
      </c>
      <c r="C142" s="48">
        <v>1</v>
      </c>
      <c r="D142" s="173">
        <f t="shared" si="2"/>
        <v>1</v>
      </c>
    </row>
    <row r="143" spans="1:4">
      <c r="A143" s="45" t="s">
        <v>1029</v>
      </c>
      <c r="B143" s="53" t="s">
        <v>9</v>
      </c>
      <c r="C143" s="48">
        <v>45.82</v>
      </c>
      <c r="D143" s="173">
        <f t="shared" si="2"/>
        <v>45.82</v>
      </c>
    </row>
    <row r="144" spans="1:4">
      <c r="A144" s="45" t="s">
        <v>1030</v>
      </c>
      <c r="B144" s="53" t="s">
        <v>5</v>
      </c>
      <c r="C144" s="48">
        <v>4</v>
      </c>
      <c r="D144" s="173">
        <f t="shared" si="2"/>
        <v>4</v>
      </c>
    </row>
    <row r="145" spans="1:4">
      <c r="A145" s="45" t="s">
        <v>749</v>
      </c>
      <c r="B145" s="53" t="s">
        <v>5</v>
      </c>
      <c r="C145" s="48">
        <v>1</v>
      </c>
      <c r="D145" s="173">
        <f t="shared" si="2"/>
        <v>1</v>
      </c>
    </row>
    <row r="146" spans="1:4">
      <c r="A146" s="1367" t="s">
        <v>442</v>
      </c>
      <c r="B146" s="1368"/>
      <c r="C146" s="1369"/>
      <c r="D146" s="56"/>
    </row>
    <row r="147" spans="1:4">
      <c r="A147" s="45" t="s">
        <v>443</v>
      </c>
      <c r="B147" s="46" t="s">
        <v>9</v>
      </c>
      <c r="C147" s="48">
        <v>3081.02</v>
      </c>
      <c r="D147" s="173">
        <f t="shared" si="2"/>
        <v>3081.02</v>
      </c>
    </row>
    <row r="148" spans="1:4">
      <c r="A148" s="45" t="s">
        <v>444</v>
      </c>
      <c r="B148" s="46" t="s">
        <v>9</v>
      </c>
      <c r="C148" s="48">
        <v>1495.5830000000003</v>
      </c>
      <c r="D148" s="173">
        <f t="shared" si="2"/>
        <v>1495.58</v>
      </c>
    </row>
    <row r="149" spans="1:4">
      <c r="A149" s="45" t="s">
        <v>445</v>
      </c>
      <c r="B149" s="46" t="s">
        <v>9</v>
      </c>
      <c r="C149" s="48">
        <v>151.41999999999999</v>
      </c>
      <c r="D149" s="173">
        <f t="shared" si="2"/>
        <v>151.41999999999999</v>
      </c>
    </row>
    <row r="150" spans="1:4">
      <c r="A150" s="45" t="s">
        <v>750</v>
      </c>
      <c r="B150" s="46" t="s">
        <v>9</v>
      </c>
      <c r="C150" s="48">
        <v>963.72</v>
      </c>
      <c r="D150" s="173">
        <f t="shared" si="2"/>
        <v>963.72</v>
      </c>
    </row>
    <row r="155" spans="1:4">
      <c r="A155" s="180"/>
    </row>
  </sheetData>
  <mergeCells count="18">
    <mergeCell ref="A146:C146"/>
    <mergeCell ref="A25:C25"/>
    <mergeCell ref="A35:C35"/>
    <mergeCell ref="A54:C54"/>
    <mergeCell ref="A61:C61"/>
    <mergeCell ref="A63:C63"/>
    <mergeCell ref="A74:C74"/>
    <mergeCell ref="A77:C77"/>
    <mergeCell ref="A94:C94"/>
    <mergeCell ref="A103:C103"/>
    <mergeCell ref="A118:C118"/>
    <mergeCell ref="A124:C124"/>
    <mergeCell ref="A19:C19"/>
    <mergeCell ref="A1:C1"/>
    <mergeCell ref="A2:C2"/>
    <mergeCell ref="A8:C8"/>
    <mergeCell ref="A11:C11"/>
    <mergeCell ref="A17:C17"/>
  </mergeCells>
  <pageMargins left="0.78740157480314965" right="0.27559055118110237" top="0.59055118110236227" bottom="0.86614173228346458" header="0.31496062992125984" footer="0.31496062992125984"/>
  <pageSetup paperSize="9" scale="90" orientation="portrait" r:id="rId1"/>
  <headerFooter>
    <oddFooter>&amp;RPágina &amp;P / &amp;N</oddFooter>
  </headerFooter>
  <drawing r:id="rId2"/>
</worksheet>
</file>

<file path=xl/worksheets/sheet14.xml><?xml version="1.0" encoding="utf-8"?>
<worksheet xmlns="http://schemas.openxmlformats.org/spreadsheetml/2006/main" xmlns:r="http://schemas.openxmlformats.org/officeDocument/2006/relationships">
  <dimension ref="A1:D183"/>
  <sheetViews>
    <sheetView topLeftCell="A160" workbookViewId="0">
      <selection sqref="A1:C1"/>
    </sheetView>
  </sheetViews>
  <sheetFormatPr defaultRowHeight="15"/>
  <cols>
    <col min="1" max="1" width="86.140625" customWidth="1"/>
    <col min="3" max="3" width="9.140625" style="107"/>
  </cols>
  <sheetData>
    <row r="1" spans="1:4" ht="15.75">
      <c r="A1" s="196" t="s">
        <v>505</v>
      </c>
      <c r="B1" s="197"/>
      <c r="C1" s="198"/>
    </row>
    <row r="2" spans="1:4" ht="15.75">
      <c r="A2" s="199" t="s">
        <v>1076</v>
      </c>
      <c r="B2" s="200"/>
      <c r="C2" s="201"/>
    </row>
    <row r="3" spans="1:4" ht="15.75">
      <c r="A3" s="199" t="s">
        <v>1077</v>
      </c>
      <c r="B3" s="200"/>
      <c r="C3" s="201"/>
    </row>
    <row r="4" spans="1:4" ht="15.75" thickBot="1">
      <c r="A4" s="202"/>
      <c r="B4" s="203"/>
      <c r="C4" s="204"/>
    </row>
    <row r="5" spans="1:4" s="106" customFormat="1" ht="15.75">
      <c r="A5" s="1379" t="s">
        <v>506</v>
      </c>
      <c r="B5" s="1380"/>
      <c r="C5" s="1381"/>
    </row>
    <row r="6" spans="1:4" s="106" customFormat="1" ht="15.75">
      <c r="A6" s="1382" t="s">
        <v>338</v>
      </c>
      <c r="B6" s="1383"/>
      <c r="C6" s="1384"/>
    </row>
    <row r="7" spans="1:4" s="106" customFormat="1" ht="25.5">
      <c r="A7" s="205" t="s">
        <v>339</v>
      </c>
      <c r="B7" s="206" t="s">
        <v>28</v>
      </c>
      <c r="C7" s="207">
        <v>12</v>
      </c>
      <c r="D7" s="208">
        <f>TRUNC(C7,2)</f>
        <v>12</v>
      </c>
    </row>
    <row r="8" spans="1:4" s="106" customFormat="1" ht="25.5">
      <c r="A8" s="205" t="s">
        <v>340</v>
      </c>
      <c r="B8" s="206" t="s">
        <v>35</v>
      </c>
      <c r="C8" s="207">
        <v>130</v>
      </c>
      <c r="D8" s="208">
        <f t="shared" ref="D8:D71" si="0">TRUNC(C8,2)</f>
        <v>130</v>
      </c>
    </row>
    <row r="9" spans="1:4" s="106" customFormat="1" ht="25.5">
      <c r="A9" s="205" t="s">
        <v>341</v>
      </c>
      <c r="B9" s="206" t="s">
        <v>28</v>
      </c>
      <c r="C9" s="207">
        <v>2</v>
      </c>
      <c r="D9" s="208">
        <f t="shared" si="0"/>
        <v>2</v>
      </c>
    </row>
    <row r="10" spans="1:4" s="106" customFormat="1" ht="14.25">
      <c r="A10" s="1385" t="s">
        <v>162</v>
      </c>
      <c r="B10" s="1386"/>
      <c r="C10" s="1387"/>
      <c r="D10" s="209"/>
    </row>
    <row r="11" spans="1:4" s="106" customFormat="1" ht="25.5">
      <c r="A11" s="205" t="s">
        <v>342</v>
      </c>
      <c r="B11" s="206" t="s">
        <v>28</v>
      </c>
      <c r="C11" s="207">
        <v>27</v>
      </c>
      <c r="D11" s="208">
        <f t="shared" si="0"/>
        <v>27</v>
      </c>
    </row>
    <row r="12" spans="1:4" s="106" customFormat="1" ht="25.5">
      <c r="A12" s="205" t="s">
        <v>343</v>
      </c>
      <c r="B12" s="206" t="s">
        <v>28</v>
      </c>
      <c r="C12" s="207">
        <v>4</v>
      </c>
      <c r="D12" s="208">
        <f t="shared" si="0"/>
        <v>4</v>
      </c>
    </row>
    <row r="13" spans="1:4" s="106" customFormat="1" ht="25.5">
      <c r="A13" s="205" t="s">
        <v>1078</v>
      </c>
      <c r="B13" s="206" t="s">
        <v>28</v>
      </c>
      <c r="C13" s="207">
        <v>5</v>
      </c>
      <c r="D13" s="208">
        <f t="shared" si="0"/>
        <v>5</v>
      </c>
    </row>
    <row r="14" spans="1:4" s="106" customFormat="1" ht="25.5">
      <c r="A14" s="205" t="s">
        <v>344</v>
      </c>
      <c r="B14" s="206" t="s">
        <v>28</v>
      </c>
      <c r="C14" s="207">
        <v>4</v>
      </c>
      <c r="D14" s="208">
        <f t="shared" si="0"/>
        <v>4</v>
      </c>
    </row>
    <row r="15" spans="1:4" s="106" customFormat="1" ht="25.5">
      <c r="A15" s="205" t="s">
        <v>212</v>
      </c>
      <c r="B15" s="206" t="s">
        <v>28</v>
      </c>
      <c r="C15" s="207">
        <v>26</v>
      </c>
      <c r="D15" s="208">
        <f t="shared" si="0"/>
        <v>26</v>
      </c>
    </row>
    <row r="16" spans="1:4" s="106" customFormat="1" ht="25.5">
      <c r="A16" s="205" t="s">
        <v>213</v>
      </c>
      <c r="B16" s="206" t="s">
        <v>28</v>
      </c>
      <c r="C16" s="207">
        <v>100</v>
      </c>
      <c r="D16" s="208">
        <f t="shared" si="0"/>
        <v>100</v>
      </c>
    </row>
    <row r="17" spans="1:4" s="106" customFormat="1" ht="25.5">
      <c r="A17" s="205" t="s">
        <v>214</v>
      </c>
      <c r="B17" s="206" t="s">
        <v>28</v>
      </c>
      <c r="C17" s="207">
        <v>2</v>
      </c>
      <c r="D17" s="208">
        <f t="shared" si="0"/>
        <v>2</v>
      </c>
    </row>
    <row r="18" spans="1:4" s="106" customFormat="1" ht="25.5">
      <c r="A18" s="205" t="s">
        <v>345</v>
      </c>
      <c r="B18" s="206" t="s">
        <v>28</v>
      </c>
      <c r="C18" s="207">
        <v>4</v>
      </c>
      <c r="D18" s="208">
        <f t="shared" si="0"/>
        <v>4</v>
      </c>
    </row>
    <row r="19" spans="1:4" s="106" customFormat="1" ht="12.75">
      <c r="A19" s="205" t="s">
        <v>115</v>
      </c>
      <c r="B19" s="206" t="s">
        <v>28</v>
      </c>
      <c r="C19" s="207">
        <v>14</v>
      </c>
      <c r="D19" s="208">
        <f t="shared" si="0"/>
        <v>14</v>
      </c>
    </row>
    <row r="20" spans="1:4" s="106" customFormat="1" ht="12.75">
      <c r="A20" s="205" t="s">
        <v>346</v>
      </c>
      <c r="B20" s="206" t="s">
        <v>28</v>
      </c>
      <c r="C20" s="207">
        <v>4</v>
      </c>
      <c r="D20" s="208">
        <f t="shared" si="0"/>
        <v>4</v>
      </c>
    </row>
    <row r="21" spans="1:4" s="106" customFormat="1" ht="12.75">
      <c r="A21" s="205" t="s">
        <v>167</v>
      </c>
      <c r="B21" s="206" t="s">
        <v>28</v>
      </c>
      <c r="C21" s="207">
        <v>29</v>
      </c>
      <c r="D21" s="208">
        <f t="shared" si="0"/>
        <v>29</v>
      </c>
    </row>
    <row r="22" spans="1:4" s="106" customFormat="1" ht="12.75">
      <c r="A22" s="205" t="s">
        <v>347</v>
      </c>
      <c r="B22" s="206" t="s">
        <v>28</v>
      </c>
      <c r="C22" s="207">
        <v>2</v>
      </c>
      <c r="D22" s="208">
        <f t="shared" si="0"/>
        <v>2</v>
      </c>
    </row>
    <row r="23" spans="1:4" s="106" customFormat="1" ht="25.5">
      <c r="A23" s="205" t="s">
        <v>348</v>
      </c>
      <c r="B23" s="206" t="s">
        <v>28</v>
      </c>
      <c r="C23" s="207">
        <v>20</v>
      </c>
      <c r="D23" s="208">
        <f t="shared" si="0"/>
        <v>20</v>
      </c>
    </row>
    <row r="24" spans="1:4" s="106" customFormat="1" ht="12.75">
      <c r="A24" s="205" t="s">
        <v>349</v>
      </c>
      <c r="B24" s="206" t="s">
        <v>28</v>
      </c>
      <c r="C24" s="207">
        <v>14</v>
      </c>
      <c r="D24" s="208">
        <f t="shared" si="0"/>
        <v>14</v>
      </c>
    </row>
    <row r="25" spans="1:4" s="106" customFormat="1" ht="25.5">
      <c r="A25" s="205" t="s">
        <v>507</v>
      </c>
      <c r="B25" s="206" t="s">
        <v>28</v>
      </c>
      <c r="C25" s="207">
        <v>4</v>
      </c>
      <c r="D25" s="208">
        <f t="shared" si="0"/>
        <v>4</v>
      </c>
    </row>
    <row r="26" spans="1:4" s="106" customFormat="1" ht="25.5">
      <c r="A26" s="205" t="s">
        <v>508</v>
      </c>
      <c r="B26" s="206" t="s">
        <v>28</v>
      </c>
      <c r="C26" s="207">
        <v>27</v>
      </c>
      <c r="D26" s="208">
        <f t="shared" si="0"/>
        <v>27</v>
      </c>
    </row>
    <row r="27" spans="1:4" s="106" customFormat="1" ht="25.5">
      <c r="A27" s="205" t="s">
        <v>509</v>
      </c>
      <c r="B27" s="206" t="s">
        <v>28</v>
      </c>
      <c r="C27" s="207">
        <v>30</v>
      </c>
      <c r="D27" s="208">
        <f t="shared" si="0"/>
        <v>30</v>
      </c>
    </row>
    <row r="28" spans="1:4" s="106" customFormat="1" ht="25.5">
      <c r="A28" s="205" t="s">
        <v>510</v>
      </c>
      <c r="B28" s="206" t="s">
        <v>28</v>
      </c>
      <c r="C28" s="207">
        <v>10</v>
      </c>
      <c r="D28" s="208">
        <f t="shared" si="0"/>
        <v>10</v>
      </c>
    </row>
    <row r="29" spans="1:4" s="106" customFormat="1" ht="25.5">
      <c r="A29" s="205" t="s">
        <v>511</v>
      </c>
      <c r="B29" s="206" t="s">
        <v>28</v>
      </c>
      <c r="C29" s="207">
        <v>10</v>
      </c>
      <c r="D29" s="208">
        <f t="shared" si="0"/>
        <v>10</v>
      </c>
    </row>
    <row r="30" spans="1:4" s="106" customFormat="1" ht="25.5">
      <c r="A30" s="205" t="s">
        <v>354</v>
      </c>
      <c r="B30" s="206" t="s">
        <v>35</v>
      </c>
      <c r="C30" s="207">
        <v>5</v>
      </c>
      <c r="D30" s="208">
        <f t="shared" si="0"/>
        <v>5</v>
      </c>
    </row>
    <row r="31" spans="1:4" s="106" customFormat="1" ht="25.5">
      <c r="A31" s="205" t="s">
        <v>152</v>
      </c>
      <c r="B31" s="206" t="s">
        <v>35</v>
      </c>
      <c r="C31" s="207">
        <v>117</v>
      </c>
      <c r="D31" s="208">
        <f t="shared" si="0"/>
        <v>117</v>
      </c>
    </row>
    <row r="32" spans="1:4" s="106" customFormat="1" ht="25.5">
      <c r="A32" s="205" t="s">
        <v>512</v>
      </c>
      <c r="B32" s="206" t="s">
        <v>35</v>
      </c>
      <c r="C32" s="207">
        <v>135</v>
      </c>
      <c r="D32" s="208">
        <f t="shared" si="0"/>
        <v>135</v>
      </c>
    </row>
    <row r="33" spans="1:4" s="106" customFormat="1" ht="25.5">
      <c r="A33" s="205" t="s">
        <v>513</v>
      </c>
      <c r="B33" s="206" t="s">
        <v>35</v>
      </c>
      <c r="C33" s="207">
        <v>50</v>
      </c>
      <c r="D33" s="208">
        <f t="shared" si="0"/>
        <v>50</v>
      </c>
    </row>
    <row r="34" spans="1:4" s="106" customFormat="1" ht="25.5">
      <c r="A34" s="205" t="s">
        <v>355</v>
      </c>
      <c r="B34" s="206" t="s">
        <v>35</v>
      </c>
      <c r="C34" s="207">
        <v>100</v>
      </c>
      <c r="D34" s="208">
        <f t="shared" si="0"/>
        <v>100</v>
      </c>
    </row>
    <row r="35" spans="1:4" s="106" customFormat="1" ht="25.5">
      <c r="A35" s="205" t="s">
        <v>216</v>
      </c>
      <c r="B35" s="206" t="s">
        <v>28</v>
      </c>
      <c r="C35" s="207">
        <v>8</v>
      </c>
      <c r="D35" s="208">
        <f t="shared" si="0"/>
        <v>8</v>
      </c>
    </row>
    <row r="36" spans="1:4" s="106" customFormat="1" ht="25.5">
      <c r="A36" s="205" t="s">
        <v>514</v>
      </c>
      <c r="B36" s="206" t="s">
        <v>28</v>
      </c>
      <c r="C36" s="207">
        <v>21</v>
      </c>
      <c r="D36" s="208">
        <f t="shared" si="0"/>
        <v>21</v>
      </c>
    </row>
    <row r="37" spans="1:4" s="106" customFormat="1" ht="25.5">
      <c r="A37" s="205" t="s">
        <v>515</v>
      </c>
      <c r="B37" s="206" t="s">
        <v>28</v>
      </c>
      <c r="C37" s="207">
        <v>3</v>
      </c>
      <c r="D37" s="208">
        <f t="shared" si="0"/>
        <v>3</v>
      </c>
    </row>
    <row r="38" spans="1:4" s="106" customFormat="1" ht="25.5">
      <c r="A38" s="205" t="s">
        <v>516</v>
      </c>
      <c r="B38" s="206" t="s">
        <v>28</v>
      </c>
      <c r="C38" s="207">
        <v>11</v>
      </c>
      <c r="D38" s="208">
        <f t="shared" si="0"/>
        <v>11</v>
      </c>
    </row>
    <row r="39" spans="1:4" s="106" customFormat="1" ht="12.75">
      <c r="A39" s="205" t="s">
        <v>357</v>
      </c>
      <c r="B39" s="206" t="s">
        <v>28</v>
      </c>
      <c r="C39" s="207">
        <v>2</v>
      </c>
      <c r="D39" s="208">
        <f t="shared" si="0"/>
        <v>2</v>
      </c>
    </row>
    <row r="40" spans="1:4" s="106" customFormat="1" ht="25.5">
      <c r="A40" s="205" t="s">
        <v>157</v>
      </c>
      <c r="B40" s="206" t="s">
        <v>28</v>
      </c>
      <c r="C40" s="207">
        <v>1</v>
      </c>
      <c r="D40" s="208">
        <f t="shared" si="0"/>
        <v>1</v>
      </c>
    </row>
    <row r="41" spans="1:4" s="106" customFormat="1" ht="25.5">
      <c r="A41" s="205" t="s">
        <v>358</v>
      </c>
      <c r="B41" s="206" t="s">
        <v>28</v>
      </c>
      <c r="C41" s="207">
        <v>13</v>
      </c>
      <c r="D41" s="208">
        <f t="shared" si="0"/>
        <v>13</v>
      </c>
    </row>
    <row r="42" spans="1:4" s="106" customFormat="1" ht="12.75">
      <c r="A42" s="205" t="s">
        <v>359</v>
      </c>
      <c r="B42" s="206" t="s">
        <v>28</v>
      </c>
      <c r="C42" s="207">
        <v>3</v>
      </c>
      <c r="D42" s="208">
        <f t="shared" si="0"/>
        <v>3</v>
      </c>
    </row>
    <row r="43" spans="1:4" s="106" customFormat="1" ht="38.25">
      <c r="A43" s="205" t="s">
        <v>107</v>
      </c>
      <c r="B43" s="206" t="s">
        <v>28</v>
      </c>
      <c r="C43" s="207">
        <v>1</v>
      </c>
      <c r="D43" s="208">
        <f t="shared" si="0"/>
        <v>1</v>
      </c>
    </row>
    <row r="44" spans="1:4" s="106" customFormat="1" ht="38.25">
      <c r="A44" s="205" t="s">
        <v>360</v>
      </c>
      <c r="B44" s="206" t="s">
        <v>28</v>
      </c>
      <c r="C44" s="207">
        <v>2</v>
      </c>
      <c r="D44" s="208">
        <f t="shared" si="0"/>
        <v>2</v>
      </c>
    </row>
    <row r="45" spans="1:4" s="106" customFormat="1" ht="25.5">
      <c r="A45" s="205" t="s">
        <v>517</v>
      </c>
      <c r="B45" s="206" t="s">
        <v>28</v>
      </c>
      <c r="C45" s="207">
        <v>8</v>
      </c>
      <c r="D45" s="208">
        <f t="shared" si="0"/>
        <v>8</v>
      </c>
    </row>
    <row r="46" spans="1:4" s="106" customFormat="1" ht="25.5">
      <c r="A46" s="210" t="s">
        <v>518</v>
      </c>
      <c r="B46" s="206" t="s">
        <v>28</v>
      </c>
      <c r="C46" s="207">
        <v>12</v>
      </c>
      <c r="D46" s="208">
        <f t="shared" si="0"/>
        <v>12</v>
      </c>
    </row>
    <row r="47" spans="1:4" s="106" customFormat="1" ht="38.25">
      <c r="A47" s="205" t="s">
        <v>362</v>
      </c>
      <c r="B47" s="206" t="s">
        <v>28</v>
      </c>
      <c r="C47" s="207">
        <v>37</v>
      </c>
      <c r="D47" s="208">
        <f t="shared" si="0"/>
        <v>37</v>
      </c>
    </row>
    <row r="48" spans="1:4" s="106" customFormat="1" ht="25.5">
      <c r="A48" s="205" t="s">
        <v>519</v>
      </c>
      <c r="B48" s="206" t="s">
        <v>28</v>
      </c>
      <c r="C48" s="207">
        <v>6</v>
      </c>
      <c r="D48" s="208">
        <f t="shared" si="0"/>
        <v>6</v>
      </c>
    </row>
    <row r="49" spans="1:4" s="106" customFormat="1" ht="38.25">
      <c r="A49" s="205" t="s">
        <v>364</v>
      </c>
      <c r="B49" s="206" t="s">
        <v>28</v>
      </c>
      <c r="C49" s="207">
        <v>9</v>
      </c>
      <c r="D49" s="208">
        <f t="shared" si="0"/>
        <v>9</v>
      </c>
    </row>
    <row r="50" spans="1:4" s="106" customFormat="1" ht="25.5">
      <c r="A50" s="205" t="s">
        <v>365</v>
      </c>
      <c r="B50" s="206" t="s">
        <v>28</v>
      </c>
      <c r="C50" s="207">
        <v>4</v>
      </c>
      <c r="D50" s="208">
        <f t="shared" si="0"/>
        <v>4</v>
      </c>
    </row>
    <row r="51" spans="1:4" s="106" customFormat="1" ht="25.5">
      <c r="A51" s="205" t="s">
        <v>217</v>
      </c>
      <c r="B51" s="206" t="s">
        <v>28</v>
      </c>
      <c r="C51" s="207">
        <v>18</v>
      </c>
      <c r="D51" s="208">
        <f t="shared" si="0"/>
        <v>18</v>
      </c>
    </row>
    <row r="52" spans="1:4" s="106" customFormat="1" ht="25.5">
      <c r="A52" s="205" t="s">
        <v>366</v>
      </c>
      <c r="B52" s="206" t="s">
        <v>28</v>
      </c>
      <c r="C52" s="211">
        <v>1</v>
      </c>
      <c r="D52" s="208">
        <f t="shared" si="0"/>
        <v>1</v>
      </c>
    </row>
    <row r="53" spans="1:4" s="106" customFormat="1" ht="14.25">
      <c r="A53" s="1385" t="s">
        <v>520</v>
      </c>
      <c r="B53" s="1386"/>
      <c r="C53" s="1387"/>
      <c r="D53" s="212"/>
    </row>
    <row r="54" spans="1:4" s="106" customFormat="1" ht="12.75">
      <c r="A54" s="210" t="s">
        <v>521</v>
      </c>
      <c r="B54" s="213" t="s">
        <v>28</v>
      </c>
      <c r="C54" s="213">
        <v>4</v>
      </c>
      <c r="D54" s="208">
        <f t="shared" si="0"/>
        <v>4</v>
      </c>
    </row>
    <row r="55" spans="1:4" s="106" customFormat="1" ht="38.25">
      <c r="A55" s="210" t="s">
        <v>522</v>
      </c>
      <c r="B55" s="213" t="s">
        <v>28</v>
      </c>
      <c r="C55" s="213">
        <v>4</v>
      </c>
      <c r="D55" s="208">
        <f t="shared" si="0"/>
        <v>4</v>
      </c>
    </row>
    <row r="56" spans="1:4" s="106" customFormat="1" ht="38.25">
      <c r="A56" s="210" t="s">
        <v>523</v>
      </c>
      <c r="B56" s="213" t="s">
        <v>28</v>
      </c>
      <c r="C56" s="213">
        <v>8</v>
      </c>
      <c r="D56" s="208">
        <f t="shared" si="0"/>
        <v>8</v>
      </c>
    </row>
    <row r="57" spans="1:4" s="106" customFormat="1" ht="38.25">
      <c r="A57" s="210" t="s">
        <v>524</v>
      </c>
      <c r="B57" s="213" t="s">
        <v>28</v>
      </c>
      <c r="C57" s="213">
        <v>8</v>
      </c>
      <c r="D57" s="208">
        <f t="shared" si="0"/>
        <v>8</v>
      </c>
    </row>
    <row r="58" spans="1:4" s="106" customFormat="1" ht="38.25">
      <c r="A58" s="214" t="s">
        <v>525</v>
      </c>
      <c r="B58" s="213" t="s">
        <v>28</v>
      </c>
      <c r="C58" s="215">
        <v>12</v>
      </c>
      <c r="D58" s="208">
        <f t="shared" si="0"/>
        <v>12</v>
      </c>
    </row>
    <row r="59" spans="1:4" s="106" customFormat="1" ht="38.25">
      <c r="A59" s="210" t="s">
        <v>526</v>
      </c>
      <c r="B59" s="213" t="s">
        <v>28</v>
      </c>
      <c r="C59" s="213">
        <v>16</v>
      </c>
      <c r="D59" s="208">
        <f t="shared" si="0"/>
        <v>16</v>
      </c>
    </row>
    <row r="60" spans="1:4" s="106" customFormat="1" ht="25.5">
      <c r="A60" s="210" t="s">
        <v>345</v>
      </c>
      <c r="B60" s="213" t="s">
        <v>28</v>
      </c>
      <c r="C60" s="213">
        <v>24</v>
      </c>
      <c r="D60" s="208">
        <f t="shared" si="0"/>
        <v>24</v>
      </c>
    </row>
    <row r="61" spans="1:4" s="106" customFormat="1" ht="25.5">
      <c r="A61" s="210" t="s">
        <v>372</v>
      </c>
      <c r="B61" s="213" t="s">
        <v>28</v>
      </c>
      <c r="C61" s="213">
        <v>12</v>
      </c>
      <c r="D61" s="208">
        <f t="shared" si="0"/>
        <v>12</v>
      </c>
    </row>
    <row r="62" spans="1:4" s="106" customFormat="1" ht="25.5">
      <c r="A62" s="210" t="s">
        <v>215</v>
      </c>
      <c r="B62" s="213" t="s">
        <v>28</v>
      </c>
      <c r="C62" s="213">
        <v>8</v>
      </c>
      <c r="D62" s="208">
        <f t="shared" si="0"/>
        <v>8</v>
      </c>
    </row>
    <row r="63" spans="1:4" s="106" customFormat="1" ht="25.5">
      <c r="A63" s="210" t="s">
        <v>353</v>
      </c>
      <c r="B63" s="213" t="s">
        <v>28</v>
      </c>
      <c r="C63" s="213">
        <v>8</v>
      </c>
      <c r="D63" s="208">
        <f t="shared" si="0"/>
        <v>8</v>
      </c>
    </row>
    <row r="64" spans="1:4" s="106" customFormat="1" ht="25.5">
      <c r="A64" s="210" t="s">
        <v>373</v>
      </c>
      <c r="B64" s="213" t="s">
        <v>28</v>
      </c>
      <c r="C64" s="213">
        <v>12</v>
      </c>
      <c r="D64" s="208">
        <f t="shared" si="0"/>
        <v>12</v>
      </c>
    </row>
    <row r="65" spans="1:4" s="106" customFormat="1" ht="25.5">
      <c r="A65" s="210" t="s">
        <v>374</v>
      </c>
      <c r="B65" s="213" t="s">
        <v>28</v>
      </c>
      <c r="C65" s="213">
        <v>4</v>
      </c>
      <c r="D65" s="208">
        <f t="shared" si="0"/>
        <v>4</v>
      </c>
    </row>
    <row r="66" spans="1:4" s="106" customFormat="1" ht="25.5">
      <c r="A66" s="210" t="s">
        <v>375</v>
      </c>
      <c r="B66" s="213" t="s">
        <v>28</v>
      </c>
      <c r="C66" s="213">
        <v>8</v>
      </c>
      <c r="D66" s="208">
        <f t="shared" si="0"/>
        <v>8</v>
      </c>
    </row>
    <row r="67" spans="1:4" s="106" customFormat="1" ht="25.5">
      <c r="A67" s="210" t="s">
        <v>376</v>
      </c>
      <c r="B67" s="213" t="s">
        <v>28</v>
      </c>
      <c r="C67" s="213">
        <v>8</v>
      </c>
      <c r="D67" s="208">
        <f t="shared" si="0"/>
        <v>8</v>
      </c>
    </row>
    <row r="68" spans="1:4" s="106" customFormat="1" ht="25.5">
      <c r="A68" s="210" t="s">
        <v>377</v>
      </c>
      <c r="B68" s="213" t="s">
        <v>28</v>
      </c>
      <c r="C68" s="213">
        <v>2</v>
      </c>
      <c r="D68" s="208">
        <f t="shared" si="0"/>
        <v>2</v>
      </c>
    </row>
    <row r="69" spans="1:4" s="106" customFormat="1" ht="25.5">
      <c r="A69" s="210" t="s">
        <v>155</v>
      </c>
      <c r="B69" s="213" t="s">
        <v>28</v>
      </c>
      <c r="C69" s="213">
        <v>6</v>
      </c>
      <c r="D69" s="208">
        <f t="shared" si="0"/>
        <v>6</v>
      </c>
    </row>
    <row r="70" spans="1:4" s="106" customFormat="1" ht="25.5">
      <c r="A70" s="210" t="s">
        <v>356</v>
      </c>
      <c r="B70" s="213" t="s">
        <v>28</v>
      </c>
      <c r="C70" s="213">
        <v>4</v>
      </c>
      <c r="D70" s="208">
        <f t="shared" si="0"/>
        <v>4</v>
      </c>
    </row>
    <row r="71" spans="1:4" s="106" customFormat="1" ht="25.5">
      <c r="A71" s="210" t="s">
        <v>378</v>
      </c>
      <c r="B71" s="213" t="s">
        <v>35</v>
      </c>
      <c r="C71" s="213">
        <v>18.3</v>
      </c>
      <c r="D71" s="208">
        <f t="shared" si="0"/>
        <v>18.3</v>
      </c>
    </row>
    <row r="72" spans="1:4" s="106" customFormat="1" ht="25.5">
      <c r="A72" s="210" t="s">
        <v>355</v>
      </c>
      <c r="B72" s="213" t="s">
        <v>35</v>
      </c>
      <c r="C72" s="213">
        <v>19.8</v>
      </c>
      <c r="D72" s="208">
        <f t="shared" ref="D72:D135" si="1">TRUNC(C72,2)</f>
        <v>19.8</v>
      </c>
    </row>
    <row r="73" spans="1:4" s="106" customFormat="1" ht="25.5">
      <c r="A73" s="210" t="s">
        <v>153</v>
      </c>
      <c r="B73" s="213" t="s">
        <v>35</v>
      </c>
      <c r="C73" s="213">
        <v>18</v>
      </c>
      <c r="D73" s="208">
        <f t="shared" si="1"/>
        <v>18</v>
      </c>
    </row>
    <row r="74" spans="1:4" s="106" customFormat="1" ht="38.25">
      <c r="A74" s="210" t="s">
        <v>360</v>
      </c>
      <c r="B74" s="213" t="s">
        <v>28</v>
      </c>
      <c r="C74" s="213">
        <v>8</v>
      </c>
      <c r="D74" s="208">
        <f t="shared" si="1"/>
        <v>8</v>
      </c>
    </row>
    <row r="75" spans="1:4" s="106" customFormat="1" ht="38.25">
      <c r="A75" s="210" t="s">
        <v>379</v>
      </c>
      <c r="B75" s="213" t="s">
        <v>28</v>
      </c>
      <c r="C75" s="213">
        <v>4</v>
      </c>
      <c r="D75" s="208">
        <f t="shared" si="1"/>
        <v>4</v>
      </c>
    </row>
    <row r="76" spans="1:4" s="106" customFormat="1" ht="25.5">
      <c r="A76" s="210" t="s">
        <v>527</v>
      </c>
      <c r="B76" s="213" t="s">
        <v>28</v>
      </c>
      <c r="C76" s="213">
        <v>4</v>
      </c>
      <c r="D76" s="208">
        <f t="shared" si="1"/>
        <v>4</v>
      </c>
    </row>
    <row r="77" spans="1:4" s="106" customFormat="1" ht="25.5">
      <c r="A77" s="210" t="s">
        <v>528</v>
      </c>
      <c r="B77" s="213" t="s">
        <v>28</v>
      </c>
      <c r="C77" s="213">
        <v>4</v>
      </c>
      <c r="D77" s="208">
        <f t="shared" si="1"/>
        <v>4</v>
      </c>
    </row>
    <row r="78" spans="1:4" s="106" customFormat="1" ht="14.25">
      <c r="A78" s="1385" t="s">
        <v>50</v>
      </c>
      <c r="B78" s="1386"/>
      <c r="C78" s="1387"/>
      <c r="D78" s="212"/>
    </row>
    <row r="79" spans="1:4" s="106" customFormat="1" ht="25.5">
      <c r="A79" s="210" t="s">
        <v>529</v>
      </c>
      <c r="B79" s="213" t="s">
        <v>28</v>
      </c>
      <c r="C79" s="213">
        <v>1</v>
      </c>
      <c r="D79" s="208">
        <f t="shared" si="1"/>
        <v>1</v>
      </c>
    </row>
    <row r="80" spans="1:4" s="106" customFormat="1" ht="25.5">
      <c r="A80" s="210" t="s">
        <v>340</v>
      </c>
      <c r="B80" s="213" t="s">
        <v>35</v>
      </c>
      <c r="C80" s="213">
        <v>2.5</v>
      </c>
      <c r="D80" s="208">
        <f t="shared" si="1"/>
        <v>2.5</v>
      </c>
    </row>
    <row r="81" spans="1:4" s="106" customFormat="1" ht="25.5">
      <c r="A81" s="210" t="s">
        <v>380</v>
      </c>
      <c r="B81" s="213" t="s">
        <v>35</v>
      </c>
      <c r="C81" s="213">
        <v>2</v>
      </c>
      <c r="D81" s="208">
        <f t="shared" si="1"/>
        <v>2</v>
      </c>
    </row>
    <row r="82" spans="1:4" s="106" customFormat="1" ht="25.5">
      <c r="A82" s="210" t="s">
        <v>381</v>
      </c>
      <c r="B82" s="213" t="s">
        <v>28</v>
      </c>
      <c r="C82" s="213">
        <v>2</v>
      </c>
      <c r="D82" s="208">
        <f t="shared" si="1"/>
        <v>2</v>
      </c>
    </row>
    <row r="83" spans="1:4" s="106" customFormat="1" ht="25.5">
      <c r="A83" s="210" t="s">
        <v>374</v>
      </c>
      <c r="B83" s="213" t="s">
        <v>28</v>
      </c>
      <c r="C83" s="213">
        <v>2</v>
      </c>
      <c r="D83" s="208">
        <f t="shared" si="1"/>
        <v>2</v>
      </c>
    </row>
    <row r="84" spans="1:4" s="106" customFormat="1" ht="25.5">
      <c r="A84" s="210" t="s">
        <v>341</v>
      </c>
      <c r="B84" s="213" t="s">
        <v>28</v>
      </c>
      <c r="C84" s="213">
        <v>1</v>
      </c>
      <c r="D84" s="208">
        <f t="shared" si="1"/>
        <v>1</v>
      </c>
    </row>
    <row r="85" spans="1:4" s="106" customFormat="1" ht="25.5">
      <c r="A85" s="210" t="s">
        <v>382</v>
      </c>
      <c r="B85" s="213" t="s">
        <v>28</v>
      </c>
      <c r="C85" s="213">
        <v>1</v>
      </c>
      <c r="D85" s="208">
        <f t="shared" si="1"/>
        <v>1</v>
      </c>
    </row>
    <row r="86" spans="1:4" s="106" customFormat="1" ht="12.75">
      <c r="A86" s="210" t="s">
        <v>530</v>
      </c>
      <c r="B86" s="213" t="s">
        <v>28</v>
      </c>
      <c r="C86" s="213">
        <v>2</v>
      </c>
      <c r="D86" s="208">
        <f t="shared" si="1"/>
        <v>2</v>
      </c>
    </row>
    <row r="87" spans="1:4" s="106" customFormat="1" ht="12.75">
      <c r="A87" s="210" t="s">
        <v>531</v>
      </c>
      <c r="B87" s="213" t="s">
        <v>28</v>
      </c>
      <c r="C87" s="213">
        <v>1</v>
      </c>
      <c r="D87" s="208">
        <f t="shared" si="1"/>
        <v>1</v>
      </c>
    </row>
    <row r="88" spans="1:4" s="106" customFormat="1" ht="25.5">
      <c r="A88" s="210" t="s">
        <v>372</v>
      </c>
      <c r="B88" s="213" t="s">
        <v>28</v>
      </c>
      <c r="C88" s="213">
        <v>4</v>
      </c>
      <c r="D88" s="208">
        <f t="shared" si="1"/>
        <v>4</v>
      </c>
    </row>
    <row r="89" spans="1:4" s="106" customFormat="1" ht="25.5">
      <c r="A89" s="210" t="s">
        <v>383</v>
      </c>
      <c r="B89" s="213" t="s">
        <v>28</v>
      </c>
      <c r="C89" s="213">
        <v>3</v>
      </c>
      <c r="D89" s="208">
        <f t="shared" si="1"/>
        <v>3</v>
      </c>
    </row>
    <row r="90" spans="1:4" s="106" customFormat="1" ht="38.25">
      <c r="A90" s="210" t="s">
        <v>379</v>
      </c>
      <c r="B90" s="213" t="s">
        <v>28</v>
      </c>
      <c r="C90" s="213">
        <v>2</v>
      </c>
      <c r="D90" s="208">
        <f t="shared" si="1"/>
        <v>2</v>
      </c>
    </row>
    <row r="91" spans="1:4" s="106" customFormat="1" ht="38.25">
      <c r="A91" s="210" t="s">
        <v>384</v>
      </c>
      <c r="B91" s="213" t="s">
        <v>28</v>
      </c>
      <c r="C91" s="213">
        <v>2</v>
      </c>
      <c r="D91" s="208">
        <f t="shared" si="1"/>
        <v>2</v>
      </c>
    </row>
    <row r="92" spans="1:4" s="106" customFormat="1" ht="12.75">
      <c r="A92" s="210" t="s">
        <v>532</v>
      </c>
      <c r="B92" s="213" t="s">
        <v>28</v>
      </c>
      <c r="C92" s="213">
        <v>1</v>
      </c>
      <c r="D92" s="208">
        <f t="shared" si="1"/>
        <v>1</v>
      </c>
    </row>
    <row r="93" spans="1:4" s="106" customFormat="1" ht="12.75">
      <c r="A93" s="210" t="s">
        <v>385</v>
      </c>
      <c r="B93" s="213" t="s">
        <v>28</v>
      </c>
      <c r="C93" s="213">
        <v>2</v>
      </c>
      <c r="D93" s="208">
        <f t="shared" si="1"/>
        <v>2</v>
      </c>
    </row>
    <row r="94" spans="1:4" s="106" customFormat="1" ht="12.75">
      <c r="A94" s="210" t="s">
        <v>533</v>
      </c>
      <c r="B94" s="213" t="s">
        <v>28</v>
      </c>
      <c r="C94" s="213">
        <v>2</v>
      </c>
      <c r="D94" s="208">
        <f t="shared" si="1"/>
        <v>2</v>
      </c>
    </row>
    <row r="95" spans="1:4" s="106" customFormat="1" ht="12.75">
      <c r="A95" s="1376" t="s">
        <v>534</v>
      </c>
      <c r="B95" s="1377"/>
      <c r="C95" s="1378"/>
      <c r="D95" s="212"/>
    </row>
    <row r="96" spans="1:4" s="106" customFormat="1" ht="25.5">
      <c r="A96" s="205" t="s">
        <v>220</v>
      </c>
      <c r="B96" s="206" t="s">
        <v>28</v>
      </c>
      <c r="C96" s="207">
        <v>20</v>
      </c>
      <c r="D96" s="208">
        <f t="shared" si="1"/>
        <v>20</v>
      </c>
    </row>
    <row r="97" spans="1:4" s="106" customFormat="1" ht="12.75">
      <c r="A97" s="205" t="s">
        <v>535</v>
      </c>
      <c r="B97" s="206" t="s">
        <v>28</v>
      </c>
      <c r="C97" s="207">
        <v>20</v>
      </c>
      <c r="D97" s="208">
        <f t="shared" si="1"/>
        <v>20</v>
      </c>
    </row>
    <row r="98" spans="1:4" s="106" customFormat="1" ht="25.5">
      <c r="A98" s="205" t="s">
        <v>150</v>
      </c>
      <c r="B98" s="206" t="s">
        <v>28</v>
      </c>
      <c r="C98" s="207">
        <v>20</v>
      </c>
      <c r="D98" s="208">
        <f t="shared" si="1"/>
        <v>20</v>
      </c>
    </row>
    <row r="99" spans="1:4" s="106" customFormat="1" ht="25.5">
      <c r="A99" s="205" t="s">
        <v>218</v>
      </c>
      <c r="B99" s="206" t="s">
        <v>28</v>
      </c>
      <c r="C99" s="207">
        <v>20</v>
      </c>
      <c r="D99" s="208">
        <f t="shared" si="1"/>
        <v>20</v>
      </c>
    </row>
    <row r="100" spans="1:4" s="106" customFormat="1" ht="25.5">
      <c r="A100" s="205" t="s">
        <v>219</v>
      </c>
      <c r="B100" s="206" t="s">
        <v>28</v>
      </c>
      <c r="C100" s="207">
        <v>20</v>
      </c>
      <c r="D100" s="208">
        <f t="shared" si="1"/>
        <v>20</v>
      </c>
    </row>
    <row r="101" spans="1:4" s="106" customFormat="1" ht="12.75">
      <c r="A101" s="205" t="s">
        <v>159</v>
      </c>
      <c r="B101" s="206" t="s">
        <v>28</v>
      </c>
      <c r="C101" s="207">
        <v>20</v>
      </c>
      <c r="D101" s="208">
        <f t="shared" si="1"/>
        <v>20</v>
      </c>
    </row>
    <row r="102" spans="1:4" s="106" customFormat="1" ht="12.75">
      <c r="A102" s="205" t="s">
        <v>116</v>
      </c>
      <c r="B102" s="206" t="s">
        <v>28</v>
      </c>
      <c r="C102" s="207">
        <v>14</v>
      </c>
      <c r="D102" s="208">
        <f t="shared" si="1"/>
        <v>14</v>
      </c>
    </row>
    <row r="103" spans="1:4" s="106" customFormat="1" ht="25.5">
      <c r="A103" s="205" t="s">
        <v>74</v>
      </c>
      <c r="B103" s="206" t="s">
        <v>28</v>
      </c>
      <c r="C103" s="207">
        <v>14</v>
      </c>
      <c r="D103" s="208">
        <f t="shared" si="1"/>
        <v>14</v>
      </c>
    </row>
    <row r="104" spans="1:4" s="106" customFormat="1" ht="12.75">
      <c r="A104" s="205" t="s">
        <v>77</v>
      </c>
      <c r="B104" s="206" t="s">
        <v>28</v>
      </c>
      <c r="C104" s="207">
        <v>6</v>
      </c>
      <c r="D104" s="208">
        <f t="shared" si="1"/>
        <v>6</v>
      </c>
    </row>
    <row r="105" spans="1:4" s="106" customFormat="1" ht="38.25">
      <c r="A105" s="205" t="s">
        <v>76</v>
      </c>
      <c r="B105" s="206" t="s">
        <v>28</v>
      </c>
      <c r="C105" s="207">
        <v>2</v>
      </c>
      <c r="D105" s="208">
        <f t="shared" si="1"/>
        <v>2</v>
      </c>
    </row>
    <row r="106" spans="1:4" s="106" customFormat="1" ht="25.5">
      <c r="A106" s="205" t="s">
        <v>386</v>
      </c>
      <c r="B106" s="206" t="s">
        <v>28</v>
      </c>
      <c r="C106" s="207">
        <v>4</v>
      </c>
      <c r="D106" s="208">
        <f t="shared" si="1"/>
        <v>4</v>
      </c>
    </row>
    <row r="107" spans="1:4" s="106" customFormat="1" ht="63.75">
      <c r="A107" s="205" t="s">
        <v>75</v>
      </c>
      <c r="B107" s="206" t="s">
        <v>28</v>
      </c>
      <c r="C107" s="207">
        <v>2</v>
      </c>
      <c r="D107" s="208">
        <f t="shared" si="1"/>
        <v>2</v>
      </c>
    </row>
    <row r="108" spans="1:4" s="106" customFormat="1" ht="63.75">
      <c r="A108" s="205" t="s">
        <v>387</v>
      </c>
      <c r="B108" s="206" t="s">
        <v>28</v>
      </c>
      <c r="C108" s="207">
        <v>1</v>
      </c>
      <c r="D108" s="208">
        <f t="shared" si="1"/>
        <v>1</v>
      </c>
    </row>
    <row r="109" spans="1:4" s="106" customFormat="1" ht="12.75">
      <c r="A109" s="205" t="s">
        <v>536</v>
      </c>
      <c r="B109" s="206" t="s">
        <v>28</v>
      </c>
      <c r="C109" s="207">
        <v>10</v>
      </c>
      <c r="D109" s="208">
        <f t="shared" si="1"/>
        <v>10</v>
      </c>
    </row>
    <row r="110" spans="1:4" s="106" customFormat="1" ht="25.5">
      <c r="A110" s="205" t="s">
        <v>537</v>
      </c>
      <c r="B110" s="206" t="s">
        <v>28</v>
      </c>
      <c r="C110" s="207">
        <v>2</v>
      </c>
      <c r="D110" s="208">
        <f t="shared" si="1"/>
        <v>2</v>
      </c>
    </row>
    <row r="111" spans="1:4" s="106" customFormat="1" ht="12.75">
      <c r="A111" s="216" t="s">
        <v>538</v>
      </c>
      <c r="B111" s="217"/>
      <c r="C111" s="218"/>
      <c r="D111" s="212"/>
    </row>
    <row r="112" spans="1:4" s="106" customFormat="1" ht="38.25">
      <c r="A112" s="205" t="s">
        <v>388</v>
      </c>
      <c r="B112" s="206" t="s">
        <v>28</v>
      </c>
      <c r="C112" s="207">
        <v>6</v>
      </c>
      <c r="D112" s="208">
        <f t="shared" si="1"/>
        <v>6</v>
      </c>
    </row>
    <row r="113" spans="1:4" s="106" customFormat="1" ht="38.25">
      <c r="A113" s="205" t="s">
        <v>224</v>
      </c>
      <c r="B113" s="206" t="s">
        <v>28</v>
      </c>
      <c r="C113" s="207">
        <v>6</v>
      </c>
      <c r="D113" s="208">
        <f t="shared" si="1"/>
        <v>6</v>
      </c>
    </row>
    <row r="114" spans="1:4" s="106" customFormat="1" ht="12.75">
      <c r="A114" s="205" t="s">
        <v>539</v>
      </c>
      <c r="B114" s="206" t="s">
        <v>28</v>
      </c>
      <c r="C114" s="207">
        <v>6</v>
      </c>
      <c r="D114" s="208">
        <f t="shared" si="1"/>
        <v>6</v>
      </c>
    </row>
    <row r="115" spans="1:4" s="106" customFormat="1" ht="25.5">
      <c r="A115" s="205" t="s">
        <v>225</v>
      </c>
      <c r="B115" s="206" t="s">
        <v>28</v>
      </c>
      <c r="C115" s="207">
        <v>6</v>
      </c>
      <c r="D115" s="208">
        <f t="shared" si="1"/>
        <v>6</v>
      </c>
    </row>
    <row r="116" spans="1:4" s="106" customFormat="1" ht="12.75">
      <c r="A116" s="205" t="s">
        <v>389</v>
      </c>
      <c r="B116" s="206" t="s">
        <v>28</v>
      </c>
      <c r="C116" s="207">
        <v>6</v>
      </c>
      <c r="D116" s="208">
        <f t="shared" si="1"/>
        <v>6</v>
      </c>
    </row>
    <row r="117" spans="1:4" s="106" customFormat="1" ht="12.75">
      <c r="A117" s="205" t="s">
        <v>77</v>
      </c>
      <c r="B117" s="206" t="s">
        <v>28</v>
      </c>
      <c r="C117" s="207">
        <v>2</v>
      </c>
      <c r="D117" s="208">
        <f t="shared" si="1"/>
        <v>2</v>
      </c>
    </row>
    <row r="118" spans="1:4" s="106" customFormat="1" ht="25.5">
      <c r="A118" s="205" t="s">
        <v>390</v>
      </c>
      <c r="B118" s="206" t="s">
        <v>28</v>
      </c>
      <c r="C118" s="207">
        <v>2</v>
      </c>
      <c r="D118" s="208">
        <f t="shared" si="1"/>
        <v>2</v>
      </c>
    </row>
    <row r="119" spans="1:4" s="106" customFormat="1" ht="12.75">
      <c r="A119" s="1376" t="s">
        <v>391</v>
      </c>
      <c r="B119" s="1377"/>
      <c r="C119" s="1378"/>
      <c r="D119" s="212"/>
    </row>
    <row r="120" spans="1:4" s="106" customFormat="1" ht="25.5">
      <c r="A120" s="205" t="s">
        <v>121</v>
      </c>
      <c r="B120" s="206" t="s">
        <v>28</v>
      </c>
      <c r="C120" s="207">
        <v>1</v>
      </c>
      <c r="D120" s="208">
        <f t="shared" si="1"/>
        <v>1</v>
      </c>
    </row>
    <row r="121" spans="1:4" s="106" customFormat="1" ht="38.25">
      <c r="A121" s="205" t="s">
        <v>122</v>
      </c>
      <c r="B121" s="206" t="s">
        <v>28</v>
      </c>
      <c r="C121" s="207">
        <v>15</v>
      </c>
      <c r="D121" s="208">
        <f t="shared" si="1"/>
        <v>15</v>
      </c>
    </row>
    <row r="122" spans="1:4" s="106" customFormat="1" ht="12.75">
      <c r="A122" s="205" t="s">
        <v>78</v>
      </c>
      <c r="B122" s="206" t="s">
        <v>28</v>
      </c>
      <c r="C122" s="207">
        <v>26</v>
      </c>
      <c r="D122" s="208">
        <f t="shared" si="1"/>
        <v>26</v>
      </c>
    </row>
    <row r="123" spans="1:4" s="106" customFormat="1" ht="12.75">
      <c r="A123" s="205" t="s">
        <v>540</v>
      </c>
      <c r="B123" s="206" t="s">
        <v>28</v>
      </c>
      <c r="C123" s="207">
        <v>1</v>
      </c>
      <c r="D123" s="208">
        <f t="shared" si="1"/>
        <v>1</v>
      </c>
    </row>
    <row r="124" spans="1:4" s="106" customFormat="1" ht="25.5">
      <c r="A124" s="205" t="s">
        <v>541</v>
      </c>
      <c r="B124" s="206" t="s">
        <v>28</v>
      </c>
      <c r="C124" s="207">
        <v>1</v>
      </c>
      <c r="D124" s="208">
        <f t="shared" si="1"/>
        <v>1</v>
      </c>
    </row>
    <row r="125" spans="1:4" s="106" customFormat="1" ht="25.5">
      <c r="A125" s="205" t="s">
        <v>542</v>
      </c>
      <c r="B125" s="206" t="s">
        <v>28</v>
      </c>
      <c r="C125" s="207">
        <v>20</v>
      </c>
      <c r="D125" s="208">
        <f t="shared" si="1"/>
        <v>20</v>
      </c>
    </row>
    <row r="126" spans="1:4" s="106" customFormat="1" ht="25.5">
      <c r="A126" s="205" t="s">
        <v>543</v>
      </c>
      <c r="B126" s="206" t="s">
        <v>28</v>
      </c>
      <c r="C126" s="207">
        <v>24</v>
      </c>
      <c r="D126" s="208">
        <f t="shared" si="1"/>
        <v>24</v>
      </c>
    </row>
    <row r="127" spans="1:4" s="106" customFormat="1" ht="25.5">
      <c r="A127" s="205" t="s">
        <v>125</v>
      </c>
      <c r="B127" s="206" t="s">
        <v>28</v>
      </c>
      <c r="C127" s="207">
        <v>3</v>
      </c>
      <c r="D127" s="208">
        <f t="shared" si="1"/>
        <v>3</v>
      </c>
    </row>
    <row r="128" spans="1:4" s="106" customFormat="1" ht="25.5">
      <c r="A128" s="205" t="s">
        <v>124</v>
      </c>
      <c r="B128" s="206" t="s">
        <v>28</v>
      </c>
      <c r="C128" s="207">
        <v>6</v>
      </c>
      <c r="D128" s="208">
        <f t="shared" si="1"/>
        <v>6</v>
      </c>
    </row>
    <row r="129" spans="1:4" s="106" customFormat="1" ht="25.5">
      <c r="A129" s="205" t="s">
        <v>392</v>
      </c>
      <c r="B129" s="206" t="s">
        <v>28</v>
      </c>
      <c r="C129" s="207">
        <v>2</v>
      </c>
      <c r="D129" s="208">
        <f t="shared" si="1"/>
        <v>2</v>
      </c>
    </row>
    <row r="130" spans="1:4" s="106" customFormat="1" ht="25.5">
      <c r="A130" s="205" t="s">
        <v>123</v>
      </c>
      <c r="B130" s="206" t="s">
        <v>28</v>
      </c>
      <c r="C130" s="207">
        <v>28</v>
      </c>
      <c r="D130" s="208">
        <f t="shared" si="1"/>
        <v>28</v>
      </c>
    </row>
    <row r="131" spans="1:4" s="106" customFormat="1" ht="25.5">
      <c r="A131" s="205" t="s">
        <v>544</v>
      </c>
      <c r="B131" s="206" t="s">
        <v>28</v>
      </c>
      <c r="C131" s="207">
        <v>1</v>
      </c>
      <c r="D131" s="208">
        <f t="shared" si="1"/>
        <v>1</v>
      </c>
    </row>
    <row r="132" spans="1:4" s="106" customFormat="1" ht="25.5">
      <c r="A132" s="205" t="s">
        <v>131</v>
      </c>
      <c r="B132" s="206" t="s">
        <v>28</v>
      </c>
      <c r="C132" s="207">
        <v>30</v>
      </c>
      <c r="D132" s="208">
        <f t="shared" si="1"/>
        <v>30</v>
      </c>
    </row>
    <row r="133" spans="1:4" s="106" customFormat="1" ht="25.5">
      <c r="A133" s="205" t="s">
        <v>545</v>
      </c>
      <c r="B133" s="206" t="s">
        <v>28</v>
      </c>
      <c r="C133" s="207">
        <v>5</v>
      </c>
      <c r="D133" s="208">
        <f t="shared" si="1"/>
        <v>5</v>
      </c>
    </row>
    <row r="134" spans="1:4" s="106" customFormat="1" ht="25.5">
      <c r="A134" s="205" t="s">
        <v>395</v>
      </c>
      <c r="B134" s="206" t="s">
        <v>28</v>
      </c>
      <c r="C134" s="207">
        <v>38</v>
      </c>
      <c r="D134" s="208">
        <f t="shared" si="1"/>
        <v>38</v>
      </c>
    </row>
    <row r="135" spans="1:4" s="106" customFormat="1" ht="25.5">
      <c r="A135" s="205" t="s">
        <v>126</v>
      </c>
      <c r="B135" s="206" t="s">
        <v>28</v>
      </c>
      <c r="C135" s="207">
        <v>28</v>
      </c>
      <c r="D135" s="208">
        <f t="shared" si="1"/>
        <v>28</v>
      </c>
    </row>
    <row r="136" spans="1:4" s="106" customFormat="1" ht="12.75">
      <c r="A136" s="205" t="s">
        <v>79</v>
      </c>
      <c r="B136" s="206" t="s">
        <v>28</v>
      </c>
      <c r="C136" s="207">
        <v>16</v>
      </c>
      <c r="D136" s="208">
        <f t="shared" ref="D136:D183" si="2">TRUNC(C136,2)</f>
        <v>16</v>
      </c>
    </row>
    <row r="137" spans="1:4" s="106" customFormat="1" ht="25.5">
      <c r="A137" s="205" t="s">
        <v>396</v>
      </c>
      <c r="B137" s="206" t="s">
        <v>28</v>
      </c>
      <c r="C137" s="207">
        <v>5</v>
      </c>
      <c r="D137" s="208">
        <f t="shared" si="2"/>
        <v>5</v>
      </c>
    </row>
    <row r="138" spans="1:4" s="106" customFormat="1" ht="25.5">
      <c r="A138" s="205" t="s">
        <v>222</v>
      </c>
      <c r="B138" s="206" t="s">
        <v>28</v>
      </c>
      <c r="C138" s="207">
        <v>24</v>
      </c>
      <c r="D138" s="208">
        <f t="shared" si="2"/>
        <v>24</v>
      </c>
    </row>
    <row r="139" spans="1:4" s="106" customFormat="1" ht="25.5">
      <c r="A139" s="205" t="s">
        <v>223</v>
      </c>
      <c r="B139" s="206" t="s">
        <v>28</v>
      </c>
      <c r="C139" s="207">
        <v>4</v>
      </c>
      <c r="D139" s="208">
        <f t="shared" si="2"/>
        <v>4</v>
      </c>
    </row>
    <row r="140" spans="1:4" s="106" customFormat="1" ht="12.75">
      <c r="A140" s="205" t="s">
        <v>546</v>
      </c>
      <c r="B140" s="206" t="s">
        <v>28</v>
      </c>
      <c r="C140" s="207">
        <v>3</v>
      </c>
      <c r="D140" s="208">
        <f t="shared" si="2"/>
        <v>3</v>
      </c>
    </row>
    <row r="141" spans="1:4" s="106" customFormat="1" ht="12.75">
      <c r="A141" s="205" t="s">
        <v>547</v>
      </c>
      <c r="B141" s="206" t="s">
        <v>28</v>
      </c>
      <c r="C141" s="207">
        <v>1</v>
      </c>
      <c r="D141" s="208">
        <f t="shared" si="2"/>
        <v>1</v>
      </c>
    </row>
    <row r="142" spans="1:4" s="106" customFormat="1" ht="12.75">
      <c r="A142" s="205" t="s">
        <v>548</v>
      </c>
      <c r="B142" s="206" t="s">
        <v>28</v>
      </c>
      <c r="C142" s="207">
        <v>3</v>
      </c>
      <c r="D142" s="208">
        <f t="shared" si="2"/>
        <v>3</v>
      </c>
    </row>
    <row r="143" spans="1:4" s="106" customFormat="1" ht="12.75">
      <c r="A143" s="205" t="s">
        <v>549</v>
      </c>
      <c r="B143" s="206" t="s">
        <v>28</v>
      </c>
      <c r="C143" s="207">
        <v>1</v>
      </c>
      <c r="D143" s="208">
        <f t="shared" si="2"/>
        <v>1</v>
      </c>
    </row>
    <row r="144" spans="1:4" s="106" customFormat="1" ht="25.5">
      <c r="A144" s="205" t="s">
        <v>550</v>
      </c>
      <c r="B144" s="206" t="s">
        <v>28</v>
      </c>
      <c r="C144" s="207">
        <v>6</v>
      </c>
      <c r="D144" s="208">
        <f t="shared" si="2"/>
        <v>6</v>
      </c>
    </row>
    <row r="145" spans="1:4" s="106" customFormat="1" ht="25.5">
      <c r="A145" s="205" t="s">
        <v>129</v>
      </c>
      <c r="B145" s="206" t="s">
        <v>35</v>
      </c>
      <c r="C145" s="207">
        <v>185</v>
      </c>
      <c r="D145" s="208">
        <f t="shared" si="2"/>
        <v>185</v>
      </c>
    </row>
    <row r="146" spans="1:4" s="106" customFormat="1" ht="25.5">
      <c r="A146" s="205" t="s">
        <v>128</v>
      </c>
      <c r="B146" s="206" t="s">
        <v>35</v>
      </c>
      <c r="C146" s="207">
        <v>73</v>
      </c>
      <c r="D146" s="208">
        <f t="shared" si="2"/>
        <v>73</v>
      </c>
    </row>
    <row r="147" spans="1:4" s="106" customFormat="1" ht="25.5">
      <c r="A147" s="205" t="s">
        <v>130</v>
      </c>
      <c r="B147" s="206" t="s">
        <v>35</v>
      </c>
      <c r="C147" s="207">
        <v>23</v>
      </c>
      <c r="D147" s="208">
        <f t="shared" si="2"/>
        <v>23</v>
      </c>
    </row>
    <row r="148" spans="1:4" s="106" customFormat="1" ht="25.5">
      <c r="A148" s="205" t="s">
        <v>398</v>
      </c>
      <c r="B148" s="206" t="s">
        <v>35</v>
      </c>
      <c r="C148" s="207">
        <v>88</v>
      </c>
      <c r="D148" s="208">
        <f t="shared" si="2"/>
        <v>88</v>
      </c>
    </row>
    <row r="149" spans="1:4" s="106" customFormat="1" ht="25.5">
      <c r="A149" s="205" t="s">
        <v>127</v>
      </c>
      <c r="B149" s="206" t="s">
        <v>35</v>
      </c>
      <c r="C149" s="207">
        <v>31</v>
      </c>
      <c r="D149" s="208">
        <f t="shared" si="2"/>
        <v>31</v>
      </c>
    </row>
    <row r="150" spans="1:4" s="106" customFormat="1" ht="12.75">
      <c r="A150" s="216" t="s">
        <v>45</v>
      </c>
      <c r="B150" s="217"/>
      <c r="C150" s="218"/>
      <c r="D150" s="212"/>
    </row>
    <row r="151" spans="1:4" s="106" customFormat="1" ht="25.5">
      <c r="A151" s="205" t="s">
        <v>223</v>
      </c>
      <c r="B151" s="206" t="s">
        <v>28</v>
      </c>
      <c r="C151" s="207">
        <v>2</v>
      </c>
      <c r="D151" s="208">
        <f t="shared" si="2"/>
        <v>2</v>
      </c>
    </row>
    <row r="152" spans="1:4" s="106" customFormat="1" ht="25.5">
      <c r="A152" s="205" t="s">
        <v>131</v>
      </c>
      <c r="B152" s="206" t="s">
        <v>28</v>
      </c>
      <c r="C152" s="207">
        <v>20</v>
      </c>
      <c r="D152" s="208">
        <f t="shared" si="2"/>
        <v>20</v>
      </c>
    </row>
    <row r="153" spans="1:4" s="106" customFormat="1" ht="12.75">
      <c r="A153" s="205" t="s">
        <v>118</v>
      </c>
      <c r="B153" s="206" t="s">
        <v>28</v>
      </c>
      <c r="C153" s="207">
        <v>5</v>
      </c>
      <c r="D153" s="208">
        <f t="shared" si="2"/>
        <v>5</v>
      </c>
    </row>
    <row r="154" spans="1:4" s="106" customFormat="1" ht="12.75">
      <c r="A154" s="205" t="s">
        <v>399</v>
      </c>
      <c r="B154" s="206" t="s">
        <v>28</v>
      </c>
      <c r="C154" s="207">
        <v>2</v>
      </c>
      <c r="D154" s="208">
        <f t="shared" si="2"/>
        <v>2</v>
      </c>
    </row>
    <row r="155" spans="1:4" s="106" customFormat="1" ht="25.5">
      <c r="A155" s="205" t="s">
        <v>132</v>
      </c>
      <c r="B155" s="206" t="s">
        <v>35</v>
      </c>
      <c r="C155" s="207">
        <v>82</v>
      </c>
      <c r="D155" s="208">
        <f t="shared" si="2"/>
        <v>82</v>
      </c>
    </row>
    <row r="156" spans="1:4" s="106" customFormat="1" ht="25.5">
      <c r="A156" s="205" t="s">
        <v>133</v>
      </c>
      <c r="B156" s="206" t="s">
        <v>28</v>
      </c>
      <c r="C156" s="207">
        <v>37</v>
      </c>
      <c r="D156" s="208">
        <f t="shared" si="2"/>
        <v>37</v>
      </c>
    </row>
    <row r="157" spans="1:4" s="106" customFormat="1" ht="12.75">
      <c r="A157" s="205" t="s">
        <v>551</v>
      </c>
      <c r="B157" s="206" t="s">
        <v>28</v>
      </c>
      <c r="C157" s="207">
        <v>2</v>
      </c>
      <c r="D157" s="208">
        <f t="shared" si="2"/>
        <v>2</v>
      </c>
    </row>
    <row r="158" spans="1:4" s="106" customFormat="1" ht="12.75">
      <c r="A158" s="1376" t="s">
        <v>552</v>
      </c>
      <c r="B158" s="1377"/>
      <c r="C158" s="1378"/>
      <c r="D158" s="212"/>
    </row>
    <row r="159" spans="1:4" s="106" customFormat="1" ht="12.75">
      <c r="A159" s="205" t="s">
        <v>400</v>
      </c>
      <c r="B159" s="206" t="s">
        <v>28</v>
      </c>
      <c r="C159" s="207">
        <v>1</v>
      </c>
      <c r="D159" s="208">
        <f t="shared" si="2"/>
        <v>1</v>
      </c>
    </row>
    <row r="160" spans="1:4" s="106" customFormat="1" ht="12.75">
      <c r="A160" s="205" t="s">
        <v>1079</v>
      </c>
      <c r="B160" s="206" t="s">
        <v>28</v>
      </c>
      <c r="C160" s="207">
        <v>1</v>
      </c>
      <c r="D160" s="208">
        <f t="shared" si="2"/>
        <v>1</v>
      </c>
    </row>
    <row r="161" spans="1:4" s="106" customFormat="1" ht="12.75">
      <c r="A161" s="205" t="s">
        <v>80</v>
      </c>
      <c r="B161" s="206" t="s">
        <v>28</v>
      </c>
      <c r="C161" s="207">
        <v>2</v>
      </c>
      <c r="D161" s="208">
        <f t="shared" si="2"/>
        <v>2</v>
      </c>
    </row>
    <row r="162" spans="1:4" s="106" customFormat="1" ht="25.5">
      <c r="A162" s="205" t="s">
        <v>168</v>
      </c>
      <c r="B162" s="206" t="s">
        <v>28</v>
      </c>
      <c r="C162" s="207">
        <v>2</v>
      </c>
      <c r="D162" s="208">
        <f t="shared" si="2"/>
        <v>2</v>
      </c>
    </row>
    <row r="163" spans="1:4" s="106" customFormat="1" ht="12.75">
      <c r="A163" s="1376" t="s">
        <v>401</v>
      </c>
      <c r="B163" s="1377"/>
      <c r="C163" s="1378"/>
      <c r="D163" s="212"/>
    </row>
    <row r="164" spans="1:4" s="106" customFormat="1" ht="25.5">
      <c r="A164" s="205" t="s">
        <v>152</v>
      </c>
      <c r="B164" s="206" t="s">
        <v>35</v>
      </c>
      <c r="C164" s="207">
        <v>259.20999999999998</v>
      </c>
      <c r="D164" s="208">
        <f t="shared" si="2"/>
        <v>259.20999999999998</v>
      </c>
    </row>
    <row r="165" spans="1:4" s="106" customFormat="1" ht="25.5">
      <c r="A165" s="205" t="s">
        <v>151</v>
      </c>
      <c r="B165" s="206" t="s">
        <v>28</v>
      </c>
      <c r="C165" s="207">
        <v>76</v>
      </c>
      <c r="D165" s="208">
        <f t="shared" si="2"/>
        <v>76</v>
      </c>
    </row>
    <row r="166" spans="1:4" s="106" customFormat="1" ht="25.5">
      <c r="A166" s="205" t="s">
        <v>216</v>
      </c>
      <c r="B166" s="206" t="s">
        <v>28</v>
      </c>
      <c r="C166" s="207">
        <v>12</v>
      </c>
      <c r="D166" s="208">
        <f t="shared" si="2"/>
        <v>12</v>
      </c>
    </row>
    <row r="167" spans="1:4" s="106" customFormat="1" ht="12.75">
      <c r="A167" s="205" t="s">
        <v>62</v>
      </c>
      <c r="B167" s="206" t="s">
        <v>60</v>
      </c>
      <c r="C167" s="207">
        <v>49</v>
      </c>
      <c r="D167" s="208">
        <f t="shared" si="2"/>
        <v>49</v>
      </c>
    </row>
    <row r="168" spans="1:4" s="106" customFormat="1" ht="25.5">
      <c r="A168" s="205" t="s">
        <v>553</v>
      </c>
      <c r="B168" s="219" t="s">
        <v>9</v>
      </c>
      <c r="C168" s="211">
        <v>144</v>
      </c>
      <c r="D168" s="208">
        <f t="shared" si="2"/>
        <v>144</v>
      </c>
    </row>
    <row r="169" spans="1:4" s="106" customFormat="1" ht="12.75">
      <c r="A169" s="205" t="s">
        <v>61</v>
      </c>
      <c r="B169" s="206" t="s">
        <v>60</v>
      </c>
      <c r="C169" s="207">
        <v>39</v>
      </c>
      <c r="D169" s="208">
        <f t="shared" si="2"/>
        <v>39</v>
      </c>
    </row>
    <row r="170" spans="1:4" s="106" customFormat="1" ht="25.5">
      <c r="A170" s="205" t="s">
        <v>392</v>
      </c>
      <c r="B170" s="206" t="s">
        <v>28</v>
      </c>
      <c r="C170" s="207">
        <v>24</v>
      </c>
      <c r="D170" s="208">
        <f t="shared" si="2"/>
        <v>24</v>
      </c>
    </row>
    <row r="171" spans="1:4" s="106" customFormat="1" ht="25.5">
      <c r="A171" s="205" t="s">
        <v>129</v>
      </c>
      <c r="B171" s="206" t="s">
        <v>35</v>
      </c>
      <c r="C171" s="207">
        <v>80</v>
      </c>
      <c r="D171" s="208">
        <f t="shared" si="2"/>
        <v>80</v>
      </c>
    </row>
    <row r="172" spans="1:4" s="106" customFormat="1" ht="25.5">
      <c r="A172" s="205" t="s">
        <v>402</v>
      </c>
      <c r="B172" s="206" t="s">
        <v>28</v>
      </c>
      <c r="C172" s="207">
        <v>6</v>
      </c>
      <c r="D172" s="208">
        <f t="shared" si="2"/>
        <v>6</v>
      </c>
    </row>
    <row r="173" spans="1:4" s="106" customFormat="1" ht="12.75">
      <c r="A173" s="205" t="s">
        <v>403</v>
      </c>
      <c r="B173" s="206" t="s">
        <v>28</v>
      </c>
      <c r="C173" s="207">
        <v>8</v>
      </c>
      <c r="D173" s="208">
        <f t="shared" si="2"/>
        <v>8</v>
      </c>
    </row>
    <row r="174" spans="1:4" s="106" customFormat="1" ht="12.75">
      <c r="A174" s="205" t="s">
        <v>554</v>
      </c>
      <c r="B174" s="206" t="s">
        <v>28</v>
      </c>
      <c r="C174" s="207">
        <v>6</v>
      </c>
      <c r="D174" s="208">
        <f t="shared" si="2"/>
        <v>6</v>
      </c>
    </row>
    <row r="175" spans="1:4" s="106" customFormat="1" ht="12.75">
      <c r="A175" s="205" t="s">
        <v>555</v>
      </c>
      <c r="B175" s="206" t="s">
        <v>28</v>
      </c>
      <c r="C175" s="207">
        <v>20</v>
      </c>
      <c r="D175" s="208">
        <f t="shared" si="2"/>
        <v>20</v>
      </c>
    </row>
    <row r="176" spans="1:4" s="106" customFormat="1" ht="25.5">
      <c r="A176" s="205" t="s">
        <v>129</v>
      </c>
      <c r="B176" s="206" t="s">
        <v>35</v>
      </c>
      <c r="C176" s="207">
        <v>37</v>
      </c>
      <c r="D176" s="208">
        <f t="shared" si="2"/>
        <v>37</v>
      </c>
    </row>
    <row r="177" spans="1:4" s="106" customFormat="1" ht="25.5">
      <c r="A177" s="205" t="s">
        <v>398</v>
      </c>
      <c r="B177" s="206" t="s">
        <v>35</v>
      </c>
      <c r="C177" s="207">
        <v>312</v>
      </c>
      <c r="D177" s="208">
        <f t="shared" si="2"/>
        <v>312</v>
      </c>
    </row>
    <row r="178" spans="1:4" s="106" customFormat="1" ht="25.5">
      <c r="A178" s="205" t="s">
        <v>556</v>
      </c>
      <c r="B178" s="206" t="s">
        <v>35</v>
      </c>
      <c r="C178" s="207">
        <v>27</v>
      </c>
      <c r="D178" s="208">
        <f t="shared" si="2"/>
        <v>27</v>
      </c>
    </row>
    <row r="179" spans="1:4" s="106" customFormat="1" ht="12.75">
      <c r="A179" s="205" t="s">
        <v>557</v>
      </c>
      <c r="B179" s="206" t="s">
        <v>28</v>
      </c>
      <c r="C179" s="207">
        <v>59</v>
      </c>
      <c r="D179" s="208">
        <f t="shared" si="2"/>
        <v>59</v>
      </c>
    </row>
    <row r="180" spans="1:4" s="106" customFormat="1" ht="38.25">
      <c r="A180" s="205" t="s">
        <v>558</v>
      </c>
      <c r="B180" s="219" t="s">
        <v>9</v>
      </c>
      <c r="C180" s="207">
        <v>117</v>
      </c>
      <c r="D180" s="208">
        <f t="shared" si="2"/>
        <v>117</v>
      </c>
    </row>
    <row r="181" spans="1:4" s="106" customFormat="1" ht="25.5">
      <c r="A181" s="205" t="s">
        <v>559</v>
      </c>
      <c r="B181" s="206" t="s">
        <v>10</v>
      </c>
      <c r="C181" s="207">
        <v>1.1000000000000001</v>
      </c>
      <c r="D181" s="208">
        <f t="shared" si="2"/>
        <v>1.1000000000000001</v>
      </c>
    </row>
    <row r="182" spans="1:4" s="106" customFormat="1" ht="12.75">
      <c r="A182" s="205" t="s">
        <v>560</v>
      </c>
      <c r="B182" s="219" t="s">
        <v>10</v>
      </c>
      <c r="C182" s="211">
        <v>5</v>
      </c>
      <c r="D182" s="208">
        <f t="shared" si="2"/>
        <v>5</v>
      </c>
    </row>
    <row r="183" spans="1:4" s="106" customFormat="1" ht="12.75">
      <c r="A183" s="220" t="s">
        <v>561</v>
      </c>
      <c r="B183" s="221" t="s">
        <v>10</v>
      </c>
      <c r="C183" s="222">
        <v>2.13</v>
      </c>
      <c r="D183" s="208">
        <f t="shared" si="2"/>
        <v>2.13</v>
      </c>
    </row>
  </sheetData>
  <mergeCells count="9">
    <mergeCell ref="A119:C119"/>
    <mergeCell ref="A158:C158"/>
    <mergeCell ref="A163:C163"/>
    <mergeCell ref="A5:C5"/>
    <mergeCell ref="A6:C6"/>
    <mergeCell ref="A10:C10"/>
    <mergeCell ref="A53:C53"/>
    <mergeCell ref="A78:C78"/>
    <mergeCell ref="A95:C95"/>
  </mergeCells>
  <conditionalFormatting sqref="A7:C9 A164:C183 A96:C118 A11:C52 A120:C157 A159:C162">
    <cfRule type="expression" dxfId="6" priority="1">
      <formula>ODD(ROW())=ROW()</formula>
    </cfRule>
    <cfRule type="expression" dxfId="5" priority="2">
      <formula>EVEN(ROW())=ROW()</formula>
    </cfRule>
  </conditionalFormatting>
  <conditionalFormatting sqref="C54:C77 A54:A77">
    <cfRule type="expression" dxfId="4" priority="6">
      <formula>EVEN(ROW())=ROW()</formula>
    </cfRule>
  </conditionalFormatting>
  <conditionalFormatting sqref="B54:B77">
    <cfRule type="expression" dxfId="3" priority="7">
      <formula>EVEN(ROW())=ROW()</formula>
    </cfRule>
  </conditionalFormatting>
  <conditionalFormatting sqref="A79:A94">
    <cfRule type="expression" dxfId="2" priority="5">
      <formula>EVEN(ROW())=ROW()</formula>
    </cfRule>
  </conditionalFormatting>
  <conditionalFormatting sqref="B79:B94">
    <cfRule type="expression" dxfId="1" priority="4">
      <formula>EVEN(ROW())=ROW()</formula>
    </cfRule>
  </conditionalFormatting>
  <conditionalFormatting sqref="C79:C94">
    <cfRule type="expression" dxfId="0" priority="3">
      <formula>EVEN(ROW())=ROW()</formula>
    </cfRule>
  </conditionalFormatting>
  <pageMargins left="0.511811024" right="0.511811024" top="0.78740157499999996" bottom="0.78740157499999996" header="0.31496062000000002" footer="0.31496062000000002"/>
  <pageSetup orientation="portrait" horizontalDpi="300" verticalDpi="0" copies="0" r:id="rId1"/>
</worksheet>
</file>

<file path=xl/worksheets/sheet15.xml><?xml version="1.0" encoding="utf-8"?>
<worksheet xmlns="http://schemas.openxmlformats.org/spreadsheetml/2006/main" xmlns:r="http://schemas.openxmlformats.org/officeDocument/2006/relationships">
  <dimension ref="A1:C58"/>
  <sheetViews>
    <sheetView showGridLines="0" showWhiteSpace="0" view="pageBreakPreview" topLeftCell="A43" zoomScale="130" zoomScaleSheetLayoutView="130" zoomScalePageLayoutView="136" workbookViewId="0">
      <selection activeCell="A54" sqref="A54"/>
    </sheetView>
  </sheetViews>
  <sheetFormatPr defaultColWidth="9.140625" defaultRowHeight="12.75"/>
  <cols>
    <col min="1" max="1" width="67.85546875" style="1" customWidth="1"/>
    <col min="2" max="2" width="9.28515625" style="117" customWidth="1"/>
    <col min="3" max="3" width="10.5703125" style="120" customWidth="1"/>
    <col min="4" max="16384" width="9.140625" style="1"/>
  </cols>
  <sheetData>
    <row r="1" spans="1:3" s="118" customFormat="1">
      <c r="A1" s="114" t="s">
        <v>206</v>
      </c>
      <c r="B1" s="158"/>
      <c r="C1" s="115"/>
    </row>
    <row r="2" spans="1:3" s="118" customFormat="1" ht="25.5">
      <c r="A2" s="8" t="s">
        <v>619</v>
      </c>
      <c r="B2" s="116" t="s">
        <v>52</v>
      </c>
      <c r="C2" s="183">
        <v>2522</v>
      </c>
    </row>
    <row r="3" spans="1:3" s="118" customFormat="1" ht="25.5">
      <c r="A3" s="8" t="s">
        <v>620</v>
      </c>
      <c r="B3" s="116" t="s">
        <v>52</v>
      </c>
      <c r="C3" s="183">
        <v>8045</v>
      </c>
    </row>
    <row r="4" spans="1:3" s="118" customFormat="1">
      <c r="A4" s="8" t="s">
        <v>621</v>
      </c>
      <c r="B4" s="116" t="s">
        <v>52</v>
      </c>
      <c r="C4" s="183">
        <v>1005</v>
      </c>
    </row>
    <row r="5" spans="1:3" s="118" customFormat="1">
      <c r="A5" s="8" t="s">
        <v>622</v>
      </c>
      <c r="B5" s="116" t="s">
        <v>52</v>
      </c>
      <c r="C5" s="183">
        <v>211</v>
      </c>
    </row>
    <row r="6" spans="1:3" s="118" customFormat="1">
      <c r="A6" s="8" t="s">
        <v>623</v>
      </c>
      <c r="B6" s="116"/>
      <c r="C6" s="183">
        <v>230</v>
      </c>
    </row>
    <row r="7" spans="1:3" s="118" customFormat="1" ht="25.5">
      <c r="A7" s="8" t="s">
        <v>624</v>
      </c>
      <c r="B7" s="116" t="s">
        <v>30</v>
      </c>
      <c r="C7" s="183">
        <v>316</v>
      </c>
    </row>
    <row r="8" spans="1:3" s="118" customFormat="1" ht="25.5">
      <c r="A8" s="8" t="s">
        <v>625</v>
      </c>
      <c r="B8" s="116" t="s">
        <v>30</v>
      </c>
      <c r="C8" s="183">
        <v>22</v>
      </c>
    </row>
    <row r="9" spans="1:3" s="118" customFormat="1" ht="25.5">
      <c r="A9" s="8" t="s">
        <v>626</v>
      </c>
      <c r="B9" s="116" t="s">
        <v>30</v>
      </c>
      <c r="C9" s="183">
        <v>8</v>
      </c>
    </row>
    <row r="10" spans="1:3" s="118" customFormat="1" ht="25.5">
      <c r="A10" s="8" t="s">
        <v>627</v>
      </c>
      <c r="B10" s="116" t="s">
        <v>30</v>
      </c>
      <c r="C10" s="183">
        <v>98</v>
      </c>
    </row>
    <row r="11" spans="1:3" s="118" customFormat="1" ht="25.5">
      <c r="A11" s="8" t="s">
        <v>1031</v>
      </c>
      <c r="B11" s="116" t="s">
        <v>5</v>
      </c>
      <c r="C11" s="183">
        <v>70</v>
      </c>
    </row>
    <row r="12" spans="1:3" s="118" customFormat="1" ht="25.5">
      <c r="A12" s="8" t="s">
        <v>1032</v>
      </c>
      <c r="B12" s="116" t="s">
        <v>1033</v>
      </c>
      <c r="C12" s="183">
        <v>103</v>
      </c>
    </row>
    <row r="13" spans="1:3" s="118" customFormat="1">
      <c r="A13" s="8" t="s">
        <v>1034</v>
      </c>
      <c r="B13" s="116" t="s">
        <v>5</v>
      </c>
      <c r="C13" s="183">
        <v>166</v>
      </c>
    </row>
    <row r="14" spans="1:3" s="118" customFormat="1" ht="25.5">
      <c r="A14" s="8" t="s">
        <v>628</v>
      </c>
      <c r="B14" s="116" t="s">
        <v>5</v>
      </c>
      <c r="C14" s="183">
        <v>98</v>
      </c>
    </row>
    <row r="15" spans="1:3" s="118" customFormat="1" ht="25.5">
      <c r="A15" s="8" t="s">
        <v>1035</v>
      </c>
      <c r="B15" s="116" t="s">
        <v>5</v>
      </c>
      <c r="C15" s="183">
        <v>15</v>
      </c>
    </row>
    <row r="16" spans="1:3" s="118" customFormat="1" ht="25.5">
      <c r="A16" s="8" t="s">
        <v>1036</v>
      </c>
      <c r="B16" s="116" t="s">
        <v>5</v>
      </c>
      <c r="C16" s="183">
        <v>67</v>
      </c>
    </row>
    <row r="17" spans="1:3" s="118" customFormat="1" ht="25.5">
      <c r="A17" s="8" t="s">
        <v>1037</v>
      </c>
      <c r="B17" s="116" t="s">
        <v>5</v>
      </c>
      <c r="C17" s="183">
        <v>36</v>
      </c>
    </row>
    <row r="18" spans="1:3" s="118" customFormat="1" ht="25.5">
      <c r="A18" s="8" t="s">
        <v>1038</v>
      </c>
      <c r="B18" s="116" t="s">
        <v>30</v>
      </c>
      <c r="C18" s="183">
        <v>8</v>
      </c>
    </row>
    <row r="19" spans="1:3" s="118" customFormat="1" ht="25.5">
      <c r="A19" s="8" t="s">
        <v>629</v>
      </c>
      <c r="B19" s="116" t="s">
        <v>30</v>
      </c>
      <c r="C19" s="183">
        <v>20</v>
      </c>
    </row>
    <row r="20" spans="1:3" s="118" customFormat="1" ht="25.5">
      <c r="A20" s="8" t="s">
        <v>630</v>
      </c>
      <c r="B20" s="116" t="s">
        <v>30</v>
      </c>
      <c r="C20" s="183">
        <v>1</v>
      </c>
    </row>
    <row r="21" spans="1:3" s="118" customFormat="1" ht="25.5">
      <c r="A21" s="8" t="s">
        <v>631</v>
      </c>
      <c r="B21" s="116" t="s">
        <v>30</v>
      </c>
      <c r="C21" s="183">
        <v>17</v>
      </c>
    </row>
    <row r="22" spans="1:3" s="118" customFormat="1" ht="38.25">
      <c r="A22" s="8" t="s">
        <v>1039</v>
      </c>
      <c r="B22" s="116" t="s">
        <v>5</v>
      </c>
      <c r="C22" s="183">
        <v>9</v>
      </c>
    </row>
    <row r="23" spans="1:3" s="118" customFormat="1" ht="38.25">
      <c r="A23" s="8" t="s">
        <v>632</v>
      </c>
      <c r="B23" s="116" t="s">
        <v>5</v>
      </c>
      <c r="C23" s="183">
        <v>1</v>
      </c>
    </row>
    <row r="24" spans="1:3" s="118" customFormat="1" ht="38.25">
      <c r="A24" s="8" t="s">
        <v>633</v>
      </c>
      <c r="B24" s="116" t="s">
        <v>5</v>
      </c>
      <c r="C24" s="183">
        <v>3</v>
      </c>
    </row>
    <row r="25" spans="1:3" s="118" customFormat="1" ht="38.25">
      <c r="A25" s="8" t="s">
        <v>1040</v>
      </c>
      <c r="B25" s="116" t="s">
        <v>30</v>
      </c>
      <c r="C25" s="183">
        <v>4</v>
      </c>
    </row>
    <row r="26" spans="1:3" s="118" customFormat="1" ht="38.25">
      <c r="A26" s="8" t="s">
        <v>1041</v>
      </c>
      <c r="B26" s="116" t="s">
        <v>5</v>
      </c>
      <c r="C26" s="183">
        <v>1</v>
      </c>
    </row>
    <row r="27" spans="1:3" s="118" customFormat="1" ht="25.5">
      <c r="A27" s="8" t="s">
        <v>634</v>
      </c>
      <c r="B27" s="184" t="s">
        <v>5</v>
      </c>
      <c r="C27" s="183">
        <v>8</v>
      </c>
    </row>
    <row r="28" spans="1:3" s="118" customFormat="1" ht="25.5">
      <c r="A28" s="8" t="s">
        <v>635</v>
      </c>
      <c r="B28" s="116" t="s">
        <v>30</v>
      </c>
      <c r="C28" s="183">
        <v>34</v>
      </c>
    </row>
    <row r="29" spans="1:3" s="118" customFormat="1" ht="25.5">
      <c r="A29" s="8" t="s">
        <v>636</v>
      </c>
      <c r="B29" s="116" t="s">
        <v>30</v>
      </c>
      <c r="C29" s="183">
        <v>5</v>
      </c>
    </row>
    <row r="30" spans="1:3" s="118" customFormat="1">
      <c r="A30" s="185" t="s">
        <v>1042</v>
      </c>
      <c r="B30" s="116" t="s">
        <v>30</v>
      </c>
      <c r="C30" s="183">
        <v>5</v>
      </c>
    </row>
    <row r="31" spans="1:3" s="118" customFormat="1">
      <c r="A31" s="185" t="s">
        <v>637</v>
      </c>
      <c r="B31" s="116" t="s">
        <v>30</v>
      </c>
      <c r="C31" s="183">
        <v>36</v>
      </c>
    </row>
    <row r="32" spans="1:3" s="118" customFormat="1" ht="25.5">
      <c r="A32" s="186" t="s">
        <v>1043</v>
      </c>
      <c r="B32" s="184" t="s">
        <v>5</v>
      </c>
      <c r="C32" s="183">
        <v>4</v>
      </c>
    </row>
    <row r="33" spans="1:3" s="118" customFormat="1" ht="25.5">
      <c r="A33" s="8" t="s">
        <v>1044</v>
      </c>
      <c r="B33" s="116" t="s">
        <v>5</v>
      </c>
      <c r="C33" s="183">
        <v>2</v>
      </c>
    </row>
    <row r="34" spans="1:3" s="118" customFormat="1" ht="25.5">
      <c r="A34" s="8" t="s">
        <v>1045</v>
      </c>
      <c r="B34" s="116" t="s">
        <v>5</v>
      </c>
      <c r="C34" s="183">
        <v>4</v>
      </c>
    </row>
    <row r="35" spans="1:3" s="118" customFormat="1" ht="25.5">
      <c r="A35" s="8" t="s">
        <v>1046</v>
      </c>
      <c r="B35" s="116" t="s">
        <v>5</v>
      </c>
      <c r="C35" s="183">
        <v>2</v>
      </c>
    </row>
    <row r="36" spans="1:3" s="118" customFormat="1" ht="25.5">
      <c r="A36" s="8" t="s">
        <v>638</v>
      </c>
      <c r="B36" s="116" t="s">
        <v>5</v>
      </c>
      <c r="C36" s="183">
        <v>10</v>
      </c>
    </row>
    <row r="37" spans="1:3" s="118" customFormat="1" ht="25.5">
      <c r="A37" s="8" t="s">
        <v>1047</v>
      </c>
      <c r="B37" s="116" t="s">
        <v>5</v>
      </c>
      <c r="C37" s="183">
        <v>1</v>
      </c>
    </row>
    <row r="38" spans="1:3" s="118" customFormat="1" ht="25.5">
      <c r="A38" s="8" t="s">
        <v>639</v>
      </c>
      <c r="B38" s="116" t="s">
        <v>52</v>
      </c>
      <c r="C38" s="183">
        <v>780</v>
      </c>
    </row>
    <row r="39" spans="1:3" s="118" customFormat="1" ht="25.5">
      <c r="A39" s="8" t="s">
        <v>640</v>
      </c>
      <c r="B39" s="116" t="s">
        <v>52</v>
      </c>
      <c r="C39" s="183">
        <v>281</v>
      </c>
    </row>
    <row r="40" spans="1:3" s="118" customFormat="1" ht="25.5">
      <c r="A40" s="8" t="s">
        <v>641</v>
      </c>
      <c r="B40" s="116" t="s">
        <v>52</v>
      </c>
      <c r="C40" s="183">
        <v>919</v>
      </c>
    </row>
    <row r="41" spans="1:3" s="118" customFormat="1" ht="25.5">
      <c r="A41" s="8" t="s">
        <v>642</v>
      </c>
      <c r="B41" s="116" t="s">
        <v>52</v>
      </c>
      <c r="C41" s="183">
        <v>22</v>
      </c>
    </row>
    <row r="42" spans="1:3" s="118" customFormat="1" ht="25.5">
      <c r="A42" s="8" t="s">
        <v>1048</v>
      </c>
      <c r="B42" s="116" t="s">
        <v>52</v>
      </c>
      <c r="C42" s="183">
        <v>75</v>
      </c>
    </row>
    <row r="43" spans="1:3" s="118" customFormat="1" ht="25.5">
      <c r="A43" s="8" t="s">
        <v>1049</v>
      </c>
      <c r="B43" s="116" t="s">
        <v>52</v>
      </c>
      <c r="C43" s="183">
        <v>165</v>
      </c>
    </row>
    <row r="44" spans="1:3" s="118" customFormat="1" ht="25.5">
      <c r="A44" s="186" t="s">
        <v>1050</v>
      </c>
      <c r="B44" s="116" t="s">
        <v>52</v>
      </c>
      <c r="C44" s="183">
        <v>20</v>
      </c>
    </row>
    <row r="45" spans="1:3" s="118" customFormat="1" ht="25.5">
      <c r="A45" s="186" t="s">
        <v>1051</v>
      </c>
      <c r="B45" s="116" t="s">
        <v>52</v>
      </c>
      <c r="C45" s="119">
        <v>268</v>
      </c>
    </row>
    <row r="46" spans="1:3" s="118" customFormat="1">
      <c r="A46" s="8" t="s">
        <v>1052</v>
      </c>
      <c r="B46" s="116" t="s">
        <v>30</v>
      </c>
      <c r="C46" s="183">
        <v>4</v>
      </c>
    </row>
    <row r="47" spans="1:3" s="118" customFormat="1">
      <c r="A47" s="8" t="s">
        <v>1053</v>
      </c>
      <c r="B47" s="116" t="s">
        <v>30</v>
      </c>
      <c r="C47" s="183">
        <v>18</v>
      </c>
    </row>
    <row r="48" spans="1:3" s="118" customFormat="1">
      <c r="A48" s="8" t="s">
        <v>1054</v>
      </c>
      <c r="B48" s="116" t="s">
        <v>5</v>
      </c>
      <c r="C48" s="183">
        <v>11</v>
      </c>
    </row>
    <row r="49" spans="1:3" s="118" customFormat="1" ht="25.5">
      <c r="A49" s="8" t="s">
        <v>1055</v>
      </c>
      <c r="B49" s="184" t="s">
        <v>5</v>
      </c>
      <c r="C49" s="183">
        <v>15</v>
      </c>
    </row>
    <row r="50" spans="1:3" s="118" customFormat="1">
      <c r="A50" s="8" t="s">
        <v>1056</v>
      </c>
      <c r="B50" s="184"/>
      <c r="C50" s="183">
        <v>16</v>
      </c>
    </row>
    <row r="51" spans="1:3" s="118" customFormat="1">
      <c r="A51" s="186" t="s">
        <v>1057</v>
      </c>
      <c r="B51" s="184" t="s">
        <v>5</v>
      </c>
      <c r="C51" s="183">
        <v>8</v>
      </c>
    </row>
    <row r="52" spans="1:3" s="118" customFormat="1">
      <c r="A52" s="8" t="s">
        <v>1058</v>
      </c>
      <c r="B52" s="116" t="s">
        <v>51</v>
      </c>
      <c r="C52" s="183">
        <v>53.75</v>
      </c>
    </row>
    <row r="53" spans="1:3" s="118" customFormat="1">
      <c r="A53" s="8" t="s">
        <v>643</v>
      </c>
      <c r="B53" s="116" t="s">
        <v>51</v>
      </c>
      <c r="C53" s="183">
        <v>53.75</v>
      </c>
    </row>
    <row r="54" spans="1:3" s="118" customFormat="1">
      <c r="A54" s="8" t="s">
        <v>1059</v>
      </c>
      <c r="B54" s="116" t="s">
        <v>30</v>
      </c>
      <c r="C54" s="183">
        <v>1</v>
      </c>
    </row>
    <row r="55" spans="1:3" s="118" customFormat="1">
      <c r="A55" s="187" t="s">
        <v>12</v>
      </c>
      <c r="B55" s="188"/>
      <c r="C55" s="189"/>
    </row>
    <row r="56" spans="1:3" s="190" customFormat="1">
      <c r="B56" s="191"/>
      <c r="C56" s="192"/>
    </row>
    <row r="58" spans="1:3">
      <c r="A58" s="193"/>
      <c r="B58" s="1"/>
      <c r="C58" s="118"/>
    </row>
  </sheetData>
  <protectedRanges>
    <protectedRange sqref="D20" name="Intervalo1_11_1_1_1_2_2_2"/>
    <protectedRange sqref="D52:D54 D21:D27 D39:D45" name="Intervalo1_11_1_1_1_1_1_1_2"/>
    <protectedRange sqref="D6 D8 D2:D4" name="Intervalo1_13_1_2_1_1_1_1_2"/>
    <protectedRange sqref="D28:D29" name="Intervalo1_4_1_1_1_1_1_1_2"/>
    <protectedRange sqref="D30:D31" name="Intervalo1_4_1_3_1_2_1_2"/>
    <protectedRange sqref="D36:D38 D46:D51 D14:D17" name="Intervalo1_11_1_2_1_2"/>
    <protectedRange sqref="D7" name="Intervalo1_13_1_4_1_2"/>
    <protectedRange sqref="D18:D19" name="Intervalo1_13_1_6_1_1_1_1_1_1"/>
    <protectedRange sqref="D5" name="Intervalo1_13_1_2_1_1_1_1_2_1"/>
    <protectedRange sqref="D10:D13" name="Intervalo1_13_1_7_1_1_1_1_2_2"/>
    <protectedRange sqref="D32:D35" name="Intervalo1_11_1_1_1_1_1_1_2_2_1"/>
  </protectedRanges>
  <pageMargins left="0.511811024" right="0.511811024" top="0.890625" bottom="0.92031249999999998" header="0.31496062000000002" footer="0.31496062000000002"/>
  <pageSetup paperSize="9" scale="85" orientation="landscape" r:id="rId1"/>
  <headerFooter>
    <oddFooter>&amp;L&amp;"-,Negrito"&amp;7&amp;K00-041Secretaria de Estado de Educação, Esporte e Lazer de Mato Grosso&amp;"-,Regular"Rua Engenheiro Edgar Prado Arze, 215 - Centro Político AdministrativoCEP: 78049-909 | Cuiabá-MTFone: (65) 3613-6300&amp;C&amp;9&amp;K00-043&amp;P / &amp;N&amp;R&amp;7&amp;K00-042&amp;A</oddFooter>
  </headerFooter>
</worksheet>
</file>

<file path=xl/worksheets/sheet16.xml><?xml version="1.0" encoding="utf-8"?>
<worksheet xmlns="http://schemas.openxmlformats.org/spreadsheetml/2006/main" xmlns:r="http://schemas.openxmlformats.org/officeDocument/2006/relationships">
  <dimension ref="A1:F26"/>
  <sheetViews>
    <sheetView showGridLines="0" zoomScale="93" zoomScaleNormal="93" zoomScalePageLayoutView="85" workbookViewId="0">
      <pane ySplit="7" topLeftCell="A8" activePane="bottomLeft" state="frozen"/>
      <selection sqref="A1:C1"/>
      <selection pane="bottomLeft" sqref="A1:E1"/>
    </sheetView>
  </sheetViews>
  <sheetFormatPr defaultColWidth="9.140625" defaultRowHeight="15" outlineLevelRow="1"/>
  <cols>
    <col min="1" max="1" width="10.7109375" style="7" customWidth="1"/>
    <col min="2" max="2" width="17.140625" style="7" customWidth="1"/>
    <col min="3" max="3" width="66.7109375" style="6" customWidth="1"/>
    <col min="4" max="4" width="13" style="7" customWidth="1"/>
    <col min="5" max="5" width="11.85546875" style="135" bestFit="1" customWidth="1"/>
    <col min="6" max="6" width="20.5703125" style="6" customWidth="1"/>
    <col min="7" max="7" width="18.85546875" style="6" customWidth="1"/>
    <col min="8" max="8" width="9.140625" style="6"/>
    <col min="9" max="9" width="14" style="6" customWidth="1"/>
    <col min="10" max="16384" width="9.140625" style="6"/>
  </cols>
  <sheetData>
    <row r="1" spans="1:6" s="1" customFormat="1">
      <c r="A1" s="121" t="s">
        <v>2</v>
      </c>
      <c r="B1" s="1388"/>
      <c r="C1" s="1388"/>
      <c r="D1" s="1388"/>
      <c r="E1" s="1388"/>
    </row>
    <row r="2" spans="1:6" s="1" customFormat="1">
      <c r="A2" s="122" t="s">
        <v>618</v>
      </c>
      <c r="B2" s="123" t="s">
        <v>1127</v>
      </c>
      <c r="C2" s="159"/>
      <c r="D2" s="124"/>
      <c r="E2" s="125"/>
    </row>
    <row r="3" spans="1:6">
      <c r="A3" s="122" t="s">
        <v>23</v>
      </c>
      <c r="B3" s="123" t="s">
        <v>1128</v>
      </c>
      <c r="C3" s="126"/>
      <c r="D3" s="124"/>
      <c r="E3" s="125"/>
    </row>
    <row r="4" spans="1:6">
      <c r="A4" s="122" t="s">
        <v>24</v>
      </c>
      <c r="B4" s="1389"/>
      <c r="C4" s="1389"/>
      <c r="D4" s="124"/>
      <c r="E4" s="125"/>
    </row>
    <row r="5" spans="1:6" ht="16.5" thickBot="1">
      <c r="A5" s="127"/>
      <c r="B5" s="128"/>
      <c r="C5" s="129"/>
      <c r="D5" s="130"/>
      <c r="E5" s="131"/>
    </row>
    <row r="6" spans="1:6" ht="16.5" thickTop="1">
      <c r="A6" s="1390" t="s">
        <v>19</v>
      </c>
      <c r="B6" s="1390"/>
      <c r="C6" s="1390"/>
      <c r="D6" s="1390"/>
      <c r="E6" s="1390"/>
    </row>
    <row r="7" spans="1:6" s="7" customFormat="1" ht="15.75" customHeight="1">
      <c r="A7" s="132"/>
      <c r="B7" s="132"/>
      <c r="C7" s="132" t="s">
        <v>1</v>
      </c>
      <c r="D7" s="132" t="s">
        <v>5</v>
      </c>
      <c r="E7" s="133" t="s">
        <v>6</v>
      </c>
    </row>
    <row r="8" spans="1:6" s="12" customFormat="1" ht="30" outlineLevel="1">
      <c r="A8" s="11"/>
      <c r="B8" s="11"/>
      <c r="C8" s="17" t="s">
        <v>211</v>
      </c>
      <c r="D8" s="55" t="s">
        <v>30</v>
      </c>
      <c r="E8" s="113">
        <v>107</v>
      </c>
      <c r="F8" s="134"/>
    </row>
    <row r="9" spans="1:6" s="12" customFormat="1" ht="30" outlineLevel="1">
      <c r="A9" s="11"/>
      <c r="B9" s="11"/>
      <c r="C9" s="17" t="s">
        <v>644</v>
      </c>
      <c r="D9" s="11" t="s">
        <v>30</v>
      </c>
      <c r="E9" s="113">
        <v>16</v>
      </c>
    </row>
    <row r="10" spans="1:6" s="12" customFormat="1" ht="30" outlineLevel="1">
      <c r="A10" s="11"/>
      <c r="B10" s="11"/>
      <c r="C10" s="17" t="s">
        <v>82</v>
      </c>
      <c r="D10" s="11" t="s">
        <v>199</v>
      </c>
      <c r="E10" s="113">
        <v>460</v>
      </c>
    </row>
    <row r="11" spans="1:6" s="12" customFormat="1" ht="30" outlineLevel="1">
      <c r="A11" s="11"/>
      <c r="B11" s="11"/>
      <c r="C11" s="17" t="s">
        <v>147</v>
      </c>
      <c r="D11" s="55" t="s">
        <v>30</v>
      </c>
      <c r="E11" s="113">
        <v>113</v>
      </c>
    </row>
    <row r="12" spans="1:6" s="12" customFormat="1" outlineLevel="1">
      <c r="A12" s="11"/>
      <c r="B12" s="11"/>
      <c r="C12" s="17" t="str">
        <f>UPPER("Suporte guia simples Tel-220")</f>
        <v>SUPORTE GUIA SIMPLES TEL-220</v>
      </c>
      <c r="D12" s="11" t="s">
        <v>30</v>
      </c>
      <c r="E12" s="113">
        <v>507</v>
      </c>
    </row>
    <row r="13" spans="1:6" s="12" customFormat="1" ht="30" outlineLevel="1">
      <c r="A13" s="11"/>
      <c r="B13" s="11"/>
      <c r="C13" s="17" t="s">
        <v>120</v>
      </c>
      <c r="D13" s="55" t="s">
        <v>30</v>
      </c>
      <c r="E13" s="113">
        <v>42</v>
      </c>
    </row>
    <row r="14" spans="1:6" s="12" customFormat="1" ht="30" outlineLevel="1">
      <c r="A14" s="11"/>
      <c r="B14" s="11"/>
      <c r="C14" s="17" t="s">
        <v>203</v>
      </c>
      <c r="D14" s="55" t="s">
        <v>30</v>
      </c>
      <c r="E14" s="113">
        <v>84</v>
      </c>
    </row>
    <row r="15" spans="1:6" s="12" customFormat="1" ht="30" outlineLevel="1">
      <c r="A15" s="11"/>
      <c r="B15" s="11"/>
      <c r="C15" s="17" t="s">
        <v>207</v>
      </c>
      <c r="D15" s="55" t="s">
        <v>30</v>
      </c>
      <c r="E15" s="113">
        <v>43</v>
      </c>
    </row>
    <row r="16" spans="1:6" s="12" customFormat="1" ht="45" outlineLevel="1">
      <c r="A16" s="11"/>
      <c r="B16" s="11"/>
      <c r="C16" s="17" t="s">
        <v>209</v>
      </c>
      <c r="D16" s="11" t="s">
        <v>52</v>
      </c>
      <c r="E16" s="113">
        <v>162</v>
      </c>
    </row>
    <row r="17" spans="1:5" s="12" customFormat="1" outlineLevel="1">
      <c r="A17" s="11"/>
      <c r="B17" s="11"/>
      <c r="C17" s="17" t="s">
        <v>84</v>
      </c>
      <c r="D17" s="55" t="s">
        <v>30</v>
      </c>
      <c r="E17" s="113">
        <v>215.99999460000001</v>
      </c>
    </row>
    <row r="18" spans="1:5" s="12" customFormat="1" ht="30" outlineLevel="1">
      <c r="A18" s="11"/>
      <c r="B18" s="11"/>
      <c r="C18" s="17" t="s">
        <v>81</v>
      </c>
      <c r="D18" s="11" t="s">
        <v>30</v>
      </c>
      <c r="E18" s="113">
        <v>215.99999460000001</v>
      </c>
    </row>
    <row r="19" spans="1:5" s="12" customFormat="1" ht="30" outlineLevel="1">
      <c r="A19" s="11"/>
      <c r="B19" s="11"/>
      <c r="C19" s="17" t="s">
        <v>160</v>
      </c>
      <c r="D19" s="11" t="s">
        <v>52</v>
      </c>
      <c r="E19" s="113">
        <v>275</v>
      </c>
    </row>
    <row r="20" spans="1:5" s="12" customFormat="1" ht="30" outlineLevel="1">
      <c r="A20" s="11"/>
      <c r="B20" s="11"/>
      <c r="C20" s="17" t="s">
        <v>161</v>
      </c>
      <c r="D20" s="11" t="s">
        <v>52</v>
      </c>
      <c r="E20" s="113">
        <v>537</v>
      </c>
    </row>
    <row r="21" spans="1:5" s="12" customFormat="1" ht="60" outlineLevel="1">
      <c r="A21" s="11"/>
      <c r="B21" s="11"/>
      <c r="C21" s="17" t="s">
        <v>645</v>
      </c>
      <c r="D21" s="55" t="s">
        <v>30</v>
      </c>
      <c r="E21" s="113">
        <v>7</v>
      </c>
    </row>
    <row r="22" spans="1:5" s="12" customFormat="1" ht="33.75" customHeight="1" outlineLevel="1">
      <c r="A22" s="11"/>
      <c r="B22" s="11"/>
      <c r="C22" s="17" t="s">
        <v>646</v>
      </c>
      <c r="D22" s="55" t="s">
        <v>30</v>
      </c>
      <c r="E22" s="113">
        <v>81</v>
      </c>
    </row>
    <row r="23" spans="1:5" s="12" customFormat="1" ht="30" outlineLevel="1">
      <c r="A23" s="11"/>
      <c r="B23" s="11"/>
      <c r="C23" s="17" t="s">
        <v>208</v>
      </c>
      <c r="D23" s="55" t="s">
        <v>30</v>
      </c>
      <c r="E23" s="113">
        <v>125</v>
      </c>
    </row>
    <row r="24" spans="1:5" s="12" customFormat="1" ht="105" outlineLevel="1">
      <c r="A24" s="11"/>
      <c r="B24" s="11"/>
      <c r="C24" s="17" t="s">
        <v>416</v>
      </c>
      <c r="D24" s="11" t="s">
        <v>562</v>
      </c>
      <c r="E24" s="113">
        <v>80.55</v>
      </c>
    </row>
    <row r="25" spans="1:5" s="12" customFormat="1" ht="90" outlineLevel="1">
      <c r="A25" s="11"/>
      <c r="B25" s="11"/>
      <c r="C25" s="17" t="s">
        <v>417</v>
      </c>
      <c r="D25" s="11" t="s">
        <v>562</v>
      </c>
      <c r="E25" s="113">
        <v>80.55</v>
      </c>
    </row>
    <row r="26" spans="1:5" s="12" customFormat="1" ht="30" outlineLevel="1">
      <c r="A26" s="11"/>
      <c r="B26" s="11"/>
      <c r="C26" s="17" t="s">
        <v>85</v>
      </c>
      <c r="D26" s="11" t="s">
        <v>30</v>
      </c>
      <c r="E26" s="113">
        <v>1</v>
      </c>
    </row>
  </sheetData>
  <mergeCells count="3">
    <mergeCell ref="B1:E1"/>
    <mergeCell ref="B4:C4"/>
    <mergeCell ref="A6:E6"/>
  </mergeCells>
  <pageMargins left="0.51181102362204722" right="0.51181102362204722" top="0.9055118110236221" bottom="0.9055118110236221" header="0.31496062992125984" footer="0.31496062992125984"/>
  <pageSetup paperSize="9" scale="56" orientation="portrait" r:id="rId1"/>
  <headerFooter>
    <oddHeader>&amp;L&amp;G&amp;C&amp;"-,Negrito"&amp;9&amp;K00-040GOVERNO DO ESTADO DE MATO GROSSO&amp;"-,Regular"SECRETARIA DE ESTADO DE EDUCAÇÃOSECRETARIA ADJUNTA DE ESTRUTURA ESCOLAR&amp;R&amp;G</oddHeader>
    <oddFooter>&amp;L&amp;"-,Negrito"&amp;7&amp;K00-035Secretaria de Estado de Educação, Esporte e Lazer de Mato Grosso&amp;"-,Regular"Rua Engenheiro Edgar Prado Arze, 215 - Centro Político AdministrativoCEP: 78049-909 | Cuiabá-MTFone: (65) 3613-6300&amp;C&amp;9&amp;K00-037&amp;P / &amp;N&amp;R&amp;7&amp;K00-036&amp;A</oddFooter>
  </headerFooter>
  <legacyDrawingHF r:id="rId2"/>
</worksheet>
</file>

<file path=xl/worksheets/sheet17.xml><?xml version="1.0" encoding="utf-8"?>
<worksheet xmlns="http://schemas.openxmlformats.org/spreadsheetml/2006/main" xmlns:r="http://schemas.openxmlformats.org/officeDocument/2006/relationships">
  <dimension ref="A1:G18"/>
  <sheetViews>
    <sheetView view="pageBreakPreview" zoomScale="115" zoomScaleSheetLayoutView="115" workbookViewId="0">
      <selection sqref="A1:E1"/>
    </sheetView>
  </sheetViews>
  <sheetFormatPr defaultColWidth="9.140625" defaultRowHeight="14.25"/>
  <cols>
    <col min="1" max="1" width="6.85546875" style="151" bestFit="1" customWidth="1"/>
    <col min="2" max="2" width="53.85546875" style="148" bestFit="1" customWidth="1"/>
    <col min="3" max="3" width="70.5703125" style="148" customWidth="1"/>
    <col min="4" max="4" width="7.140625" style="151" customWidth="1"/>
    <col min="5" max="5" width="10.85546875" style="151" customWidth="1"/>
    <col min="6" max="6" width="9.5703125" style="151" bestFit="1" customWidth="1"/>
    <col min="7" max="7" width="10.28515625" style="152" customWidth="1"/>
    <col min="8" max="8" width="38.42578125" style="148" customWidth="1"/>
    <col min="9" max="9" width="10.85546875" style="148" customWidth="1"/>
    <col min="10" max="11" width="11" style="148" customWidth="1"/>
    <col min="12" max="12" width="16.85546875" style="148" customWidth="1"/>
    <col min="13" max="13" width="9.140625" style="148"/>
    <col min="14" max="14" width="11.85546875" style="148" customWidth="1"/>
    <col min="15" max="16384" width="9.140625" style="148"/>
  </cols>
  <sheetData>
    <row r="1" spans="1:7" s="138" customFormat="1" ht="12.75">
      <c r="A1" s="1391" t="s">
        <v>418</v>
      </c>
      <c r="B1" s="1392"/>
      <c r="C1" s="1392"/>
      <c r="D1" s="1392"/>
      <c r="E1" s="1393"/>
      <c r="F1" s="136"/>
      <c r="G1" s="137"/>
    </row>
    <row r="2" spans="1:7" s="138" customFormat="1" ht="12.75">
      <c r="A2" s="139" t="s">
        <v>647</v>
      </c>
      <c r="B2" s="140" t="s">
        <v>648</v>
      </c>
      <c r="C2" s="141" t="s">
        <v>649</v>
      </c>
      <c r="D2" s="140" t="s">
        <v>650</v>
      </c>
      <c r="E2" s="142" t="s">
        <v>651</v>
      </c>
      <c r="F2" s="136"/>
      <c r="G2" s="137"/>
    </row>
    <row r="3" spans="1:7" ht="28.5">
      <c r="A3" s="143" t="s">
        <v>13</v>
      </c>
      <c r="B3" s="144" t="s">
        <v>652</v>
      </c>
      <c r="C3" s="145" t="s">
        <v>1060</v>
      </c>
      <c r="D3" s="143" t="s">
        <v>28</v>
      </c>
      <c r="E3" s="194">
        <v>1</v>
      </c>
      <c r="F3" s="146"/>
      <c r="G3" s="147"/>
    </row>
    <row r="4" spans="1:7" ht="42.75">
      <c r="A4" s="143" t="s">
        <v>565</v>
      </c>
      <c r="B4" s="144" t="s">
        <v>653</v>
      </c>
      <c r="C4" s="145" t="s">
        <v>1061</v>
      </c>
      <c r="D4" s="143" t="s">
        <v>51</v>
      </c>
      <c r="E4" s="194">
        <v>9.6</v>
      </c>
      <c r="F4" s="146"/>
      <c r="G4" s="147"/>
    </row>
    <row r="5" spans="1:7" ht="24.95" customHeight="1">
      <c r="A5" s="143" t="s">
        <v>566</v>
      </c>
      <c r="B5" s="144" t="s">
        <v>654</v>
      </c>
      <c r="C5" s="145" t="s">
        <v>655</v>
      </c>
      <c r="D5" s="143" t="s">
        <v>51</v>
      </c>
      <c r="E5" s="194">
        <v>7.68</v>
      </c>
      <c r="F5" s="146"/>
      <c r="G5" s="147"/>
    </row>
    <row r="6" spans="1:7" ht="24.95" customHeight="1">
      <c r="A6" s="143" t="s">
        <v>611</v>
      </c>
      <c r="B6" s="145" t="s">
        <v>659</v>
      </c>
      <c r="C6" s="145" t="s">
        <v>657</v>
      </c>
      <c r="D6" s="143" t="s">
        <v>658</v>
      </c>
      <c r="E6" s="195">
        <v>8</v>
      </c>
      <c r="F6" s="146"/>
      <c r="G6" s="147"/>
    </row>
    <row r="7" spans="1:7" ht="24.95" customHeight="1">
      <c r="A7" s="143" t="s">
        <v>612</v>
      </c>
      <c r="B7" s="145" t="s">
        <v>660</v>
      </c>
      <c r="C7" s="145" t="s">
        <v>661</v>
      </c>
      <c r="D7" s="143" t="s">
        <v>658</v>
      </c>
      <c r="E7" s="195">
        <v>1</v>
      </c>
      <c r="F7" s="146"/>
      <c r="G7" s="147"/>
    </row>
    <row r="8" spans="1:7" ht="24.95" customHeight="1">
      <c r="A8" s="143" t="s">
        <v>613</v>
      </c>
      <c r="B8" s="145" t="s">
        <v>662</v>
      </c>
      <c r="C8" s="145"/>
      <c r="D8" s="143" t="s">
        <v>658</v>
      </c>
      <c r="E8" s="195">
        <v>2</v>
      </c>
      <c r="F8" s="146"/>
      <c r="G8" s="147"/>
    </row>
    <row r="9" spans="1:7" ht="24.95" customHeight="1">
      <c r="A9" s="143" t="s">
        <v>614</v>
      </c>
      <c r="B9" s="145" t="s">
        <v>663</v>
      </c>
      <c r="C9" s="145"/>
      <c r="D9" s="143" t="s">
        <v>658</v>
      </c>
      <c r="E9" s="195">
        <v>3</v>
      </c>
      <c r="F9" s="146"/>
      <c r="G9" s="147"/>
    </row>
    <row r="10" spans="1:7" ht="24.95" customHeight="1">
      <c r="A10" s="143" t="s">
        <v>615</v>
      </c>
      <c r="B10" s="145" t="s">
        <v>664</v>
      </c>
      <c r="C10" s="145"/>
      <c r="D10" s="143" t="s">
        <v>658</v>
      </c>
      <c r="E10" s="150">
        <v>2</v>
      </c>
      <c r="F10" s="146"/>
      <c r="G10" s="147"/>
    </row>
    <row r="11" spans="1:7">
      <c r="A11" s="143" t="s">
        <v>567</v>
      </c>
      <c r="B11" s="144" t="s">
        <v>1131</v>
      </c>
      <c r="C11" s="149"/>
      <c r="D11" s="143" t="s">
        <v>52</v>
      </c>
      <c r="E11" s="194">
        <v>12</v>
      </c>
      <c r="F11" s="146"/>
      <c r="G11" s="147"/>
    </row>
    <row r="12" spans="1:7">
      <c r="A12" s="143" t="s">
        <v>567</v>
      </c>
      <c r="B12" s="144" t="s">
        <v>656</v>
      </c>
      <c r="C12" s="149"/>
      <c r="D12" s="143" t="s">
        <v>52</v>
      </c>
      <c r="E12" s="194">
        <v>12</v>
      </c>
      <c r="F12" s="146"/>
      <c r="G12" s="147"/>
    </row>
    <row r="13" spans="1:7" ht="45" customHeight="1">
      <c r="A13" s="143" t="s">
        <v>616</v>
      </c>
      <c r="B13" s="145" t="s">
        <v>665</v>
      </c>
      <c r="C13" s="145" t="s">
        <v>1062</v>
      </c>
      <c r="D13" s="143" t="s">
        <v>36</v>
      </c>
      <c r="E13" s="150">
        <f>3.14*0.02*12</f>
        <v>0.75360000000000005</v>
      </c>
    </row>
    <row r="14" spans="1:7" ht="30" customHeight="1">
      <c r="A14" s="143" t="s">
        <v>617</v>
      </c>
      <c r="B14" s="145" t="s">
        <v>666</v>
      </c>
      <c r="C14" s="145" t="s">
        <v>1063</v>
      </c>
      <c r="D14" s="143" t="s">
        <v>658</v>
      </c>
      <c r="E14" s="150">
        <v>4</v>
      </c>
    </row>
    <row r="15" spans="1:7">
      <c r="A15" s="143" t="s">
        <v>1064</v>
      </c>
      <c r="B15" s="145" t="s">
        <v>1065</v>
      </c>
      <c r="C15" s="145" t="s">
        <v>1066</v>
      </c>
      <c r="D15" s="143" t="s">
        <v>658</v>
      </c>
      <c r="E15" s="150">
        <v>2</v>
      </c>
    </row>
    <row r="16" spans="1:7">
      <c r="A16" s="143" t="s">
        <v>1067</v>
      </c>
      <c r="B16" s="145" t="s">
        <v>1068</v>
      </c>
      <c r="C16" s="145" t="s">
        <v>1069</v>
      </c>
      <c r="D16" s="143" t="s">
        <v>658</v>
      </c>
      <c r="E16" s="150">
        <v>1</v>
      </c>
    </row>
    <row r="17" spans="1:5">
      <c r="A17" s="143" t="s">
        <v>1070</v>
      </c>
      <c r="B17" s="145" t="s">
        <v>1071</v>
      </c>
      <c r="C17" s="145" t="s">
        <v>1072</v>
      </c>
      <c r="D17" s="143" t="s">
        <v>658</v>
      </c>
      <c r="E17" s="150">
        <v>2</v>
      </c>
    </row>
    <row r="18" spans="1:5">
      <c r="A18" s="143" t="s">
        <v>1073</v>
      </c>
      <c r="B18" s="145" t="s">
        <v>1074</v>
      </c>
      <c r="C18" s="145" t="s">
        <v>1075</v>
      </c>
      <c r="D18" s="143" t="s">
        <v>658</v>
      </c>
      <c r="E18" s="150">
        <v>2</v>
      </c>
    </row>
  </sheetData>
  <mergeCells count="1">
    <mergeCell ref="A1:E1"/>
  </mergeCells>
  <pageMargins left="0.511811024" right="0.511811024" top="0.78740157499999996" bottom="0.78740157499999996" header="0.31496062000000002" footer="0.31496062000000002"/>
  <pageSetup paperSize="9" scale="61" orientation="portrait" r:id="rId1"/>
</worksheet>
</file>

<file path=xl/worksheets/sheet18.xml><?xml version="1.0" encoding="utf-8"?>
<worksheet xmlns="http://schemas.openxmlformats.org/spreadsheetml/2006/main" xmlns:r="http://schemas.openxmlformats.org/officeDocument/2006/relationships">
  <sheetPr>
    <tabColor rgb="FF002060"/>
  </sheetPr>
  <dimension ref="A1:AE106"/>
  <sheetViews>
    <sheetView zoomScale="85" zoomScaleNormal="85" zoomScaleSheetLayoutView="85" workbookViewId="0">
      <selection activeCell="I5" sqref="I5"/>
    </sheetView>
  </sheetViews>
  <sheetFormatPr defaultColWidth="9.140625" defaultRowHeight="15"/>
  <cols>
    <col min="1" max="7" width="9.140625" style="18"/>
    <col min="8" max="8" width="33.5703125" style="18" customWidth="1"/>
    <col min="9" max="9" width="9.5703125" style="18" bestFit="1" customWidth="1"/>
    <col min="10" max="10" width="9.140625" style="18"/>
    <col min="11" max="11" width="10.85546875" style="18" customWidth="1"/>
    <col min="12" max="12" width="14.28515625" style="18" customWidth="1"/>
    <col min="13" max="13" width="9.140625" style="18"/>
    <col min="14" max="14" width="7.7109375" style="18" customWidth="1"/>
    <col min="15" max="15" width="6.7109375" style="18" customWidth="1"/>
    <col min="16" max="16" width="7.85546875" style="18" customWidth="1"/>
    <col min="17" max="17" width="9.140625" style="18"/>
    <col min="18" max="18" width="14.85546875" style="18" customWidth="1"/>
    <col min="19" max="19" width="17.28515625" style="18" customWidth="1"/>
    <col min="20" max="20" width="19.85546875" style="18" customWidth="1"/>
    <col min="21" max="21" width="9.85546875" style="18" customWidth="1"/>
    <col min="22" max="25" width="9.140625" style="18"/>
    <col min="26" max="26" width="11.28515625" style="18" customWidth="1"/>
    <col min="27" max="27" width="13.42578125" style="18" customWidth="1"/>
    <col min="28" max="28" width="20.28515625" style="18" customWidth="1"/>
    <col min="29" max="29" width="20.140625" style="18" customWidth="1"/>
    <col min="30" max="16384" width="9.140625" style="18"/>
  </cols>
  <sheetData>
    <row r="1" spans="1:31" ht="30.75" thickBot="1">
      <c r="A1" s="1396" t="s">
        <v>447</v>
      </c>
      <c r="B1" s="1397"/>
      <c r="C1" s="1397"/>
      <c r="D1" s="1397"/>
      <c r="E1" s="1397"/>
      <c r="F1" s="1397"/>
      <c r="G1" s="1397"/>
      <c r="H1" s="1397"/>
      <c r="I1" s="1397"/>
      <c r="J1" s="1397"/>
      <c r="K1" s="1398"/>
    </row>
    <row r="2" spans="1:31" ht="15.75" thickBot="1">
      <c r="M2" s="57"/>
      <c r="N2" s="57"/>
      <c r="O2" s="57"/>
      <c r="P2" s="57"/>
      <c r="Q2" s="57"/>
      <c r="R2" s="57"/>
      <c r="S2" s="57"/>
      <c r="T2" s="57"/>
      <c r="U2" s="57"/>
      <c r="V2" s="57"/>
      <c r="W2" s="57"/>
      <c r="X2" s="57"/>
      <c r="Y2" s="57"/>
      <c r="Z2" s="57"/>
      <c r="AA2" s="57"/>
      <c r="AB2" s="57"/>
      <c r="AC2" s="57"/>
      <c r="AD2" s="57"/>
      <c r="AE2" s="57"/>
    </row>
    <row r="3" spans="1:31" ht="19.5" thickBot="1">
      <c r="A3" s="1399" t="s">
        <v>226</v>
      </c>
      <c r="B3" s="1400"/>
      <c r="C3" s="1400"/>
      <c r="D3" s="1400"/>
      <c r="E3" s="1400"/>
      <c r="F3" s="1400"/>
      <c r="G3" s="1400"/>
      <c r="H3" s="1400"/>
      <c r="I3" s="1401"/>
      <c r="M3" s="57"/>
      <c r="N3" s="57"/>
      <c r="O3" s="57"/>
      <c r="P3" s="57"/>
      <c r="Q3" s="57"/>
      <c r="R3" s="57"/>
      <c r="S3" s="57"/>
      <c r="T3" s="57"/>
      <c r="U3" s="57"/>
      <c r="V3" s="1402"/>
      <c r="W3" s="1402"/>
      <c r="X3" s="1402"/>
      <c r="Y3" s="1402"/>
      <c r="Z3" s="1402"/>
      <c r="AA3" s="1402"/>
      <c r="AB3" s="1402"/>
      <c r="AC3" s="1402"/>
      <c r="AD3" s="1402"/>
      <c r="AE3" s="1402"/>
    </row>
    <row r="4" spans="1:31" ht="18" thickBot="1">
      <c r="A4" s="1403" t="s">
        <v>172</v>
      </c>
      <c r="B4" s="1404"/>
      <c r="C4" s="1404"/>
      <c r="D4" s="1404"/>
      <c r="E4" s="1404"/>
      <c r="F4" s="1404"/>
      <c r="G4" s="1404"/>
      <c r="H4" s="1404"/>
      <c r="I4" s="1405"/>
      <c r="J4" s="39" t="s">
        <v>5</v>
      </c>
      <c r="K4" s="57"/>
      <c r="L4" s="57"/>
      <c r="M4" s="57"/>
      <c r="N4" s="57"/>
      <c r="O4" s="57"/>
      <c r="P4" s="57"/>
      <c r="Q4" s="57"/>
      <c r="R4" s="57"/>
      <c r="S4" s="57"/>
      <c r="T4" s="57"/>
      <c r="U4" s="57"/>
      <c r="V4" s="1406"/>
      <c r="W4" s="1406"/>
      <c r="X4" s="1406"/>
      <c r="Y4" s="1406"/>
      <c r="Z4" s="1406"/>
      <c r="AA4" s="1406"/>
      <c r="AB4" s="1406"/>
      <c r="AC4" s="1406"/>
      <c r="AD4" s="1406"/>
      <c r="AE4" s="1406"/>
    </row>
    <row r="5" spans="1:31" ht="15.75">
      <c r="A5" s="1407" t="s">
        <v>448</v>
      </c>
      <c r="B5" s="1408"/>
      <c r="C5" s="1408"/>
      <c r="D5" s="1408"/>
      <c r="E5" s="1408"/>
      <c r="F5" s="1408"/>
      <c r="G5" s="1408"/>
      <c r="H5" s="1408"/>
      <c r="I5" s="58">
        <v>482.8</v>
      </c>
      <c r="J5" s="59" t="s">
        <v>60</v>
      </c>
      <c r="K5" s="98">
        <f t="shared" ref="K5:K63" si="0">TRUNC(I5,2)</f>
        <v>482.8</v>
      </c>
      <c r="M5" s="57"/>
      <c r="N5" s="57"/>
      <c r="O5" s="57"/>
      <c r="P5" s="57"/>
      <c r="Q5" s="57"/>
      <c r="R5" s="57"/>
      <c r="S5" s="57"/>
      <c r="T5" s="57"/>
      <c r="U5" s="57"/>
      <c r="V5" s="1409"/>
      <c r="W5" s="1409"/>
      <c r="X5" s="1409"/>
      <c r="Y5" s="1409"/>
      <c r="Z5" s="1409"/>
      <c r="AA5" s="1409"/>
      <c r="AB5" s="1409"/>
      <c r="AC5" s="1409"/>
      <c r="AD5" s="57"/>
      <c r="AE5" s="57"/>
    </row>
    <row r="6" spans="1:31">
      <c r="A6" s="1394" t="s">
        <v>228</v>
      </c>
      <c r="B6" s="1395"/>
      <c r="C6" s="1395"/>
      <c r="D6" s="1395"/>
      <c r="E6" s="1395"/>
      <c r="F6" s="1395"/>
      <c r="G6" s="1395"/>
      <c r="H6" s="1395"/>
      <c r="I6" s="60">
        <f>(32.21/15)*55</f>
        <v>118.10333333333334</v>
      </c>
      <c r="J6" s="61" t="s">
        <v>60</v>
      </c>
      <c r="K6" s="98">
        <f t="shared" si="0"/>
        <v>118.1</v>
      </c>
      <c r="M6" s="57"/>
      <c r="N6" s="57"/>
      <c r="O6" s="57"/>
      <c r="P6" s="57"/>
      <c r="Q6" s="57"/>
      <c r="R6" s="57"/>
      <c r="S6" s="57"/>
      <c r="T6" s="57"/>
      <c r="U6" s="57"/>
      <c r="V6" s="62"/>
      <c r="W6" s="62"/>
      <c r="X6" s="62"/>
      <c r="Y6" s="62"/>
      <c r="Z6" s="62"/>
      <c r="AA6" s="62"/>
      <c r="AB6" s="62"/>
      <c r="AC6" s="62"/>
      <c r="AD6" s="1410"/>
      <c r="AE6" s="1410"/>
    </row>
    <row r="7" spans="1:31">
      <c r="A7" s="1411" t="s">
        <v>449</v>
      </c>
      <c r="B7" s="1412"/>
      <c r="C7" s="1412"/>
      <c r="D7" s="1412"/>
      <c r="E7" s="1412"/>
      <c r="F7" s="1412"/>
      <c r="G7" s="1412"/>
      <c r="H7" s="1412"/>
      <c r="I7" s="63">
        <f>I5-51.5</f>
        <v>431.3</v>
      </c>
      <c r="J7" s="61" t="s">
        <v>60</v>
      </c>
      <c r="K7" s="98">
        <f t="shared" si="0"/>
        <v>431.3</v>
      </c>
      <c r="M7" s="57"/>
      <c r="N7" s="57"/>
      <c r="O7" s="57"/>
      <c r="P7" s="57"/>
      <c r="Q7" s="57"/>
      <c r="R7" s="57"/>
      <c r="S7" s="57"/>
      <c r="T7" s="57"/>
      <c r="U7" s="57"/>
      <c r="V7" s="64"/>
      <c r="W7" s="64"/>
      <c r="X7" s="64"/>
      <c r="Y7" s="65"/>
      <c r="Z7" s="64"/>
      <c r="AA7" s="64"/>
      <c r="AB7" s="65"/>
      <c r="AC7" s="65"/>
      <c r="AD7" s="57"/>
      <c r="AE7" s="57"/>
    </row>
    <row r="8" spans="1:31">
      <c r="A8" s="1411" t="s">
        <v>450</v>
      </c>
      <c r="B8" s="1412"/>
      <c r="C8" s="1412"/>
      <c r="D8" s="1412"/>
      <c r="E8" s="1412"/>
      <c r="F8" s="1412"/>
      <c r="G8" s="1412"/>
      <c r="H8" s="1412"/>
      <c r="I8" s="63">
        <f>51.5*1.4</f>
        <v>72.099999999999994</v>
      </c>
      <c r="J8" s="61" t="s">
        <v>60</v>
      </c>
      <c r="K8" s="98">
        <f t="shared" si="0"/>
        <v>72.099999999999994</v>
      </c>
      <c r="M8" s="57"/>
      <c r="N8" s="57"/>
      <c r="O8" s="57"/>
      <c r="P8" s="57"/>
      <c r="Q8" s="57"/>
      <c r="R8" s="57"/>
      <c r="S8" s="57"/>
      <c r="T8" s="57"/>
      <c r="U8" s="57"/>
      <c r="V8" s="64"/>
      <c r="W8" s="64"/>
      <c r="X8" s="64"/>
      <c r="Y8" s="65"/>
      <c r="Z8" s="64"/>
      <c r="AA8" s="64"/>
      <c r="AB8" s="65"/>
      <c r="AC8" s="65"/>
      <c r="AD8" s="57"/>
      <c r="AE8" s="57"/>
    </row>
    <row r="9" spans="1:31">
      <c r="A9" s="1413" t="s">
        <v>451</v>
      </c>
      <c r="B9" s="1414"/>
      <c r="C9" s="1414"/>
      <c r="D9" s="1414"/>
      <c r="E9" s="1414"/>
      <c r="F9" s="1414"/>
      <c r="G9" s="1414"/>
      <c r="H9" s="1414"/>
      <c r="I9" s="60">
        <f>235.51*0.05</f>
        <v>11.775500000000001</v>
      </c>
      <c r="J9" s="61" t="s">
        <v>60</v>
      </c>
      <c r="K9" s="98">
        <f t="shared" si="0"/>
        <v>11.77</v>
      </c>
      <c r="M9" s="57"/>
      <c r="N9" s="57"/>
      <c r="O9" s="57"/>
      <c r="P9" s="57"/>
      <c r="Q9" s="57"/>
      <c r="R9" s="57"/>
      <c r="S9" s="57"/>
      <c r="T9" s="57"/>
      <c r="U9" s="57"/>
      <c r="V9" s="64"/>
      <c r="W9" s="64"/>
      <c r="X9" s="64"/>
      <c r="Y9" s="65"/>
      <c r="Z9" s="64"/>
      <c r="AA9" s="64"/>
      <c r="AB9" s="65"/>
      <c r="AC9" s="65"/>
      <c r="AD9" s="57"/>
      <c r="AE9" s="57"/>
    </row>
    <row r="10" spans="1:31">
      <c r="A10" s="1394" t="s">
        <v>452</v>
      </c>
      <c r="B10" s="1395"/>
      <c r="C10" s="1395"/>
      <c r="D10" s="1395"/>
      <c r="E10" s="1395"/>
      <c r="F10" s="1395"/>
      <c r="G10" s="1395"/>
      <c r="H10" s="1395"/>
      <c r="I10" s="60">
        <f>(I6/0.4)*0.05</f>
        <v>14.762916666666667</v>
      </c>
      <c r="J10" s="61" t="s">
        <v>60</v>
      </c>
      <c r="K10" s="98">
        <f t="shared" si="0"/>
        <v>14.76</v>
      </c>
      <c r="M10" s="57"/>
      <c r="N10" s="57"/>
      <c r="O10" s="57"/>
      <c r="P10" s="57"/>
      <c r="Q10" s="57"/>
      <c r="R10" s="57"/>
      <c r="S10" s="57"/>
      <c r="T10" s="57"/>
      <c r="U10" s="57"/>
      <c r="V10" s="64"/>
      <c r="W10" s="64"/>
      <c r="X10" s="64"/>
      <c r="Y10" s="65"/>
      <c r="Z10" s="64"/>
      <c r="AA10" s="64"/>
      <c r="AB10" s="65"/>
      <c r="AC10" s="65"/>
      <c r="AD10" s="57"/>
      <c r="AE10" s="57"/>
    </row>
    <row r="11" spans="1:31">
      <c r="A11" s="1394" t="s">
        <v>236</v>
      </c>
      <c r="B11" s="1395"/>
      <c r="C11" s="1395"/>
      <c r="D11" s="1395"/>
      <c r="E11" s="1395"/>
      <c r="F11" s="1395"/>
      <c r="G11" s="1395"/>
      <c r="H11" s="1395"/>
      <c r="I11" s="60">
        <f>I19</f>
        <v>503.2</v>
      </c>
      <c r="J11" s="61" t="s">
        <v>117</v>
      </c>
      <c r="K11" s="98">
        <f t="shared" si="0"/>
        <v>503.2</v>
      </c>
      <c r="M11" s="57"/>
      <c r="N11" s="57"/>
      <c r="O11" s="57"/>
      <c r="P11" s="57"/>
      <c r="Q11" s="57"/>
      <c r="R11" s="57"/>
      <c r="S11" s="57"/>
      <c r="T11" s="57"/>
      <c r="U11" s="65"/>
      <c r="V11" s="57"/>
      <c r="W11" s="57"/>
      <c r="X11" s="57"/>
      <c r="Y11" s="57"/>
      <c r="Z11" s="57"/>
      <c r="AA11" s="57"/>
      <c r="AB11" s="65"/>
      <c r="AC11" s="65"/>
      <c r="AD11" s="57"/>
      <c r="AE11" s="57"/>
    </row>
    <row r="12" spans="1:31" ht="15.75" thickBot="1">
      <c r="A12" s="1418" t="s">
        <v>667</v>
      </c>
      <c r="B12" s="1419"/>
      <c r="C12" s="1419"/>
      <c r="D12" s="1419"/>
      <c r="E12" s="1419"/>
      <c r="F12" s="1419"/>
      <c r="G12" s="1419"/>
      <c r="H12" s="1419"/>
      <c r="I12" s="66">
        <v>5</v>
      </c>
      <c r="J12" s="67" t="s">
        <v>5</v>
      </c>
      <c r="K12" s="98">
        <v>5</v>
      </c>
      <c r="M12" s="57"/>
      <c r="N12" s="57"/>
      <c r="O12" s="57"/>
      <c r="P12" s="57"/>
      <c r="Q12" s="57"/>
      <c r="R12" s="57"/>
      <c r="S12" s="57"/>
      <c r="T12" s="57"/>
      <c r="U12" s="65"/>
      <c r="V12" s="57"/>
      <c r="W12" s="57"/>
      <c r="X12" s="57"/>
      <c r="Y12" s="57"/>
      <c r="Z12" s="57"/>
      <c r="AA12" s="57"/>
      <c r="AB12" s="65"/>
      <c r="AC12" s="65"/>
      <c r="AD12" s="57"/>
      <c r="AE12" s="57"/>
    </row>
    <row r="13" spans="1:31" ht="18" thickBot="1">
      <c r="A13" s="1420" t="s">
        <v>174</v>
      </c>
      <c r="B13" s="1421"/>
      <c r="C13" s="1421"/>
      <c r="D13" s="1421"/>
      <c r="E13" s="1421"/>
      <c r="F13" s="1421"/>
      <c r="G13" s="1421"/>
      <c r="H13" s="1421"/>
      <c r="I13" s="1422"/>
      <c r="J13" s="69" t="s">
        <v>5</v>
      </c>
      <c r="K13" s="98"/>
      <c r="M13" s="57"/>
      <c r="N13" s="57"/>
      <c r="O13" s="57"/>
      <c r="P13" s="57"/>
      <c r="Q13" s="57"/>
      <c r="R13" s="57"/>
      <c r="S13" s="57"/>
      <c r="T13" s="57"/>
      <c r="U13" s="65"/>
      <c r="V13" s="57"/>
      <c r="W13" s="57"/>
      <c r="X13" s="57"/>
      <c r="Y13" s="57"/>
      <c r="Z13" s="57"/>
      <c r="AA13" s="57"/>
      <c r="AB13" s="65"/>
      <c r="AC13" s="65"/>
      <c r="AD13" s="57"/>
      <c r="AE13" s="57"/>
    </row>
    <row r="14" spans="1:31">
      <c r="A14" s="1423" t="s">
        <v>243</v>
      </c>
      <c r="B14" s="1424"/>
      <c r="C14" s="1424"/>
      <c r="D14" s="1424"/>
      <c r="E14" s="1424"/>
      <c r="F14" s="1424"/>
      <c r="G14" s="1424"/>
      <c r="H14" s="1424"/>
      <c r="I14" s="21">
        <v>133.88999999999999</v>
      </c>
      <c r="J14" s="70" t="s">
        <v>117</v>
      </c>
      <c r="K14" s="98">
        <f t="shared" si="0"/>
        <v>133.88999999999999</v>
      </c>
      <c r="M14" s="57"/>
      <c r="N14" s="57"/>
      <c r="O14" s="57"/>
      <c r="P14" s="57"/>
      <c r="Q14" s="57"/>
      <c r="R14" s="57"/>
      <c r="S14" s="57"/>
      <c r="T14" s="57"/>
      <c r="U14" s="57"/>
      <c r="V14" s="57"/>
      <c r="W14" s="57"/>
      <c r="X14" s="57"/>
      <c r="Y14" s="57"/>
      <c r="Z14" s="57"/>
      <c r="AA14" s="57"/>
      <c r="AB14" s="65"/>
      <c r="AC14" s="65"/>
      <c r="AD14" s="57"/>
      <c r="AE14" s="57"/>
    </row>
    <row r="15" spans="1:31">
      <c r="A15" s="1413" t="s">
        <v>244</v>
      </c>
      <c r="B15" s="1414"/>
      <c r="C15" s="1414"/>
      <c r="D15" s="1414"/>
      <c r="E15" s="1414"/>
      <c r="F15" s="1414"/>
      <c r="G15" s="1414"/>
      <c r="H15" s="1414"/>
      <c r="I15" s="22">
        <v>51.5</v>
      </c>
      <c r="J15" s="71" t="s">
        <v>60</v>
      </c>
      <c r="K15" s="98">
        <f t="shared" si="0"/>
        <v>51.5</v>
      </c>
      <c r="M15" s="57"/>
      <c r="N15" s="57"/>
      <c r="O15" s="57"/>
      <c r="P15" s="57"/>
      <c r="Q15" s="57"/>
      <c r="R15" s="57"/>
      <c r="S15" s="57"/>
      <c r="T15" s="57"/>
      <c r="U15" s="57"/>
      <c r="V15" s="57"/>
      <c r="W15" s="57"/>
      <c r="X15" s="57"/>
      <c r="Y15" s="57"/>
      <c r="Z15" s="57"/>
      <c r="AA15" s="57"/>
      <c r="AB15" s="65"/>
      <c r="AC15" s="65"/>
      <c r="AD15" s="57"/>
      <c r="AE15" s="57"/>
    </row>
    <row r="16" spans="1:31">
      <c r="A16" s="1415"/>
      <c r="B16" s="1416"/>
      <c r="C16" s="1416"/>
      <c r="D16" s="1416"/>
      <c r="E16" s="1416"/>
      <c r="F16" s="1416"/>
      <c r="G16" s="1416"/>
      <c r="H16" s="1417"/>
      <c r="I16" s="22"/>
      <c r="J16" s="71"/>
      <c r="K16" s="68"/>
      <c r="M16" s="57"/>
      <c r="N16" s="57"/>
      <c r="O16" s="57"/>
      <c r="P16" s="57"/>
      <c r="Q16" s="57"/>
      <c r="R16" s="57"/>
      <c r="S16" s="57"/>
      <c r="T16" s="57"/>
      <c r="U16" s="57"/>
      <c r="V16" s="57"/>
      <c r="W16" s="57"/>
      <c r="X16" s="57"/>
      <c r="Y16" s="57"/>
      <c r="Z16" s="57"/>
      <c r="AA16" s="57"/>
      <c r="AB16" s="65"/>
      <c r="AC16" s="65"/>
      <c r="AD16" s="57"/>
      <c r="AE16" s="57"/>
    </row>
    <row r="17" spans="1:31" ht="15.75" thickBot="1">
      <c r="A17" s="1413" t="s">
        <v>256</v>
      </c>
      <c r="B17" s="1414"/>
      <c r="C17" s="1414"/>
      <c r="D17" s="1414"/>
      <c r="E17" s="1414"/>
      <c r="F17" s="1414"/>
      <c r="G17" s="1414"/>
      <c r="H17" s="1414"/>
      <c r="I17" s="72">
        <f>790+881+645</f>
        <v>2316</v>
      </c>
      <c r="J17" s="71" t="s">
        <v>34</v>
      </c>
      <c r="K17" s="98">
        <f t="shared" si="0"/>
        <v>2316</v>
      </c>
      <c r="M17" s="57"/>
      <c r="N17" s="57"/>
      <c r="O17" s="57"/>
      <c r="P17" s="57"/>
      <c r="Q17" s="57"/>
      <c r="R17" s="57"/>
      <c r="S17" s="57"/>
      <c r="T17" s="57"/>
      <c r="U17" s="57"/>
      <c r="V17" s="57"/>
      <c r="W17" s="57"/>
      <c r="X17" s="57"/>
      <c r="Y17" s="57"/>
      <c r="Z17" s="57"/>
      <c r="AA17" s="57"/>
      <c r="AB17" s="65"/>
      <c r="AC17" s="65"/>
      <c r="AD17" s="57"/>
      <c r="AE17" s="57"/>
    </row>
    <row r="18" spans="1:31" ht="18" thickBot="1">
      <c r="A18" s="1403" t="s">
        <v>173</v>
      </c>
      <c r="B18" s="1404"/>
      <c r="C18" s="1404"/>
      <c r="D18" s="1404"/>
      <c r="E18" s="1404"/>
      <c r="F18" s="1404"/>
      <c r="G18" s="1404"/>
      <c r="H18" s="1404"/>
      <c r="I18" s="1405"/>
      <c r="J18" s="69" t="s">
        <v>5</v>
      </c>
      <c r="K18" s="68"/>
      <c r="M18" s="57"/>
      <c r="N18" s="57"/>
      <c r="O18" s="57"/>
      <c r="P18" s="57"/>
      <c r="Q18" s="57"/>
      <c r="R18" s="57"/>
      <c r="S18" s="57"/>
      <c r="T18" s="57"/>
      <c r="U18" s="57"/>
      <c r="V18" s="57"/>
      <c r="W18" s="57"/>
      <c r="X18" s="57"/>
      <c r="Y18" s="57"/>
      <c r="Z18" s="57"/>
      <c r="AA18" s="57"/>
      <c r="AB18" s="65"/>
      <c r="AC18" s="65"/>
      <c r="AD18" s="57"/>
      <c r="AE18" s="57"/>
    </row>
    <row r="19" spans="1:31">
      <c r="A19" s="1425" t="s">
        <v>245</v>
      </c>
      <c r="B19" s="1426"/>
      <c r="C19" s="1426"/>
      <c r="D19" s="1426"/>
      <c r="E19" s="1426"/>
      <c r="F19" s="1426"/>
      <c r="G19" s="1426"/>
      <c r="H19" s="1426"/>
      <c r="I19" s="58">
        <v>503.2</v>
      </c>
      <c r="J19" s="70" t="s">
        <v>117</v>
      </c>
      <c r="K19" s="98">
        <f t="shared" si="0"/>
        <v>503.2</v>
      </c>
      <c r="M19" s="57"/>
      <c r="N19" s="57"/>
      <c r="O19" s="57"/>
      <c r="P19" s="57"/>
      <c r="Q19" s="57"/>
      <c r="R19" s="57"/>
      <c r="S19" s="57"/>
      <c r="T19" s="57"/>
      <c r="U19" s="57"/>
      <c r="V19" s="57"/>
      <c r="W19" s="57"/>
      <c r="X19" s="57"/>
      <c r="Y19" s="57"/>
      <c r="Z19" s="57"/>
      <c r="AA19" s="57"/>
      <c r="AB19" s="65"/>
      <c r="AC19" s="65"/>
      <c r="AD19" s="57"/>
      <c r="AE19" s="57"/>
    </row>
    <row r="20" spans="1:31">
      <c r="A20" s="1413" t="s">
        <v>244</v>
      </c>
      <c r="B20" s="1414"/>
      <c r="C20" s="1414"/>
      <c r="D20" s="1414"/>
      <c r="E20" s="1414"/>
      <c r="F20" s="1414"/>
      <c r="G20" s="1414"/>
      <c r="H20" s="1414"/>
      <c r="I20" s="60">
        <v>32.21</v>
      </c>
      <c r="J20" s="71" t="s">
        <v>60</v>
      </c>
      <c r="K20" s="98">
        <f t="shared" si="0"/>
        <v>32.21</v>
      </c>
      <c r="M20" s="57"/>
      <c r="N20" s="57"/>
      <c r="O20" s="57"/>
      <c r="P20" s="57"/>
      <c r="Q20" s="57"/>
      <c r="R20" s="57"/>
      <c r="S20" s="57"/>
      <c r="T20" s="57"/>
      <c r="U20" s="57"/>
      <c r="V20" s="57"/>
      <c r="W20" s="57"/>
      <c r="X20" s="57"/>
      <c r="Y20" s="57"/>
      <c r="Z20" s="57"/>
      <c r="AA20" s="57"/>
      <c r="AB20" s="65"/>
      <c r="AC20" s="65"/>
      <c r="AD20" s="57"/>
      <c r="AE20" s="57"/>
    </row>
    <row r="21" spans="1:31">
      <c r="A21" s="1415" t="s">
        <v>246</v>
      </c>
      <c r="B21" s="1416"/>
      <c r="C21" s="1416"/>
      <c r="D21" s="1416"/>
      <c r="E21" s="1416"/>
      <c r="F21" s="1416"/>
      <c r="G21" s="1416"/>
      <c r="H21" s="1417"/>
      <c r="I21" s="73">
        <f>146+137+114+97+320</f>
        <v>814</v>
      </c>
      <c r="J21" s="71" t="s">
        <v>34</v>
      </c>
      <c r="K21" s="98">
        <f t="shared" si="0"/>
        <v>814</v>
      </c>
      <c r="M21" s="57"/>
      <c r="N21" s="57"/>
      <c r="O21" s="57"/>
      <c r="P21" s="57"/>
      <c r="Q21" s="57"/>
      <c r="R21" s="57"/>
      <c r="S21" s="57"/>
      <c r="T21" s="57"/>
      <c r="U21" s="57"/>
      <c r="V21" s="57"/>
      <c r="W21" s="57"/>
      <c r="X21" s="57"/>
      <c r="Y21" s="57"/>
      <c r="Z21" s="57"/>
      <c r="AA21" s="57"/>
      <c r="AB21" s="65"/>
      <c r="AC21" s="65"/>
      <c r="AD21" s="57"/>
      <c r="AE21" s="57"/>
    </row>
    <row r="22" spans="1:31">
      <c r="A22" s="1415" t="s">
        <v>453</v>
      </c>
      <c r="B22" s="1416"/>
      <c r="C22" s="1416"/>
      <c r="D22" s="1416"/>
      <c r="E22" s="1416"/>
      <c r="F22" s="1416"/>
      <c r="G22" s="1416"/>
      <c r="H22" s="1417"/>
      <c r="I22" s="73">
        <f>6</f>
        <v>6</v>
      </c>
      <c r="J22" s="71" t="s">
        <v>34</v>
      </c>
      <c r="K22" s="98">
        <f t="shared" si="0"/>
        <v>6</v>
      </c>
      <c r="M22" s="57"/>
      <c r="N22" s="57"/>
      <c r="O22" s="57"/>
      <c r="P22" s="57"/>
      <c r="Q22" s="57"/>
      <c r="R22" s="57"/>
      <c r="S22" s="57"/>
      <c r="T22" s="57"/>
      <c r="U22" s="57"/>
      <c r="V22" s="57"/>
      <c r="W22" s="57"/>
      <c r="X22" s="57"/>
      <c r="Y22" s="57"/>
      <c r="Z22" s="57"/>
      <c r="AA22" s="57"/>
      <c r="AB22" s="65"/>
      <c r="AC22" s="65"/>
      <c r="AD22" s="57"/>
      <c r="AE22" s="57"/>
    </row>
    <row r="23" spans="1:31">
      <c r="A23" s="1415" t="s">
        <v>454</v>
      </c>
      <c r="B23" s="1416"/>
      <c r="C23" s="1416"/>
      <c r="D23" s="1416"/>
      <c r="E23" s="1416"/>
      <c r="F23" s="1416"/>
      <c r="G23" s="1416"/>
      <c r="H23" s="1417"/>
      <c r="I23" s="73">
        <f>244+147+109+80</f>
        <v>580</v>
      </c>
      <c r="J23" s="71" t="s">
        <v>34</v>
      </c>
      <c r="K23" s="98">
        <f t="shared" si="0"/>
        <v>580</v>
      </c>
      <c r="M23" s="57"/>
      <c r="N23" s="57"/>
      <c r="O23" s="57"/>
      <c r="P23" s="57"/>
      <c r="Q23" s="57"/>
      <c r="R23" s="57"/>
      <c r="S23" s="57"/>
      <c r="T23" s="57"/>
      <c r="U23" s="57"/>
      <c r="V23" s="57"/>
      <c r="W23" s="57"/>
      <c r="X23" s="57"/>
      <c r="Y23" s="57"/>
      <c r="Z23" s="57"/>
      <c r="AA23" s="57"/>
      <c r="AB23" s="65"/>
      <c r="AC23" s="65"/>
      <c r="AD23" s="57"/>
      <c r="AE23" s="57"/>
    </row>
    <row r="24" spans="1:31">
      <c r="A24" s="1413" t="s">
        <v>247</v>
      </c>
      <c r="B24" s="1414"/>
      <c r="C24" s="1414"/>
      <c r="D24" s="1414"/>
      <c r="E24" s="1414"/>
      <c r="F24" s="1414"/>
      <c r="G24" s="1414"/>
      <c r="H24" s="1414"/>
      <c r="I24" s="74">
        <f>56+102+99+88+770</f>
        <v>1115</v>
      </c>
      <c r="J24" s="71" t="s">
        <v>34</v>
      </c>
      <c r="K24" s="98">
        <f t="shared" si="0"/>
        <v>1115</v>
      </c>
      <c r="M24" s="57"/>
      <c r="N24" s="57"/>
      <c r="O24" s="57"/>
      <c r="P24" s="57"/>
      <c r="Q24" s="57"/>
      <c r="R24" s="57"/>
      <c r="S24" s="57"/>
      <c r="T24" s="57"/>
      <c r="U24" s="57"/>
      <c r="V24" s="57"/>
      <c r="W24" s="57"/>
      <c r="X24" s="57"/>
      <c r="Y24" s="57"/>
      <c r="Z24" s="57"/>
      <c r="AA24" s="57"/>
      <c r="AB24" s="65"/>
      <c r="AC24" s="65"/>
      <c r="AD24" s="57"/>
      <c r="AE24" s="57"/>
    </row>
    <row r="25" spans="1:31">
      <c r="A25" s="1413" t="s">
        <v>248</v>
      </c>
      <c r="B25" s="1414"/>
      <c r="C25" s="1414"/>
      <c r="D25" s="1414"/>
      <c r="E25" s="1414"/>
      <c r="F25" s="1414"/>
      <c r="G25" s="1414"/>
      <c r="H25" s="1414"/>
      <c r="I25" s="75">
        <f>15+161+140+116</f>
        <v>432</v>
      </c>
      <c r="J25" s="71" t="s">
        <v>34</v>
      </c>
      <c r="K25" s="98">
        <f t="shared" si="0"/>
        <v>432</v>
      </c>
      <c r="M25" s="57"/>
      <c r="N25" s="57"/>
      <c r="O25" s="57"/>
      <c r="P25" s="57"/>
      <c r="Q25" s="57"/>
      <c r="R25" s="57"/>
      <c r="S25" s="57"/>
      <c r="T25" s="57"/>
      <c r="U25" s="57"/>
      <c r="V25" s="57"/>
      <c r="W25" s="57"/>
      <c r="X25" s="57"/>
      <c r="Y25" s="57"/>
      <c r="Z25" s="57"/>
      <c r="AA25" s="57"/>
      <c r="AB25" s="65"/>
      <c r="AC25" s="65"/>
      <c r="AD25" s="57"/>
      <c r="AE25" s="57"/>
    </row>
    <row r="26" spans="1:31" ht="15.75" thickBot="1">
      <c r="A26" s="1427" t="s">
        <v>257</v>
      </c>
      <c r="B26" s="1428"/>
      <c r="C26" s="1428"/>
      <c r="D26" s="1428"/>
      <c r="E26" s="1428"/>
      <c r="F26" s="1428"/>
      <c r="G26" s="1428"/>
      <c r="H26" s="1428"/>
      <c r="I26" s="76">
        <f>67</f>
        <v>67</v>
      </c>
      <c r="J26" s="77" t="s">
        <v>34</v>
      </c>
      <c r="K26" s="98">
        <f t="shared" si="0"/>
        <v>67</v>
      </c>
      <c r="M26" s="57"/>
      <c r="N26" s="57"/>
      <c r="O26" s="57"/>
      <c r="P26" s="57"/>
      <c r="Q26" s="57"/>
      <c r="R26" s="57"/>
      <c r="S26" s="57"/>
      <c r="T26" s="57"/>
      <c r="U26" s="57"/>
      <c r="V26" s="57"/>
      <c r="W26" s="57"/>
      <c r="X26" s="57"/>
      <c r="Y26" s="57"/>
      <c r="Z26" s="57"/>
      <c r="AA26" s="57"/>
      <c r="AB26" s="65"/>
      <c r="AC26" s="65"/>
      <c r="AD26" s="57"/>
      <c r="AE26" s="57"/>
    </row>
    <row r="27" spans="1:31" ht="18" thickBot="1">
      <c r="A27" s="1429" t="s">
        <v>254</v>
      </c>
      <c r="B27" s="1430"/>
      <c r="C27" s="1430"/>
      <c r="D27" s="1430"/>
      <c r="E27" s="1430"/>
      <c r="F27" s="1430"/>
      <c r="G27" s="1430"/>
      <c r="H27" s="1430"/>
      <c r="I27" s="1431"/>
      <c r="K27" s="68"/>
      <c r="M27" s="57"/>
      <c r="N27" s="57"/>
      <c r="O27" s="57"/>
      <c r="P27" s="57"/>
      <c r="Q27" s="57"/>
      <c r="R27" s="57"/>
      <c r="S27" s="57"/>
      <c r="T27" s="57"/>
      <c r="U27" s="57"/>
      <c r="V27" s="57"/>
      <c r="W27" s="57"/>
      <c r="X27" s="57"/>
      <c r="Y27" s="57"/>
      <c r="Z27" s="57"/>
      <c r="AA27" s="57"/>
      <c r="AB27" s="65"/>
      <c r="AC27" s="57"/>
      <c r="AD27" s="57"/>
      <c r="AE27" s="57"/>
    </row>
    <row r="28" spans="1:31" ht="18" thickBot="1">
      <c r="A28" s="1403" t="s">
        <v>65</v>
      </c>
      <c r="B28" s="1404"/>
      <c r="C28" s="1404"/>
      <c r="D28" s="1404"/>
      <c r="E28" s="1404"/>
      <c r="F28" s="1404"/>
      <c r="G28" s="1404"/>
      <c r="H28" s="1404"/>
      <c r="I28" s="1405"/>
      <c r="J28" s="69" t="s">
        <v>5</v>
      </c>
      <c r="K28" s="68"/>
      <c r="M28" s="57"/>
      <c r="N28" s="57"/>
      <c r="O28" s="57"/>
      <c r="P28" s="57"/>
      <c r="Q28" s="57"/>
      <c r="R28" s="57"/>
      <c r="S28" s="57"/>
      <c r="T28" s="57"/>
      <c r="U28" s="57"/>
      <c r="V28" s="57"/>
      <c r="W28" s="57"/>
      <c r="X28" s="57"/>
      <c r="Y28" s="57"/>
      <c r="Z28" s="57"/>
      <c r="AA28" s="57"/>
      <c r="AB28" s="65"/>
      <c r="AC28" s="57"/>
      <c r="AD28" s="57"/>
      <c r="AE28" s="57"/>
    </row>
    <row r="29" spans="1:31">
      <c r="A29" s="1423" t="s">
        <v>245</v>
      </c>
      <c r="B29" s="1424"/>
      <c r="C29" s="1424"/>
      <c r="D29" s="1424"/>
      <c r="E29" s="1424"/>
      <c r="F29" s="1424"/>
      <c r="G29" s="1424"/>
      <c r="H29" s="1424"/>
      <c r="I29" s="21">
        <f>180.18+366.27+230.92+74.58</f>
        <v>851.95</v>
      </c>
      <c r="J29" s="70" t="s">
        <v>117</v>
      </c>
      <c r="K29" s="98">
        <f t="shared" si="0"/>
        <v>851.95</v>
      </c>
      <c r="M29" s="57"/>
      <c r="N29" s="57"/>
      <c r="O29" s="57"/>
      <c r="P29" s="57"/>
      <c r="Q29" s="57"/>
      <c r="R29" s="57"/>
      <c r="S29" s="57"/>
      <c r="T29" s="57"/>
      <c r="U29" s="57"/>
      <c r="V29" s="57"/>
      <c r="W29" s="57"/>
      <c r="X29" s="57"/>
      <c r="Y29" s="57"/>
      <c r="Z29" s="57"/>
      <c r="AA29" s="57"/>
      <c r="AB29" s="65"/>
      <c r="AC29" s="57"/>
      <c r="AD29" s="57"/>
      <c r="AE29" s="57"/>
    </row>
    <row r="30" spans="1:31">
      <c r="A30" s="1413" t="s">
        <v>244</v>
      </c>
      <c r="B30" s="1414"/>
      <c r="C30" s="1414"/>
      <c r="D30" s="1414"/>
      <c r="E30" s="1414"/>
      <c r="F30" s="1414"/>
      <c r="G30" s="1414"/>
      <c r="H30" s="1414"/>
      <c r="I30" s="22">
        <f>14.12+25.58+16.92+5.4</f>
        <v>62.019999999999996</v>
      </c>
      <c r="J30" s="71" t="s">
        <v>60</v>
      </c>
      <c r="K30" s="98">
        <f t="shared" si="0"/>
        <v>62.02</v>
      </c>
      <c r="M30" s="57"/>
      <c r="N30" s="57"/>
      <c r="O30" s="57"/>
      <c r="P30" s="57"/>
      <c r="Q30" s="57"/>
      <c r="R30" s="57"/>
      <c r="S30" s="57"/>
      <c r="T30" s="57"/>
      <c r="U30" s="57"/>
      <c r="V30" s="57"/>
      <c r="W30" s="57"/>
      <c r="X30" s="57"/>
      <c r="Y30" s="57"/>
      <c r="Z30" s="57"/>
      <c r="AA30" s="57"/>
      <c r="AB30" s="65"/>
      <c r="AC30" s="57"/>
      <c r="AD30" s="57"/>
      <c r="AE30" s="57"/>
    </row>
    <row r="31" spans="1:31">
      <c r="A31" s="1413" t="s">
        <v>246</v>
      </c>
      <c r="B31" s="1414"/>
      <c r="C31" s="1414"/>
      <c r="D31" s="1414"/>
      <c r="E31" s="1414"/>
      <c r="F31" s="1414"/>
      <c r="G31" s="1414"/>
      <c r="H31" s="1414"/>
      <c r="I31" s="72">
        <f>314+278+361+178</f>
        <v>1131</v>
      </c>
      <c r="J31" s="71" t="s">
        <v>34</v>
      </c>
      <c r="K31" s="98">
        <f t="shared" si="0"/>
        <v>1131</v>
      </c>
      <c r="M31" s="57"/>
      <c r="N31" s="57"/>
      <c r="O31" s="57"/>
      <c r="P31" s="57"/>
      <c r="Q31" s="57"/>
      <c r="R31" s="57"/>
      <c r="S31" s="57"/>
      <c r="T31" s="57"/>
      <c r="U31" s="57"/>
      <c r="V31" s="57"/>
      <c r="W31" s="57"/>
      <c r="X31" s="57"/>
      <c r="Y31" s="57"/>
      <c r="Z31" s="57"/>
      <c r="AA31" s="57"/>
      <c r="AB31" s="65"/>
      <c r="AC31" s="57"/>
      <c r="AD31" s="57"/>
      <c r="AE31" s="57"/>
    </row>
    <row r="32" spans="1:31">
      <c r="A32" s="1413" t="s">
        <v>247</v>
      </c>
      <c r="B32" s="1414"/>
      <c r="C32" s="1414"/>
      <c r="D32" s="1414"/>
      <c r="E32" s="1414"/>
      <c r="F32" s="1414"/>
      <c r="G32" s="1414"/>
      <c r="H32" s="1414"/>
      <c r="I32" s="72">
        <f>781+715+887+521</f>
        <v>2904</v>
      </c>
      <c r="J32" s="71" t="s">
        <v>34</v>
      </c>
      <c r="K32" s="98">
        <f t="shared" si="0"/>
        <v>2904</v>
      </c>
      <c r="M32" s="57"/>
      <c r="N32" s="57"/>
      <c r="O32" s="57"/>
      <c r="P32" s="57"/>
      <c r="Q32" s="57"/>
      <c r="R32" s="57"/>
      <c r="S32" s="57"/>
      <c r="T32" s="57"/>
      <c r="U32" s="57"/>
      <c r="V32" s="57"/>
      <c r="W32" s="57"/>
      <c r="X32" s="57"/>
      <c r="Y32" s="57"/>
      <c r="Z32" s="57"/>
      <c r="AA32" s="57"/>
      <c r="AB32" s="65"/>
      <c r="AC32" s="57"/>
      <c r="AD32" s="57"/>
      <c r="AE32" s="57"/>
    </row>
    <row r="33" spans="1:31">
      <c r="A33" s="1413" t="s">
        <v>256</v>
      </c>
      <c r="B33" s="1414"/>
      <c r="C33" s="1414"/>
      <c r="D33" s="1414"/>
      <c r="E33" s="1414"/>
      <c r="F33" s="1414"/>
      <c r="G33" s="1414"/>
      <c r="H33" s="1414"/>
      <c r="I33" s="72">
        <f>109+26</f>
        <v>135</v>
      </c>
      <c r="J33" s="71" t="s">
        <v>34</v>
      </c>
      <c r="K33" s="98">
        <f t="shared" si="0"/>
        <v>135</v>
      </c>
      <c r="M33" s="57"/>
      <c r="N33" s="57"/>
      <c r="O33" s="57"/>
      <c r="P33" s="57"/>
      <c r="Q33" s="57"/>
      <c r="R33" s="57"/>
      <c r="S33" s="57"/>
      <c r="T33" s="57"/>
      <c r="U33" s="57"/>
      <c r="V33" s="57"/>
      <c r="W33" s="57"/>
      <c r="X33" s="57"/>
      <c r="Y33" s="57"/>
      <c r="Z33" s="57"/>
      <c r="AA33" s="57"/>
      <c r="AB33" s="65"/>
      <c r="AC33" s="57"/>
      <c r="AD33" s="57"/>
      <c r="AE33" s="57"/>
    </row>
    <row r="34" spans="1:31" ht="15.75" thickBot="1">
      <c r="A34" s="1413" t="s">
        <v>257</v>
      </c>
      <c r="B34" s="1414"/>
      <c r="C34" s="1414"/>
      <c r="D34" s="1414"/>
      <c r="E34" s="1414"/>
      <c r="F34" s="1414"/>
      <c r="G34" s="1414"/>
      <c r="H34" s="1414"/>
      <c r="I34" s="72">
        <f>285+195+503</f>
        <v>983</v>
      </c>
      <c r="J34" s="71" t="s">
        <v>34</v>
      </c>
      <c r="K34" s="98">
        <f t="shared" si="0"/>
        <v>983</v>
      </c>
      <c r="M34" s="57"/>
      <c r="N34" s="57"/>
      <c r="O34" s="57"/>
      <c r="P34" s="57"/>
      <c r="Q34" s="57"/>
      <c r="R34" s="57"/>
      <c r="S34" s="57"/>
      <c r="T34" s="57"/>
      <c r="U34" s="57"/>
      <c r="V34" s="57"/>
      <c r="W34" s="57"/>
      <c r="X34" s="57"/>
      <c r="Y34" s="57"/>
      <c r="Z34" s="57"/>
      <c r="AA34" s="57"/>
      <c r="AB34" s="65"/>
      <c r="AC34" s="57"/>
      <c r="AD34" s="57"/>
      <c r="AE34" s="57"/>
    </row>
    <row r="35" spans="1:31" ht="18" thickBot="1">
      <c r="A35" s="1403" t="s">
        <v>66</v>
      </c>
      <c r="B35" s="1404"/>
      <c r="C35" s="1404"/>
      <c r="D35" s="1404"/>
      <c r="E35" s="1404"/>
      <c r="F35" s="1404"/>
      <c r="G35" s="1404"/>
      <c r="H35" s="1404"/>
      <c r="I35" s="1405"/>
      <c r="J35" s="69" t="s">
        <v>5</v>
      </c>
      <c r="K35" s="68"/>
      <c r="M35" s="57"/>
      <c r="N35" s="57"/>
      <c r="O35" s="57"/>
      <c r="P35" s="57"/>
      <c r="Q35" s="57"/>
      <c r="R35" s="57"/>
      <c r="S35" s="57"/>
      <c r="T35" s="57"/>
      <c r="U35" s="57"/>
      <c r="V35" s="57"/>
      <c r="W35" s="57"/>
      <c r="X35" s="57"/>
      <c r="Y35" s="57"/>
      <c r="Z35" s="57"/>
      <c r="AA35" s="57"/>
      <c r="AB35" s="65"/>
      <c r="AC35" s="57"/>
      <c r="AD35" s="57"/>
      <c r="AE35" s="57"/>
    </row>
    <row r="36" spans="1:31">
      <c r="A36" s="1423" t="s">
        <v>245</v>
      </c>
      <c r="B36" s="1424"/>
      <c r="C36" s="1424"/>
      <c r="D36" s="1424"/>
      <c r="E36" s="1424"/>
      <c r="F36" s="1424"/>
      <c r="G36" s="1424"/>
      <c r="H36" s="1424"/>
      <c r="I36" s="21">
        <f>362.57+464.99+68.98+9.72</f>
        <v>906.26</v>
      </c>
      <c r="J36" s="70" t="s">
        <v>117</v>
      </c>
      <c r="K36" s="98">
        <f t="shared" si="0"/>
        <v>906.26</v>
      </c>
      <c r="M36" s="57"/>
      <c r="N36" s="57"/>
      <c r="O36" s="57"/>
      <c r="P36" s="57"/>
      <c r="Q36" s="57"/>
      <c r="R36" s="57"/>
      <c r="S36" s="57"/>
      <c r="T36" s="57"/>
      <c r="U36" s="57"/>
      <c r="V36" s="57"/>
      <c r="W36" s="57"/>
      <c r="X36" s="57"/>
      <c r="Y36" s="57"/>
      <c r="Z36" s="57"/>
      <c r="AA36" s="57"/>
      <c r="AB36" s="65"/>
      <c r="AC36" s="57"/>
      <c r="AD36" s="57"/>
      <c r="AE36" s="57"/>
    </row>
    <row r="37" spans="1:31">
      <c r="A37" s="1413" t="s">
        <v>244</v>
      </c>
      <c r="B37" s="1414"/>
      <c r="C37" s="1414"/>
      <c r="D37" s="1414"/>
      <c r="E37" s="1414"/>
      <c r="F37" s="1414"/>
      <c r="G37" s="1414"/>
      <c r="H37" s="1414"/>
      <c r="I37" s="22">
        <f>31.91+31.63+3.93+0.61</f>
        <v>68.08</v>
      </c>
      <c r="J37" s="71" t="s">
        <v>60</v>
      </c>
      <c r="K37" s="98">
        <f t="shared" si="0"/>
        <v>68.08</v>
      </c>
      <c r="M37" s="57"/>
      <c r="N37" s="57"/>
      <c r="O37" s="57"/>
      <c r="P37" s="57"/>
      <c r="Q37" s="57"/>
      <c r="R37" s="57"/>
      <c r="S37" s="57"/>
      <c r="T37" s="57"/>
      <c r="U37" s="57"/>
      <c r="V37" s="57"/>
      <c r="W37" s="57"/>
      <c r="X37" s="57"/>
      <c r="Y37" s="57"/>
      <c r="Z37" s="57"/>
      <c r="AA37" s="57"/>
      <c r="AB37" s="65"/>
      <c r="AC37" s="57"/>
      <c r="AD37" s="57"/>
      <c r="AE37" s="57"/>
    </row>
    <row r="38" spans="1:31">
      <c r="A38" s="1413" t="s">
        <v>246</v>
      </c>
      <c r="B38" s="1414"/>
      <c r="C38" s="1414"/>
      <c r="D38" s="1414"/>
      <c r="E38" s="1414"/>
      <c r="F38" s="1414"/>
      <c r="G38" s="1414"/>
      <c r="H38" s="1414"/>
      <c r="I38" s="72">
        <f>70+112+111+90+135+128+116+99</f>
        <v>861</v>
      </c>
      <c r="J38" s="71" t="s">
        <v>34</v>
      </c>
      <c r="K38" s="98">
        <f t="shared" si="0"/>
        <v>861</v>
      </c>
      <c r="L38" s="20"/>
      <c r="M38" s="65"/>
      <c r="N38" s="57"/>
      <c r="O38" s="57"/>
      <c r="P38" s="57"/>
      <c r="Q38" s="57"/>
      <c r="R38" s="57"/>
      <c r="S38" s="57"/>
      <c r="T38" s="57"/>
      <c r="U38" s="57"/>
      <c r="V38" s="57"/>
      <c r="W38" s="57"/>
      <c r="X38" s="57"/>
      <c r="Y38" s="57"/>
      <c r="Z38" s="57"/>
      <c r="AA38" s="57"/>
      <c r="AB38" s="65"/>
      <c r="AC38" s="57"/>
      <c r="AD38" s="57"/>
      <c r="AE38" s="57"/>
    </row>
    <row r="39" spans="1:31">
      <c r="A39" s="1413" t="s">
        <v>453</v>
      </c>
      <c r="B39" s="1414"/>
      <c r="C39" s="1414"/>
      <c r="D39" s="1414"/>
      <c r="E39" s="1414"/>
      <c r="F39" s="1414"/>
      <c r="G39" s="1414"/>
      <c r="H39" s="1414"/>
      <c r="I39" s="72">
        <f>74+13+6+3+5+14+14+23</f>
        <v>152</v>
      </c>
      <c r="J39" s="71" t="s">
        <v>34</v>
      </c>
      <c r="K39" s="98">
        <f t="shared" si="0"/>
        <v>152</v>
      </c>
      <c r="L39" s="20"/>
      <c r="M39" s="65"/>
      <c r="N39" s="57"/>
      <c r="O39" s="57"/>
      <c r="P39" s="57"/>
      <c r="Q39" s="57"/>
      <c r="R39" s="57"/>
      <c r="S39" s="57"/>
      <c r="T39" s="57"/>
      <c r="U39" s="57"/>
      <c r="V39" s="57"/>
      <c r="W39" s="57"/>
      <c r="X39" s="57"/>
      <c r="Y39" s="57"/>
      <c r="Z39" s="57"/>
      <c r="AA39" s="57"/>
      <c r="AB39" s="65"/>
      <c r="AC39" s="57"/>
      <c r="AD39" s="57"/>
      <c r="AE39" s="57"/>
    </row>
    <row r="40" spans="1:31">
      <c r="A40" s="1413" t="s">
        <v>454</v>
      </c>
      <c r="B40" s="1414"/>
      <c r="C40" s="1414"/>
      <c r="D40" s="1414"/>
      <c r="E40" s="1414"/>
      <c r="F40" s="1414"/>
      <c r="G40" s="1414"/>
      <c r="H40" s="1414"/>
      <c r="I40" s="72">
        <f>70+45+71+9+76+42+41+19</f>
        <v>373</v>
      </c>
      <c r="J40" s="71" t="s">
        <v>34</v>
      </c>
      <c r="K40" s="98">
        <f t="shared" si="0"/>
        <v>373</v>
      </c>
      <c r="L40" s="20"/>
      <c r="M40" s="65"/>
      <c r="N40" s="57"/>
      <c r="O40" s="57"/>
      <c r="P40" s="57"/>
      <c r="Q40" s="57"/>
      <c r="R40" s="57"/>
      <c r="S40" s="57"/>
      <c r="T40" s="57"/>
      <c r="U40" s="57"/>
      <c r="V40" s="57"/>
      <c r="W40" s="57"/>
      <c r="X40" s="57"/>
      <c r="Y40" s="57"/>
      <c r="Z40" s="57"/>
      <c r="AA40" s="57"/>
      <c r="AB40" s="65"/>
      <c r="AC40" s="57"/>
      <c r="AD40" s="57"/>
      <c r="AE40" s="57"/>
    </row>
    <row r="41" spans="1:31">
      <c r="A41" s="1413" t="s">
        <v>455</v>
      </c>
      <c r="B41" s="1414"/>
      <c r="C41" s="1414"/>
      <c r="D41" s="1414"/>
      <c r="E41" s="1414"/>
      <c r="F41" s="1414"/>
      <c r="G41" s="1414"/>
      <c r="H41" s="1414"/>
      <c r="I41" s="72">
        <f>352+276+138+196+255+265+127+135</f>
        <v>1744</v>
      </c>
      <c r="J41" s="71" t="s">
        <v>34</v>
      </c>
      <c r="K41" s="98">
        <f t="shared" si="0"/>
        <v>1744</v>
      </c>
      <c r="L41" s="20"/>
      <c r="M41" s="65"/>
      <c r="N41" s="57"/>
      <c r="O41" s="57"/>
      <c r="P41" s="57"/>
      <c r="Q41" s="57"/>
      <c r="R41" s="57"/>
      <c r="S41" s="57"/>
      <c r="T41" s="57"/>
      <c r="U41" s="57"/>
      <c r="V41" s="57"/>
      <c r="W41" s="57"/>
      <c r="X41" s="57"/>
      <c r="Y41" s="57"/>
      <c r="Z41" s="57"/>
      <c r="AA41" s="57"/>
      <c r="AB41" s="65"/>
      <c r="AC41" s="57"/>
      <c r="AD41" s="57"/>
      <c r="AE41" s="57"/>
    </row>
    <row r="42" spans="1:31">
      <c r="A42" s="1413" t="s">
        <v>248</v>
      </c>
      <c r="B42" s="1414"/>
      <c r="C42" s="1414"/>
      <c r="D42" s="1414"/>
      <c r="E42" s="1414"/>
      <c r="F42" s="1414"/>
      <c r="G42" s="1414"/>
      <c r="H42" s="1414"/>
      <c r="I42" s="35">
        <f>233+142+163+163+21+74+227+27</f>
        <v>1050</v>
      </c>
      <c r="J42" s="71" t="s">
        <v>34</v>
      </c>
      <c r="K42" s="98">
        <f t="shared" si="0"/>
        <v>1050</v>
      </c>
      <c r="L42" s="20"/>
      <c r="M42" s="57"/>
      <c r="N42" s="57"/>
      <c r="O42" s="57"/>
      <c r="P42" s="57"/>
      <c r="Q42" s="57"/>
      <c r="R42" s="57"/>
      <c r="S42" s="57"/>
      <c r="T42" s="57"/>
      <c r="U42" s="57"/>
      <c r="V42" s="57"/>
      <c r="W42" s="57"/>
      <c r="X42" s="57"/>
      <c r="Y42" s="57"/>
      <c r="Z42" s="57"/>
      <c r="AA42" s="57"/>
      <c r="AB42" s="65"/>
      <c r="AC42" s="57"/>
      <c r="AD42" s="57"/>
      <c r="AE42" s="57"/>
    </row>
    <row r="43" spans="1:31">
      <c r="A43" s="1413" t="s">
        <v>257</v>
      </c>
      <c r="B43" s="1414"/>
      <c r="C43" s="1414"/>
      <c r="D43" s="1414"/>
      <c r="E43" s="1414"/>
      <c r="F43" s="1414"/>
      <c r="G43" s="1414"/>
      <c r="H43" s="1414"/>
      <c r="I43" s="35">
        <f>47+120+137</f>
        <v>304</v>
      </c>
      <c r="J43" s="71" t="s">
        <v>34</v>
      </c>
      <c r="K43" s="98">
        <f t="shared" si="0"/>
        <v>304</v>
      </c>
      <c r="L43" s="20"/>
      <c r="M43" s="57"/>
      <c r="N43" s="57"/>
      <c r="O43" s="57"/>
      <c r="P43" s="57"/>
      <c r="Q43" s="57"/>
      <c r="R43" s="57"/>
      <c r="S43" s="57"/>
      <c r="T43" s="57"/>
      <c r="U43" s="57"/>
      <c r="V43" s="57"/>
      <c r="W43" s="57"/>
      <c r="X43" s="57"/>
      <c r="Y43" s="57"/>
      <c r="Z43" s="57"/>
      <c r="AA43" s="57"/>
      <c r="AB43" s="65"/>
      <c r="AC43" s="57"/>
      <c r="AD43" s="57"/>
      <c r="AE43" s="57"/>
    </row>
    <row r="44" spans="1:31" ht="15.75" thickBot="1">
      <c r="A44" s="1413" t="s">
        <v>456</v>
      </c>
      <c r="B44" s="1414"/>
      <c r="C44" s="1414"/>
      <c r="D44" s="1414"/>
      <c r="E44" s="1414"/>
      <c r="F44" s="1414"/>
      <c r="G44" s="1414"/>
      <c r="H44" s="1414"/>
      <c r="I44" s="35">
        <f>95+94+253</f>
        <v>442</v>
      </c>
      <c r="J44" s="71" t="s">
        <v>34</v>
      </c>
      <c r="K44" s="98">
        <f t="shared" si="0"/>
        <v>442</v>
      </c>
      <c r="L44" s="20"/>
      <c r="M44" s="57"/>
      <c r="N44" s="57"/>
      <c r="O44" s="57"/>
      <c r="P44" s="57"/>
      <c r="Q44" s="57"/>
      <c r="R44" s="57"/>
      <c r="S44" s="57"/>
      <c r="T44" s="57"/>
      <c r="U44" s="57"/>
      <c r="V44" s="57"/>
      <c r="W44" s="57"/>
      <c r="X44" s="57"/>
      <c r="Y44" s="57"/>
      <c r="Z44" s="57"/>
      <c r="AA44" s="57"/>
      <c r="AB44" s="65"/>
      <c r="AC44" s="57"/>
      <c r="AD44" s="57"/>
      <c r="AE44" s="57"/>
    </row>
    <row r="45" spans="1:31" ht="18" thickBot="1">
      <c r="A45" s="1403" t="s">
        <v>457</v>
      </c>
      <c r="B45" s="1404"/>
      <c r="C45" s="1404"/>
      <c r="D45" s="1404"/>
      <c r="E45" s="1404"/>
      <c r="F45" s="1404"/>
      <c r="G45" s="1404"/>
      <c r="H45" s="1404"/>
      <c r="I45" s="1405"/>
      <c r="J45" s="69" t="s">
        <v>5</v>
      </c>
      <c r="K45" s="68"/>
      <c r="M45" s="57"/>
      <c r="N45" s="57"/>
      <c r="O45" s="57"/>
      <c r="P45" s="57"/>
      <c r="Q45" s="57"/>
      <c r="R45" s="57"/>
      <c r="S45" s="57"/>
      <c r="T45" s="57"/>
      <c r="U45" s="57"/>
      <c r="V45" s="57"/>
      <c r="W45" s="57"/>
      <c r="X45" s="57"/>
      <c r="Y45" s="57"/>
      <c r="Z45" s="57"/>
      <c r="AA45" s="57"/>
      <c r="AB45" s="65"/>
      <c r="AC45" s="57"/>
      <c r="AD45" s="57"/>
      <c r="AE45" s="57"/>
    </row>
    <row r="46" spans="1:31">
      <c r="A46" s="1425" t="s">
        <v>458</v>
      </c>
      <c r="B46" s="1426"/>
      <c r="C46" s="1426"/>
      <c r="D46" s="1426"/>
      <c r="E46" s="1426"/>
      <c r="F46" s="1426"/>
      <c r="G46" s="1426"/>
      <c r="H46" s="1426"/>
      <c r="I46" s="58">
        <v>750.83</v>
      </c>
      <c r="J46" s="78" t="s">
        <v>117</v>
      </c>
      <c r="K46" s="98">
        <f t="shared" si="0"/>
        <v>750.83</v>
      </c>
      <c r="M46" s="57"/>
      <c r="N46" s="57"/>
      <c r="O46" s="57"/>
      <c r="P46" s="57"/>
      <c r="Q46" s="57"/>
      <c r="R46" s="57"/>
      <c r="S46" s="57"/>
      <c r="T46" s="57"/>
      <c r="U46" s="57"/>
      <c r="V46" s="57"/>
      <c r="W46" s="57"/>
      <c r="X46" s="57"/>
      <c r="Y46" s="57"/>
      <c r="Z46" s="57"/>
      <c r="AA46" s="57"/>
      <c r="AB46" s="65"/>
      <c r="AC46" s="57"/>
      <c r="AD46" s="57"/>
      <c r="AE46" s="57"/>
    </row>
    <row r="47" spans="1:31" ht="15.75" thickBot="1">
      <c r="A47" s="1432" t="s">
        <v>459</v>
      </c>
      <c r="B47" s="1433"/>
      <c r="C47" s="1433"/>
      <c r="D47" s="1433"/>
      <c r="E47" s="1433"/>
      <c r="F47" s="1433"/>
      <c r="G47" s="1433"/>
      <c r="H47" s="1434"/>
      <c r="I47" s="79">
        <f>I46*1.48</f>
        <v>1111.2284</v>
      </c>
      <c r="J47" s="61" t="s">
        <v>34</v>
      </c>
      <c r="K47" s="98">
        <f t="shared" si="0"/>
        <v>1111.22</v>
      </c>
      <c r="M47" s="57"/>
      <c r="N47" s="57"/>
      <c r="O47" s="57"/>
      <c r="P47" s="57"/>
      <c r="Q47" s="57"/>
      <c r="R47" s="57"/>
      <c r="S47" s="57"/>
      <c r="T47" s="57"/>
      <c r="U47" s="57"/>
      <c r="V47" s="57"/>
      <c r="W47" s="57"/>
      <c r="X47" s="57"/>
      <c r="Y47" s="57"/>
      <c r="Z47" s="57"/>
      <c r="AA47" s="57"/>
      <c r="AB47" s="65"/>
      <c r="AC47" s="57"/>
      <c r="AD47" s="57"/>
      <c r="AE47" s="57"/>
    </row>
    <row r="48" spans="1:31">
      <c r="A48" s="1415" t="s">
        <v>460</v>
      </c>
      <c r="B48" s="1416"/>
      <c r="C48" s="1416"/>
      <c r="D48" s="1416"/>
      <c r="E48" s="1416"/>
      <c r="F48" s="1416"/>
      <c r="G48" s="1416"/>
      <c r="H48" s="1417"/>
      <c r="I48" s="63">
        <v>116.81</v>
      </c>
      <c r="J48" s="80" t="s">
        <v>117</v>
      </c>
      <c r="K48" s="98">
        <f t="shared" si="0"/>
        <v>116.81</v>
      </c>
      <c r="M48" s="57"/>
      <c r="N48" s="57"/>
      <c r="O48" s="57"/>
      <c r="P48" s="57"/>
      <c r="Q48" s="57"/>
      <c r="R48" s="57"/>
      <c r="S48" s="57"/>
      <c r="T48" s="57"/>
      <c r="U48" s="57"/>
      <c r="V48" s="57"/>
      <c r="W48" s="57"/>
      <c r="X48" s="57"/>
      <c r="Y48" s="57"/>
      <c r="Z48" s="57"/>
      <c r="AA48" s="57"/>
      <c r="AB48" s="65"/>
      <c r="AC48" s="57"/>
      <c r="AD48" s="57"/>
      <c r="AE48" s="57"/>
    </row>
    <row r="49" spans="1:31">
      <c r="A49" s="1413" t="s">
        <v>461</v>
      </c>
      <c r="B49" s="1414"/>
      <c r="C49" s="1414"/>
      <c r="D49" s="1414"/>
      <c r="E49" s="1414"/>
      <c r="F49" s="1414"/>
      <c r="G49" s="1414"/>
      <c r="H49" s="1414"/>
      <c r="I49" s="60">
        <v>16.03</v>
      </c>
      <c r="J49" s="61" t="s">
        <v>60</v>
      </c>
      <c r="K49" s="98">
        <f t="shared" si="0"/>
        <v>16.03</v>
      </c>
      <c r="M49" s="57"/>
      <c r="N49" s="57"/>
      <c r="O49" s="57"/>
      <c r="P49" s="57"/>
      <c r="Q49" s="57"/>
      <c r="R49" s="57"/>
      <c r="S49" s="57"/>
      <c r="T49" s="57"/>
      <c r="U49" s="57"/>
      <c r="V49" s="57"/>
      <c r="W49" s="57"/>
      <c r="X49" s="57"/>
      <c r="Y49" s="57"/>
      <c r="Z49" s="57"/>
      <c r="AA49" s="57"/>
      <c r="AB49" s="65"/>
      <c r="AC49" s="57"/>
      <c r="AD49" s="57"/>
      <c r="AE49" s="57"/>
    </row>
    <row r="50" spans="1:31">
      <c r="A50" s="1413" t="s">
        <v>246</v>
      </c>
      <c r="B50" s="1414"/>
      <c r="C50" s="1414"/>
      <c r="D50" s="1414"/>
      <c r="E50" s="1414"/>
      <c r="F50" s="1414"/>
      <c r="G50" s="1414"/>
      <c r="H50" s="1414"/>
      <c r="I50" s="73">
        <v>5</v>
      </c>
      <c r="J50" s="61" t="s">
        <v>34</v>
      </c>
      <c r="K50" s="98">
        <f t="shared" si="0"/>
        <v>5</v>
      </c>
      <c r="M50" s="57"/>
      <c r="N50" s="57"/>
      <c r="O50" s="57"/>
      <c r="P50" s="57"/>
      <c r="Q50" s="57"/>
      <c r="R50" s="57"/>
      <c r="S50" s="57"/>
      <c r="T50" s="57"/>
      <c r="U50" s="57"/>
      <c r="V50" s="57"/>
      <c r="W50" s="57"/>
      <c r="X50" s="57"/>
      <c r="Y50" s="57"/>
      <c r="Z50" s="57"/>
      <c r="AA50" s="57"/>
      <c r="AB50" s="65"/>
      <c r="AC50" s="57"/>
      <c r="AD50" s="57"/>
      <c r="AE50" s="57"/>
    </row>
    <row r="51" spans="1:31">
      <c r="A51" s="1413" t="s">
        <v>453</v>
      </c>
      <c r="B51" s="1414"/>
      <c r="C51" s="1414"/>
      <c r="D51" s="1414"/>
      <c r="E51" s="1414"/>
      <c r="F51" s="1414"/>
      <c r="G51" s="1414"/>
      <c r="H51" s="1414"/>
      <c r="I51" s="73">
        <f>172+202+104</f>
        <v>478</v>
      </c>
      <c r="J51" s="61" t="s">
        <v>34</v>
      </c>
      <c r="K51" s="98">
        <f t="shared" si="0"/>
        <v>478</v>
      </c>
      <c r="M51" s="57"/>
      <c r="N51" s="57"/>
      <c r="O51" s="57"/>
      <c r="P51" s="57"/>
      <c r="Q51" s="57"/>
      <c r="R51" s="57"/>
      <c r="S51" s="57"/>
      <c r="T51" s="57"/>
      <c r="U51" s="57"/>
      <c r="V51" s="57"/>
      <c r="W51" s="57"/>
      <c r="X51" s="57"/>
      <c r="Y51" s="57"/>
      <c r="Z51" s="57"/>
      <c r="AA51" s="57"/>
      <c r="AB51" s="65"/>
      <c r="AC51" s="57"/>
      <c r="AD51" s="57"/>
      <c r="AE51" s="57"/>
    </row>
    <row r="52" spans="1:31" ht="15.75" thickBot="1">
      <c r="A52" s="1413" t="s">
        <v>454</v>
      </c>
      <c r="B52" s="1414"/>
      <c r="C52" s="1414"/>
      <c r="D52" s="1414"/>
      <c r="E52" s="1414"/>
      <c r="F52" s="1414"/>
      <c r="G52" s="1414"/>
      <c r="H52" s="1414"/>
      <c r="I52" s="73">
        <f>292+21</f>
        <v>313</v>
      </c>
      <c r="J52" s="61" t="s">
        <v>34</v>
      </c>
      <c r="K52" s="98">
        <f t="shared" si="0"/>
        <v>313</v>
      </c>
      <c r="M52" s="57"/>
      <c r="N52" s="57"/>
      <c r="O52" s="57"/>
      <c r="P52" s="57"/>
      <c r="Q52" s="57"/>
      <c r="R52" s="57"/>
      <c r="S52" s="57"/>
      <c r="T52" s="57"/>
      <c r="U52" s="57"/>
      <c r="V52" s="57"/>
      <c r="W52" s="57"/>
      <c r="X52" s="57"/>
      <c r="Y52" s="57"/>
      <c r="Z52" s="57"/>
      <c r="AA52" s="57"/>
      <c r="AB52" s="65"/>
      <c r="AC52" s="57"/>
      <c r="AD52" s="57"/>
      <c r="AE52" s="57"/>
    </row>
    <row r="53" spans="1:31" ht="18" thickBot="1">
      <c r="A53" s="1403" t="s">
        <v>462</v>
      </c>
      <c r="B53" s="1404"/>
      <c r="C53" s="1404"/>
      <c r="D53" s="1404"/>
      <c r="E53" s="1404"/>
      <c r="F53" s="1404"/>
      <c r="G53" s="1404"/>
      <c r="H53" s="1404"/>
      <c r="I53" s="1405"/>
      <c r="J53" s="69" t="s">
        <v>5</v>
      </c>
      <c r="K53" s="68"/>
      <c r="M53" s="57"/>
      <c r="N53" s="57"/>
      <c r="O53" s="57"/>
      <c r="P53" s="57"/>
      <c r="Q53" s="57"/>
      <c r="R53" s="57"/>
      <c r="S53" s="57"/>
      <c r="T53" s="57"/>
      <c r="U53" s="57"/>
      <c r="V53" s="57"/>
      <c r="W53" s="57"/>
      <c r="X53" s="57"/>
      <c r="Y53" s="57"/>
      <c r="Z53" s="57"/>
      <c r="AA53" s="57"/>
      <c r="AB53" s="65"/>
      <c r="AC53" s="57"/>
      <c r="AD53" s="57"/>
      <c r="AE53" s="57"/>
    </row>
    <row r="54" spans="1:31">
      <c r="A54" s="1423" t="s">
        <v>245</v>
      </c>
      <c r="B54" s="1424"/>
      <c r="C54" s="1424"/>
      <c r="D54" s="1424"/>
      <c r="E54" s="1424"/>
      <c r="F54" s="1424"/>
      <c r="G54" s="1424"/>
      <c r="H54" s="1424"/>
      <c r="I54" s="21">
        <v>119.54</v>
      </c>
      <c r="J54" s="70" t="s">
        <v>117</v>
      </c>
      <c r="K54" s="98">
        <f t="shared" si="0"/>
        <v>119.54</v>
      </c>
      <c r="M54" s="57"/>
      <c r="N54" s="57"/>
      <c r="O54" s="57"/>
      <c r="P54" s="57"/>
      <c r="Q54" s="57"/>
      <c r="R54" s="57"/>
      <c r="S54" s="57"/>
      <c r="T54" s="57"/>
      <c r="U54" s="57"/>
      <c r="V54" s="57"/>
      <c r="W54" s="57"/>
      <c r="X54" s="57"/>
      <c r="Y54" s="57"/>
      <c r="Z54" s="57"/>
      <c r="AA54" s="57"/>
      <c r="AB54" s="65"/>
      <c r="AC54" s="57"/>
      <c r="AD54" s="57"/>
      <c r="AE54" s="57"/>
    </row>
    <row r="55" spans="1:31">
      <c r="A55" s="1413" t="s">
        <v>244</v>
      </c>
      <c r="B55" s="1414"/>
      <c r="C55" s="1414"/>
      <c r="D55" s="1414"/>
      <c r="E55" s="1414"/>
      <c r="F55" s="1414"/>
      <c r="G55" s="1414"/>
      <c r="H55" s="1414"/>
      <c r="I55" s="22">
        <v>16.36</v>
      </c>
      <c r="J55" s="71" t="s">
        <v>60</v>
      </c>
      <c r="K55" s="98">
        <f t="shared" si="0"/>
        <v>16.36</v>
      </c>
      <c r="M55" s="57"/>
      <c r="N55" s="57"/>
      <c r="O55" s="57"/>
      <c r="P55" s="57"/>
      <c r="Q55" s="57"/>
      <c r="R55" s="57"/>
      <c r="S55" s="57"/>
      <c r="T55" s="57"/>
      <c r="U55" s="57"/>
      <c r="V55" s="57"/>
      <c r="W55" s="57"/>
      <c r="X55" s="57"/>
      <c r="Y55" s="57"/>
      <c r="Z55" s="57"/>
      <c r="AA55" s="57"/>
      <c r="AB55" s="65"/>
      <c r="AC55" s="57"/>
      <c r="AD55" s="57"/>
      <c r="AE55" s="57"/>
    </row>
    <row r="56" spans="1:31">
      <c r="A56" s="1413" t="s">
        <v>453</v>
      </c>
      <c r="B56" s="1414"/>
      <c r="C56" s="1414"/>
      <c r="D56" s="1414"/>
      <c r="E56" s="1414"/>
      <c r="F56" s="1414"/>
      <c r="G56" s="1414"/>
      <c r="H56" s="1414"/>
      <c r="I56" s="72">
        <v>48</v>
      </c>
      <c r="J56" s="71" t="s">
        <v>34</v>
      </c>
      <c r="K56" s="98">
        <f t="shared" si="0"/>
        <v>48</v>
      </c>
      <c r="M56" s="57"/>
      <c r="N56" s="57"/>
      <c r="O56" s="57"/>
      <c r="P56" s="57"/>
      <c r="Q56" s="57"/>
      <c r="R56" s="57"/>
      <c r="S56" s="57"/>
      <c r="T56" s="57"/>
      <c r="U56" s="57"/>
      <c r="V56" s="57"/>
      <c r="W56" s="57"/>
      <c r="X56" s="57"/>
      <c r="Y56" s="57"/>
      <c r="Z56" s="57"/>
      <c r="AA56" s="57"/>
      <c r="AB56" s="65"/>
      <c r="AC56" s="57"/>
      <c r="AD56" s="57"/>
      <c r="AE56" s="57"/>
    </row>
    <row r="57" spans="1:31">
      <c r="A57" s="1413" t="s">
        <v>454</v>
      </c>
      <c r="B57" s="1414"/>
      <c r="C57" s="1414"/>
      <c r="D57" s="1414"/>
      <c r="E57" s="1414"/>
      <c r="F57" s="1414"/>
      <c r="G57" s="1414"/>
      <c r="H57" s="1414"/>
      <c r="I57" s="72">
        <v>571</v>
      </c>
      <c r="J57" s="71" t="s">
        <v>34</v>
      </c>
      <c r="K57" s="98">
        <f t="shared" si="0"/>
        <v>571</v>
      </c>
      <c r="M57" s="57"/>
      <c r="N57" s="57"/>
      <c r="O57" s="57"/>
      <c r="P57" s="57"/>
      <c r="Q57" s="57"/>
      <c r="R57" s="57"/>
      <c r="S57" s="57"/>
      <c r="T57" s="57"/>
      <c r="U57" s="57"/>
      <c r="V57" s="57"/>
      <c r="W57" s="57"/>
      <c r="X57" s="57"/>
      <c r="Y57" s="57"/>
      <c r="Z57" s="57"/>
      <c r="AA57" s="57"/>
      <c r="AB57" s="65"/>
      <c r="AC57" s="57"/>
      <c r="AD57" s="57"/>
      <c r="AE57" s="57"/>
    </row>
    <row r="58" spans="1:31" ht="15.75" thickBot="1">
      <c r="A58" s="1413" t="s">
        <v>455</v>
      </c>
      <c r="B58" s="1414"/>
      <c r="C58" s="1414"/>
      <c r="D58" s="1414"/>
      <c r="E58" s="1414"/>
      <c r="F58" s="1414"/>
      <c r="G58" s="1414"/>
      <c r="H58" s="1414"/>
      <c r="I58" s="72">
        <v>841</v>
      </c>
      <c r="J58" s="71" t="s">
        <v>34</v>
      </c>
      <c r="K58" s="98">
        <f t="shared" si="0"/>
        <v>841</v>
      </c>
      <c r="M58" s="57"/>
      <c r="N58" s="57"/>
      <c r="O58" s="57"/>
      <c r="P58" s="57"/>
      <c r="Q58" s="57"/>
      <c r="R58" s="57"/>
      <c r="S58" s="57"/>
      <c r="T58" s="57"/>
      <c r="U58" s="57"/>
      <c r="V58" s="57"/>
      <c r="W58" s="57"/>
      <c r="X58" s="57"/>
      <c r="Y58" s="57"/>
      <c r="Z58" s="57"/>
      <c r="AA58" s="57"/>
      <c r="AB58" s="65"/>
      <c r="AC58" s="57"/>
      <c r="AD58" s="57"/>
      <c r="AE58" s="57"/>
    </row>
    <row r="59" spans="1:31" ht="18" thickBot="1">
      <c r="A59" s="1403" t="s">
        <v>319</v>
      </c>
      <c r="B59" s="1404"/>
      <c r="C59" s="1404"/>
      <c r="D59" s="1404"/>
      <c r="E59" s="1404"/>
      <c r="F59" s="1404"/>
      <c r="G59" s="1404"/>
      <c r="H59" s="1404"/>
      <c r="I59" s="1405"/>
      <c r="J59" s="69" t="s">
        <v>5</v>
      </c>
      <c r="K59" s="68"/>
      <c r="M59" s="57"/>
      <c r="N59" s="57"/>
      <c r="O59" s="57"/>
      <c r="P59" s="57"/>
      <c r="Q59" s="57"/>
      <c r="R59" s="57"/>
      <c r="S59" s="57"/>
      <c r="T59" s="57"/>
      <c r="U59" s="57"/>
      <c r="V59" s="57"/>
      <c r="W59" s="57"/>
      <c r="X59" s="57"/>
      <c r="Y59" s="57"/>
      <c r="Z59" s="57"/>
      <c r="AA59" s="57"/>
      <c r="AB59" s="65"/>
      <c r="AC59" s="57"/>
      <c r="AD59" s="57"/>
      <c r="AE59" s="57"/>
    </row>
    <row r="60" spans="1:31">
      <c r="A60" s="1425" t="s">
        <v>245</v>
      </c>
      <c r="B60" s="1426"/>
      <c r="C60" s="1426"/>
      <c r="D60" s="1426"/>
      <c r="E60" s="1426"/>
      <c r="F60" s="1426"/>
      <c r="G60" s="1426"/>
      <c r="H60" s="1426"/>
      <c r="I60" s="58">
        <v>25.7</v>
      </c>
      <c r="J60" s="70" t="s">
        <v>117</v>
      </c>
      <c r="K60" s="98">
        <f t="shared" si="0"/>
        <v>25.7</v>
      </c>
      <c r="M60" s="57"/>
      <c r="N60" s="57"/>
      <c r="O60" s="57"/>
      <c r="P60" s="57"/>
      <c r="Q60" s="57"/>
      <c r="R60" s="57"/>
      <c r="S60" s="57"/>
      <c r="T60" s="57"/>
      <c r="U60" s="57"/>
      <c r="V60" s="57"/>
      <c r="W60" s="57"/>
      <c r="X60" s="57"/>
      <c r="Y60" s="57"/>
      <c r="Z60" s="57"/>
      <c r="AA60" s="57"/>
      <c r="AB60" s="65"/>
      <c r="AC60" s="57"/>
      <c r="AD60" s="57"/>
      <c r="AE60" s="57"/>
    </row>
    <row r="61" spans="1:31">
      <c r="A61" s="1413" t="s">
        <v>244</v>
      </c>
      <c r="B61" s="1414"/>
      <c r="C61" s="1414"/>
      <c r="D61" s="1414"/>
      <c r="E61" s="1414"/>
      <c r="F61" s="1414"/>
      <c r="G61" s="1414"/>
      <c r="H61" s="1414"/>
      <c r="I61" s="60">
        <v>4.08</v>
      </c>
      <c r="J61" s="71" t="s">
        <v>60</v>
      </c>
      <c r="K61" s="98">
        <f t="shared" si="0"/>
        <v>4.08</v>
      </c>
      <c r="M61" s="57"/>
      <c r="N61" s="57"/>
      <c r="O61" s="57"/>
      <c r="P61" s="57"/>
      <c r="Q61" s="57"/>
      <c r="R61" s="57"/>
      <c r="S61" s="57"/>
      <c r="T61" s="57"/>
      <c r="U61" s="57"/>
      <c r="V61" s="57"/>
      <c r="W61" s="57"/>
      <c r="X61" s="57"/>
      <c r="Y61" s="57"/>
      <c r="Z61" s="57"/>
      <c r="AA61" s="57"/>
      <c r="AB61" s="65"/>
      <c r="AC61" s="57"/>
      <c r="AD61" s="57"/>
      <c r="AE61" s="57"/>
    </row>
    <row r="62" spans="1:31">
      <c r="A62" s="1413" t="s">
        <v>453</v>
      </c>
      <c r="B62" s="1414"/>
      <c r="C62" s="1414"/>
      <c r="D62" s="1414"/>
      <c r="E62" s="1414"/>
      <c r="F62" s="1414"/>
      <c r="G62" s="1414"/>
      <c r="H62" s="1414"/>
      <c r="I62" s="73">
        <v>43</v>
      </c>
      <c r="J62" s="71" t="s">
        <v>34</v>
      </c>
      <c r="K62" s="98">
        <f t="shared" si="0"/>
        <v>43</v>
      </c>
      <c r="M62" s="57"/>
      <c r="N62" s="57"/>
      <c r="O62" s="57"/>
      <c r="P62" s="57"/>
      <c r="Q62" s="57"/>
      <c r="R62" s="57"/>
      <c r="S62" s="57"/>
      <c r="T62" s="57"/>
      <c r="U62" s="57"/>
      <c r="V62" s="57"/>
      <c r="W62" s="57"/>
      <c r="X62" s="57"/>
      <c r="Y62" s="57"/>
      <c r="Z62" s="57"/>
      <c r="AA62" s="57"/>
      <c r="AB62" s="65"/>
      <c r="AC62" s="57"/>
      <c r="AD62" s="57"/>
      <c r="AE62" s="57"/>
    </row>
    <row r="63" spans="1:31" ht="15.75" thickBot="1">
      <c r="A63" s="1435" t="s">
        <v>455</v>
      </c>
      <c r="B63" s="1436"/>
      <c r="C63" s="1436"/>
      <c r="D63" s="1436"/>
      <c r="E63" s="1436"/>
      <c r="F63" s="1436"/>
      <c r="G63" s="1436"/>
      <c r="H63" s="1436"/>
      <c r="I63" s="81">
        <v>172</v>
      </c>
      <c r="J63" s="71" t="s">
        <v>34</v>
      </c>
      <c r="K63" s="98">
        <f t="shared" si="0"/>
        <v>172</v>
      </c>
      <c r="M63" s="57"/>
      <c r="N63" s="57"/>
      <c r="O63" s="57"/>
      <c r="P63" s="57"/>
      <c r="Q63" s="57"/>
      <c r="R63" s="57"/>
      <c r="S63" s="57"/>
      <c r="T63" s="57"/>
      <c r="U63" s="57"/>
      <c r="V63" s="57"/>
      <c r="W63" s="57"/>
      <c r="X63" s="57"/>
      <c r="Y63" s="57"/>
      <c r="Z63" s="57"/>
      <c r="AA63" s="57"/>
      <c r="AB63" s="65"/>
      <c r="AC63" s="57"/>
      <c r="AD63" s="57"/>
      <c r="AE63" s="57"/>
    </row>
    <row r="64" spans="1:31">
      <c r="M64" s="57"/>
      <c r="N64" s="57"/>
      <c r="O64" s="57"/>
      <c r="P64" s="57"/>
      <c r="Q64" s="57"/>
      <c r="R64" s="57"/>
      <c r="S64" s="57"/>
      <c r="T64" s="57"/>
      <c r="U64" s="57"/>
      <c r="V64" s="57"/>
      <c r="W64" s="57"/>
      <c r="X64" s="57"/>
      <c r="Y64" s="57"/>
      <c r="Z64" s="57"/>
      <c r="AA64" s="57"/>
      <c r="AB64" s="65"/>
      <c r="AC64" s="57"/>
      <c r="AD64" s="57"/>
      <c r="AE64" s="57"/>
    </row>
    <row r="65" spans="13:31">
      <c r="M65" s="57"/>
      <c r="N65" s="57"/>
      <c r="O65" s="57"/>
      <c r="P65" s="57"/>
      <c r="Q65" s="57"/>
      <c r="R65" s="57"/>
      <c r="S65" s="57"/>
      <c r="T65" s="57"/>
      <c r="U65" s="57"/>
      <c r="V65" s="57"/>
      <c r="W65" s="57"/>
      <c r="X65" s="57"/>
      <c r="Y65" s="57"/>
      <c r="Z65" s="57"/>
      <c r="AA65" s="57"/>
      <c r="AB65" s="65"/>
      <c r="AC65" s="57"/>
      <c r="AD65" s="57"/>
      <c r="AE65" s="57"/>
    </row>
    <row r="66" spans="13:31">
      <c r="M66" s="57"/>
      <c r="N66" s="57"/>
      <c r="O66" s="57"/>
      <c r="P66" s="57"/>
      <c r="Q66" s="57"/>
      <c r="R66" s="57"/>
      <c r="S66" s="57"/>
      <c r="T66" s="57"/>
      <c r="U66" s="57"/>
      <c r="V66" s="57"/>
      <c r="W66" s="57"/>
      <c r="X66" s="57"/>
      <c r="Y66" s="57"/>
      <c r="Z66" s="57"/>
      <c r="AA66" s="57"/>
      <c r="AB66" s="65"/>
      <c r="AC66" s="57"/>
      <c r="AD66" s="57"/>
      <c r="AE66" s="57"/>
    </row>
    <row r="67" spans="13:31">
      <c r="M67" s="57"/>
      <c r="N67" s="57"/>
      <c r="O67" s="57"/>
      <c r="P67" s="57"/>
      <c r="Q67" s="57"/>
      <c r="R67" s="57"/>
      <c r="S67" s="57"/>
      <c r="T67" s="57"/>
      <c r="U67" s="57"/>
      <c r="V67" s="57"/>
      <c r="W67" s="57"/>
      <c r="X67" s="57"/>
      <c r="Y67" s="57"/>
      <c r="Z67" s="57"/>
      <c r="AA67" s="57"/>
      <c r="AB67" s="65"/>
      <c r="AC67" s="57"/>
      <c r="AD67" s="57"/>
      <c r="AE67" s="57"/>
    </row>
    <row r="68" spans="13:31">
      <c r="M68" s="57"/>
      <c r="N68" s="57"/>
      <c r="O68" s="57"/>
      <c r="P68" s="57"/>
      <c r="Q68" s="57"/>
      <c r="R68" s="57"/>
      <c r="S68" s="57"/>
      <c r="T68" s="57"/>
      <c r="U68" s="57"/>
      <c r="V68" s="57"/>
      <c r="W68" s="57"/>
      <c r="X68" s="57"/>
      <c r="Y68" s="57"/>
      <c r="Z68" s="57"/>
      <c r="AA68" s="57"/>
      <c r="AB68" s="65"/>
      <c r="AC68" s="57"/>
      <c r="AD68" s="57"/>
      <c r="AE68" s="57"/>
    </row>
    <row r="69" spans="13:31">
      <c r="M69" s="57"/>
      <c r="N69" s="57"/>
      <c r="O69" s="57"/>
      <c r="P69" s="57"/>
      <c r="Q69" s="57"/>
      <c r="R69" s="57"/>
      <c r="S69" s="57"/>
      <c r="T69" s="57"/>
      <c r="U69" s="57"/>
      <c r="V69" s="57"/>
      <c r="W69" s="57"/>
      <c r="X69" s="57"/>
      <c r="Y69" s="57"/>
      <c r="Z69" s="57"/>
      <c r="AA69" s="57"/>
      <c r="AB69" s="65"/>
      <c r="AC69" s="57"/>
      <c r="AD69" s="57"/>
      <c r="AE69" s="57"/>
    </row>
    <row r="70" spans="13:31">
      <c r="M70" s="57"/>
      <c r="N70" s="57"/>
      <c r="O70" s="57"/>
      <c r="P70" s="57"/>
      <c r="Q70" s="57"/>
      <c r="R70" s="57"/>
      <c r="S70" s="57"/>
      <c r="T70" s="57"/>
      <c r="U70" s="57"/>
      <c r="V70" s="57"/>
      <c r="W70" s="57"/>
      <c r="X70" s="57"/>
      <c r="Y70" s="57"/>
      <c r="Z70" s="57"/>
      <c r="AA70" s="57"/>
      <c r="AB70" s="65"/>
      <c r="AC70" s="57"/>
      <c r="AD70" s="57"/>
      <c r="AE70" s="57"/>
    </row>
    <row r="71" spans="13:31">
      <c r="M71" s="57"/>
      <c r="N71" s="57"/>
      <c r="O71" s="57"/>
      <c r="P71" s="57"/>
      <c r="Q71" s="57"/>
      <c r="R71" s="57"/>
      <c r="S71" s="57"/>
      <c r="T71" s="57"/>
      <c r="U71" s="57"/>
      <c r="V71" s="57"/>
      <c r="W71" s="57"/>
      <c r="X71" s="57"/>
      <c r="Y71" s="57"/>
      <c r="Z71" s="57"/>
      <c r="AA71" s="57"/>
      <c r="AB71" s="65"/>
      <c r="AC71" s="57"/>
      <c r="AD71" s="57"/>
      <c r="AE71" s="57"/>
    </row>
    <row r="72" spans="13:31">
      <c r="M72" s="57"/>
      <c r="N72" s="57"/>
      <c r="O72" s="57"/>
      <c r="P72" s="57"/>
      <c r="Q72" s="57"/>
      <c r="R72" s="57"/>
      <c r="S72" s="57"/>
      <c r="T72" s="57"/>
      <c r="U72" s="57"/>
      <c r="V72" s="57"/>
      <c r="W72" s="57"/>
      <c r="X72" s="57"/>
      <c r="Y72" s="57"/>
      <c r="Z72" s="57"/>
      <c r="AA72" s="57"/>
      <c r="AB72" s="65"/>
      <c r="AC72" s="57"/>
      <c r="AD72" s="57"/>
      <c r="AE72" s="57"/>
    </row>
    <row r="73" spans="13:31">
      <c r="M73" s="57"/>
      <c r="N73" s="57"/>
      <c r="O73" s="57"/>
      <c r="P73" s="57"/>
      <c r="Q73" s="57"/>
      <c r="R73" s="57"/>
      <c r="S73" s="57"/>
      <c r="T73" s="57"/>
      <c r="U73" s="57"/>
      <c r="V73" s="57"/>
      <c r="W73" s="57"/>
      <c r="X73" s="57"/>
      <c r="Y73" s="57"/>
      <c r="Z73" s="57"/>
      <c r="AA73" s="57"/>
      <c r="AB73" s="65"/>
      <c r="AC73" s="57"/>
      <c r="AD73" s="57"/>
      <c r="AE73" s="57"/>
    </row>
    <row r="74" spans="13:31">
      <c r="M74" s="57"/>
      <c r="N74" s="57"/>
      <c r="O74" s="57"/>
      <c r="P74" s="57"/>
      <c r="Q74" s="57"/>
      <c r="R74" s="57"/>
      <c r="S74" s="57"/>
      <c r="T74" s="57"/>
      <c r="U74" s="57"/>
      <c r="V74" s="57"/>
      <c r="W74" s="57"/>
      <c r="X74" s="57"/>
      <c r="Y74" s="57"/>
      <c r="Z74" s="57"/>
      <c r="AA74" s="57"/>
      <c r="AB74" s="65"/>
      <c r="AC74" s="57"/>
      <c r="AD74" s="57"/>
      <c r="AE74" s="57"/>
    </row>
    <row r="75" spans="13:31">
      <c r="M75" s="57"/>
      <c r="N75" s="57"/>
      <c r="O75" s="57"/>
      <c r="P75" s="57"/>
      <c r="Q75" s="57"/>
      <c r="R75" s="57"/>
      <c r="S75" s="57"/>
      <c r="T75" s="57"/>
      <c r="U75" s="57"/>
      <c r="V75" s="57"/>
      <c r="W75" s="57"/>
      <c r="X75" s="57"/>
      <c r="Y75" s="57"/>
      <c r="Z75" s="57"/>
      <c r="AA75" s="57"/>
      <c r="AB75" s="65"/>
      <c r="AC75" s="57"/>
      <c r="AD75" s="57"/>
      <c r="AE75" s="57"/>
    </row>
    <row r="76" spans="13:31">
      <c r="M76" s="57"/>
      <c r="N76" s="57"/>
      <c r="O76" s="57"/>
      <c r="P76" s="57"/>
      <c r="Q76" s="57"/>
      <c r="R76" s="57"/>
      <c r="S76" s="57"/>
      <c r="T76" s="57"/>
      <c r="U76" s="57"/>
      <c r="V76" s="57"/>
      <c r="W76" s="57"/>
      <c r="X76" s="57"/>
      <c r="Y76" s="57"/>
      <c r="Z76" s="57"/>
      <c r="AA76" s="57"/>
      <c r="AB76" s="65"/>
      <c r="AC76" s="57"/>
      <c r="AD76" s="57"/>
      <c r="AE76" s="57"/>
    </row>
    <row r="77" spans="13:31">
      <c r="M77" s="57"/>
      <c r="N77" s="57"/>
      <c r="O77" s="57"/>
      <c r="P77" s="57"/>
      <c r="Q77" s="57"/>
      <c r="R77" s="57"/>
      <c r="S77" s="57"/>
      <c r="T77" s="57"/>
      <c r="U77" s="57"/>
      <c r="V77" s="57"/>
      <c r="W77" s="57"/>
      <c r="X77" s="57"/>
      <c r="Y77" s="57"/>
      <c r="Z77" s="57"/>
      <c r="AA77" s="57"/>
      <c r="AB77" s="65"/>
      <c r="AC77" s="57"/>
      <c r="AD77" s="57"/>
      <c r="AE77" s="57"/>
    </row>
    <row r="78" spans="13:31">
      <c r="M78" s="57"/>
      <c r="N78" s="57"/>
      <c r="O78" s="57"/>
      <c r="P78" s="57"/>
      <c r="Q78" s="57"/>
      <c r="R78" s="57"/>
      <c r="S78" s="57"/>
      <c r="T78" s="57"/>
      <c r="U78" s="57"/>
      <c r="V78" s="57"/>
      <c r="W78" s="57"/>
      <c r="X78" s="57"/>
      <c r="Y78" s="57"/>
      <c r="Z78" s="57"/>
      <c r="AA78" s="57"/>
      <c r="AB78" s="65"/>
      <c r="AC78" s="57"/>
      <c r="AD78" s="57"/>
      <c r="AE78" s="57"/>
    </row>
    <row r="79" spans="13:31">
      <c r="M79" s="57"/>
      <c r="N79" s="57"/>
      <c r="O79" s="57"/>
      <c r="P79" s="57"/>
      <c r="Q79" s="57"/>
      <c r="R79" s="57"/>
      <c r="S79" s="57"/>
      <c r="T79" s="57"/>
      <c r="U79" s="57"/>
      <c r="V79" s="57"/>
      <c r="W79" s="57"/>
      <c r="X79" s="57"/>
      <c r="Y79" s="57"/>
      <c r="Z79" s="57"/>
      <c r="AA79" s="57"/>
      <c r="AB79" s="65"/>
      <c r="AC79" s="57"/>
      <c r="AD79" s="57"/>
      <c r="AE79" s="57"/>
    </row>
    <row r="80" spans="13:31">
      <c r="M80" s="57"/>
      <c r="N80" s="57"/>
      <c r="O80" s="57"/>
      <c r="P80" s="57"/>
      <c r="Q80" s="57"/>
      <c r="R80" s="57"/>
      <c r="S80" s="57"/>
      <c r="T80" s="57"/>
      <c r="U80" s="57"/>
      <c r="V80" s="57"/>
      <c r="W80" s="57"/>
      <c r="X80" s="57"/>
      <c r="Y80" s="57"/>
      <c r="Z80" s="57"/>
      <c r="AA80" s="57"/>
      <c r="AB80" s="65"/>
      <c r="AC80" s="57"/>
      <c r="AD80" s="57"/>
      <c r="AE80" s="57"/>
    </row>
    <row r="81" spans="13:31">
      <c r="M81" s="57"/>
      <c r="N81" s="57"/>
      <c r="O81" s="57"/>
      <c r="P81" s="57"/>
      <c r="Q81" s="57"/>
      <c r="R81" s="57"/>
      <c r="S81" s="57"/>
      <c r="T81" s="57"/>
      <c r="U81" s="57"/>
      <c r="V81" s="57"/>
      <c r="W81" s="57"/>
      <c r="X81" s="57"/>
      <c r="Y81" s="57"/>
      <c r="Z81" s="57"/>
      <c r="AA81" s="57"/>
      <c r="AB81" s="65"/>
      <c r="AC81" s="57"/>
      <c r="AD81" s="57"/>
      <c r="AE81" s="57"/>
    </row>
    <row r="82" spans="13:31">
      <c r="M82" s="57"/>
      <c r="N82" s="57"/>
      <c r="O82" s="57"/>
      <c r="P82" s="57"/>
      <c r="Q82" s="57"/>
      <c r="R82" s="57"/>
      <c r="S82" s="57"/>
      <c r="T82" s="57"/>
      <c r="U82" s="57"/>
      <c r="V82" s="57"/>
      <c r="W82" s="57"/>
      <c r="X82" s="57"/>
      <c r="Y82" s="57"/>
      <c r="Z82" s="57"/>
      <c r="AA82" s="57"/>
      <c r="AB82" s="65"/>
      <c r="AC82" s="57"/>
      <c r="AD82" s="57"/>
      <c r="AE82" s="57"/>
    </row>
    <row r="83" spans="13:31">
      <c r="M83" s="57"/>
      <c r="N83" s="57"/>
      <c r="O83" s="57"/>
      <c r="P83" s="57"/>
      <c r="Q83" s="57"/>
      <c r="R83" s="57"/>
      <c r="S83" s="57"/>
      <c r="T83" s="57"/>
      <c r="U83" s="57"/>
      <c r="V83" s="57"/>
      <c r="W83" s="57"/>
      <c r="X83" s="57"/>
      <c r="Y83" s="57"/>
      <c r="Z83" s="57"/>
      <c r="AA83" s="57"/>
      <c r="AB83" s="65"/>
      <c r="AC83" s="57"/>
      <c r="AD83" s="57"/>
      <c r="AE83" s="57"/>
    </row>
    <row r="84" spans="13:31">
      <c r="M84" s="57"/>
      <c r="N84" s="57"/>
      <c r="O84" s="57"/>
      <c r="P84" s="57"/>
      <c r="Q84" s="57"/>
      <c r="R84" s="57"/>
      <c r="S84" s="57"/>
      <c r="T84" s="57"/>
      <c r="U84" s="57"/>
      <c r="V84" s="57"/>
      <c r="W84" s="57"/>
      <c r="X84" s="57"/>
      <c r="Y84" s="57"/>
      <c r="Z84" s="57"/>
      <c r="AA84" s="57"/>
      <c r="AB84" s="65"/>
      <c r="AC84" s="57"/>
      <c r="AD84" s="57"/>
      <c r="AE84" s="57"/>
    </row>
    <row r="85" spans="13:31">
      <c r="M85" s="57"/>
      <c r="N85" s="57"/>
      <c r="O85" s="57"/>
      <c r="P85" s="57"/>
      <c r="Q85" s="57"/>
      <c r="R85" s="57"/>
      <c r="S85" s="57"/>
      <c r="T85" s="57"/>
      <c r="U85" s="57"/>
      <c r="V85" s="57"/>
      <c r="W85" s="57"/>
      <c r="X85" s="57"/>
      <c r="Y85" s="57"/>
      <c r="Z85" s="57"/>
      <c r="AA85" s="57"/>
      <c r="AB85" s="65"/>
      <c r="AC85" s="57"/>
      <c r="AD85" s="57"/>
      <c r="AE85" s="57"/>
    </row>
    <row r="86" spans="13:31">
      <c r="M86" s="57"/>
      <c r="N86" s="57"/>
      <c r="O86" s="57"/>
      <c r="P86" s="57"/>
      <c r="Q86" s="57"/>
      <c r="R86" s="57"/>
      <c r="S86" s="57"/>
      <c r="T86" s="57"/>
      <c r="U86" s="57"/>
      <c r="V86" s="57"/>
      <c r="W86" s="57"/>
      <c r="X86" s="57"/>
      <c r="Y86" s="57"/>
      <c r="Z86" s="57"/>
      <c r="AA86" s="57"/>
      <c r="AB86" s="65"/>
      <c r="AC86" s="57"/>
      <c r="AD86" s="57"/>
      <c r="AE86" s="57"/>
    </row>
    <row r="87" spans="13:31">
      <c r="M87" s="57"/>
      <c r="N87" s="57"/>
      <c r="O87" s="57"/>
      <c r="P87" s="57"/>
      <c r="Q87" s="57"/>
      <c r="R87" s="57"/>
      <c r="S87" s="57"/>
      <c r="T87" s="57"/>
      <c r="U87" s="57"/>
      <c r="V87" s="57"/>
      <c r="W87" s="57"/>
      <c r="X87" s="57"/>
      <c r="Y87" s="57"/>
      <c r="Z87" s="57"/>
      <c r="AA87" s="57"/>
      <c r="AB87" s="65"/>
      <c r="AC87" s="57"/>
      <c r="AD87" s="57"/>
      <c r="AE87" s="57"/>
    </row>
    <row r="88" spans="13:31">
      <c r="M88" s="57"/>
      <c r="N88" s="57"/>
      <c r="O88" s="57"/>
      <c r="P88" s="57"/>
      <c r="Q88" s="57"/>
      <c r="R88" s="57"/>
      <c r="S88" s="57"/>
      <c r="T88" s="57"/>
      <c r="U88" s="57"/>
      <c r="V88" s="57"/>
      <c r="W88" s="57"/>
      <c r="X88" s="57"/>
      <c r="Y88" s="57"/>
      <c r="Z88" s="57"/>
      <c r="AA88" s="57"/>
      <c r="AB88" s="65"/>
      <c r="AC88" s="57"/>
      <c r="AD88" s="57"/>
      <c r="AE88" s="57"/>
    </row>
    <row r="89" spans="13:31">
      <c r="M89" s="57"/>
      <c r="N89" s="57"/>
      <c r="O89" s="57"/>
      <c r="P89" s="57"/>
      <c r="Q89" s="57"/>
      <c r="R89" s="57"/>
      <c r="S89" s="57"/>
      <c r="T89" s="57"/>
      <c r="U89" s="57"/>
      <c r="V89" s="57"/>
      <c r="W89" s="57"/>
      <c r="X89" s="57"/>
      <c r="Y89" s="57"/>
      <c r="Z89" s="57"/>
      <c r="AA89" s="57"/>
      <c r="AB89" s="65"/>
      <c r="AC89" s="57"/>
      <c r="AD89" s="57"/>
      <c r="AE89" s="57"/>
    </row>
    <row r="90" spans="13:31">
      <c r="M90" s="57"/>
      <c r="N90" s="57"/>
      <c r="O90" s="57"/>
      <c r="P90" s="57"/>
      <c r="Q90" s="57"/>
      <c r="R90" s="57"/>
      <c r="S90" s="57"/>
      <c r="T90" s="57"/>
      <c r="U90" s="57"/>
      <c r="V90" s="57"/>
      <c r="W90" s="57"/>
      <c r="X90" s="57"/>
      <c r="Y90" s="57"/>
      <c r="Z90" s="57"/>
      <c r="AA90" s="57"/>
      <c r="AB90" s="65"/>
      <c r="AC90" s="57"/>
      <c r="AD90" s="57"/>
      <c r="AE90" s="57"/>
    </row>
    <row r="91" spans="13:31">
      <c r="M91" s="57"/>
      <c r="N91" s="57"/>
      <c r="O91" s="57"/>
      <c r="P91" s="57"/>
      <c r="Q91" s="57"/>
      <c r="R91" s="57"/>
      <c r="S91" s="57"/>
      <c r="T91" s="57"/>
      <c r="U91" s="57"/>
      <c r="V91" s="57"/>
      <c r="W91" s="57"/>
      <c r="X91" s="57"/>
      <c r="Y91" s="57"/>
      <c r="Z91" s="57"/>
      <c r="AA91" s="57"/>
      <c r="AB91" s="65"/>
      <c r="AC91" s="57"/>
      <c r="AD91" s="57"/>
      <c r="AE91" s="57"/>
    </row>
    <row r="92" spans="13:31">
      <c r="M92" s="57"/>
      <c r="N92" s="57"/>
      <c r="O92" s="57"/>
      <c r="P92" s="57"/>
      <c r="Q92" s="57"/>
      <c r="R92" s="57"/>
      <c r="S92" s="57"/>
      <c r="T92" s="57"/>
      <c r="U92" s="57"/>
      <c r="V92" s="57"/>
      <c r="W92" s="57"/>
      <c r="X92" s="57"/>
      <c r="Y92" s="57"/>
      <c r="Z92" s="57"/>
      <c r="AA92" s="57"/>
      <c r="AB92" s="65"/>
      <c r="AC92" s="57"/>
      <c r="AD92" s="57"/>
      <c r="AE92" s="57"/>
    </row>
    <row r="93" spans="13:31">
      <c r="M93" s="57"/>
      <c r="N93" s="57"/>
      <c r="O93" s="57"/>
      <c r="P93" s="57"/>
      <c r="Q93" s="57"/>
      <c r="R93" s="57"/>
      <c r="S93" s="57"/>
      <c r="T93" s="57"/>
      <c r="U93" s="57"/>
      <c r="V93" s="57"/>
      <c r="W93" s="57"/>
      <c r="X93" s="57"/>
      <c r="Y93" s="57"/>
      <c r="Z93" s="57"/>
      <c r="AA93" s="57"/>
      <c r="AB93" s="65"/>
      <c r="AC93" s="57"/>
      <c r="AD93" s="57"/>
      <c r="AE93" s="57"/>
    </row>
    <row r="94" spans="13:31">
      <c r="M94" s="57"/>
      <c r="N94" s="57"/>
      <c r="O94" s="57"/>
      <c r="P94" s="57"/>
      <c r="Q94" s="57"/>
      <c r="R94" s="57"/>
      <c r="S94" s="57"/>
      <c r="T94" s="57"/>
      <c r="U94" s="57"/>
      <c r="V94" s="57"/>
      <c r="W94" s="57"/>
      <c r="X94" s="57"/>
      <c r="Y94" s="57"/>
      <c r="Z94" s="57"/>
      <c r="AA94" s="57"/>
      <c r="AB94" s="65"/>
      <c r="AC94" s="57"/>
      <c r="AD94" s="57"/>
      <c r="AE94" s="57"/>
    </row>
    <row r="95" spans="13:31">
      <c r="M95" s="57"/>
      <c r="N95" s="57"/>
      <c r="O95" s="57"/>
      <c r="P95" s="57"/>
      <c r="Q95" s="57"/>
      <c r="R95" s="57"/>
      <c r="S95" s="57"/>
      <c r="T95" s="57"/>
      <c r="U95" s="57"/>
      <c r="V95" s="57"/>
      <c r="W95" s="57"/>
      <c r="X95" s="57"/>
      <c r="Y95" s="57"/>
      <c r="Z95" s="57"/>
      <c r="AA95" s="57"/>
      <c r="AB95" s="65"/>
      <c r="AC95" s="57"/>
      <c r="AD95" s="57"/>
      <c r="AE95" s="57"/>
    </row>
    <row r="96" spans="13:31">
      <c r="M96" s="57"/>
      <c r="N96" s="57"/>
      <c r="O96" s="57"/>
      <c r="P96" s="57"/>
      <c r="Q96" s="57"/>
      <c r="R96" s="57"/>
      <c r="S96" s="57"/>
      <c r="T96" s="57"/>
      <c r="U96" s="57"/>
      <c r="V96" s="57"/>
      <c r="W96" s="57"/>
      <c r="X96" s="57"/>
      <c r="Y96" s="57"/>
      <c r="Z96" s="57"/>
      <c r="AA96" s="57"/>
      <c r="AB96" s="65"/>
      <c r="AC96" s="57"/>
      <c r="AD96" s="57"/>
      <c r="AE96" s="57"/>
    </row>
    <row r="97" spans="13:31">
      <c r="M97" s="57"/>
      <c r="N97" s="57"/>
      <c r="O97" s="57"/>
      <c r="P97" s="57"/>
      <c r="Q97" s="57"/>
      <c r="R97" s="57"/>
      <c r="S97" s="57"/>
      <c r="T97" s="57"/>
      <c r="U97" s="57"/>
      <c r="V97" s="57"/>
      <c r="W97" s="57"/>
      <c r="X97" s="57"/>
      <c r="Y97" s="57"/>
      <c r="Z97" s="57"/>
      <c r="AA97" s="57"/>
      <c r="AB97" s="65"/>
      <c r="AC97" s="57"/>
      <c r="AD97" s="57"/>
      <c r="AE97" s="57"/>
    </row>
    <row r="98" spans="13:31">
      <c r="M98" s="57"/>
      <c r="N98" s="57"/>
      <c r="O98" s="57"/>
      <c r="P98" s="57"/>
      <c r="Q98" s="57"/>
      <c r="R98" s="57"/>
      <c r="S98" s="57"/>
      <c r="T98" s="57"/>
      <c r="U98" s="57"/>
      <c r="V98" s="57"/>
      <c r="W98" s="57"/>
      <c r="X98" s="57"/>
      <c r="Y98" s="57"/>
      <c r="Z98" s="57"/>
      <c r="AA98" s="57"/>
      <c r="AB98" s="65"/>
      <c r="AC98" s="57"/>
      <c r="AD98" s="57"/>
      <c r="AE98" s="57"/>
    </row>
    <row r="99" spans="13:31">
      <c r="M99" s="57"/>
      <c r="N99" s="57"/>
      <c r="O99" s="57"/>
      <c r="P99" s="57"/>
      <c r="Q99" s="57"/>
      <c r="R99" s="57"/>
      <c r="S99" s="57"/>
      <c r="T99" s="57"/>
      <c r="U99" s="57"/>
      <c r="V99" s="57"/>
      <c r="W99" s="57"/>
      <c r="X99" s="57"/>
      <c r="Y99" s="57"/>
      <c r="Z99" s="57"/>
      <c r="AA99" s="57"/>
      <c r="AB99" s="65"/>
      <c r="AC99" s="57"/>
      <c r="AD99" s="57"/>
      <c r="AE99" s="57"/>
    </row>
    <row r="100" spans="13:31">
      <c r="M100" s="57"/>
      <c r="N100" s="57"/>
      <c r="O100" s="57"/>
      <c r="P100" s="57"/>
      <c r="Q100" s="57"/>
      <c r="R100" s="57"/>
      <c r="S100" s="57"/>
      <c r="T100" s="57"/>
      <c r="U100" s="57"/>
      <c r="V100" s="57"/>
      <c r="W100" s="57"/>
      <c r="X100" s="57"/>
      <c r="Y100" s="57"/>
      <c r="Z100" s="57"/>
      <c r="AA100" s="57"/>
      <c r="AB100" s="65"/>
      <c r="AC100" s="57"/>
      <c r="AD100" s="57"/>
      <c r="AE100" s="57"/>
    </row>
    <row r="101" spans="13:31">
      <c r="M101" s="57"/>
      <c r="N101" s="57"/>
      <c r="O101" s="57"/>
      <c r="P101" s="57"/>
      <c r="Q101" s="57"/>
      <c r="R101" s="57"/>
      <c r="S101" s="57"/>
      <c r="T101" s="57"/>
      <c r="U101" s="57"/>
      <c r="V101" s="57"/>
      <c r="W101" s="57"/>
      <c r="X101" s="57"/>
      <c r="Y101" s="57"/>
      <c r="Z101" s="57"/>
      <c r="AA101" s="57"/>
      <c r="AB101" s="65"/>
      <c r="AC101" s="57"/>
      <c r="AD101" s="57"/>
      <c r="AE101" s="57"/>
    </row>
    <row r="102" spans="13:31">
      <c r="M102" s="57"/>
      <c r="N102" s="57"/>
      <c r="O102" s="57"/>
      <c r="P102" s="57"/>
      <c r="Q102" s="57"/>
      <c r="R102" s="57"/>
      <c r="S102" s="57"/>
      <c r="T102" s="57"/>
      <c r="U102" s="57"/>
      <c r="V102" s="57"/>
      <c r="W102" s="57"/>
      <c r="X102" s="57"/>
      <c r="Y102" s="57"/>
      <c r="Z102" s="57"/>
      <c r="AA102" s="57"/>
      <c r="AB102" s="65"/>
      <c r="AC102" s="57"/>
      <c r="AD102" s="57"/>
      <c r="AE102" s="57"/>
    </row>
    <row r="103" spans="13:31">
      <c r="M103" s="57"/>
      <c r="N103" s="57"/>
      <c r="O103" s="57"/>
      <c r="P103" s="57"/>
      <c r="Q103" s="57"/>
      <c r="R103" s="57"/>
      <c r="S103" s="57"/>
      <c r="T103" s="57"/>
      <c r="U103" s="57"/>
      <c r="V103" s="57"/>
      <c r="W103" s="57"/>
      <c r="X103" s="57"/>
      <c r="Y103" s="57"/>
      <c r="Z103" s="57"/>
      <c r="AA103" s="57"/>
      <c r="AB103" s="65"/>
      <c r="AC103" s="57"/>
      <c r="AD103" s="57"/>
      <c r="AE103" s="57"/>
    </row>
    <row r="104" spans="13:31">
      <c r="M104" s="57"/>
      <c r="N104" s="57"/>
      <c r="O104" s="57"/>
      <c r="P104" s="57"/>
      <c r="Q104" s="57"/>
      <c r="R104" s="57"/>
      <c r="S104" s="57"/>
      <c r="T104" s="57"/>
      <c r="U104" s="57"/>
      <c r="V104" s="57"/>
      <c r="W104" s="57"/>
      <c r="X104" s="57"/>
      <c r="Y104" s="57"/>
      <c r="Z104" s="57"/>
      <c r="AA104" s="57"/>
      <c r="AB104" s="65"/>
      <c r="AC104" s="57"/>
      <c r="AD104" s="57"/>
      <c r="AE104" s="57"/>
    </row>
    <row r="105" spans="13:31">
      <c r="M105" s="57"/>
      <c r="N105" s="57"/>
      <c r="O105" s="57"/>
      <c r="P105" s="57"/>
      <c r="Q105" s="57"/>
      <c r="R105" s="57"/>
      <c r="S105" s="57"/>
      <c r="T105" s="57"/>
      <c r="U105" s="57"/>
      <c r="V105" s="57"/>
      <c r="W105" s="57"/>
      <c r="X105" s="57"/>
      <c r="Y105" s="57"/>
      <c r="Z105" s="57"/>
      <c r="AA105" s="57"/>
      <c r="AB105" s="57"/>
      <c r="AC105" s="57"/>
      <c r="AD105" s="57"/>
      <c r="AE105" s="57"/>
    </row>
    <row r="106" spans="13:31">
      <c r="M106" s="57"/>
      <c r="N106" s="57"/>
      <c r="O106" s="57"/>
      <c r="P106" s="57"/>
      <c r="Q106" s="57"/>
      <c r="R106" s="57"/>
      <c r="S106" s="57"/>
      <c r="T106" s="57"/>
      <c r="U106" s="57"/>
      <c r="V106" s="57"/>
      <c r="W106" s="57"/>
      <c r="X106" s="57"/>
      <c r="Y106" s="57"/>
      <c r="Z106" s="57"/>
      <c r="AA106" s="57"/>
      <c r="AB106" s="65"/>
      <c r="AC106" s="65"/>
      <c r="AD106" s="57"/>
      <c r="AE106" s="57"/>
    </row>
  </sheetData>
  <mergeCells count="66">
    <mergeCell ref="A59:I59"/>
    <mergeCell ref="A60:H60"/>
    <mergeCell ref="A61:H61"/>
    <mergeCell ref="A62:H62"/>
    <mergeCell ref="A63:H63"/>
    <mergeCell ref="A58:H58"/>
    <mergeCell ref="A47:H47"/>
    <mergeCell ref="A48:H48"/>
    <mergeCell ref="A49:H49"/>
    <mergeCell ref="A50:H50"/>
    <mergeCell ref="A51:H51"/>
    <mergeCell ref="A52:H52"/>
    <mergeCell ref="A53:I53"/>
    <mergeCell ref="A54:H54"/>
    <mergeCell ref="A55:H55"/>
    <mergeCell ref="A56:H56"/>
    <mergeCell ref="A57:H57"/>
    <mergeCell ref="A46:H46"/>
    <mergeCell ref="A35:I35"/>
    <mergeCell ref="A36:H36"/>
    <mergeCell ref="A37:H37"/>
    <mergeCell ref="A38:H38"/>
    <mergeCell ref="A39:H39"/>
    <mergeCell ref="A40:H40"/>
    <mergeCell ref="A41:H41"/>
    <mergeCell ref="A42:H42"/>
    <mergeCell ref="A43:H43"/>
    <mergeCell ref="A44:H44"/>
    <mergeCell ref="A45:I45"/>
    <mergeCell ref="A34:H34"/>
    <mergeCell ref="A23:H23"/>
    <mergeCell ref="A24:H24"/>
    <mergeCell ref="A25:H25"/>
    <mergeCell ref="A26:H26"/>
    <mergeCell ref="A27:I27"/>
    <mergeCell ref="A28:I28"/>
    <mergeCell ref="A29:H29"/>
    <mergeCell ref="A30:H30"/>
    <mergeCell ref="A31:H31"/>
    <mergeCell ref="A32:H32"/>
    <mergeCell ref="A33:H33"/>
    <mergeCell ref="A22:H22"/>
    <mergeCell ref="A11:H11"/>
    <mergeCell ref="A12:H12"/>
    <mergeCell ref="A13:I13"/>
    <mergeCell ref="A14:H14"/>
    <mergeCell ref="A15:H15"/>
    <mergeCell ref="A16:H16"/>
    <mergeCell ref="A17:H17"/>
    <mergeCell ref="A18:I18"/>
    <mergeCell ref="A19:H19"/>
    <mergeCell ref="A20:H20"/>
    <mergeCell ref="A21:H21"/>
    <mergeCell ref="A10:H10"/>
    <mergeCell ref="A1:K1"/>
    <mergeCell ref="A3:I3"/>
    <mergeCell ref="V3:AE3"/>
    <mergeCell ref="A4:I4"/>
    <mergeCell ref="V4:AE4"/>
    <mergeCell ref="A5:H5"/>
    <mergeCell ref="V5:AC5"/>
    <mergeCell ref="A6:H6"/>
    <mergeCell ref="AD6:AE6"/>
    <mergeCell ref="A7:H7"/>
    <mergeCell ref="A8:H8"/>
    <mergeCell ref="A9:H9"/>
  </mergeCells>
  <pageMargins left="0.511811024" right="0.511811024" top="0.78740157499999996" bottom="0.78740157499999996" header="0.31496062000000002" footer="0.31496062000000002"/>
  <pageSetup paperSize="9" scale="72" orientation="portrait" r:id="rId1"/>
</worksheet>
</file>

<file path=xl/worksheets/sheet19.xml><?xml version="1.0" encoding="utf-8"?>
<worksheet xmlns="http://schemas.openxmlformats.org/spreadsheetml/2006/main" xmlns:r="http://schemas.openxmlformats.org/officeDocument/2006/relationships">
  <sheetPr>
    <tabColor rgb="FF002060"/>
  </sheetPr>
  <dimension ref="A1:U67"/>
  <sheetViews>
    <sheetView workbookViewId="0">
      <selection activeCell="A39" sqref="A39:H39"/>
    </sheetView>
  </sheetViews>
  <sheetFormatPr defaultColWidth="9.140625" defaultRowHeight="15"/>
  <cols>
    <col min="1" max="7" width="9.140625" style="18"/>
    <col min="8" max="8" width="33.5703125" style="18" customWidth="1"/>
    <col min="9" max="9" width="9.5703125" style="18" bestFit="1" customWidth="1"/>
    <col min="10" max="10" width="9.140625" style="18"/>
    <col min="11" max="11" width="6.42578125" style="18" hidden="1" customWidth="1"/>
    <col min="12" max="12" width="11.7109375" style="18" customWidth="1"/>
    <col min="13" max="16" width="9.140625" style="18"/>
    <col min="17" max="17" width="10.28515625" style="18" customWidth="1"/>
    <col min="18" max="18" width="11.5703125" style="18" customWidth="1"/>
    <col min="19" max="19" width="14.85546875" style="18" customWidth="1"/>
    <col min="20" max="20" width="16.7109375" style="18" bestFit="1" customWidth="1"/>
    <col min="21" max="21" width="19.28515625" style="18" bestFit="1" customWidth="1"/>
    <col min="22" max="16384" width="9.140625" style="18"/>
  </cols>
  <sheetData>
    <row r="1" spans="1:21" ht="30.75" thickBot="1">
      <c r="A1" s="1396" t="s">
        <v>469</v>
      </c>
      <c r="B1" s="1397"/>
      <c r="C1" s="1397"/>
      <c r="D1" s="1397"/>
      <c r="E1" s="1397"/>
      <c r="F1" s="1397"/>
      <c r="G1" s="1397"/>
      <c r="H1" s="1397"/>
      <c r="I1" s="1397"/>
      <c r="J1" s="1397"/>
      <c r="K1" s="1397"/>
      <c r="L1" s="1398"/>
    </row>
    <row r="2" spans="1:21" ht="19.5" thickBot="1">
      <c r="A2" s="1440" t="s">
        <v>226</v>
      </c>
      <c r="B2" s="1441"/>
      <c r="C2" s="1441"/>
      <c r="D2" s="1441"/>
      <c r="E2" s="1441"/>
      <c r="F2" s="1441"/>
      <c r="G2" s="1441"/>
      <c r="H2" s="1441"/>
      <c r="I2" s="1442"/>
      <c r="N2" s="1443" t="s">
        <v>227</v>
      </c>
      <c r="O2" s="1444"/>
      <c r="P2" s="1444"/>
      <c r="Q2" s="1444"/>
      <c r="R2" s="1444"/>
      <c r="S2" s="1444"/>
      <c r="T2" s="1444"/>
      <c r="U2" s="1445"/>
    </row>
    <row r="3" spans="1:21" ht="18" thickBot="1">
      <c r="A3" s="1403" t="s">
        <v>172</v>
      </c>
      <c r="B3" s="1404"/>
      <c r="C3" s="1404"/>
      <c r="D3" s="1404"/>
      <c r="E3" s="1404"/>
      <c r="F3" s="1404"/>
      <c r="G3" s="1404"/>
      <c r="H3" s="1404"/>
      <c r="I3" s="1405"/>
      <c r="J3" s="39" t="s">
        <v>5</v>
      </c>
      <c r="L3" s="39" t="s">
        <v>446</v>
      </c>
      <c r="N3" s="1446" t="s">
        <v>470</v>
      </c>
      <c r="O3" s="1447"/>
      <c r="P3" s="1447"/>
      <c r="Q3" s="1447"/>
      <c r="R3" s="1447"/>
      <c r="S3" s="1447"/>
      <c r="T3" s="1447"/>
      <c r="U3" s="1447"/>
    </row>
    <row r="4" spans="1:21" ht="15.75">
      <c r="A4" s="1411" t="s">
        <v>471</v>
      </c>
      <c r="B4" s="1412"/>
      <c r="C4" s="1412"/>
      <c r="D4" s="1412"/>
      <c r="E4" s="1412"/>
      <c r="F4" s="1412"/>
      <c r="G4" s="1412"/>
      <c r="H4" s="1412"/>
      <c r="I4" s="21">
        <f>T6+T9</f>
        <v>88.395999999999972</v>
      </c>
      <c r="J4" s="24" t="s">
        <v>60</v>
      </c>
      <c r="K4" s="20">
        <f>10.38*I4</f>
        <v>917.55047999999977</v>
      </c>
      <c r="L4" s="99">
        <f>TRUNC(I4,2)</f>
        <v>88.39</v>
      </c>
      <c r="N4" s="1437" t="s">
        <v>472</v>
      </c>
      <c r="O4" s="1438"/>
      <c r="P4" s="1438"/>
      <c r="Q4" s="1438"/>
      <c r="R4" s="1438"/>
      <c r="S4" s="1438"/>
      <c r="T4" s="1438"/>
      <c r="U4" s="1439"/>
    </row>
    <row r="5" spans="1:21">
      <c r="A5" s="1394" t="s">
        <v>228</v>
      </c>
      <c r="B5" s="1395"/>
      <c r="C5" s="1395"/>
      <c r="D5" s="1395"/>
      <c r="E5" s="1395"/>
      <c r="F5" s="1395"/>
      <c r="G5" s="1395"/>
      <c r="H5" s="1395"/>
      <c r="I5" s="22">
        <f>(I30/0.15)*0.55</f>
        <v>37.29</v>
      </c>
      <c r="J5" s="25" t="s">
        <v>60</v>
      </c>
      <c r="K5" s="20">
        <f>10.38*37.29</f>
        <v>387.0702</v>
      </c>
      <c r="L5" s="99">
        <f t="shared" ref="L5:L63" si="0">TRUNC(I5,2)</f>
        <v>37.29</v>
      </c>
      <c r="N5" s="26" t="s">
        <v>229</v>
      </c>
      <c r="O5" s="27" t="s">
        <v>230</v>
      </c>
      <c r="P5" s="27" t="s">
        <v>231</v>
      </c>
      <c r="Q5" s="27" t="s">
        <v>232</v>
      </c>
      <c r="R5" s="27" t="s">
        <v>473</v>
      </c>
      <c r="S5" s="27" t="s">
        <v>474</v>
      </c>
      <c r="T5" s="27" t="s">
        <v>233</v>
      </c>
      <c r="U5" s="27" t="s">
        <v>234</v>
      </c>
    </row>
    <row r="6" spans="1:21">
      <c r="A6" s="1411" t="s">
        <v>449</v>
      </c>
      <c r="B6" s="1412"/>
      <c r="C6" s="1412"/>
      <c r="D6" s="1412"/>
      <c r="E6" s="1412"/>
      <c r="F6" s="1412"/>
      <c r="G6" s="1412"/>
      <c r="H6" s="1412"/>
      <c r="I6" s="21">
        <f>(I4-I24)</f>
        <v>78.495999999999967</v>
      </c>
      <c r="J6" s="25" t="s">
        <v>60</v>
      </c>
      <c r="K6" s="86">
        <f>19.53*I6</f>
        <v>1533.0268799999994</v>
      </c>
      <c r="L6" s="99">
        <f t="shared" si="0"/>
        <v>78.489999999999995</v>
      </c>
      <c r="N6" s="28">
        <v>14</v>
      </c>
      <c r="O6" s="29">
        <v>1.4</v>
      </c>
      <c r="P6" s="29">
        <v>1.6</v>
      </c>
      <c r="Q6" s="30">
        <f>O6*P6</f>
        <v>2.2399999999999998</v>
      </c>
      <c r="R6" s="29">
        <v>0.55000000000000004</v>
      </c>
      <c r="S6" s="29">
        <v>1.5</v>
      </c>
      <c r="T6" s="30">
        <f>Q6*(R6+S6)*N6</f>
        <v>64.287999999999982</v>
      </c>
      <c r="U6" s="30">
        <f>Q6*N6</f>
        <v>31.359999999999996</v>
      </c>
    </row>
    <row r="7" spans="1:21" ht="15.75">
      <c r="A7" s="1411" t="s">
        <v>475</v>
      </c>
      <c r="B7" s="1412"/>
      <c r="C7" s="1412"/>
      <c r="D7" s="1412"/>
      <c r="E7" s="1412"/>
      <c r="F7" s="1412"/>
      <c r="G7" s="1412"/>
      <c r="H7" s="1412"/>
      <c r="I7" s="21">
        <f>I5-I30</f>
        <v>27.119999999999997</v>
      </c>
      <c r="J7" s="25" t="s">
        <v>60</v>
      </c>
      <c r="K7" s="86">
        <f>19.53*I7</f>
        <v>529.65359999999998</v>
      </c>
      <c r="L7" s="99">
        <f t="shared" si="0"/>
        <v>27.12</v>
      </c>
      <c r="N7" s="1437" t="s">
        <v>476</v>
      </c>
      <c r="O7" s="1438"/>
      <c r="P7" s="1438"/>
      <c r="Q7" s="1438"/>
      <c r="R7" s="1438"/>
      <c r="S7" s="1438"/>
      <c r="T7" s="1438"/>
      <c r="U7" s="1439"/>
    </row>
    <row r="8" spans="1:21">
      <c r="A8" s="1411" t="s">
        <v>477</v>
      </c>
      <c r="B8" s="1412"/>
      <c r="C8" s="1412"/>
      <c r="D8" s="1412"/>
      <c r="E8" s="1412"/>
      <c r="F8" s="1412"/>
      <c r="G8" s="1412"/>
      <c r="H8" s="1412"/>
      <c r="I8" s="21">
        <f>I24*1.4</f>
        <v>13.86</v>
      </c>
      <c r="J8" s="25" t="s">
        <v>60</v>
      </c>
      <c r="K8" s="18">
        <f>1.2*30*5</f>
        <v>180</v>
      </c>
      <c r="L8" s="99">
        <f t="shared" si="0"/>
        <v>13.86</v>
      </c>
      <c r="N8" s="26" t="s">
        <v>229</v>
      </c>
      <c r="O8" s="27" t="s">
        <v>230</v>
      </c>
      <c r="P8" s="27" t="s">
        <v>231</v>
      </c>
      <c r="Q8" s="27" t="s">
        <v>232</v>
      </c>
      <c r="R8" s="27" t="s">
        <v>473</v>
      </c>
      <c r="S8" s="27" t="s">
        <v>474</v>
      </c>
      <c r="T8" s="27" t="s">
        <v>233</v>
      </c>
      <c r="U8" s="27" t="s">
        <v>234</v>
      </c>
    </row>
    <row r="9" spans="1:21">
      <c r="A9" s="1411" t="s">
        <v>478</v>
      </c>
      <c r="B9" s="1412"/>
      <c r="C9" s="1412"/>
      <c r="D9" s="1412"/>
      <c r="E9" s="1412"/>
      <c r="F9" s="1412"/>
      <c r="G9" s="1412"/>
      <c r="H9" s="1412"/>
      <c r="I9" s="21">
        <f>I30*1.4</f>
        <v>14.238</v>
      </c>
      <c r="J9" s="25" t="s">
        <v>60</v>
      </c>
      <c r="K9" s="18">
        <f>1.2*30*5</f>
        <v>180</v>
      </c>
      <c r="L9" s="99">
        <f t="shared" si="0"/>
        <v>14.23</v>
      </c>
      <c r="N9" s="28">
        <v>6</v>
      </c>
      <c r="O9" s="29">
        <v>1.4</v>
      </c>
      <c r="P9" s="29">
        <v>1.4</v>
      </c>
      <c r="Q9" s="30">
        <f>O9*P9</f>
        <v>1.9599999999999997</v>
      </c>
      <c r="R9" s="29">
        <v>0.55000000000000004</v>
      </c>
      <c r="S9" s="29">
        <v>1.5</v>
      </c>
      <c r="T9" s="30">
        <f>Q9*(R9+S9)*N9</f>
        <v>24.107999999999993</v>
      </c>
      <c r="U9" s="30">
        <f>Q9*N9</f>
        <v>11.759999999999998</v>
      </c>
    </row>
    <row r="10" spans="1:21">
      <c r="A10" s="1413" t="s">
        <v>479</v>
      </c>
      <c r="B10" s="1414"/>
      <c r="C10" s="1414"/>
      <c r="D10" s="1414"/>
      <c r="E10" s="1414"/>
      <c r="F10" s="1414"/>
      <c r="G10" s="1414"/>
      <c r="H10" s="1414"/>
      <c r="I10" s="22">
        <f>U6+U9</f>
        <v>43.11999999999999</v>
      </c>
      <c r="J10" s="25" t="s">
        <v>117</v>
      </c>
      <c r="K10" s="20">
        <f>4.18*I10</f>
        <v>180.24159999999995</v>
      </c>
      <c r="L10" s="99">
        <f t="shared" si="0"/>
        <v>43.12</v>
      </c>
    </row>
    <row r="11" spans="1:21">
      <c r="A11" s="1413" t="s">
        <v>480</v>
      </c>
      <c r="B11" s="1414"/>
      <c r="C11" s="1414"/>
      <c r="D11" s="1414"/>
      <c r="E11" s="1414"/>
      <c r="F11" s="1414"/>
      <c r="G11" s="1414"/>
      <c r="H11" s="1414"/>
      <c r="I11" s="22">
        <f>I10</f>
        <v>43.11999999999999</v>
      </c>
      <c r="J11" s="25" t="s">
        <v>117</v>
      </c>
      <c r="K11" s="20" t="e">
        <f>4.18*#REF!</f>
        <v>#REF!</v>
      </c>
      <c r="L11" s="99">
        <f t="shared" si="0"/>
        <v>43.12</v>
      </c>
    </row>
    <row r="12" spans="1:21">
      <c r="A12" s="1448" t="s">
        <v>481</v>
      </c>
      <c r="B12" s="1449"/>
      <c r="C12" s="1449"/>
      <c r="D12" s="1449"/>
      <c r="E12" s="1449"/>
      <c r="F12" s="1449"/>
      <c r="G12" s="1449"/>
      <c r="H12" s="1449"/>
      <c r="I12" s="31">
        <v>3.11</v>
      </c>
      <c r="J12" s="25" t="s">
        <v>60</v>
      </c>
      <c r="K12" s="20">
        <f>19.29*I11</f>
        <v>831.78479999999979</v>
      </c>
      <c r="L12" s="99">
        <f t="shared" si="0"/>
        <v>3.11</v>
      </c>
    </row>
    <row r="13" spans="1:21">
      <c r="A13" s="1450" t="s">
        <v>235</v>
      </c>
      <c r="B13" s="1451"/>
      <c r="C13" s="1451"/>
      <c r="D13" s="1451"/>
      <c r="E13" s="1451"/>
      <c r="F13" s="1451"/>
      <c r="G13" s="1451"/>
      <c r="H13" s="1452"/>
      <c r="I13" s="31">
        <f>I20*0.05</f>
        <v>37.984000000000002</v>
      </c>
      <c r="J13" s="25" t="s">
        <v>60</v>
      </c>
      <c r="K13" s="20">
        <f>19.29*I12</f>
        <v>59.991899999999994</v>
      </c>
      <c r="L13" s="99">
        <f t="shared" si="0"/>
        <v>37.979999999999997</v>
      </c>
    </row>
    <row r="14" spans="1:21">
      <c r="A14" s="1453" t="s">
        <v>236</v>
      </c>
      <c r="B14" s="1454"/>
      <c r="C14" s="1454"/>
      <c r="D14" s="1454"/>
      <c r="E14" s="1454"/>
      <c r="F14" s="1454"/>
      <c r="G14" s="1454"/>
      <c r="H14" s="1454"/>
      <c r="I14" s="31">
        <f>I29</f>
        <v>140.34</v>
      </c>
      <c r="J14" s="25" t="s">
        <v>117</v>
      </c>
      <c r="K14" s="20">
        <f>87.34*I13</f>
        <v>3317.5225600000003</v>
      </c>
      <c r="L14" s="99">
        <f t="shared" si="0"/>
        <v>140.34</v>
      </c>
    </row>
    <row r="15" spans="1:21">
      <c r="A15" s="1395" t="s">
        <v>237</v>
      </c>
      <c r="B15" s="1395"/>
      <c r="C15" s="1395"/>
      <c r="D15" s="1395"/>
      <c r="E15" s="1395"/>
      <c r="F15" s="1395"/>
      <c r="G15" s="1395"/>
      <c r="H15" s="1395"/>
      <c r="I15" s="22">
        <f>I20</f>
        <v>759.68</v>
      </c>
      <c r="J15" s="25" t="s">
        <v>117</v>
      </c>
      <c r="K15" s="20">
        <f>21.24*I14</f>
        <v>2980.8215999999998</v>
      </c>
      <c r="L15" s="99">
        <f t="shared" si="0"/>
        <v>759.68</v>
      </c>
    </row>
    <row r="16" spans="1:21" ht="15.75" thickBot="1">
      <c r="A16" s="1455" t="s">
        <v>482</v>
      </c>
      <c r="B16" s="1456"/>
      <c r="C16" s="1456"/>
      <c r="D16" s="1456"/>
      <c r="E16" s="1456"/>
      <c r="F16" s="1456"/>
      <c r="G16" s="1456"/>
      <c r="H16" s="1457"/>
      <c r="I16" s="87">
        <f>4</f>
        <v>4</v>
      </c>
      <c r="J16" s="33" t="s">
        <v>238</v>
      </c>
      <c r="K16" s="20">
        <f>4.55*I15</f>
        <v>3456.5439999999994</v>
      </c>
      <c r="L16" s="99">
        <f t="shared" si="0"/>
        <v>4</v>
      </c>
    </row>
    <row r="17" spans="1:12" ht="18" thickBot="1">
      <c r="A17" s="1403" t="s">
        <v>67</v>
      </c>
      <c r="B17" s="1404"/>
      <c r="C17" s="1404"/>
      <c r="D17" s="1404"/>
      <c r="E17" s="1404"/>
      <c r="F17" s="1404"/>
      <c r="G17" s="1404"/>
      <c r="H17" s="1404"/>
      <c r="I17" s="1405"/>
      <c r="J17" s="34" t="s">
        <v>5</v>
      </c>
      <c r="L17" s="20"/>
    </row>
    <row r="18" spans="1:12">
      <c r="A18" s="1413" t="s">
        <v>239</v>
      </c>
      <c r="B18" s="1414"/>
      <c r="C18" s="1414"/>
      <c r="D18" s="1414"/>
      <c r="E18" s="1414"/>
      <c r="F18" s="1414"/>
      <c r="G18" s="1414"/>
      <c r="H18" s="1414"/>
      <c r="I18" s="22">
        <f>759.68*0.07</f>
        <v>53.177599999999998</v>
      </c>
      <c r="J18" s="25" t="s">
        <v>60</v>
      </c>
      <c r="L18" s="99">
        <f t="shared" si="0"/>
        <v>53.17</v>
      </c>
    </row>
    <row r="19" spans="1:12">
      <c r="A19" s="1413" t="s">
        <v>240</v>
      </c>
      <c r="B19" s="1414"/>
      <c r="C19" s="1414"/>
      <c r="D19" s="1414"/>
      <c r="E19" s="1414"/>
      <c r="F19" s="1414"/>
      <c r="G19" s="1414"/>
      <c r="H19" s="1414"/>
      <c r="I19" s="22">
        <f>I18</f>
        <v>53.177599999999998</v>
      </c>
      <c r="J19" s="25" t="s">
        <v>60</v>
      </c>
      <c r="K19" s="18">
        <f>308.07*I18</f>
        <v>16382.423231999999</v>
      </c>
      <c r="L19" s="99">
        <f t="shared" si="0"/>
        <v>53.17</v>
      </c>
    </row>
    <row r="20" spans="1:12">
      <c r="A20" s="1413" t="s">
        <v>241</v>
      </c>
      <c r="B20" s="1414"/>
      <c r="C20" s="1414"/>
      <c r="D20" s="1414"/>
      <c r="E20" s="1414"/>
      <c r="F20" s="1414"/>
      <c r="G20" s="1414"/>
      <c r="H20" s="1414"/>
      <c r="I20" s="22">
        <f>759.68</f>
        <v>759.68</v>
      </c>
      <c r="J20" s="25" t="s">
        <v>117</v>
      </c>
      <c r="K20" s="20">
        <f>23.67*I19</f>
        <v>1258.713792</v>
      </c>
      <c r="L20" s="99">
        <f t="shared" si="0"/>
        <v>759.68</v>
      </c>
    </row>
    <row r="21" spans="1:12" ht="15.75" thickBot="1">
      <c r="A21" s="1413" t="s">
        <v>242</v>
      </c>
      <c r="B21" s="1414"/>
      <c r="C21" s="1414"/>
      <c r="D21" s="1414"/>
      <c r="E21" s="1414"/>
      <c r="F21" s="1414"/>
      <c r="G21" s="1414"/>
      <c r="H21" s="1414"/>
      <c r="I21" s="22">
        <f>(23.63*9)+(32.15*5)+(5.3*3)+8.68</f>
        <v>397.99999999999994</v>
      </c>
      <c r="J21" s="25" t="s">
        <v>35</v>
      </c>
      <c r="K21" s="20">
        <f>10.64*I20</f>
        <v>8082.9952000000003</v>
      </c>
      <c r="L21" s="99">
        <f t="shared" si="0"/>
        <v>398</v>
      </c>
    </row>
    <row r="22" spans="1:12" ht="18" thickBot="1">
      <c r="A22" s="1403" t="s">
        <v>174</v>
      </c>
      <c r="B22" s="1404"/>
      <c r="C22" s="1404"/>
      <c r="D22" s="1404"/>
      <c r="E22" s="1404"/>
      <c r="F22" s="1404"/>
      <c r="G22" s="1404"/>
      <c r="H22" s="1404"/>
      <c r="I22" s="1405"/>
      <c r="J22" s="19" t="s">
        <v>5</v>
      </c>
      <c r="K22" s="20">
        <f>20*I21</f>
        <v>7959.9999999999991</v>
      </c>
      <c r="L22" s="20"/>
    </row>
    <row r="23" spans="1:12">
      <c r="A23" s="1423" t="s">
        <v>243</v>
      </c>
      <c r="B23" s="1424"/>
      <c r="C23" s="1424"/>
      <c r="D23" s="1424"/>
      <c r="E23" s="1424"/>
      <c r="F23" s="1424"/>
      <c r="G23" s="1424"/>
      <c r="H23" s="1424"/>
      <c r="I23" s="21">
        <f>42.8</f>
        <v>42.8</v>
      </c>
      <c r="J23" s="24" t="s">
        <v>117</v>
      </c>
      <c r="L23" s="99">
        <f t="shared" si="0"/>
        <v>42.8</v>
      </c>
    </row>
    <row r="24" spans="1:12">
      <c r="A24" s="1413" t="s">
        <v>244</v>
      </c>
      <c r="B24" s="1414"/>
      <c r="C24" s="1414"/>
      <c r="D24" s="1414"/>
      <c r="E24" s="1414"/>
      <c r="F24" s="1414"/>
      <c r="G24" s="1414"/>
      <c r="H24" s="1414"/>
      <c r="I24" s="22">
        <f>9.9</f>
        <v>9.9</v>
      </c>
      <c r="J24" s="25" t="s">
        <v>60</v>
      </c>
      <c r="K24" s="18">
        <f>45.04*I23</f>
        <v>1927.7119999999998</v>
      </c>
      <c r="L24" s="99">
        <f t="shared" si="0"/>
        <v>9.9</v>
      </c>
    </row>
    <row r="25" spans="1:12">
      <c r="A25" s="1413" t="s">
        <v>240</v>
      </c>
      <c r="B25" s="1414"/>
      <c r="C25" s="1414"/>
      <c r="D25" s="1414"/>
      <c r="E25" s="1414"/>
      <c r="F25" s="1414"/>
      <c r="G25" s="1414"/>
      <c r="H25" s="1414"/>
      <c r="I25" s="22">
        <f>I24</f>
        <v>9.9</v>
      </c>
      <c r="J25" s="25" t="s">
        <v>60</v>
      </c>
      <c r="K25" s="20">
        <f>308.07*I24</f>
        <v>3049.893</v>
      </c>
      <c r="L25" s="99">
        <f t="shared" si="0"/>
        <v>9.9</v>
      </c>
    </row>
    <row r="26" spans="1:12">
      <c r="A26" s="1413" t="s">
        <v>255</v>
      </c>
      <c r="B26" s="1414"/>
      <c r="C26" s="1414"/>
      <c r="D26" s="1414"/>
      <c r="E26" s="1414"/>
      <c r="F26" s="1414"/>
      <c r="G26" s="1414"/>
      <c r="H26" s="1414"/>
      <c r="I26" s="22">
        <f>23.9</f>
        <v>23.9</v>
      </c>
      <c r="J26" s="25" t="s">
        <v>34</v>
      </c>
      <c r="K26" s="20">
        <f>23.67*I25</f>
        <v>234.33300000000003</v>
      </c>
      <c r="L26" s="99">
        <f t="shared" si="0"/>
        <v>23.9</v>
      </c>
    </row>
    <row r="27" spans="1:12" ht="15.75" thickBot="1">
      <c r="A27" s="1413" t="s">
        <v>247</v>
      </c>
      <c r="B27" s="1414"/>
      <c r="C27" s="1414"/>
      <c r="D27" s="1414"/>
      <c r="E27" s="1414"/>
      <c r="F27" s="1414"/>
      <c r="G27" s="1414"/>
      <c r="H27" s="1414"/>
      <c r="I27" s="22">
        <f>548.72</f>
        <v>548.72</v>
      </c>
      <c r="J27" s="25" t="s">
        <v>34</v>
      </c>
      <c r="K27" s="20">
        <f>9.72*I26</f>
        <v>232.30799999999999</v>
      </c>
      <c r="L27" s="99">
        <f t="shared" si="0"/>
        <v>548.72</v>
      </c>
    </row>
    <row r="28" spans="1:12" ht="18" thickBot="1">
      <c r="A28" s="1403" t="s">
        <v>173</v>
      </c>
      <c r="B28" s="1404"/>
      <c r="C28" s="1404"/>
      <c r="D28" s="1404"/>
      <c r="E28" s="1404"/>
      <c r="F28" s="1404"/>
      <c r="G28" s="1404"/>
      <c r="H28" s="1404"/>
      <c r="I28" s="1405"/>
      <c r="J28" s="19" t="s">
        <v>5</v>
      </c>
      <c r="K28" s="20">
        <f>7.39*I27</f>
        <v>4055.0408000000002</v>
      </c>
      <c r="L28" s="20"/>
    </row>
    <row r="29" spans="1:12">
      <c r="A29" s="1423" t="s">
        <v>245</v>
      </c>
      <c r="B29" s="1424"/>
      <c r="C29" s="1424"/>
      <c r="D29" s="1424"/>
      <c r="E29" s="1424"/>
      <c r="F29" s="1424"/>
      <c r="G29" s="1424"/>
      <c r="H29" s="1424"/>
      <c r="I29" s="21">
        <f>15.59+124.75</f>
        <v>140.34</v>
      </c>
      <c r="J29" s="24" t="s">
        <v>117</v>
      </c>
      <c r="L29" s="99">
        <f t="shared" si="0"/>
        <v>140.34</v>
      </c>
    </row>
    <row r="30" spans="1:12">
      <c r="A30" s="1413" t="s">
        <v>244</v>
      </c>
      <c r="B30" s="1414"/>
      <c r="C30" s="1414"/>
      <c r="D30" s="1414"/>
      <c r="E30" s="1414"/>
      <c r="F30" s="1414"/>
      <c r="G30" s="1414"/>
      <c r="H30" s="1414"/>
      <c r="I30" s="22">
        <f>10.17</f>
        <v>10.17</v>
      </c>
      <c r="J30" s="25" t="s">
        <v>60</v>
      </c>
      <c r="K30" s="18">
        <f>117.95*I29</f>
        <v>16553.102999999999</v>
      </c>
      <c r="L30" s="99">
        <f t="shared" si="0"/>
        <v>10.17</v>
      </c>
    </row>
    <row r="31" spans="1:12">
      <c r="A31" s="1413" t="s">
        <v>240</v>
      </c>
      <c r="B31" s="1414"/>
      <c r="C31" s="1414"/>
      <c r="D31" s="1414"/>
      <c r="E31" s="1414"/>
      <c r="F31" s="1414"/>
      <c r="G31" s="1414"/>
      <c r="H31" s="1414"/>
      <c r="I31" s="22">
        <f>I30</f>
        <v>10.17</v>
      </c>
      <c r="J31" s="25" t="s">
        <v>60</v>
      </c>
      <c r="K31" s="20">
        <f>308.07*I30</f>
        <v>3133.0718999999999</v>
      </c>
      <c r="L31" s="99">
        <f t="shared" si="0"/>
        <v>10.17</v>
      </c>
    </row>
    <row r="32" spans="1:12">
      <c r="A32" s="1415" t="s">
        <v>246</v>
      </c>
      <c r="B32" s="1416"/>
      <c r="C32" s="1416"/>
      <c r="D32" s="1416"/>
      <c r="E32" s="1416"/>
      <c r="F32" s="1416"/>
      <c r="G32" s="1416"/>
      <c r="H32" s="1417"/>
      <c r="I32" s="22">
        <f>121.6</f>
        <v>121.6</v>
      </c>
      <c r="J32" s="25" t="s">
        <v>34</v>
      </c>
      <c r="K32" s="88">
        <f>23.67*I31</f>
        <v>240.72390000000001</v>
      </c>
      <c r="L32" s="99">
        <f t="shared" si="0"/>
        <v>121.6</v>
      </c>
    </row>
    <row r="33" spans="1:12" ht="15.75" thickBot="1">
      <c r="A33" s="1435" t="s">
        <v>248</v>
      </c>
      <c r="B33" s="1436"/>
      <c r="C33" s="1436"/>
      <c r="D33" s="1436"/>
      <c r="E33" s="1436"/>
      <c r="F33" s="1436"/>
      <c r="G33" s="1436"/>
      <c r="H33" s="1436"/>
      <c r="I33" s="36">
        <f>406.8</f>
        <v>406.8</v>
      </c>
      <c r="J33" s="33" t="s">
        <v>34</v>
      </c>
      <c r="K33" s="20">
        <f>11.72*I32</f>
        <v>1425.152</v>
      </c>
      <c r="L33" s="99">
        <f t="shared" si="0"/>
        <v>406.8</v>
      </c>
    </row>
    <row r="34" spans="1:12" ht="15.75" thickBot="1">
      <c r="A34" s="1435" t="s">
        <v>257</v>
      </c>
      <c r="B34" s="1436"/>
      <c r="C34" s="1436"/>
      <c r="D34" s="1436"/>
      <c r="E34" s="1436"/>
      <c r="F34" s="1436"/>
      <c r="G34" s="1436"/>
      <c r="H34" s="1436"/>
      <c r="I34" s="36">
        <f>182.6</f>
        <v>182.6</v>
      </c>
      <c r="J34" s="33" t="s">
        <v>34</v>
      </c>
      <c r="K34" s="20">
        <f>6.32*I33</f>
        <v>2570.9760000000001</v>
      </c>
      <c r="L34" s="99">
        <f t="shared" si="0"/>
        <v>182.6</v>
      </c>
    </row>
    <row r="35" spans="1:12" ht="18" thickBot="1">
      <c r="A35" s="1458" t="s">
        <v>249</v>
      </c>
      <c r="B35" s="1459"/>
      <c r="C35" s="1459"/>
      <c r="D35" s="1459"/>
      <c r="E35" s="1459"/>
      <c r="F35" s="1459"/>
      <c r="G35" s="1459"/>
      <c r="H35" s="37">
        <v>40</v>
      </c>
      <c r="I35" s="38" t="s">
        <v>35</v>
      </c>
      <c r="J35" s="39" t="s">
        <v>5</v>
      </c>
      <c r="K35" s="20">
        <f>4.8*I34</f>
        <v>876.4799999999999</v>
      </c>
      <c r="L35" s="20"/>
    </row>
    <row r="36" spans="1:12">
      <c r="A36" s="1423" t="s">
        <v>245</v>
      </c>
      <c r="B36" s="1424"/>
      <c r="C36" s="1424"/>
      <c r="D36" s="1424"/>
      <c r="E36" s="1424"/>
      <c r="F36" s="1424"/>
      <c r="G36" s="1424"/>
      <c r="H36" s="1424"/>
      <c r="I36" s="21">
        <f>(0.08*3)*H35+(0.54*0.08*4)+(0.8*0.08*4)</f>
        <v>10.0288</v>
      </c>
      <c r="J36" s="24" t="s">
        <v>117</v>
      </c>
      <c r="L36" s="153">
        <f t="shared" si="0"/>
        <v>10.02</v>
      </c>
    </row>
    <row r="37" spans="1:12">
      <c r="A37" s="1413" t="s">
        <v>244</v>
      </c>
      <c r="B37" s="1414"/>
      <c r="C37" s="1414"/>
      <c r="D37" s="1414"/>
      <c r="E37" s="1414"/>
      <c r="F37" s="1414"/>
      <c r="G37" s="1414"/>
      <c r="H37" s="1414"/>
      <c r="I37" s="22">
        <f>(0.54+0.94)*0.08*H35+5*(0.09*0.165)*H35+1*0.09*0.14</f>
        <v>7.7186000000000003</v>
      </c>
      <c r="J37" s="25" t="s">
        <v>60</v>
      </c>
      <c r="K37" s="18">
        <f>117.95*I36</f>
        <v>1182.89696</v>
      </c>
      <c r="L37" s="153">
        <f t="shared" si="0"/>
        <v>7.71</v>
      </c>
    </row>
    <row r="38" spans="1:12" ht="15.75" thickBot="1">
      <c r="A38" s="1413" t="s">
        <v>240</v>
      </c>
      <c r="B38" s="1414"/>
      <c r="C38" s="1414"/>
      <c r="D38" s="1414"/>
      <c r="E38" s="1414"/>
      <c r="F38" s="1414"/>
      <c r="G38" s="1414"/>
      <c r="H38" s="1414"/>
      <c r="I38" s="22">
        <f>I37</f>
        <v>7.7186000000000003</v>
      </c>
      <c r="J38" s="25" t="s">
        <v>60</v>
      </c>
      <c r="K38" s="20">
        <f>308.07*I37</f>
        <v>2377.8691020000001</v>
      </c>
      <c r="L38" s="153">
        <f t="shared" si="0"/>
        <v>7.71</v>
      </c>
    </row>
    <row r="39" spans="1:12">
      <c r="A39" s="1413" t="s">
        <v>250</v>
      </c>
      <c r="B39" s="1414"/>
      <c r="C39" s="1414"/>
      <c r="D39" s="1414"/>
      <c r="E39" s="1414"/>
      <c r="F39" s="1414"/>
      <c r="G39" s="1414"/>
      <c r="H39" s="1414"/>
      <c r="I39" s="22">
        <f>(0.54+0.94)*H35*1.2</f>
        <v>71.040000000000006</v>
      </c>
      <c r="J39" s="24" t="s">
        <v>117</v>
      </c>
      <c r="K39" s="20">
        <f>23.67*I38</f>
        <v>182.69926200000003</v>
      </c>
      <c r="L39" s="153">
        <f t="shared" si="0"/>
        <v>71.040000000000006</v>
      </c>
    </row>
    <row r="40" spans="1:12">
      <c r="A40" s="1413" t="s">
        <v>251</v>
      </c>
      <c r="B40" s="1414"/>
      <c r="C40" s="1414"/>
      <c r="D40" s="1414"/>
      <c r="E40" s="1414"/>
      <c r="F40" s="1414"/>
      <c r="G40" s="1414"/>
      <c r="H40" s="1414"/>
      <c r="I40" s="22">
        <f>(5*(H35)*(0.395))+(2.85*H35*0.395)</f>
        <v>124.03</v>
      </c>
      <c r="J40" s="25" t="s">
        <v>34</v>
      </c>
      <c r="K40" s="18">
        <f>10.64*I39</f>
        <v>755.86560000000009</v>
      </c>
      <c r="L40" s="153">
        <f t="shared" si="0"/>
        <v>124.03</v>
      </c>
    </row>
    <row r="41" spans="1:12" ht="15.75" thickBot="1">
      <c r="A41" s="1413" t="s">
        <v>252</v>
      </c>
      <c r="B41" s="1414"/>
      <c r="C41" s="1414"/>
      <c r="D41" s="1414"/>
      <c r="E41" s="1414"/>
      <c r="F41" s="1414"/>
      <c r="G41" s="1414"/>
      <c r="H41" s="1414"/>
      <c r="I41" s="31">
        <f>((0.26*0.88)+(0.66*0.4))*H35</f>
        <v>19.712</v>
      </c>
      <c r="J41" s="40" t="s">
        <v>60</v>
      </c>
      <c r="K41" s="18">
        <f>9.68*I40</f>
        <v>1200.6104</v>
      </c>
      <c r="L41" s="153">
        <f t="shared" si="0"/>
        <v>19.71</v>
      </c>
    </row>
    <row r="42" spans="1:12" ht="15.75" thickBot="1">
      <c r="A42" s="1435" t="s">
        <v>253</v>
      </c>
      <c r="B42" s="1436"/>
      <c r="C42" s="1436"/>
      <c r="D42" s="1436"/>
      <c r="E42" s="1436"/>
      <c r="F42" s="1436"/>
      <c r="G42" s="1436"/>
      <c r="H42" s="1436"/>
      <c r="I42" s="23">
        <f>(0.4*4)*H35</f>
        <v>64</v>
      </c>
      <c r="J42" s="41" t="s">
        <v>117</v>
      </c>
      <c r="K42" s="20">
        <f>50.69*I41</f>
        <v>999.20128</v>
      </c>
      <c r="L42" s="153">
        <f t="shared" si="0"/>
        <v>64</v>
      </c>
    </row>
    <row r="43" spans="1:12" ht="15.75" thickBot="1">
      <c r="A43" s="1435" t="s">
        <v>483</v>
      </c>
      <c r="B43" s="1436"/>
      <c r="C43" s="1436"/>
      <c r="D43" s="1436"/>
      <c r="E43" s="1436"/>
      <c r="F43" s="1436"/>
      <c r="G43" s="1436"/>
      <c r="H43" s="1436"/>
      <c r="I43" s="23">
        <f>(0.4*1)*H35</f>
        <v>16</v>
      </c>
      <c r="J43" s="41" t="s">
        <v>60</v>
      </c>
      <c r="K43" s="18">
        <f>9.68*I42</f>
        <v>619.52</v>
      </c>
      <c r="L43" s="153">
        <f t="shared" si="0"/>
        <v>16</v>
      </c>
    </row>
    <row r="44" spans="1:12" ht="18" thickBot="1">
      <c r="A44" s="1429" t="s">
        <v>254</v>
      </c>
      <c r="B44" s="1430"/>
      <c r="C44" s="1430"/>
      <c r="D44" s="1430"/>
      <c r="E44" s="1430"/>
      <c r="F44" s="1430"/>
      <c r="G44" s="1430"/>
      <c r="H44" s="1430"/>
      <c r="I44" s="1431"/>
      <c r="K44" s="20">
        <f>50.69*I43</f>
        <v>811.04</v>
      </c>
      <c r="L44" s="20"/>
    </row>
    <row r="45" spans="1:12" ht="18" thickBot="1">
      <c r="A45" s="1403" t="s">
        <v>65</v>
      </c>
      <c r="B45" s="1404"/>
      <c r="C45" s="1404"/>
      <c r="D45" s="1404"/>
      <c r="E45" s="1404"/>
      <c r="F45" s="1404"/>
      <c r="G45" s="1404"/>
      <c r="H45" s="1404"/>
      <c r="I45" s="1405"/>
      <c r="J45" s="19" t="s">
        <v>5</v>
      </c>
      <c r="L45" s="20"/>
    </row>
    <row r="46" spans="1:12">
      <c r="A46" s="1423" t="s">
        <v>245</v>
      </c>
      <c r="B46" s="1424"/>
      <c r="C46" s="1424"/>
      <c r="D46" s="1424"/>
      <c r="E46" s="1424"/>
      <c r="F46" s="1424"/>
      <c r="G46" s="1424"/>
      <c r="H46" s="1424"/>
      <c r="I46" s="21">
        <f>28.98+95.42+47.6+22.26+3.08</f>
        <v>197.34</v>
      </c>
      <c r="J46" s="24" t="s">
        <v>117</v>
      </c>
      <c r="L46" s="99">
        <f t="shared" si="0"/>
        <v>197.34</v>
      </c>
    </row>
    <row r="47" spans="1:12">
      <c r="A47" s="1413" t="s">
        <v>244</v>
      </c>
      <c r="B47" s="1414"/>
      <c r="C47" s="1414"/>
      <c r="D47" s="1414"/>
      <c r="E47" s="1414"/>
      <c r="F47" s="1414"/>
      <c r="G47" s="1414"/>
      <c r="H47" s="1414"/>
      <c r="I47" s="22">
        <f>2.9+9.2+4.9+1.92+0.26</f>
        <v>19.180000000000003</v>
      </c>
      <c r="J47" s="25" t="s">
        <v>60</v>
      </c>
      <c r="K47" s="18">
        <f>135.76*I46</f>
        <v>26790.878399999998</v>
      </c>
      <c r="L47" s="99">
        <f t="shared" si="0"/>
        <v>19.18</v>
      </c>
    </row>
    <row r="48" spans="1:12">
      <c r="A48" s="1413" t="s">
        <v>240</v>
      </c>
      <c r="B48" s="1414"/>
      <c r="C48" s="1414"/>
      <c r="D48" s="1414"/>
      <c r="E48" s="1414"/>
      <c r="F48" s="1414"/>
      <c r="G48" s="1414"/>
      <c r="H48" s="1414"/>
      <c r="I48" s="22">
        <f>I47</f>
        <v>19.180000000000003</v>
      </c>
      <c r="J48" s="25" t="s">
        <v>60</v>
      </c>
      <c r="K48" s="20">
        <f>308.07*I47</f>
        <v>5908.7826000000005</v>
      </c>
      <c r="L48" s="99">
        <f t="shared" si="0"/>
        <v>19.18</v>
      </c>
    </row>
    <row r="49" spans="1:15">
      <c r="A49" s="1413" t="s">
        <v>255</v>
      </c>
      <c r="B49" s="1414"/>
      <c r="C49" s="1414"/>
      <c r="D49" s="1414"/>
      <c r="E49" s="1414"/>
      <c r="F49" s="1414"/>
      <c r="G49" s="1414"/>
      <c r="H49" s="1414"/>
      <c r="I49" s="22">
        <f>928.4</f>
        <v>928.4</v>
      </c>
      <c r="J49" s="25" t="s">
        <v>34</v>
      </c>
      <c r="K49" s="18">
        <f>23.67*I48</f>
        <v>453.99060000000009</v>
      </c>
      <c r="L49" s="99">
        <f t="shared" si="0"/>
        <v>928.4</v>
      </c>
    </row>
    <row r="50" spans="1:15" ht="15.75" thickBot="1">
      <c r="A50" s="1413" t="s">
        <v>257</v>
      </c>
      <c r="B50" s="1414"/>
      <c r="C50" s="1414"/>
      <c r="D50" s="1414"/>
      <c r="E50" s="1414"/>
      <c r="F50" s="1414"/>
      <c r="G50" s="1414"/>
      <c r="H50" s="1414"/>
      <c r="I50" s="35">
        <f>3231.8</f>
        <v>3231.8</v>
      </c>
      <c r="J50" s="25" t="s">
        <v>34</v>
      </c>
      <c r="K50" s="18">
        <f>10.46*I49</f>
        <v>9711.0640000000003</v>
      </c>
      <c r="L50" s="99">
        <f t="shared" si="0"/>
        <v>3231.8</v>
      </c>
    </row>
    <row r="51" spans="1:15" ht="18" thickBot="1">
      <c r="A51" s="1403" t="s">
        <v>66</v>
      </c>
      <c r="B51" s="1404"/>
      <c r="C51" s="1404"/>
      <c r="D51" s="1404"/>
      <c r="E51" s="1404"/>
      <c r="F51" s="1404"/>
      <c r="G51" s="1404"/>
      <c r="H51" s="1404"/>
      <c r="I51" s="1405"/>
      <c r="J51" s="19" t="s">
        <v>5</v>
      </c>
      <c r="K51" s="18">
        <f>4.8*I50</f>
        <v>15512.64</v>
      </c>
      <c r="L51" s="20"/>
    </row>
    <row r="52" spans="1:15">
      <c r="A52" s="1425" t="s">
        <v>245</v>
      </c>
      <c r="B52" s="1426"/>
      <c r="C52" s="1426"/>
      <c r="D52" s="1426"/>
      <c r="E52" s="1426"/>
      <c r="F52" s="1426"/>
      <c r="G52" s="1426"/>
      <c r="H52" s="1426"/>
      <c r="I52" s="85">
        <f>5.93+23.76+15.59+83.17+3.71+20.23</f>
        <v>152.38999999999999</v>
      </c>
      <c r="J52" s="24" t="s">
        <v>117</v>
      </c>
      <c r="L52" s="99">
        <f t="shared" si="0"/>
        <v>152.38999999999999</v>
      </c>
    </row>
    <row r="53" spans="1:15">
      <c r="A53" s="1413" t="s">
        <v>244</v>
      </c>
      <c r="B53" s="1414"/>
      <c r="C53" s="1414"/>
      <c r="D53" s="1414"/>
      <c r="E53" s="1414"/>
      <c r="F53" s="1414"/>
      <c r="G53" s="1414"/>
      <c r="H53" s="1414"/>
      <c r="I53" s="22">
        <f>1.94+6.78+1.61</f>
        <v>10.33</v>
      </c>
      <c r="J53" s="25" t="s">
        <v>60</v>
      </c>
      <c r="K53" s="18">
        <f>117.95*I52</f>
        <v>17974.4005</v>
      </c>
      <c r="L53" s="99">
        <f t="shared" si="0"/>
        <v>10.33</v>
      </c>
    </row>
    <row r="54" spans="1:15">
      <c r="A54" s="1413" t="s">
        <v>240</v>
      </c>
      <c r="B54" s="1414"/>
      <c r="C54" s="1414"/>
      <c r="D54" s="1414"/>
      <c r="E54" s="1414"/>
      <c r="F54" s="1414"/>
      <c r="G54" s="1414"/>
      <c r="H54" s="1414"/>
      <c r="I54" s="22">
        <f>I53</f>
        <v>10.33</v>
      </c>
      <c r="J54" s="25" t="s">
        <v>60</v>
      </c>
      <c r="K54" s="18">
        <f>308.07*I53</f>
        <v>3182.3631</v>
      </c>
      <c r="L54" s="99">
        <f t="shared" si="0"/>
        <v>10.33</v>
      </c>
    </row>
    <row r="55" spans="1:15">
      <c r="A55" s="1413" t="s">
        <v>246</v>
      </c>
      <c r="B55" s="1414"/>
      <c r="C55" s="1414"/>
      <c r="D55" s="1414"/>
      <c r="E55" s="1414"/>
      <c r="F55" s="1414"/>
      <c r="G55" s="1414"/>
      <c r="H55" s="1414"/>
      <c r="I55" s="22">
        <f>33.6+85+20</f>
        <v>138.6</v>
      </c>
      <c r="J55" s="25" t="s">
        <v>34</v>
      </c>
      <c r="K55" s="20">
        <f>23.67*I54</f>
        <v>244.51110000000003</v>
      </c>
      <c r="L55" s="99">
        <f t="shared" si="0"/>
        <v>138.6</v>
      </c>
    </row>
    <row r="56" spans="1:15">
      <c r="A56" s="1413" t="s">
        <v>247</v>
      </c>
      <c r="B56" s="1414"/>
      <c r="C56" s="1414"/>
      <c r="D56" s="1414"/>
      <c r="E56" s="1414"/>
      <c r="F56" s="1414"/>
      <c r="G56" s="1414"/>
      <c r="H56" s="1414"/>
      <c r="I56" s="35">
        <f>62.6+92</f>
        <v>154.6</v>
      </c>
      <c r="J56" s="25" t="s">
        <v>34</v>
      </c>
      <c r="K56" s="20">
        <f>11.72*I55</f>
        <v>1624.3920000000001</v>
      </c>
      <c r="L56" s="99">
        <f t="shared" si="0"/>
        <v>154.6</v>
      </c>
    </row>
    <row r="57" spans="1:15" ht="15.75" thickBot="1">
      <c r="A57" s="1435" t="s">
        <v>248</v>
      </c>
      <c r="B57" s="1436"/>
      <c r="C57" s="1436"/>
      <c r="D57" s="1436"/>
      <c r="E57" s="1436"/>
      <c r="F57" s="1436"/>
      <c r="G57" s="1436"/>
      <c r="H57" s="1436"/>
      <c r="I57" s="36">
        <f>100.2+148+61</f>
        <v>309.2</v>
      </c>
      <c r="J57" s="33" t="s">
        <v>34</v>
      </c>
      <c r="K57" s="20">
        <f>9.68*I56</f>
        <v>1496.5279999999998</v>
      </c>
      <c r="L57" s="99">
        <f t="shared" si="0"/>
        <v>309.2</v>
      </c>
    </row>
    <row r="58" spans="1:15" ht="15.75" thickBot="1">
      <c r="A58" s="1435" t="s">
        <v>257</v>
      </c>
      <c r="B58" s="1436"/>
      <c r="C58" s="1436"/>
      <c r="D58" s="1436"/>
      <c r="E58" s="1436"/>
      <c r="F58" s="1436"/>
      <c r="G58" s="1436"/>
      <c r="H58" s="1436"/>
      <c r="I58" s="36">
        <f>368.2+104</f>
        <v>472.2</v>
      </c>
      <c r="J58" s="33" t="s">
        <v>34</v>
      </c>
      <c r="L58" s="99">
        <f t="shared" si="0"/>
        <v>472.2</v>
      </c>
    </row>
    <row r="59" spans="1:15" ht="18" thickBot="1">
      <c r="A59" s="1460" t="s">
        <v>258</v>
      </c>
      <c r="B59" s="1461"/>
      <c r="C59" s="1461"/>
      <c r="D59" s="1461"/>
      <c r="E59" s="1461"/>
      <c r="F59" s="1461"/>
      <c r="G59" s="1461"/>
      <c r="H59" s="1461"/>
      <c r="I59" s="1462"/>
      <c r="L59" s="20"/>
      <c r="O59" s="20"/>
    </row>
    <row r="60" spans="1:15" ht="18" thickBot="1">
      <c r="A60" s="1403" t="s">
        <v>484</v>
      </c>
      <c r="B60" s="1404"/>
      <c r="C60" s="1404"/>
      <c r="D60" s="1404"/>
      <c r="E60" s="1404"/>
      <c r="F60" s="1404"/>
      <c r="G60" s="1404"/>
      <c r="H60" s="1404"/>
      <c r="I60" s="1405"/>
      <c r="J60" s="19" t="s">
        <v>5</v>
      </c>
      <c r="L60" s="20"/>
    </row>
    <row r="61" spans="1:15">
      <c r="A61" s="1423" t="s">
        <v>259</v>
      </c>
      <c r="B61" s="1424"/>
      <c r="C61" s="1424"/>
      <c r="D61" s="1424"/>
      <c r="E61" s="1424"/>
      <c r="F61" s="1424"/>
      <c r="G61" s="1424"/>
      <c r="H61" s="1424"/>
      <c r="I61" s="21">
        <f>149+14718.16+219.8</f>
        <v>15086.96</v>
      </c>
      <c r="J61" s="25" t="s">
        <v>34</v>
      </c>
      <c r="L61" s="99">
        <f t="shared" si="0"/>
        <v>15086.96</v>
      </c>
    </row>
    <row r="62" spans="1:15">
      <c r="A62" s="1413" t="s">
        <v>260</v>
      </c>
      <c r="B62" s="1414"/>
      <c r="C62" s="1414"/>
      <c r="D62" s="1414"/>
      <c r="E62" s="1414"/>
      <c r="F62" s="1414"/>
      <c r="G62" s="1414"/>
      <c r="H62" s="1414"/>
      <c r="I62" s="22">
        <f>1413.26</f>
        <v>1413.26</v>
      </c>
      <c r="J62" s="25" t="s">
        <v>117</v>
      </c>
      <c r="K62" s="18">
        <f>9.23*I61</f>
        <v>139252.64079999999</v>
      </c>
      <c r="L62" s="99">
        <f t="shared" si="0"/>
        <v>1413.26</v>
      </c>
    </row>
    <row r="63" spans="1:15" ht="15.75" thickBot="1">
      <c r="A63" s="1435" t="s">
        <v>261</v>
      </c>
      <c r="B63" s="1436"/>
      <c r="C63" s="1436"/>
      <c r="D63" s="1436"/>
      <c r="E63" s="1436"/>
      <c r="F63" s="1436"/>
      <c r="G63" s="1436"/>
      <c r="H63" s="1436"/>
      <c r="I63" s="22">
        <f>286.56</f>
        <v>286.56</v>
      </c>
      <c r="J63" s="25" t="s">
        <v>34</v>
      </c>
      <c r="K63" s="18">
        <f>16.08*I62</f>
        <v>22725.220799999999</v>
      </c>
      <c r="L63" s="99">
        <f t="shared" si="0"/>
        <v>286.56</v>
      </c>
    </row>
    <row r="64" spans="1:15">
      <c r="K64" s="18">
        <f>4.8*I63</f>
        <v>1375.4880000000001</v>
      </c>
    </row>
    <row r="67" spans="11:11">
      <c r="K67" s="18" t="e">
        <f>SUM(K2:K64)*1.25</f>
        <v>#REF!</v>
      </c>
    </row>
  </sheetData>
  <mergeCells count="67">
    <mergeCell ref="A63:H63"/>
    <mergeCell ref="A52:H52"/>
    <mergeCell ref="A53:H53"/>
    <mergeCell ref="A54:H54"/>
    <mergeCell ref="A55:H55"/>
    <mergeCell ref="A56:H56"/>
    <mergeCell ref="A57:H57"/>
    <mergeCell ref="A58:H58"/>
    <mergeCell ref="A59:I59"/>
    <mergeCell ref="A60:I60"/>
    <mergeCell ref="A61:H61"/>
    <mergeCell ref="A62:H62"/>
    <mergeCell ref="A51:I51"/>
    <mergeCell ref="A40:H40"/>
    <mergeCell ref="A41:H41"/>
    <mergeCell ref="A42:H42"/>
    <mergeCell ref="A43:H43"/>
    <mergeCell ref="A44:I44"/>
    <mergeCell ref="A45:I45"/>
    <mergeCell ref="A46:H46"/>
    <mergeCell ref="A47:H47"/>
    <mergeCell ref="A48:H48"/>
    <mergeCell ref="A49:H49"/>
    <mergeCell ref="A50:H50"/>
    <mergeCell ref="A39:H39"/>
    <mergeCell ref="A28:I28"/>
    <mergeCell ref="A29:H29"/>
    <mergeCell ref="A30:H30"/>
    <mergeCell ref="A31:H31"/>
    <mergeCell ref="A32:H32"/>
    <mergeCell ref="A33:H33"/>
    <mergeCell ref="A34:H34"/>
    <mergeCell ref="A35:G35"/>
    <mergeCell ref="A36:H36"/>
    <mergeCell ref="A37:H37"/>
    <mergeCell ref="A38:H38"/>
    <mergeCell ref="A27:H27"/>
    <mergeCell ref="A16:H16"/>
    <mergeCell ref="A17:I17"/>
    <mergeCell ref="A18:H18"/>
    <mergeCell ref="A19:H19"/>
    <mergeCell ref="A20:H20"/>
    <mergeCell ref="A21:H21"/>
    <mergeCell ref="A22:I22"/>
    <mergeCell ref="A23:H23"/>
    <mergeCell ref="A24:H24"/>
    <mergeCell ref="A25:H25"/>
    <mergeCell ref="A26:H26"/>
    <mergeCell ref="A15:H15"/>
    <mergeCell ref="A5:H5"/>
    <mergeCell ref="A6:H6"/>
    <mergeCell ref="A7:H7"/>
    <mergeCell ref="N7:U7"/>
    <mergeCell ref="A8:H8"/>
    <mergeCell ref="A9:H9"/>
    <mergeCell ref="A10:H10"/>
    <mergeCell ref="A11:H11"/>
    <mergeCell ref="A12:H12"/>
    <mergeCell ref="A13:H13"/>
    <mergeCell ref="A14:H14"/>
    <mergeCell ref="A4:H4"/>
    <mergeCell ref="N4:U4"/>
    <mergeCell ref="A1:L1"/>
    <mergeCell ref="A2:I2"/>
    <mergeCell ref="N2:U2"/>
    <mergeCell ref="A3:I3"/>
    <mergeCell ref="N3:U3"/>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sheetPr>
    <tabColor theme="8" tint="0.59999389629810485"/>
  </sheetPr>
  <dimension ref="A1:D5306"/>
  <sheetViews>
    <sheetView topLeftCell="A5280" zoomScale="85" zoomScaleNormal="85" workbookViewId="0">
      <selection activeCell="B5298" sqref="B5298"/>
    </sheetView>
  </sheetViews>
  <sheetFormatPr defaultRowHeight="15"/>
  <cols>
    <col min="1" max="1" width="13.28515625" customWidth="1"/>
    <col min="2" max="2" width="40.42578125" customWidth="1"/>
  </cols>
  <sheetData>
    <row r="1" spans="1:4">
      <c r="A1">
        <v>39680</v>
      </c>
      <c r="B1" t="s">
        <v>12199</v>
      </c>
      <c r="C1" t="s">
        <v>6636</v>
      </c>
      <c r="D1" s="233">
        <v>69.400000000000006</v>
      </c>
    </row>
    <row r="2" spans="1:4">
      <c r="A2">
        <v>39683</v>
      </c>
      <c r="B2" t="s">
        <v>12200</v>
      </c>
      <c r="C2" t="s">
        <v>6636</v>
      </c>
      <c r="D2" s="233">
        <v>42.48</v>
      </c>
    </row>
    <row r="3" spans="1:4">
      <c r="A3">
        <v>2404</v>
      </c>
      <c r="B3" t="s">
        <v>6637</v>
      </c>
      <c r="C3" t="s">
        <v>6638</v>
      </c>
      <c r="D3" s="233">
        <v>93</v>
      </c>
    </row>
    <row r="4" spans="1:4">
      <c r="A4">
        <v>2720</v>
      </c>
      <c r="B4" t="s">
        <v>6639</v>
      </c>
      <c r="C4" t="s">
        <v>6640</v>
      </c>
      <c r="D4" s="233">
        <v>159.33000000000001</v>
      </c>
    </row>
    <row r="5" spans="1:4">
      <c r="A5">
        <v>2719</v>
      </c>
      <c r="B5" t="s">
        <v>6641</v>
      </c>
      <c r="C5" t="s">
        <v>6640</v>
      </c>
      <c r="D5" s="233">
        <v>135</v>
      </c>
    </row>
    <row r="6" spans="1:4">
      <c r="A6">
        <v>3378</v>
      </c>
      <c r="B6" t="s">
        <v>6642</v>
      </c>
      <c r="C6" t="s">
        <v>6636</v>
      </c>
      <c r="D6" s="233">
        <v>48.34</v>
      </c>
    </row>
    <row r="7" spans="1:4">
      <c r="A7">
        <v>3380</v>
      </c>
      <c r="B7" t="s">
        <v>6643</v>
      </c>
      <c r="C7" t="s">
        <v>6636</v>
      </c>
      <c r="D7" s="233">
        <v>33.840000000000003</v>
      </c>
    </row>
    <row r="8" spans="1:4">
      <c r="A8">
        <v>3379</v>
      </c>
      <c r="B8" t="s">
        <v>6644</v>
      </c>
      <c r="C8" t="s">
        <v>6636</v>
      </c>
      <c r="D8" s="233">
        <v>32.67</v>
      </c>
    </row>
    <row r="9" spans="1:4">
      <c r="A9">
        <v>3346</v>
      </c>
      <c r="B9" t="s">
        <v>11674</v>
      </c>
      <c r="C9" t="s">
        <v>6640</v>
      </c>
      <c r="D9" s="233">
        <v>13.5</v>
      </c>
    </row>
    <row r="10" spans="1:4">
      <c r="A10">
        <v>3348</v>
      </c>
      <c r="B10" t="s">
        <v>11675</v>
      </c>
      <c r="C10" t="s">
        <v>6640</v>
      </c>
      <c r="D10" s="233">
        <v>16.149999999999999</v>
      </c>
    </row>
    <row r="11" spans="1:4">
      <c r="A11">
        <v>3345</v>
      </c>
      <c r="B11" t="s">
        <v>11676</v>
      </c>
      <c r="C11" t="s">
        <v>6640</v>
      </c>
      <c r="D11" s="233">
        <v>10.43</v>
      </c>
    </row>
    <row r="12" spans="1:4">
      <c r="A12">
        <v>39833</v>
      </c>
      <c r="B12" t="s">
        <v>11677</v>
      </c>
      <c r="C12" t="s">
        <v>6640</v>
      </c>
      <c r="D12" s="233">
        <v>22.12</v>
      </c>
    </row>
    <row r="13" spans="1:4">
      <c r="A13">
        <v>39834</v>
      </c>
      <c r="B13" t="s">
        <v>11678</v>
      </c>
      <c r="C13" t="s">
        <v>6640</v>
      </c>
      <c r="D13" s="233">
        <v>37.96</v>
      </c>
    </row>
    <row r="14" spans="1:4">
      <c r="A14">
        <v>39835</v>
      </c>
      <c r="B14" t="s">
        <v>11679</v>
      </c>
      <c r="C14" t="s">
        <v>6640</v>
      </c>
      <c r="D14" s="233">
        <v>46.28</v>
      </c>
    </row>
    <row r="15" spans="1:4">
      <c r="A15">
        <v>13382</v>
      </c>
      <c r="B15" t="s">
        <v>6645</v>
      </c>
      <c r="C15" t="s">
        <v>6636</v>
      </c>
      <c r="D15" s="233">
        <v>188.86</v>
      </c>
    </row>
    <row r="16" spans="1:4">
      <c r="A16">
        <v>13399</v>
      </c>
      <c r="B16" t="s">
        <v>12201</v>
      </c>
      <c r="C16" t="s">
        <v>6636</v>
      </c>
      <c r="D16" s="233">
        <v>21.66</v>
      </c>
    </row>
    <row r="17" spans="1:4">
      <c r="A17">
        <v>39764</v>
      </c>
      <c r="B17" t="s">
        <v>12202</v>
      </c>
      <c r="C17" t="s">
        <v>6636</v>
      </c>
      <c r="D17" s="233">
        <v>29.79</v>
      </c>
    </row>
    <row r="18" spans="1:4">
      <c r="A18">
        <v>4126</v>
      </c>
      <c r="B18" t="s">
        <v>6646</v>
      </c>
      <c r="C18" t="s">
        <v>6636</v>
      </c>
      <c r="D18" s="233">
        <v>201.22</v>
      </c>
    </row>
    <row r="19" spans="1:4">
      <c r="A19">
        <v>10615</v>
      </c>
      <c r="B19" t="s">
        <v>6647</v>
      </c>
      <c r="C19" t="s">
        <v>6636</v>
      </c>
      <c r="D19" s="234">
        <v>45990</v>
      </c>
    </row>
    <row r="20" spans="1:4">
      <c r="A20">
        <v>21136</v>
      </c>
      <c r="B20" t="s">
        <v>6648</v>
      </c>
      <c r="C20" t="s">
        <v>6649</v>
      </c>
      <c r="D20" s="233">
        <v>11.67</v>
      </c>
    </row>
    <row r="21" spans="1:4">
      <c r="A21">
        <v>21128</v>
      </c>
      <c r="B21" t="s">
        <v>6650</v>
      </c>
      <c r="C21" t="s">
        <v>6649</v>
      </c>
      <c r="D21" s="233">
        <v>9.0299999999999994</v>
      </c>
    </row>
    <row r="22" spans="1:4">
      <c r="A22">
        <v>21130</v>
      </c>
      <c r="B22" t="s">
        <v>6651</v>
      </c>
      <c r="C22" t="s">
        <v>6649</v>
      </c>
      <c r="D22" s="233">
        <v>22.8</v>
      </c>
    </row>
    <row r="23" spans="1:4">
      <c r="A23">
        <v>21135</v>
      </c>
      <c r="B23" t="s">
        <v>6652</v>
      </c>
      <c r="C23" t="s">
        <v>6649</v>
      </c>
      <c r="D23" s="233">
        <v>22.45</v>
      </c>
    </row>
    <row r="24" spans="1:4">
      <c r="A24">
        <v>42402</v>
      </c>
      <c r="B24" t="s">
        <v>12203</v>
      </c>
      <c r="C24" t="s">
        <v>6698</v>
      </c>
      <c r="D24" s="233">
        <v>5.17</v>
      </c>
    </row>
    <row r="25" spans="1:4">
      <c r="A25">
        <v>38605</v>
      </c>
      <c r="B25" t="s">
        <v>6653</v>
      </c>
      <c r="C25" t="s">
        <v>6636</v>
      </c>
      <c r="D25" s="233">
        <v>98.62</v>
      </c>
    </row>
    <row r="26" spans="1:4">
      <c r="A26">
        <v>11270</v>
      </c>
      <c r="B26" t="s">
        <v>6654</v>
      </c>
      <c r="C26" t="s">
        <v>6636</v>
      </c>
      <c r="D26" s="233">
        <v>1.8</v>
      </c>
    </row>
    <row r="27" spans="1:4">
      <c r="A27">
        <v>412</v>
      </c>
      <c r="B27" t="s">
        <v>6655</v>
      </c>
      <c r="C27" t="s">
        <v>6636</v>
      </c>
      <c r="D27" s="233">
        <v>1.02</v>
      </c>
    </row>
    <row r="28" spans="1:4">
      <c r="A28">
        <v>414</v>
      </c>
      <c r="B28" t="s">
        <v>6656</v>
      </c>
      <c r="C28" t="s">
        <v>6636</v>
      </c>
      <c r="D28" s="233">
        <v>0.06</v>
      </c>
    </row>
    <row r="29" spans="1:4">
      <c r="A29">
        <v>410</v>
      </c>
      <c r="B29" t="s">
        <v>6657</v>
      </c>
      <c r="C29" t="s">
        <v>6636</v>
      </c>
      <c r="D29" s="233">
        <v>0.15</v>
      </c>
    </row>
    <row r="30" spans="1:4">
      <c r="A30">
        <v>411</v>
      </c>
      <c r="B30" t="s">
        <v>6658</v>
      </c>
      <c r="C30" t="s">
        <v>6636</v>
      </c>
      <c r="D30" s="233">
        <v>0.2</v>
      </c>
    </row>
    <row r="31" spans="1:4">
      <c r="A31">
        <v>408</v>
      </c>
      <c r="B31" t="s">
        <v>6659</v>
      </c>
      <c r="C31" t="s">
        <v>6636</v>
      </c>
      <c r="D31" s="233">
        <v>0.99</v>
      </c>
    </row>
    <row r="32" spans="1:4">
      <c r="A32">
        <v>39131</v>
      </c>
      <c r="B32" t="s">
        <v>6660</v>
      </c>
      <c r="C32" t="s">
        <v>6636</v>
      </c>
      <c r="D32" s="233">
        <v>2.7</v>
      </c>
    </row>
    <row r="33" spans="1:4">
      <c r="A33">
        <v>394</v>
      </c>
      <c r="B33" t="s">
        <v>6661</v>
      </c>
      <c r="C33" t="s">
        <v>6636</v>
      </c>
      <c r="D33" s="233">
        <v>2.74</v>
      </c>
    </row>
    <row r="34" spans="1:4">
      <c r="A34">
        <v>39130</v>
      </c>
      <c r="B34" t="s">
        <v>6662</v>
      </c>
      <c r="C34" t="s">
        <v>6636</v>
      </c>
      <c r="D34" s="233">
        <v>2.46</v>
      </c>
    </row>
    <row r="35" spans="1:4">
      <c r="A35">
        <v>395</v>
      </c>
      <c r="B35" t="s">
        <v>6663</v>
      </c>
      <c r="C35" t="s">
        <v>6636</v>
      </c>
      <c r="D35" s="233">
        <v>2.63</v>
      </c>
    </row>
    <row r="36" spans="1:4">
      <c r="A36">
        <v>39127</v>
      </c>
      <c r="B36" t="s">
        <v>6664</v>
      </c>
      <c r="C36" t="s">
        <v>6636</v>
      </c>
      <c r="D36" s="233">
        <v>1.3</v>
      </c>
    </row>
    <row r="37" spans="1:4">
      <c r="A37">
        <v>392</v>
      </c>
      <c r="B37" t="s">
        <v>6665</v>
      </c>
      <c r="C37" t="s">
        <v>6636</v>
      </c>
      <c r="D37" s="233">
        <v>1.33</v>
      </c>
    </row>
    <row r="38" spans="1:4">
      <c r="A38">
        <v>39129</v>
      </c>
      <c r="B38" t="s">
        <v>925</v>
      </c>
      <c r="C38" t="s">
        <v>6636</v>
      </c>
      <c r="D38" s="233">
        <v>1.52</v>
      </c>
    </row>
    <row r="39" spans="1:4">
      <c r="A39">
        <v>393</v>
      </c>
      <c r="B39" t="s">
        <v>6666</v>
      </c>
      <c r="C39" t="s">
        <v>6636</v>
      </c>
      <c r="D39" s="233">
        <v>1.59</v>
      </c>
    </row>
    <row r="40" spans="1:4">
      <c r="A40">
        <v>39133</v>
      </c>
      <c r="B40" t="s">
        <v>6667</v>
      </c>
      <c r="C40" t="s">
        <v>6636</v>
      </c>
      <c r="D40" s="233">
        <v>3.55</v>
      </c>
    </row>
    <row r="41" spans="1:4">
      <c r="A41">
        <v>397</v>
      </c>
      <c r="B41" t="s">
        <v>6668</v>
      </c>
      <c r="C41" t="s">
        <v>6636</v>
      </c>
      <c r="D41" s="233">
        <v>3.92</v>
      </c>
    </row>
    <row r="42" spans="1:4">
      <c r="A42">
        <v>39132</v>
      </c>
      <c r="B42" t="s">
        <v>6669</v>
      </c>
      <c r="C42" t="s">
        <v>6636</v>
      </c>
      <c r="D42" s="233">
        <v>2.84</v>
      </c>
    </row>
    <row r="43" spans="1:4">
      <c r="A43">
        <v>396</v>
      </c>
      <c r="B43" t="s">
        <v>6670</v>
      </c>
      <c r="C43" t="s">
        <v>6636</v>
      </c>
      <c r="D43" s="233">
        <v>3.04</v>
      </c>
    </row>
    <row r="44" spans="1:4">
      <c r="A44">
        <v>39135</v>
      </c>
      <c r="B44" t="s">
        <v>6671</v>
      </c>
      <c r="C44" t="s">
        <v>6636</v>
      </c>
      <c r="D44" s="233">
        <v>5.68</v>
      </c>
    </row>
    <row r="45" spans="1:4">
      <c r="A45">
        <v>39128</v>
      </c>
      <c r="B45" t="s">
        <v>997</v>
      </c>
      <c r="C45" t="s">
        <v>6636</v>
      </c>
      <c r="D45" s="233">
        <v>1.42</v>
      </c>
    </row>
    <row r="46" spans="1:4">
      <c r="A46">
        <v>400</v>
      </c>
      <c r="B46" t="s">
        <v>6672</v>
      </c>
      <c r="C46" t="s">
        <v>6636</v>
      </c>
      <c r="D46" s="233">
        <v>1.38</v>
      </c>
    </row>
    <row r="47" spans="1:4">
      <c r="A47">
        <v>39125</v>
      </c>
      <c r="B47" t="s">
        <v>6673</v>
      </c>
      <c r="C47" t="s">
        <v>6636</v>
      </c>
      <c r="D47" s="233">
        <v>1.42</v>
      </c>
    </row>
    <row r="48" spans="1:4">
      <c r="A48">
        <v>39134</v>
      </c>
      <c r="B48" t="s">
        <v>6674</v>
      </c>
      <c r="C48" t="s">
        <v>6636</v>
      </c>
      <c r="D48" s="233">
        <v>4.7300000000000004</v>
      </c>
    </row>
    <row r="49" spans="1:4">
      <c r="A49">
        <v>398</v>
      </c>
      <c r="B49" t="s">
        <v>6675</v>
      </c>
      <c r="C49" t="s">
        <v>6636</v>
      </c>
      <c r="D49" s="233">
        <v>4.3600000000000003</v>
      </c>
    </row>
    <row r="50" spans="1:4">
      <c r="A50">
        <v>39126</v>
      </c>
      <c r="B50" t="s">
        <v>6676</v>
      </c>
      <c r="C50" t="s">
        <v>6636</v>
      </c>
      <c r="D50" s="233">
        <v>6.39</v>
      </c>
    </row>
    <row r="51" spans="1:4">
      <c r="A51">
        <v>399</v>
      </c>
      <c r="B51" t="s">
        <v>6677</v>
      </c>
      <c r="C51" t="s">
        <v>6636</v>
      </c>
      <c r="D51" s="233">
        <v>5.63</v>
      </c>
    </row>
    <row r="52" spans="1:4">
      <c r="A52">
        <v>39158</v>
      </c>
      <c r="B52" t="s">
        <v>6678</v>
      </c>
      <c r="C52" t="s">
        <v>6636</v>
      </c>
      <c r="D52" s="233">
        <v>15.12</v>
      </c>
    </row>
    <row r="53" spans="1:4">
      <c r="A53">
        <v>39141</v>
      </c>
      <c r="B53" t="s">
        <v>6679</v>
      </c>
      <c r="C53" t="s">
        <v>6636</v>
      </c>
      <c r="D53" s="233">
        <v>1.0900000000000001</v>
      </c>
    </row>
    <row r="54" spans="1:4">
      <c r="A54">
        <v>39140</v>
      </c>
      <c r="B54" t="s">
        <v>6680</v>
      </c>
      <c r="C54" t="s">
        <v>6636</v>
      </c>
      <c r="D54" s="233">
        <v>0.99</v>
      </c>
    </row>
    <row r="55" spans="1:4">
      <c r="A55">
        <v>39137</v>
      </c>
      <c r="B55" t="s">
        <v>6681</v>
      </c>
      <c r="C55" t="s">
        <v>6636</v>
      </c>
      <c r="D55" s="233">
        <v>0.56999999999999995</v>
      </c>
    </row>
    <row r="56" spans="1:4">
      <c r="A56">
        <v>39139</v>
      </c>
      <c r="B56" t="s">
        <v>6682</v>
      </c>
      <c r="C56" t="s">
        <v>6636</v>
      </c>
      <c r="D56" s="233">
        <v>0.82</v>
      </c>
    </row>
    <row r="57" spans="1:4">
      <c r="A57">
        <v>39143</v>
      </c>
      <c r="B57" t="s">
        <v>6683</v>
      </c>
      <c r="C57" t="s">
        <v>6636</v>
      </c>
      <c r="D57" s="233">
        <v>2.2599999999999998</v>
      </c>
    </row>
    <row r="58" spans="1:4">
      <c r="A58">
        <v>39142</v>
      </c>
      <c r="B58" t="s">
        <v>6684</v>
      </c>
      <c r="C58" t="s">
        <v>6636</v>
      </c>
      <c r="D58" s="233">
        <v>1.62</v>
      </c>
    </row>
    <row r="59" spans="1:4">
      <c r="A59">
        <v>39138</v>
      </c>
      <c r="B59" t="s">
        <v>6685</v>
      </c>
      <c r="C59" t="s">
        <v>6636</v>
      </c>
      <c r="D59" s="233">
        <v>0.6</v>
      </c>
    </row>
    <row r="60" spans="1:4">
      <c r="A60">
        <v>39136</v>
      </c>
      <c r="B60" t="s">
        <v>6686</v>
      </c>
      <c r="C60" t="s">
        <v>6636</v>
      </c>
      <c r="D60" s="233">
        <v>0.4</v>
      </c>
    </row>
    <row r="61" spans="1:4">
      <c r="A61">
        <v>39144</v>
      </c>
      <c r="B61" t="s">
        <v>6687</v>
      </c>
      <c r="C61" t="s">
        <v>6636</v>
      </c>
      <c r="D61" s="233">
        <v>2.63</v>
      </c>
    </row>
    <row r="62" spans="1:4">
      <c r="A62">
        <v>39145</v>
      </c>
      <c r="B62" t="s">
        <v>6688</v>
      </c>
      <c r="C62" t="s">
        <v>6636</v>
      </c>
      <c r="D62" s="233">
        <v>4.34</v>
      </c>
    </row>
    <row r="63" spans="1:4">
      <c r="A63">
        <v>12615</v>
      </c>
      <c r="B63" t="s">
        <v>6689</v>
      </c>
      <c r="C63" t="s">
        <v>6636</v>
      </c>
      <c r="D63" s="233">
        <v>3.24</v>
      </c>
    </row>
    <row r="64" spans="1:4">
      <c r="A64">
        <v>11927</v>
      </c>
      <c r="B64" t="s">
        <v>6690</v>
      </c>
      <c r="C64" t="s">
        <v>6636</v>
      </c>
      <c r="D64" s="233">
        <v>5.37</v>
      </c>
    </row>
    <row r="65" spans="1:4">
      <c r="A65">
        <v>11928</v>
      </c>
      <c r="B65" t="s">
        <v>6691</v>
      </c>
      <c r="C65" t="s">
        <v>6636</v>
      </c>
      <c r="D65" s="233">
        <v>6.15</v>
      </c>
    </row>
    <row r="66" spans="1:4">
      <c r="A66">
        <v>11929</v>
      </c>
      <c r="B66" t="s">
        <v>6692</v>
      </c>
      <c r="C66" t="s">
        <v>6636</v>
      </c>
      <c r="D66" s="233">
        <v>9.52</v>
      </c>
    </row>
    <row r="67" spans="1:4">
      <c r="A67">
        <v>36801</v>
      </c>
      <c r="B67" t="s">
        <v>6693</v>
      </c>
      <c r="C67" t="s">
        <v>6636</v>
      </c>
      <c r="D67" s="233">
        <v>20.09</v>
      </c>
    </row>
    <row r="68" spans="1:4">
      <c r="A68">
        <v>36246</v>
      </c>
      <c r="B68" t="s">
        <v>6694</v>
      </c>
      <c r="C68" t="s">
        <v>6649</v>
      </c>
      <c r="D68" s="233">
        <v>2.2000000000000002</v>
      </c>
    </row>
    <row r="69" spans="1:4">
      <c r="A69">
        <v>37600</v>
      </c>
      <c r="B69" t="s">
        <v>6695</v>
      </c>
      <c r="C69" t="s">
        <v>6636</v>
      </c>
      <c r="D69" s="233">
        <v>59.58</v>
      </c>
    </row>
    <row r="70" spans="1:4">
      <c r="A70">
        <v>37599</v>
      </c>
      <c r="B70" t="s">
        <v>6696</v>
      </c>
      <c r="C70" t="s">
        <v>6636</v>
      </c>
      <c r="D70" s="233">
        <v>55.45</v>
      </c>
    </row>
    <row r="71" spans="1:4">
      <c r="A71">
        <v>1</v>
      </c>
      <c r="B71" t="s">
        <v>6697</v>
      </c>
      <c r="C71" t="s">
        <v>6698</v>
      </c>
      <c r="D71" s="233">
        <v>65.56</v>
      </c>
    </row>
    <row r="72" spans="1:4">
      <c r="A72">
        <v>3</v>
      </c>
      <c r="B72" t="s">
        <v>6699</v>
      </c>
      <c r="C72" t="s">
        <v>6700</v>
      </c>
      <c r="D72" s="233">
        <v>4.74</v>
      </c>
    </row>
    <row r="73" spans="1:4">
      <c r="A73">
        <v>43054</v>
      </c>
      <c r="B73" t="s">
        <v>12204</v>
      </c>
      <c r="C73" t="s">
        <v>6698</v>
      </c>
      <c r="D73" s="233">
        <v>5.41</v>
      </c>
    </row>
    <row r="74" spans="1:4">
      <c r="A74">
        <v>42403</v>
      </c>
      <c r="B74" t="s">
        <v>12205</v>
      </c>
      <c r="C74" t="s">
        <v>6698</v>
      </c>
      <c r="D74" s="233">
        <v>6.63</v>
      </c>
    </row>
    <row r="75" spans="1:4">
      <c r="A75">
        <v>42404</v>
      </c>
      <c r="B75" t="s">
        <v>12206</v>
      </c>
      <c r="C75" t="s">
        <v>6698</v>
      </c>
      <c r="D75" s="233">
        <v>6.59</v>
      </c>
    </row>
    <row r="76" spans="1:4">
      <c r="A76">
        <v>42405</v>
      </c>
      <c r="B76" t="s">
        <v>12207</v>
      </c>
      <c r="C76" t="s">
        <v>6698</v>
      </c>
      <c r="D76" s="233">
        <v>7.02</v>
      </c>
    </row>
    <row r="77" spans="1:4">
      <c r="A77">
        <v>34341</v>
      </c>
      <c r="B77" t="s">
        <v>6701</v>
      </c>
      <c r="C77" t="s">
        <v>6698</v>
      </c>
      <c r="D77" s="233">
        <v>6.09</v>
      </c>
    </row>
    <row r="78" spans="1:4">
      <c r="A78">
        <v>43053</v>
      </c>
      <c r="B78" t="s">
        <v>12208</v>
      </c>
      <c r="C78" t="s">
        <v>6698</v>
      </c>
      <c r="D78" s="233">
        <v>4.83</v>
      </c>
    </row>
    <row r="79" spans="1:4">
      <c r="A79">
        <v>43058</v>
      </c>
      <c r="B79" t="s">
        <v>12209</v>
      </c>
      <c r="C79" t="s">
        <v>6698</v>
      </c>
      <c r="D79" s="233">
        <v>5.01</v>
      </c>
    </row>
    <row r="80" spans="1:4">
      <c r="A80">
        <v>34</v>
      </c>
      <c r="B80" t="s">
        <v>847</v>
      </c>
      <c r="C80" t="s">
        <v>6698</v>
      </c>
      <c r="D80" s="233">
        <v>5.03</v>
      </c>
    </row>
    <row r="81" spans="1:4">
      <c r="A81">
        <v>43055</v>
      </c>
      <c r="B81" t="s">
        <v>12210</v>
      </c>
      <c r="C81" t="s">
        <v>6698</v>
      </c>
      <c r="D81" s="233">
        <v>4.3600000000000003</v>
      </c>
    </row>
    <row r="82" spans="1:4">
      <c r="A82">
        <v>43056</v>
      </c>
      <c r="B82" t="s">
        <v>12211</v>
      </c>
      <c r="C82" t="s">
        <v>6698</v>
      </c>
      <c r="D82" s="233">
        <v>5.0199999999999996</v>
      </c>
    </row>
    <row r="83" spans="1:4">
      <c r="A83">
        <v>43057</v>
      </c>
      <c r="B83" t="s">
        <v>12212</v>
      </c>
      <c r="C83" t="s">
        <v>6698</v>
      </c>
      <c r="D83" s="233">
        <v>5.52</v>
      </c>
    </row>
    <row r="84" spans="1:4">
      <c r="A84">
        <v>34449</v>
      </c>
      <c r="B84" t="s">
        <v>6702</v>
      </c>
      <c r="C84" t="s">
        <v>6698</v>
      </c>
      <c r="D84" s="233">
        <v>5.9</v>
      </c>
    </row>
    <row r="85" spans="1:4">
      <c r="A85">
        <v>32</v>
      </c>
      <c r="B85" t="s">
        <v>6703</v>
      </c>
      <c r="C85" t="s">
        <v>6698</v>
      </c>
      <c r="D85" s="233">
        <v>5.31</v>
      </c>
    </row>
    <row r="86" spans="1:4">
      <c r="A86">
        <v>33</v>
      </c>
      <c r="B86" t="s">
        <v>862</v>
      </c>
      <c r="C86" t="s">
        <v>6698</v>
      </c>
      <c r="D86" s="233">
        <v>5.34</v>
      </c>
    </row>
    <row r="87" spans="1:4">
      <c r="A87">
        <v>43061</v>
      </c>
      <c r="B87" t="s">
        <v>12213</v>
      </c>
      <c r="C87" t="s">
        <v>6698</v>
      </c>
      <c r="D87" s="233">
        <v>4.99</v>
      </c>
    </row>
    <row r="88" spans="1:4">
      <c r="A88">
        <v>43059</v>
      </c>
      <c r="B88" t="s">
        <v>12214</v>
      </c>
      <c r="C88" t="s">
        <v>6698</v>
      </c>
      <c r="D88" s="233">
        <v>4.76</v>
      </c>
    </row>
    <row r="89" spans="1:4">
      <c r="A89">
        <v>43062</v>
      </c>
      <c r="B89" t="s">
        <v>12215</v>
      </c>
      <c r="C89" t="s">
        <v>6698</v>
      </c>
      <c r="D89" s="233">
        <v>5.28</v>
      </c>
    </row>
    <row r="90" spans="1:4">
      <c r="A90">
        <v>43060</v>
      </c>
      <c r="B90" t="s">
        <v>12216</v>
      </c>
      <c r="C90" t="s">
        <v>6698</v>
      </c>
      <c r="D90" s="233">
        <v>4.1500000000000004</v>
      </c>
    </row>
    <row r="91" spans="1:4">
      <c r="A91">
        <v>20063</v>
      </c>
      <c r="B91" t="s">
        <v>6704</v>
      </c>
      <c r="C91" t="s">
        <v>6636</v>
      </c>
      <c r="D91" s="233">
        <v>3.22</v>
      </c>
    </row>
    <row r="92" spans="1:4">
      <c r="A92">
        <v>40410</v>
      </c>
      <c r="B92" t="s">
        <v>6705</v>
      </c>
      <c r="C92" t="s">
        <v>6636</v>
      </c>
      <c r="D92" s="233">
        <v>14.18</v>
      </c>
    </row>
    <row r="93" spans="1:4">
      <c r="A93">
        <v>40411</v>
      </c>
      <c r="B93" t="s">
        <v>6706</v>
      </c>
      <c r="C93" t="s">
        <v>6636</v>
      </c>
      <c r="D93" s="233">
        <v>15.39</v>
      </c>
    </row>
    <row r="94" spans="1:4">
      <c r="A94">
        <v>40412</v>
      </c>
      <c r="B94" t="s">
        <v>6707</v>
      </c>
      <c r="C94" t="s">
        <v>6636</v>
      </c>
      <c r="D94" s="233">
        <v>17.27</v>
      </c>
    </row>
    <row r="95" spans="1:4">
      <c r="A95">
        <v>38838</v>
      </c>
      <c r="B95" t="s">
        <v>6708</v>
      </c>
      <c r="C95" t="s">
        <v>6636</v>
      </c>
      <c r="D95" s="233">
        <v>6.79</v>
      </c>
    </row>
    <row r="96" spans="1:4">
      <c r="A96">
        <v>38839</v>
      </c>
      <c r="B96" t="s">
        <v>6709</v>
      </c>
      <c r="C96" t="s">
        <v>6636</v>
      </c>
      <c r="D96" s="233">
        <v>7.99</v>
      </c>
    </row>
    <row r="97" spans="1:4">
      <c r="A97">
        <v>55</v>
      </c>
      <c r="B97" t="s">
        <v>6710</v>
      </c>
      <c r="C97" t="s">
        <v>6636</v>
      </c>
      <c r="D97" s="233">
        <v>3.2</v>
      </c>
    </row>
    <row r="98" spans="1:4">
      <c r="A98">
        <v>61</v>
      </c>
      <c r="B98" t="s">
        <v>6711</v>
      </c>
      <c r="C98" t="s">
        <v>6636</v>
      </c>
      <c r="D98" s="233">
        <v>3.02</v>
      </c>
    </row>
    <row r="99" spans="1:4">
      <c r="A99">
        <v>62</v>
      </c>
      <c r="B99" t="s">
        <v>6712</v>
      </c>
      <c r="C99" t="s">
        <v>6636</v>
      </c>
      <c r="D99" s="233">
        <v>6.27</v>
      </c>
    </row>
    <row r="100" spans="1:4">
      <c r="A100">
        <v>77</v>
      </c>
      <c r="B100" t="s">
        <v>6713</v>
      </c>
      <c r="C100" t="s">
        <v>6636</v>
      </c>
      <c r="D100" s="233">
        <v>0.82</v>
      </c>
    </row>
    <row r="101" spans="1:4">
      <c r="A101">
        <v>76</v>
      </c>
      <c r="B101" t="s">
        <v>6714</v>
      </c>
      <c r="C101" t="s">
        <v>6636</v>
      </c>
      <c r="D101" s="233">
        <v>0.83</v>
      </c>
    </row>
    <row r="102" spans="1:4">
      <c r="A102">
        <v>67</v>
      </c>
      <c r="B102" t="s">
        <v>6715</v>
      </c>
      <c r="C102" t="s">
        <v>6636</v>
      </c>
      <c r="D102" s="233">
        <v>8.0299999999999994</v>
      </c>
    </row>
    <row r="103" spans="1:4">
      <c r="A103">
        <v>71</v>
      </c>
      <c r="B103" t="s">
        <v>6716</v>
      </c>
      <c r="C103" t="s">
        <v>6636</v>
      </c>
      <c r="D103" s="233">
        <v>14.76</v>
      </c>
    </row>
    <row r="104" spans="1:4">
      <c r="A104">
        <v>73</v>
      </c>
      <c r="B104" t="s">
        <v>6717</v>
      </c>
      <c r="C104" t="s">
        <v>6636</v>
      </c>
      <c r="D104" s="233">
        <v>11.02</v>
      </c>
    </row>
    <row r="105" spans="1:4">
      <c r="A105">
        <v>103</v>
      </c>
      <c r="B105" t="s">
        <v>6718</v>
      </c>
      <c r="C105" t="s">
        <v>6636</v>
      </c>
      <c r="D105" s="233">
        <v>32.78</v>
      </c>
    </row>
    <row r="106" spans="1:4">
      <c r="A106">
        <v>107</v>
      </c>
      <c r="B106" t="s">
        <v>6719</v>
      </c>
      <c r="C106" t="s">
        <v>6636</v>
      </c>
      <c r="D106" s="233">
        <v>0.51</v>
      </c>
    </row>
    <row r="107" spans="1:4">
      <c r="A107">
        <v>65</v>
      </c>
      <c r="B107" t="s">
        <v>6720</v>
      </c>
      <c r="C107" t="s">
        <v>6636</v>
      </c>
      <c r="D107" s="233">
        <v>0.63</v>
      </c>
    </row>
    <row r="108" spans="1:4">
      <c r="A108">
        <v>108</v>
      </c>
      <c r="B108" t="s">
        <v>6721</v>
      </c>
      <c r="C108" t="s">
        <v>6636</v>
      </c>
      <c r="D108" s="233">
        <v>1.31</v>
      </c>
    </row>
    <row r="109" spans="1:4">
      <c r="A109">
        <v>110</v>
      </c>
      <c r="B109" t="s">
        <v>6722</v>
      </c>
      <c r="C109" t="s">
        <v>6636</v>
      </c>
      <c r="D109" s="233">
        <v>5.0599999999999996</v>
      </c>
    </row>
    <row r="110" spans="1:4">
      <c r="A110">
        <v>109</v>
      </c>
      <c r="B110" t="s">
        <v>6723</v>
      </c>
      <c r="C110" t="s">
        <v>6636</v>
      </c>
      <c r="D110" s="233">
        <v>2.4900000000000002</v>
      </c>
    </row>
    <row r="111" spans="1:4">
      <c r="A111">
        <v>111</v>
      </c>
      <c r="B111" t="s">
        <v>6724</v>
      </c>
      <c r="C111" t="s">
        <v>6636</v>
      </c>
      <c r="D111" s="233">
        <v>5.83</v>
      </c>
    </row>
    <row r="112" spans="1:4">
      <c r="A112">
        <v>112</v>
      </c>
      <c r="B112" t="s">
        <v>6725</v>
      </c>
      <c r="C112" t="s">
        <v>6636</v>
      </c>
      <c r="D112" s="233">
        <v>3.17</v>
      </c>
    </row>
    <row r="113" spans="1:4">
      <c r="A113">
        <v>113</v>
      </c>
      <c r="B113" t="s">
        <v>6726</v>
      </c>
      <c r="C113" t="s">
        <v>6636</v>
      </c>
      <c r="D113" s="233">
        <v>8.6199999999999992</v>
      </c>
    </row>
    <row r="114" spans="1:4">
      <c r="A114">
        <v>104</v>
      </c>
      <c r="B114" t="s">
        <v>6727</v>
      </c>
      <c r="C114" t="s">
        <v>6636</v>
      </c>
      <c r="D114" s="233">
        <v>12.54</v>
      </c>
    </row>
    <row r="115" spans="1:4">
      <c r="A115">
        <v>102</v>
      </c>
      <c r="B115" t="s">
        <v>6728</v>
      </c>
      <c r="C115" t="s">
        <v>6636</v>
      </c>
      <c r="D115" s="233">
        <v>20.59</v>
      </c>
    </row>
    <row r="116" spans="1:4">
      <c r="A116">
        <v>95</v>
      </c>
      <c r="B116" t="s">
        <v>6729</v>
      </c>
      <c r="C116" t="s">
        <v>6636</v>
      </c>
      <c r="D116" s="233">
        <v>6.97</v>
      </c>
    </row>
    <row r="117" spans="1:4">
      <c r="A117">
        <v>96</v>
      </c>
      <c r="B117" t="s">
        <v>6730</v>
      </c>
      <c r="C117" t="s">
        <v>6636</v>
      </c>
      <c r="D117" s="233">
        <v>8.01</v>
      </c>
    </row>
    <row r="118" spans="1:4">
      <c r="A118">
        <v>97</v>
      </c>
      <c r="B118" t="s">
        <v>6731</v>
      </c>
      <c r="C118" t="s">
        <v>6636</v>
      </c>
      <c r="D118" s="233">
        <v>10.41</v>
      </c>
    </row>
    <row r="119" spans="1:4">
      <c r="A119">
        <v>98</v>
      </c>
      <c r="B119" t="s">
        <v>6732</v>
      </c>
      <c r="C119" t="s">
        <v>6636</v>
      </c>
      <c r="D119" s="233">
        <v>14.03</v>
      </c>
    </row>
    <row r="120" spans="1:4">
      <c r="A120">
        <v>99</v>
      </c>
      <c r="B120" t="s">
        <v>6733</v>
      </c>
      <c r="C120" t="s">
        <v>6636</v>
      </c>
      <c r="D120" s="233">
        <v>17.010000000000002</v>
      </c>
    </row>
    <row r="121" spans="1:4">
      <c r="A121">
        <v>100</v>
      </c>
      <c r="B121" t="s">
        <v>6734</v>
      </c>
      <c r="C121" t="s">
        <v>6636</v>
      </c>
      <c r="D121" s="233">
        <v>23.73</v>
      </c>
    </row>
    <row r="122" spans="1:4">
      <c r="A122">
        <v>75</v>
      </c>
      <c r="B122" t="s">
        <v>6735</v>
      </c>
      <c r="C122" t="s">
        <v>6636</v>
      </c>
      <c r="D122" s="233">
        <v>247.36</v>
      </c>
    </row>
    <row r="123" spans="1:4">
      <c r="A123">
        <v>114</v>
      </c>
      <c r="B123" t="s">
        <v>6736</v>
      </c>
      <c r="C123" t="s">
        <v>6636</v>
      </c>
      <c r="D123" s="233">
        <v>9.01</v>
      </c>
    </row>
    <row r="124" spans="1:4">
      <c r="A124">
        <v>68</v>
      </c>
      <c r="B124" t="s">
        <v>882</v>
      </c>
      <c r="C124" t="s">
        <v>6636</v>
      </c>
      <c r="D124" s="233">
        <v>13.78</v>
      </c>
    </row>
    <row r="125" spans="1:4">
      <c r="A125">
        <v>86</v>
      </c>
      <c r="B125" t="s">
        <v>6737</v>
      </c>
      <c r="C125" t="s">
        <v>6636</v>
      </c>
      <c r="D125" s="233">
        <v>25.62</v>
      </c>
    </row>
    <row r="126" spans="1:4">
      <c r="A126">
        <v>66</v>
      </c>
      <c r="B126" t="s">
        <v>6738</v>
      </c>
      <c r="C126" t="s">
        <v>6636</v>
      </c>
      <c r="D126" s="233">
        <v>25.71</v>
      </c>
    </row>
    <row r="127" spans="1:4">
      <c r="A127">
        <v>69</v>
      </c>
      <c r="B127" t="s">
        <v>6739</v>
      </c>
      <c r="C127" t="s">
        <v>6636</v>
      </c>
      <c r="D127" s="233">
        <v>39.299999999999997</v>
      </c>
    </row>
    <row r="128" spans="1:4">
      <c r="A128">
        <v>83</v>
      </c>
      <c r="B128" t="s">
        <v>6740</v>
      </c>
      <c r="C128" t="s">
        <v>6636</v>
      </c>
      <c r="D128" s="233">
        <v>125.54</v>
      </c>
    </row>
    <row r="129" spans="1:4">
      <c r="A129">
        <v>74</v>
      </c>
      <c r="B129" t="s">
        <v>6741</v>
      </c>
      <c r="C129" t="s">
        <v>6636</v>
      </c>
      <c r="D129" s="233">
        <v>175.26</v>
      </c>
    </row>
    <row r="130" spans="1:4">
      <c r="A130">
        <v>106</v>
      </c>
      <c r="B130" t="s">
        <v>6742</v>
      </c>
      <c r="C130" t="s">
        <v>6636</v>
      </c>
      <c r="D130" s="233">
        <v>266.25</v>
      </c>
    </row>
    <row r="131" spans="1:4">
      <c r="A131">
        <v>87</v>
      </c>
      <c r="B131" t="s">
        <v>883</v>
      </c>
      <c r="C131" t="s">
        <v>6636</v>
      </c>
      <c r="D131" s="233">
        <v>12.65</v>
      </c>
    </row>
    <row r="132" spans="1:4">
      <c r="A132">
        <v>88</v>
      </c>
      <c r="B132" t="s">
        <v>6743</v>
      </c>
      <c r="C132" t="s">
        <v>6636</v>
      </c>
      <c r="D132" s="233">
        <v>14.12</v>
      </c>
    </row>
    <row r="133" spans="1:4">
      <c r="A133">
        <v>89</v>
      </c>
      <c r="B133" t="s">
        <v>6744</v>
      </c>
      <c r="C133" t="s">
        <v>6636</v>
      </c>
      <c r="D133" s="233">
        <v>20.88</v>
      </c>
    </row>
    <row r="134" spans="1:4">
      <c r="A134">
        <v>90</v>
      </c>
      <c r="B134" t="s">
        <v>6745</v>
      </c>
      <c r="C134" t="s">
        <v>6636</v>
      </c>
      <c r="D134" s="233">
        <v>23.92</v>
      </c>
    </row>
    <row r="135" spans="1:4">
      <c r="A135">
        <v>81</v>
      </c>
      <c r="B135" t="s">
        <v>6746</v>
      </c>
      <c r="C135" t="s">
        <v>6636</v>
      </c>
      <c r="D135" s="233">
        <v>40.92</v>
      </c>
    </row>
    <row r="136" spans="1:4">
      <c r="A136">
        <v>82</v>
      </c>
      <c r="B136" t="s">
        <v>6747</v>
      </c>
      <c r="C136" t="s">
        <v>6636</v>
      </c>
      <c r="D136" s="233">
        <v>158.86000000000001</v>
      </c>
    </row>
    <row r="137" spans="1:4">
      <c r="A137">
        <v>105</v>
      </c>
      <c r="B137" t="s">
        <v>6748</v>
      </c>
      <c r="C137" t="s">
        <v>6636</v>
      </c>
      <c r="D137" s="233">
        <v>185.99</v>
      </c>
    </row>
    <row r="138" spans="1:4">
      <c r="A138">
        <v>60</v>
      </c>
      <c r="B138" t="s">
        <v>6749</v>
      </c>
      <c r="C138" t="s">
        <v>6636</v>
      </c>
      <c r="D138" s="233">
        <v>4.1500000000000004</v>
      </c>
    </row>
    <row r="139" spans="1:4">
      <c r="A139">
        <v>72</v>
      </c>
      <c r="B139" t="s">
        <v>6750</v>
      </c>
      <c r="C139" t="s">
        <v>6636</v>
      </c>
      <c r="D139" s="233">
        <v>25.01</v>
      </c>
    </row>
    <row r="140" spans="1:4">
      <c r="A140">
        <v>70</v>
      </c>
      <c r="B140" t="s">
        <v>6751</v>
      </c>
      <c r="C140" t="s">
        <v>6636</v>
      </c>
      <c r="D140" s="233">
        <v>20.92</v>
      </c>
    </row>
    <row r="141" spans="1:4">
      <c r="A141">
        <v>85</v>
      </c>
      <c r="B141" t="s">
        <v>6752</v>
      </c>
      <c r="C141" t="s">
        <v>6636</v>
      </c>
      <c r="D141" s="233">
        <v>30.36</v>
      </c>
    </row>
    <row r="142" spans="1:4">
      <c r="A142">
        <v>84</v>
      </c>
      <c r="B142" t="s">
        <v>6753</v>
      </c>
      <c r="C142" t="s">
        <v>6636</v>
      </c>
      <c r="D142" s="233">
        <v>0.35</v>
      </c>
    </row>
    <row r="143" spans="1:4">
      <c r="A143">
        <v>37997</v>
      </c>
      <c r="B143" t="s">
        <v>6754</v>
      </c>
      <c r="C143" t="s">
        <v>6636</v>
      </c>
      <c r="D143" s="233">
        <v>7.58</v>
      </c>
    </row>
    <row r="144" spans="1:4">
      <c r="A144">
        <v>37998</v>
      </c>
      <c r="B144" t="s">
        <v>6755</v>
      </c>
      <c r="C144" t="s">
        <v>6636</v>
      </c>
      <c r="D144" s="233">
        <v>7.85</v>
      </c>
    </row>
    <row r="145" spans="1:4">
      <c r="A145">
        <v>10899</v>
      </c>
      <c r="B145" t="s">
        <v>6756</v>
      </c>
      <c r="C145" t="s">
        <v>6636</v>
      </c>
      <c r="D145" s="233">
        <v>44.68</v>
      </c>
    </row>
    <row r="146" spans="1:4">
      <c r="A146">
        <v>10900</v>
      </c>
      <c r="B146" t="s">
        <v>6757</v>
      </c>
      <c r="C146" t="s">
        <v>6636</v>
      </c>
      <c r="D146" s="233">
        <v>34.97</v>
      </c>
    </row>
    <row r="147" spans="1:4">
      <c r="A147">
        <v>46</v>
      </c>
      <c r="B147" t="s">
        <v>6758</v>
      </c>
      <c r="C147" t="s">
        <v>6636</v>
      </c>
      <c r="D147" s="233">
        <v>32.03</v>
      </c>
    </row>
    <row r="148" spans="1:4">
      <c r="A148">
        <v>51</v>
      </c>
      <c r="B148" t="s">
        <v>6759</v>
      </c>
      <c r="C148" t="s">
        <v>6636</v>
      </c>
      <c r="D148" s="233">
        <v>88.37</v>
      </c>
    </row>
    <row r="149" spans="1:4">
      <c r="A149">
        <v>12863</v>
      </c>
      <c r="B149" t="s">
        <v>6760</v>
      </c>
      <c r="C149" t="s">
        <v>6636</v>
      </c>
      <c r="D149" s="233">
        <v>20.350000000000001</v>
      </c>
    </row>
    <row r="150" spans="1:4">
      <c r="A150">
        <v>50</v>
      </c>
      <c r="B150" t="s">
        <v>6761</v>
      </c>
      <c r="C150" t="s">
        <v>6636</v>
      </c>
      <c r="D150" s="233">
        <v>46.14</v>
      </c>
    </row>
    <row r="151" spans="1:4">
      <c r="A151">
        <v>47</v>
      </c>
      <c r="B151" t="s">
        <v>6762</v>
      </c>
      <c r="C151" t="s">
        <v>6636</v>
      </c>
      <c r="D151" s="233">
        <v>54.77</v>
      </c>
    </row>
    <row r="152" spans="1:4">
      <c r="A152">
        <v>48</v>
      </c>
      <c r="B152" t="s">
        <v>6763</v>
      </c>
      <c r="C152" t="s">
        <v>6636</v>
      </c>
      <c r="D152" s="233">
        <v>14.28</v>
      </c>
    </row>
    <row r="153" spans="1:4">
      <c r="A153">
        <v>52</v>
      </c>
      <c r="B153" t="s">
        <v>6764</v>
      </c>
      <c r="C153" t="s">
        <v>6636</v>
      </c>
      <c r="D153" s="233">
        <v>10.85</v>
      </c>
    </row>
    <row r="154" spans="1:4">
      <c r="A154">
        <v>43</v>
      </c>
      <c r="B154" t="s">
        <v>6765</v>
      </c>
      <c r="C154" t="s">
        <v>6636</v>
      </c>
      <c r="D154" s="233">
        <v>36.630000000000003</v>
      </c>
    </row>
    <row r="155" spans="1:4">
      <c r="A155">
        <v>4791</v>
      </c>
      <c r="B155" t="s">
        <v>838</v>
      </c>
      <c r="C155" t="s">
        <v>6698</v>
      </c>
      <c r="D155" s="233">
        <v>12.97</v>
      </c>
    </row>
    <row r="156" spans="1:4">
      <c r="A156">
        <v>157</v>
      </c>
      <c r="B156" t="s">
        <v>6766</v>
      </c>
      <c r="C156" t="s">
        <v>6698</v>
      </c>
      <c r="D156" s="233">
        <v>99.91</v>
      </c>
    </row>
    <row r="157" spans="1:4">
      <c r="A157">
        <v>156</v>
      </c>
      <c r="B157" t="s">
        <v>6767</v>
      </c>
      <c r="C157" t="s">
        <v>6698</v>
      </c>
      <c r="D157" s="233">
        <v>35.57</v>
      </c>
    </row>
    <row r="158" spans="1:4">
      <c r="A158">
        <v>131</v>
      </c>
      <c r="B158" t="s">
        <v>6768</v>
      </c>
      <c r="C158" t="s">
        <v>6698</v>
      </c>
      <c r="D158" s="233">
        <v>30.42</v>
      </c>
    </row>
    <row r="159" spans="1:4">
      <c r="A159">
        <v>39719</v>
      </c>
      <c r="B159" t="s">
        <v>6769</v>
      </c>
      <c r="C159" t="s">
        <v>6700</v>
      </c>
      <c r="D159" s="233">
        <v>91.56</v>
      </c>
    </row>
    <row r="160" spans="1:4">
      <c r="A160">
        <v>21114</v>
      </c>
      <c r="B160" t="s">
        <v>6770</v>
      </c>
      <c r="C160" t="s">
        <v>6636</v>
      </c>
      <c r="D160" s="233">
        <v>19.61</v>
      </c>
    </row>
    <row r="161" spans="1:4">
      <c r="A161">
        <v>119</v>
      </c>
      <c r="B161" t="s">
        <v>884</v>
      </c>
      <c r="C161" t="s">
        <v>6636</v>
      </c>
      <c r="D161" s="233">
        <v>7.74</v>
      </c>
    </row>
    <row r="162" spans="1:4">
      <c r="A162">
        <v>20080</v>
      </c>
      <c r="B162" t="s">
        <v>6771</v>
      </c>
      <c r="C162" t="s">
        <v>6636</v>
      </c>
      <c r="D162" s="233">
        <v>22.19</v>
      </c>
    </row>
    <row r="163" spans="1:4">
      <c r="A163">
        <v>122</v>
      </c>
      <c r="B163" t="s">
        <v>869</v>
      </c>
      <c r="C163" t="s">
        <v>6636</v>
      </c>
      <c r="D163" s="233">
        <v>69.92</v>
      </c>
    </row>
    <row r="164" spans="1:4">
      <c r="A164">
        <v>3410</v>
      </c>
      <c r="B164" t="s">
        <v>6772</v>
      </c>
      <c r="C164" t="s">
        <v>6698</v>
      </c>
      <c r="D164" s="233">
        <v>19.600000000000001</v>
      </c>
    </row>
    <row r="165" spans="1:4">
      <c r="A165">
        <v>124</v>
      </c>
      <c r="B165" t="s">
        <v>12217</v>
      </c>
      <c r="C165" t="s">
        <v>6700</v>
      </c>
      <c r="D165" s="233">
        <v>11.73</v>
      </c>
    </row>
    <row r="166" spans="1:4">
      <c r="A166">
        <v>7334</v>
      </c>
      <c r="B166" t="s">
        <v>6773</v>
      </c>
      <c r="C166" t="s">
        <v>6700</v>
      </c>
      <c r="D166" s="233">
        <v>11.24</v>
      </c>
    </row>
    <row r="167" spans="1:4">
      <c r="A167">
        <v>123</v>
      </c>
      <c r="B167" t="s">
        <v>12218</v>
      </c>
      <c r="C167" t="s">
        <v>6700</v>
      </c>
      <c r="D167" s="233">
        <v>4.8</v>
      </c>
    </row>
    <row r="168" spans="1:4">
      <c r="A168">
        <v>127</v>
      </c>
      <c r="B168" t="s">
        <v>12219</v>
      </c>
      <c r="C168" t="s">
        <v>6700</v>
      </c>
      <c r="D168" s="233">
        <v>11.46</v>
      </c>
    </row>
    <row r="169" spans="1:4">
      <c r="A169">
        <v>41373</v>
      </c>
      <c r="B169" t="s">
        <v>12220</v>
      </c>
      <c r="C169" t="s">
        <v>6700</v>
      </c>
      <c r="D169" s="233">
        <v>15.96</v>
      </c>
    </row>
    <row r="170" spans="1:4">
      <c r="A170">
        <v>133</v>
      </c>
      <c r="B170" t="s">
        <v>12221</v>
      </c>
      <c r="C170" t="s">
        <v>6700</v>
      </c>
      <c r="D170" s="233">
        <v>4.76</v>
      </c>
    </row>
    <row r="171" spans="1:4">
      <c r="A171">
        <v>43617</v>
      </c>
      <c r="B171" t="s">
        <v>12222</v>
      </c>
      <c r="C171" t="s">
        <v>6700</v>
      </c>
      <c r="D171" s="233">
        <v>5.31</v>
      </c>
    </row>
    <row r="172" spans="1:4">
      <c r="A172">
        <v>132</v>
      </c>
      <c r="B172" t="s">
        <v>12223</v>
      </c>
      <c r="C172" t="s">
        <v>6700</v>
      </c>
      <c r="D172" s="233">
        <v>4.93</v>
      </c>
    </row>
    <row r="173" spans="1:4">
      <c r="A173">
        <v>43618</v>
      </c>
      <c r="B173" t="s">
        <v>12224</v>
      </c>
      <c r="C173" t="s">
        <v>6698</v>
      </c>
      <c r="D173" s="233">
        <v>12.42</v>
      </c>
    </row>
    <row r="174" spans="1:4">
      <c r="A174">
        <v>37476</v>
      </c>
      <c r="B174" t="s">
        <v>6775</v>
      </c>
      <c r="C174" t="s">
        <v>6636</v>
      </c>
      <c r="D174" s="234">
        <v>1889.9</v>
      </c>
    </row>
    <row r="175" spans="1:4">
      <c r="A175">
        <v>37478</v>
      </c>
      <c r="B175" t="s">
        <v>6776</v>
      </c>
      <c r="C175" t="s">
        <v>6636</v>
      </c>
      <c r="D175" s="234">
        <v>2673.71</v>
      </c>
    </row>
    <row r="176" spans="1:4">
      <c r="A176">
        <v>37477</v>
      </c>
      <c r="B176" t="s">
        <v>6777</v>
      </c>
      <c r="C176" t="s">
        <v>6636</v>
      </c>
      <c r="D176" s="234">
        <v>3271.67</v>
      </c>
    </row>
    <row r="177" spans="1:4">
      <c r="A177">
        <v>37479</v>
      </c>
      <c r="B177" t="s">
        <v>6778</v>
      </c>
      <c r="C177" t="s">
        <v>6636</v>
      </c>
      <c r="D177" s="234">
        <v>4090.85</v>
      </c>
    </row>
    <row r="178" spans="1:4">
      <c r="A178">
        <v>4319</v>
      </c>
      <c r="B178" t="s">
        <v>6779</v>
      </c>
      <c r="C178" t="s">
        <v>6636</v>
      </c>
      <c r="D178" s="233">
        <v>1.06</v>
      </c>
    </row>
    <row r="179" spans="1:4">
      <c r="A179">
        <v>42409</v>
      </c>
      <c r="B179" t="s">
        <v>12225</v>
      </c>
      <c r="C179" t="s">
        <v>6698</v>
      </c>
      <c r="D179" s="233">
        <v>7.82</v>
      </c>
    </row>
    <row r="180" spans="1:4">
      <c r="A180">
        <v>40553</v>
      </c>
      <c r="B180" t="s">
        <v>6780</v>
      </c>
      <c r="C180" t="s">
        <v>6781</v>
      </c>
      <c r="D180" s="233">
        <v>34.08</v>
      </c>
    </row>
    <row r="181" spans="1:4">
      <c r="A181">
        <v>13003</v>
      </c>
      <c r="B181" t="s">
        <v>6782</v>
      </c>
      <c r="C181" t="s">
        <v>6700</v>
      </c>
      <c r="D181" s="233">
        <v>2.34</v>
      </c>
    </row>
    <row r="182" spans="1:4">
      <c r="A182">
        <v>6114</v>
      </c>
      <c r="B182" t="s">
        <v>6783</v>
      </c>
      <c r="C182" t="s">
        <v>6640</v>
      </c>
      <c r="D182" s="233">
        <v>10.31</v>
      </c>
    </row>
    <row r="183" spans="1:4">
      <c r="A183">
        <v>40912</v>
      </c>
      <c r="B183" t="s">
        <v>6784</v>
      </c>
      <c r="C183" t="s">
        <v>6785</v>
      </c>
      <c r="D183" s="234">
        <v>1832.18</v>
      </c>
    </row>
    <row r="184" spans="1:4">
      <c r="A184">
        <v>247</v>
      </c>
      <c r="B184" t="s">
        <v>6786</v>
      </c>
      <c r="C184" t="s">
        <v>6640</v>
      </c>
      <c r="D184" s="233">
        <v>10.76</v>
      </c>
    </row>
    <row r="185" spans="1:4">
      <c r="A185">
        <v>40919</v>
      </c>
      <c r="B185" t="s">
        <v>6787</v>
      </c>
      <c r="C185" t="s">
        <v>6785</v>
      </c>
      <c r="D185" s="234">
        <v>1911.41</v>
      </c>
    </row>
    <row r="186" spans="1:4">
      <c r="A186">
        <v>25958</v>
      </c>
      <c r="B186" t="s">
        <v>6788</v>
      </c>
      <c r="C186" t="s">
        <v>6640</v>
      </c>
      <c r="D186" s="233">
        <v>7.65</v>
      </c>
    </row>
    <row r="187" spans="1:4">
      <c r="A187">
        <v>40984</v>
      </c>
      <c r="B187" t="s">
        <v>6789</v>
      </c>
      <c r="C187" t="s">
        <v>6785</v>
      </c>
      <c r="D187" s="234">
        <v>1357.33</v>
      </c>
    </row>
    <row r="188" spans="1:4">
      <c r="A188">
        <v>248</v>
      </c>
      <c r="B188" t="s">
        <v>6790</v>
      </c>
      <c r="C188" t="s">
        <v>6640</v>
      </c>
      <c r="D188" s="233">
        <v>10.68</v>
      </c>
    </row>
    <row r="189" spans="1:4">
      <c r="A189">
        <v>41086</v>
      </c>
      <c r="B189" t="s">
        <v>6791</v>
      </c>
      <c r="C189" t="s">
        <v>6785</v>
      </c>
      <c r="D189" s="234">
        <v>1895.88</v>
      </c>
    </row>
    <row r="190" spans="1:4">
      <c r="A190">
        <v>34466</v>
      </c>
      <c r="B190" t="s">
        <v>6792</v>
      </c>
      <c r="C190" t="s">
        <v>6640</v>
      </c>
      <c r="D190" s="233">
        <v>10.68</v>
      </c>
    </row>
    <row r="191" spans="1:4">
      <c r="A191">
        <v>41083</v>
      </c>
      <c r="B191" t="s">
        <v>6793</v>
      </c>
      <c r="C191" t="s">
        <v>6785</v>
      </c>
      <c r="D191" s="234">
        <v>1895.88</v>
      </c>
    </row>
    <row r="192" spans="1:4">
      <c r="A192">
        <v>252</v>
      </c>
      <c r="B192" t="s">
        <v>6794</v>
      </c>
      <c r="C192" t="s">
        <v>6640</v>
      </c>
      <c r="D192" s="233">
        <v>11.08</v>
      </c>
    </row>
    <row r="193" spans="1:4">
      <c r="A193">
        <v>40909</v>
      </c>
      <c r="B193" t="s">
        <v>6795</v>
      </c>
      <c r="C193" t="s">
        <v>6785</v>
      </c>
      <c r="D193" s="234">
        <v>1965.19</v>
      </c>
    </row>
    <row r="194" spans="1:4">
      <c r="A194">
        <v>242</v>
      </c>
      <c r="B194" t="s">
        <v>6796</v>
      </c>
      <c r="C194" t="s">
        <v>6640</v>
      </c>
      <c r="D194" s="233">
        <v>14.28</v>
      </c>
    </row>
    <row r="195" spans="1:4">
      <c r="A195">
        <v>41085</v>
      </c>
      <c r="B195" t="s">
        <v>6797</v>
      </c>
      <c r="C195" t="s">
        <v>6785</v>
      </c>
      <c r="D195" s="234">
        <v>2535.79</v>
      </c>
    </row>
    <row r="196" spans="1:4">
      <c r="A196">
        <v>427</v>
      </c>
      <c r="B196" t="s">
        <v>6798</v>
      </c>
      <c r="C196" t="s">
        <v>6636</v>
      </c>
      <c r="D196" s="233">
        <v>4.8899999999999997</v>
      </c>
    </row>
    <row r="197" spans="1:4">
      <c r="A197">
        <v>417</v>
      </c>
      <c r="B197" t="s">
        <v>6799</v>
      </c>
      <c r="C197" t="s">
        <v>6636</v>
      </c>
      <c r="D197" s="233">
        <v>2.2999999999999998</v>
      </c>
    </row>
    <row r="198" spans="1:4">
      <c r="A198">
        <v>11273</v>
      </c>
      <c r="B198" t="s">
        <v>6800</v>
      </c>
      <c r="C198" t="s">
        <v>6636</v>
      </c>
      <c r="D198" s="233">
        <v>7.15</v>
      </c>
    </row>
    <row r="199" spans="1:4">
      <c r="A199">
        <v>11272</v>
      </c>
      <c r="B199" t="s">
        <v>6801</v>
      </c>
      <c r="C199" t="s">
        <v>6636</v>
      </c>
      <c r="D199" s="233">
        <v>4.3099999999999996</v>
      </c>
    </row>
    <row r="200" spans="1:4">
      <c r="A200">
        <v>11275</v>
      </c>
      <c r="B200" t="s">
        <v>6802</v>
      </c>
      <c r="C200" t="s">
        <v>6636</v>
      </c>
      <c r="D200" s="233">
        <v>1.73</v>
      </c>
    </row>
    <row r="201" spans="1:4">
      <c r="A201">
        <v>11274</v>
      </c>
      <c r="B201" t="s">
        <v>6803</v>
      </c>
      <c r="C201" t="s">
        <v>6636</v>
      </c>
      <c r="D201" s="233">
        <v>1.32</v>
      </c>
    </row>
    <row r="202" spans="1:4">
      <c r="A202">
        <v>38470</v>
      </c>
      <c r="B202" t="s">
        <v>6804</v>
      </c>
      <c r="C202" t="s">
        <v>6636</v>
      </c>
      <c r="D202" s="233">
        <v>42.34</v>
      </c>
    </row>
    <row r="203" spans="1:4">
      <c r="A203">
        <v>38547</v>
      </c>
      <c r="B203" t="s">
        <v>6805</v>
      </c>
      <c r="C203" t="s">
        <v>6636</v>
      </c>
      <c r="D203" s="233">
        <v>115.54</v>
      </c>
    </row>
    <row r="204" spans="1:4">
      <c r="A204">
        <v>38469</v>
      </c>
      <c r="B204" t="s">
        <v>6806</v>
      </c>
      <c r="C204" t="s">
        <v>6636</v>
      </c>
      <c r="D204" s="233">
        <v>124.23</v>
      </c>
    </row>
    <row r="205" spans="1:4">
      <c r="A205">
        <v>38467</v>
      </c>
      <c r="B205" t="s">
        <v>6807</v>
      </c>
      <c r="C205" t="s">
        <v>6636</v>
      </c>
      <c r="D205" s="233">
        <v>69.900000000000006</v>
      </c>
    </row>
    <row r="206" spans="1:4">
      <c r="A206">
        <v>38468</v>
      </c>
      <c r="B206" t="s">
        <v>6808</v>
      </c>
      <c r="C206" t="s">
        <v>6636</v>
      </c>
      <c r="D206" s="233">
        <v>76.92</v>
      </c>
    </row>
    <row r="207" spans="1:4">
      <c r="A207">
        <v>38471</v>
      </c>
      <c r="B207" t="s">
        <v>6809</v>
      </c>
      <c r="C207" t="s">
        <v>6636</v>
      </c>
      <c r="D207" s="233">
        <v>99.89</v>
      </c>
    </row>
    <row r="208" spans="1:4">
      <c r="A208">
        <v>37370</v>
      </c>
      <c r="B208" t="s">
        <v>6810</v>
      </c>
      <c r="C208" t="s">
        <v>6640</v>
      </c>
      <c r="D208" s="233">
        <v>2.2000000000000002</v>
      </c>
    </row>
    <row r="209" spans="1:4">
      <c r="A209">
        <v>40862</v>
      </c>
      <c r="B209" t="s">
        <v>6811</v>
      </c>
      <c r="C209" t="s">
        <v>6785</v>
      </c>
      <c r="D209" s="233">
        <v>415.08</v>
      </c>
    </row>
    <row r="210" spans="1:4">
      <c r="A210">
        <v>10658</v>
      </c>
      <c r="B210" t="s">
        <v>6812</v>
      </c>
      <c r="C210" t="s">
        <v>6636</v>
      </c>
      <c r="D210" s="234">
        <v>6095</v>
      </c>
    </row>
    <row r="211" spans="1:4">
      <c r="A211">
        <v>253</v>
      </c>
      <c r="B211" t="s">
        <v>6813</v>
      </c>
      <c r="C211" t="s">
        <v>6640</v>
      </c>
      <c r="D211" s="233">
        <v>14.81</v>
      </c>
    </row>
    <row r="212" spans="1:4">
      <c r="A212">
        <v>40809</v>
      </c>
      <c r="B212" t="s">
        <v>6814</v>
      </c>
      <c r="C212" t="s">
        <v>6785</v>
      </c>
      <c r="D212" s="234">
        <v>2626.51</v>
      </c>
    </row>
    <row r="213" spans="1:4">
      <c r="A213">
        <v>42428</v>
      </c>
      <c r="B213" t="s">
        <v>6815</v>
      </c>
      <c r="C213" t="s">
        <v>6636</v>
      </c>
      <c r="D213" s="234">
        <v>1290</v>
      </c>
    </row>
    <row r="214" spans="1:4">
      <c r="A214">
        <v>583</v>
      </c>
      <c r="B214" t="s">
        <v>6816</v>
      </c>
      <c r="C214" t="s">
        <v>6698</v>
      </c>
      <c r="D214" s="233">
        <v>27.05</v>
      </c>
    </row>
    <row r="215" spans="1:4">
      <c r="A215">
        <v>299</v>
      </c>
      <c r="B215" t="s">
        <v>6817</v>
      </c>
      <c r="C215" t="s">
        <v>6636</v>
      </c>
      <c r="D215" s="233">
        <v>2.71</v>
      </c>
    </row>
    <row r="216" spans="1:4">
      <c r="A216">
        <v>298</v>
      </c>
      <c r="B216" t="s">
        <v>6818</v>
      </c>
      <c r="C216" t="s">
        <v>6636</v>
      </c>
      <c r="D216" s="233">
        <v>2.73</v>
      </c>
    </row>
    <row r="217" spans="1:4">
      <c r="A217">
        <v>295</v>
      </c>
      <c r="B217" t="s">
        <v>6819</v>
      </c>
      <c r="C217" t="s">
        <v>6636</v>
      </c>
      <c r="D217" s="233">
        <v>1.63</v>
      </c>
    </row>
    <row r="218" spans="1:4">
      <c r="A218">
        <v>296</v>
      </c>
      <c r="B218" t="s">
        <v>906</v>
      </c>
      <c r="C218" t="s">
        <v>6636</v>
      </c>
      <c r="D218" s="233">
        <v>1.69</v>
      </c>
    </row>
    <row r="219" spans="1:4">
      <c r="A219">
        <v>297</v>
      </c>
      <c r="B219" t="s">
        <v>908</v>
      </c>
      <c r="C219" t="s">
        <v>6636</v>
      </c>
      <c r="D219" s="233">
        <v>2.38</v>
      </c>
    </row>
    <row r="220" spans="1:4">
      <c r="A220">
        <v>301</v>
      </c>
      <c r="B220" t="s">
        <v>904</v>
      </c>
      <c r="C220" t="s">
        <v>6636</v>
      </c>
      <c r="D220" s="233">
        <v>2.99</v>
      </c>
    </row>
    <row r="221" spans="1:4">
      <c r="A221">
        <v>300</v>
      </c>
      <c r="B221" t="s">
        <v>6820</v>
      </c>
      <c r="C221" t="s">
        <v>6636</v>
      </c>
      <c r="D221" s="233">
        <v>12.56</v>
      </c>
    </row>
    <row r="222" spans="1:4">
      <c r="A222">
        <v>20084</v>
      </c>
      <c r="B222" t="s">
        <v>6821</v>
      </c>
      <c r="C222" t="s">
        <v>6636</v>
      </c>
      <c r="D222" s="233">
        <v>1.63</v>
      </c>
    </row>
    <row r="223" spans="1:4">
      <c r="A223">
        <v>20085</v>
      </c>
      <c r="B223" t="s">
        <v>6822</v>
      </c>
      <c r="C223" t="s">
        <v>6636</v>
      </c>
      <c r="D223" s="233">
        <v>1.51</v>
      </c>
    </row>
    <row r="224" spans="1:4">
      <c r="A224">
        <v>311</v>
      </c>
      <c r="B224" t="s">
        <v>6823</v>
      </c>
      <c r="C224" t="s">
        <v>6636</v>
      </c>
      <c r="D224" s="233">
        <v>9.7200000000000006</v>
      </c>
    </row>
    <row r="225" spans="1:4">
      <c r="A225">
        <v>318</v>
      </c>
      <c r="B225" t="s">
        <v>6824</v>
      </c>
      <c r="C225" t="s">
        <v>6636</v>
      </c>
      <c r="D225" s="233">
        <v>17.03</v>
      </c>
    </row>
    <row r="226" spans="1:4">
      <c r="A226">
        <v>319</v>
      </c>
      <c r="B226" t="s">
        <v>6825</v>
      </c>
      <c r="C226" t="s">
        <v>6636</v>
      </c>
      <c r="D226" s="233">
        <v>32.159999999999997</v>
      </c>
    </row>
    <row r="227" spans="1:4">
      <c r="A227">
        <v>320</v>
      </c>
      <c r="B227" t="s">
        <v>6826</v>
      </c>
      <c r="C227" t="s">
        <v>6636</v>
      </c>
      <c r="D227" s="233">
        <v>102.24</v>
      </c>
    </row>
    <row r="228" spans="1:4">
      <c r="A228">
        <v>314</v>
      </c>
      <c r="B228" t="s">
        <v>6827</v>
      </c>
      <c r="C228" t="s">
        <v>6636</v>
      </c>
      <c r="D228" s="233">
        <v>157.05000000000001</v>
      </c>
    </row>
    <row r="229" spans="1:4">
      <c r="A229">
        <v>303</v>
      </c>
      <c r="B229" t="s">
        <v>6828</v>
      </c>
      <c r="C229" t="s">
        <v>6636</v>
      </c>
      <c r="D229" s="233">
        <v>4.07</v>
      </c>
    </row>
    <row r="230" spans="1:4">
      <c r="A230">
        <v>304</v>
      </c>
      <c r="B230" t="s">
        <v>6829</v>
      </c>
      <c r="C230" t="s">
        <v>6636</v>
      </c>
      <c r="D230" s="233">
        <v>6.22</v>
      </c>
    </row>
    <row r="231" spans="1:4">
      <c r="A231">
        <v>305</v>
      </c>
      <c r="B231" t="s">
        <v>6830</v>
      </c>
      <c r="C231" t="s">
        <v>6636</v>
      </c>
      <c r="D231" s="233">
        <v>10.63</v>
      </c>
    </row>
    <row r="232" spans="1:4">
      <c r="A232">
        <v>306</v>
      </c>
      <c r="B232" t="s">
        <v>6831</v>
      </c>
      <c r="C232" t="s">
        <v>6636</v>
      </c>
      <c r="D232" s="233">
        <v>12.77</v>
      </c>
    </row>
    <row r="233" spans="1:4">
      <c r="A233">
        <v>307</v>
      </c>
      <c r="B233" t="s">
        <v>6832</v>
      </c>
      <c r="C233" t="s">
        <v>6636</v>
      </c>
      <c r="D233" s="233">
        <v>25.21</v>
      </c>
    </row>
    <row r="234" spans="1:4">
      <c r="A234">
        <v>309</v>
      </c>
      <c r="B234" t="s">
        <v>6833</v>
      </c>
      <c r="C234" t="s">
        <v>6636</v>
      </c>
      <c r="D234" s="233">
        <v>51.67</v>
      </c>
    </row>
    <row r="235" spans="1:4">
      <c r="A235">
        <v>310</v>
      </c>
      <c r="B235" t="s">
        <v>6834</v>
      </c>
      <c r="C235" t="s">
        <v>6636</v>
      </c>
      <c r="D235" s="233">
        <v>65.53</v>
      </c>
    </row>
    <row r="236" spans="1:4">
      <c r="A236">
        <v>328</v>
      </c>
      <c r="B236" t="s">
        <v>6835</v>
      </c>
      <c r="C236" t="s">
        <v>6636</v>
      </c>
      <c r="D236" s="233">
        <v>7.82</v>
      </c>
    </row>
    <row r="237" spans="1:4">
      <c r="A237">
        <v>325</v>
      </c>
      <c r="B237" t="s">
        <v>6836</v>
      </c>
      <c r="C237" t="s">
        <v>6636</v>
      </c>
      <c r="D237" s="233">
        <v>3.03</v>
      </c>
    </row>
    <row r="238" spans="1:4">
      <c r="A238">
        <v>20326</v>
      </c>
      <c r="B238" t="s">
        <v>6837</v>
      </c>
      <c r="C238" t="s">
        <v>6636</v>
      </c>
      <c r="D238" s="233">
        <v>8.1199999999999992</v>
      </c>
    </row>
    <row r="239" spans="1:4">
      <c r="A239">
        <v>329</v>
      </c>
      <c r="B239" t="s">
        <v>6838</v>
      </c>
      <c r="C239" t="s">
        <v>6636</v>
      </c>
      <c r="D239" s="233">
        <v>9.99</v>
      </c>
    </row>
    <row r="240" spans="1:4">
      <c r="A240">
        <v>308</v>
      </c>
      <c r="B240" t="s">
        <v>6839</v>
      </c>
      <c r="C240" t="s">
        <v>6636</v>
      </c>
      <c r="D240" s="233">
        <v>33.67</v>
      </c>
    </row>
    <row r="241" spans="1:4">
      <c r="A241">
        <v>39642</v>
      </c>
      <c r="B241" t="s">
        <v>6840</v>
      </c>
      <c r="C241" t="s">
        <v>6636</v>
      </c>
      <c r="D241" s="233">
        <v>2.04</v>
      </c>
    </row>
    <row r="242" spans="1:4">
      <c r="A242">
        <v>39641</v>
      </c>
      <c r="B242" t="s">
        <v>6841</v>
      </c>
      <c r="C242" t="s">
        <v>6636</v>
      </c>
      <c r="D242" s="233">
        <v>1.42</v>
      </c>
    </row>
    <row r="243" spans="1:4">
      <c r="A243">
        <v>39643</v>
      </c>
      <c r="B243" t="s">
        <v>6842</v>
      </c>
      <c r="C243" t="s">
        <v>6636</v>
      </c>
      <c r="D243" s="233">
        <v>5.68</v>
      </c>
    </row>
    <row r="244" spans="1:4">
      <c r="A244">
        <v>39644</v>
      </c>
      <c r="B244" t="s">
        <v>6843</v>
      </c>
      <c r="C244" t="s">
        <v>6636</v>
      </c>
      <c r="D244" s="233">
        <v>7.33</v>
      </c>
    </row>
    <row r="245" spans="1:4">
      <c r="A245">
        <v>39645</v>
      </c>
      <c r="B245" t="s">
        <v>6844</v>
      </c>
      <c r="C245" t="s">
        <v>6636</v>
      </c>
      <c r="D245" s="233">
        <v>9.4700000000000006</v>
      </c>
    </row>
    <row r="246" spans="1:4">
      <c r="A246">
        <v>12548</v>
      </c>
      <c r="B246" t="s">
        <v>6845</v>
      </c>
      <c r="C246" t="s">
        <v>6636</v>
      </c>
      <c r="D246" s="233">
        <v>94.52</v>
      </c>
    </row>
    <row r="247" spans="1:4">
      <c r="A247">
        <v>13113</v>
      </c>
      <c r="B247" t="s">
        <v>6846</v>
      </c>
      <c r="C247" t="s">
        <v>6636</v>
      </c>
      <c r="D247" s="233">
        <v>38.74</v>
      </c>
    </row>
    <row r="248" spans="1:4">
      <c r="A248">
        <v>13114</v>
      </c>
      <c r="B248" t="s">
        <v>6847</v>
      </c>
      <c r="C248" t="s">
        <v>6636</v>
      </c>
      <c r="D248" s="233">
        <v>47.16</v>
      </c>
    </row>
    <row r="249" spans="1:4">
      <c r="A249">
        <v>12530</v>
      </c>
      <c r="B249" t="s">
        <v>6848</v>
      </c>
      <c r="C249" t="s">
        <v>6636</v>
      </c>
      <c r="D249" s="233">
        <v>57.46</v>
      </c>
    </row>
    <row r="250" spans="1:4">
      <c r="A250">
        <v>12531</v>
      </c>
      <c r="B250" t="s">
        <v>6849</v>
      </c>
      <c r="C250" t="s">
        <v>6636</v>
      </c>
      <c r="D250" s="233">
        <v>64.27</v>
      </c>
    </row>
    <row r="251" spans="1:4">
      <c r="A251">
        <v>12532</v>
      </c>
      <c r="B251" t="s">
        <v>6850</v>
      </c>
      <c r="C251" t="s">
        <v>6636</v>
      </c>
      <c r="D251" s="233">
        <v>78.599999999999994</v>
      </c>
    </row>
    <row r="252" spans="1:4">
      <c r="A252">
        <v>12533</v>
      </c>
      <c r="B252" t="s">
        <v>6851</v>
      </c>
      <c r="C252" t="s">
        <v>6636</v>
      </c>
      <c r="D252" s="233">
        <v>93.76</v>
      </c>
    </row>
    <row r="253" spans="1:4">
      <c r="A253">
        <v>12544</v>
      </c>
      <c r="B253" t="s">
        <v>6852</v>
      </c>
      <c r="C253" t="s">
        <v>6636</v>
      </c>
      <c r="D253" s="233">
        <v>114.53</v>
      </c>
    </row>
    <row r="254" spans="1:4">
      <c r="A254">
        <v>12546</v>
      </c>
      <c r="B254" t="s">
        <v>6853</v>
      </c>
      <c r="C254" t="s">
        <v>6636</v>
      </c>
      <c r="D254" s="233">
        <v>118.56</v>
      </c>
    </row>
    <row r="255" spans="1:4">
      <c r="A255">
        <v>12547</v>
      </c>
      <c r="B255" t="s">
        <v>6854</v>
      </c>
      <c r="C255" t="s">
        <v>6636</v>
      </c>
      <c r="D255" s="233">
        <v>137.87</v>
      </c>
    </row>
    <row r="256" spans="1:4">
      <c r="A256">
        <v>12551</v>
      </c>
      <c r="B256" t="s">
        <v>6855</v>
      </c>
      <c r="C256" t="s">
        <v>6636</v>
      </c>
      <c r="D256" s="233">
        <v>150.13</v>
      </c>
    </row>
    <row r="257" spans="1:4">
      <c r="A257">
        <v>12563</v>
      </c>
      <c r="B257" t="s">
        <v>6856</v>
      </c>
      <c r="C257" t="s">
        <v>6636</v>
      </c>
      <c r="D257" s="233">
        <v>235.81</v>
      </c>
    </row>
    <row r="258" spans="1:4">
      <c r="A258">
        <v>12565</v>
      </c>
      <c r="B258" t="s">
        <v>6857</v>
      </c>
      <c r="C258" t="s">
        <v>6636</v>
      </c>
      <c r="D258" s="233">
        <v>371.08</v>
      </c>
    </row>
    <row r="259" spans="1:4">
      <c r="A259">
        <v>12567</v>
      </c>
      <c r="B259" t="s">
        <v>6858</v>
      </c>
      <c r="C259" t="s">
        <v>6636</v>
      </c>
      <c r="D259" s="233">
        <v>482.86</v>
      </c>
    </row>
    <row r="260" spans="1:4">
      <c r="A260">
        <v>12568</v>
      </c>
      <c r="B260" t="s">
        <v>6859</v>
      </c>
      <c r="C260" t="s">
        <v>6636</v>
      </c>
      <c r="D260" s="233">
        <v>797.28</v>
      </c>
    </row>
    <row r="261" spans="1:4">
      <c r="A261">
        <v>11789</v>
      </c>
      <c r="B261" t="s">
        <v>6860</v>
      </c>
      <c r="C261" t="s">
        <v>6636</v>
      </c>
      <c r="D261" s="233">
        <v>0.65</v>
      </c>
    </row>
    <row r="262" spans="1:4">
      <c r="A262">
        <v>20975</v>
      </c>
      <c r="B262" t="s">
        <v>6861</v>
      </c>
      <c r="C262" t="s">
        <v>6636</v>
      </c>
      <c r="D262" s="233">
        <v>7</v>
      </c>
    </row>
    <row r="263" spans="1:4">
      <c r="A263">
        <v>20976</v>
      </c>
      <c r="B263" t="s">
        <v>6862</v>
      </c>
      <c r="C263" t="s">
        <v>6636</v>
      </c>
      <c r="D263" s="233">
        <v>10.58</v>
      </c>
    </row>
    <row r="264" spans="1:4">
      <c r="A264">
        <v>40340</v>
      </c>
      <c r="B264" t="s">
        <v>6863</v>
      </c>
      <c r="C264" t="s">
        <v>6636</v>
      </c>
      <c r="D264" s="233">
        <v>79.180000000000007</v>
      </c>
    </row>
    <row r="265" spans="1:4">
      <c r="A265">
        <v>40341</v>
      </c>
      <c r="B265" t="s">
        <v>6864</v>
      </c>
      <c r="C265" t="s">
        <v>6636</v>
      </c>
      <c r="D265" s="233">
        <v>93.76</v>
      </c>
    </row>
    <row r="266" spans="1:4">
      <c r="A266">
        <v>40342</v>
      </c>
      <c r="B266" t="s">
        <v>6865</v>
      </c>
      <c r="C266" t="s">
        <v>6636</v>
      </c>
      <c r="D266" s="233">
        <v>118.86</v>
      </c>
    </row>
    <row r="267" spans="1:4">
      <c r="A267">
        <v>40343</v>
      </c>
      <c r="B267" t="s">
        <v>6866</v>
      </c>
      <c r="C267" t="s">
        <v>6636</v>
      </c>
      <c r="D267" s="233">
        <v>145.82</v>
      </c>
    </row>
    <row r="268" spans="1:4">
      <c r="A268">
        <v>40344</v>
      </c>
      <c r="B268" t="s">
        <v>6867</v>
      </c>
      <c r="C268" t="s">
        <v>6636</v>
      </c>
      <c r="D268" s="233">
        <v>154.18</v>
      </c>
    </row>
    <row r="269" spans="1:4">
      <c r="A269">
        <v>40345</v>
      </c>
      <c r="B269" t="s">
        <v>6868</v>
      </c>
      <c r="C269" t="s">
        <v>6636</v>
      </c>
      <c r="D269" s="233">
        <v>192.5</v>
      </c>
    </row>
    <row r="270" spans="1:4">
      <c r="A270">
        <v>40346</v>
      </c>
      <c r="B270" t="s">
        <v>6869</v>
      </c>
      <c r="C270" t="s">
        <v>6636</v>
      </c>
      <c r="D270" s="233">
        <v>181.09</v>
      </c>
    </row>
    <row r="271" spans="1:4">
      <c r="A271">
        <v>40347</v>
      </c>
      <c r="B271" t="s">
        <v>6870</v>
      </c>
      <c r="C271" t="s">
        <v>6636</v>
      </c>
      <c r="D271" s="233">
        <v>223.91</v>
      </c>
    </row>
    <row r="272" spans="1:4">
      <c r="A272">
        <v>38840</v>
      </c>
      <c r="B272" t="s">
        <v>6871</v>
      </c>
      <c r="C272" t="s">
        <v>6636</v>
      </c>
      <c r="D272" s="233">
        <v>1.9</v>
      </c>
    </row>
    <row r="273" spans="1:4">
      <c r="A273">
        <v>38841</v>
      </c>
      <c r="B273" t="s">
        <v>6872</v>
      </c>
      <c r="C273" t="s">
        <v>6636</v>
      </c>
      <c r="D273" s="233">
        <v>2.11</v>
      </c>
    </row>
    <row r="274" spans="1:4">
      <c r="A274">
        <v>38842</v>
      </c>
      <c r="B274" t="s">
        <v>6873</v>
      </c>
      <c r="C274" t="s">
        <v>6636</v>
      </c>
      <c r="D274" s="233">
        <v>4.16</v>
      </c>
    </row>
    <row r="275" spans="1:4">
      <c r="A275">
        <v>38843</v>
      </c>
      <c r="B275" t="s">
        <v>6874</v>
      </c>
      <c r="C275" t="s">
        <v>6636</v>
      </c>
      <c r="D275" s="233">
        <v>6.51</v>
      </c>
    </row>
    <row r="276" spans="1:4">
      <c r="A276">
        <v>13761</v>
      </c>
      <c r="B276" t="s">
        <v>6875</v>
      </c>
      <c r="C276" t="s">
        <v>6636</v>
      </c>
      <c r="D276" s="234">
        <v>3915.01</v>
      </c>
    </row>
    <row r="277" spans="1:4">
      <c r="A277">
        <v>12888</v>
      </c>
      <c r="B277" t="s">
        <v>6876</v>
      </c>
      <c r="C277" t="s">
        <v>6877</v>
      </c>
      <c r="D277" s="233">
        <v>133.85</v>
      </c>
    </row>
    <row r="278" spans="1:4">
      <c r="A278">
        <v>12889</v>
      </c>
      <c r="B278" t="s">
        <v>6878</v>
      </c>
      <c r="C278" t="s">
        <v>6877</v>
      </c>
      <c r="D278" s="233">
        <v>87.41</v>
      </c>
    </row>
    <row r="279" spans="1:4">
      <c r="A279">
        <v>4814</v>
      </c>
      <c r="B279" t="s">
        <v>6879</v>
      </c>
      <c r="C279" t="s">
        <v>6636</v>
      </c>
      <c r="D279" s="233">
        <v>121.23</v>
      </c>
    </row>
    <row r="280" spans="1:4">
      <c r="A280">
        <v>25967</v>
      </c>
      <c r="B280" t="s">
        <v>6880</v>
      </c>
      <c r="C280" t="s">
        <v>6636</v>
      </c>
      <c r="D280" s="234">
        <v>1827.33</v>
      </c>
    </row>
    <row r="281" spans="1:4">
      <c r="A281">
        <v>6122</v>
      </c>
      <c r="B281" t="s">
        <v>12226</v>
      </c>
      <c r="C281" t="s">
        <v>6640</v>
      </c>
      <c r="D281" s="233">
        <v>14.24</v>
      </c>
    </row>
    <row r="282" spans="1:4">
      <c r="A282">
        <v>40810</v>
      </c>
      <c r="B282" t="s">
        <v>6881</v>
      </c>
      <c r="C282" t="s">
        <v>6785</v>
      </c>
      <c r="D282" s="234">
        <v>2527.14</v>
      </c>
    </row>
    <row r="283" spans="1:4">
      <c r="A283">
        <v>21100</v>
      </c>
      <c r="B283" t="s">
        <v>6882</v>
      </c>
      <c r="C283" t="s">
        <v>6636</v>
      </c>
      <c r="D283" s="234">
        <v>2569.65</v>
      </c>
    </row>
    <row r="284" spans="1:4">
      <c r="A284">
        <v>11816</v>
      </c>
      <c r="B284" t="s">
        <v>6883</v>
      </c>
      <c r="C284" t="s">
        <v>6636</v>
      </c>
      <c r="D284" s="234">
        <v>2740</v>
      </c>
    </row>
    <row r="285" spans="1:4">
      <c r="A285">
        <v>11814</v>
      </c>
      <c r="B285" t="s">
        <v>6884</v>
      </c>
      <c r="C285" t="s">
        <v>6636</v>
      </c>
      <c r="D285" s="234">
        <v>5964.29</v>
      </c>
    </row>
    <row r="286" spans="1:4">
      <c r="A286">
        <v>14186</v>
      </c>
      <c r="B286" t="s">
        <v>6885</v>
      </c>
      <c r="C286" t="s">
        <v>6636</v>
      </c>
      <c r="D286" s="234">
        <v>7488.97</v>
      </c>
    </row>
    <row r="287" spans="1:4">
      <c r="A287">
        <v>14185</v>
      </c>
      <c r="B287" t="s">
        <v>6886</v>
      </c>
      <c r="C287" t="s">
        <v>6636</v>
      </c>
      <c r="D287" s="234">
        <v>9701.14</v>
      </c>
    </row>
    <row r="288" spans="1:4">
      <c r="A288">
        <v>11811</v>
      </c>
      <c r="B288" t="s">
        <v>6887</v>
      </c>
      <c r="C288" t="s">
        <v>6636</v>
      </c>
      <c r="D288" s="234">
        <v>3709.35</v>
      </c>
    </row>
    <row r="289" spans="1:4">
      <c r="A289">
        <v>26038</v>
      </c>
      <c r="B289" t="s">
        <v>6888</v>
      </c>
      <c r="C289" t="s">
        <v>6636</v>
      </c>
      <c r="D289" s="234">
        <v>202992.51</v>
      </c>
    </row>
    <row r="290" spans="1:4">
      <c r="A290">
        <v>34482</v>
      </c>
      <c r="B290" t="s">
        <v>6889</v>
      </c>
      <c r="C290" t="s">
        <v>6636</v>
      </c>
      <c r="D290" s="234">
        <v>5042.8100000000004</v>
      </c>
    </row>
    <row r="291" spans="1:4">
      <c r="A291">
        <v>34469</v>
      </c>
      <c r="B291" t="s">
        <v>6890</v>
      </c>
      <c r="C291" t="s">
        <v>6636</v>
      </c>
      <c r="D291" s="234">
        <v>7800.6</v>
      </c>
    </row>
    <row r="292" spans="1:4">
      <c r="A292">
        <v>34472</v>
      </c>
      <c r="B292" t="s">
        <v>6891</v>
      </c>
      <c r="C292" t="s">
        <v>6636</v>
      </c>
      <c r="D292" s="234">
        <v>2400</v>
      </c>
    </row>
    <row r="293" spans="1:4">
      <c r="A293">
        <v>34476</v>
      </c>
      <c r="B293" t="s">
        <v>6892</v>
      </c>
      <c r="C293" t="s">
        <v>6636</v>
      </c>
      <c r="D293" s="234">
        <v>4068.34</v>
      </c>
    </row>
    <row r="294" spans="1:4">
      <c r="A294">
        <v>34477</v>
      </c>
      <c r="B294" t="s">
        <v>6893</v>
      </c>
      <c r="C294" t="s">
        <v>6636</v>
      </c>
      <c r="D294" s="234">
        <v>5399.47</v>
      </c>
    </row>
    <row r="295" spans="1:4">
      <c r="A295">
        <v>42425</v>
      </c>
      <c r="B295" t="s">
        <v>6894</v>
      </c>
      <c r="C295" t="s">
        <v>6636</v>
      </c>
      <c r="D295" s="234">
        <v>1872.64</v>
      </c>
    </row>
    <row r="296" spans="1:4">
      <c r="A296">
        <v>42422</v>
      </c>
      <c r="B296" t="s">
        <v>6895</v>
      </c>
      <c r="C296" t="s">
        <v>6636</v>
      </c>
      <c r="D296" s="234">
        <v>2780</v>
      </c>
    </row>
    <row r="297" spans="1:4">
      <c r="A297">
        <v>43184</v>
      </c>
      <c r="B297" t="s">
        <v>12227</v>
      </c>
      <c r="C297" t="s">
        <v>6636</v>
      </c>
      <c r="D297" s="234">
        <v>3842.22</v>
      </c>
    </row>
    <row r="298" spans="1:4">
      <c r="A298">
        <v>42424</v>
      </c>
      <c r="B298" t="s">
        <v>6896</v>
      </c>
      <c r="C298" t="s">
        <v>6636</v>
      </c>
      <c r="D298" s="234">
        <v>1672.43</v>
      </c>
    </row>
    <row r="299" spans="1:4">
      <c r="A299">
        <v>42421</v>
      </c>
      <c r="B299" t="s">
        <v>12228</v>
      </c>
      <c r="C299" t="s">
        <v>6636</v>
      </c>
      <c r="D299" s="234">
        <v>15227.31</v>
      </c>
    </row>
    <row r="300" spans="1:4">
      <c r="A300">
        <v>42416</v>
      </c>
      <c r="B300" t="s">
        <v>6897</v>
      </c>
      <c r="C300" t="s">
        <v>6636</v>
      </c>
      <c r="D300" s="234">
        <v>7209.66</v>
      </c>
    </row>
    <row r="301" spans="1:4">
      <c r="A301">
        <v>42417</v>
      </c>
      <c r="B301" t="s">
        <v>6898</v>
      </c>
      <c r="C301" t="s">
        <v>6636</v>
      </c>
      <c r="D301" s="234">
        <v>8082.62</v>
      </c>
    </row>
    <row r="302" spans="1:4">
      <c r="A302">
        <v>42419</v>
      </c>
      <c r="B302" t="s">
        <v>6899</v>
      </c>
      <c r="C302" t="s">
        <v>6636</v>
      </c>
      <c r="D302" s="234">
        <v>9131.65</v>
      </c>
    </row>
    <row r="303" spans="1:4">
      <c r="A303">
        <v>42420</v>
      </c>
      <c r="B303" t="s">
        <v>6900</v>
      </c>
      <c r="C303" t="s">
        <v>6636</v>
      </c>
      <c r="D303" s="234">
        <v>12550.77</v>
      </c>
    </row>
    <row r="304" spans="1:4">
      <c r="A304">
        <v>43195</v>
      </c>
      <c r="B304" t="s">
        <v>12229</v>
      </c>
      <c r="C304" t="s">
        <v>6636</v>
      </c>
      <c r="D304" s="234">
        <v>4419.3</v>
      </c>
    </row>
    <row r="305" spans="1:4">
      <c r="A305">
        <v>43196</v>
      </c>
      <c r="B305" t="s">
        <v>12230</v>
      </c>
      <c r="C305" t="s">
        <v>6636</v>
      </c>
      <c r="D305" s="234">
        <v>5477.09</v>
      </c>
    </row>
    <row r="306" spans="1:4">
      <c r="A306">
        <v>43198</v>
      </c>
      <c r="B306" t="s">
        <v>12231</v>
      </c>
      <c r="C306" t="s">
        <v>6636</v>
      </c>
      <c r="D306" s="234">
        <v>8138.83</v>
      </c>
    </row>
    <row r="307" spans="1:4">
      <c r="A307">
        <v>43199</v>
      </c>
      <c r="B307" t="s">
        <v>12232</v>
      </c>
      <c r="C307" t="s">
        <v>6636</v>
      </c>
      <c r="D307" s="234">
        <v>8437.07</v>
      </c>
    </row>
    <row r="308" spans="1:4">
      <c r="A308">
        <v>43200</v>
      </c>
      <c r="B308" t="s">
        <v>12233</v>
      </c>
      <c r="C308" t="s">
        <v>6636</v>
      </c>
      <c r="D308" s="234">
        <v>9682.15</v>
      </c>
    </row>
    <row r="309" spans="1:4">
      <c r="A309">
        <v>39556</v>
      </c>
      <c r="B309" t="s">
        <v>6901</v>
      </c>
      <c r="C309" t="s">
        <v>6636</v>
      </c>
      <c r="D309" s="234">
        <v>5288.1</v>
      </c>
    </row>
    <row r="310" spans="1:4">
      <c r="A310">
        <v>39557</v>
      </c>
      <c r="B310" t="s">
        <v>6902</v>
      </c>
      <c r="C310" t="s">
        <v>6636</v>
      </c>
      <c r="D310" s="234">
        <v>5694.13</v>
      </c>
    </row>
    <row r="311" spans="1:4">
      <c r="A311">
        <v>39559</v>
      </c>
      <c r="B311" t="s">
        <v>6903</v>
      </c>
      <c r="C311" t="s">
        <v>6636</v>
      </c>
      <c r="D311" s="234">
        <v>8414.83</v>
      </c>
    </row>
    <row r="312" spans="1:4">
      <c r="A312">
        <v>39560</v>
      </c>
      <c r="B312" t="s">
        <v>6904</v>
      </c>
      <c r="C312" t="s">
        <v>6636</v>
      </c>
      <c r="D312" s="234">
        <v>9735.14</v>
      </c>
    </row>
    <row r="313" spans="1:4">
      <c r="A313">
        <v>39561</v>
      </c>
      <c r="B313" t="s">
        <v>6905</v>
      </c>
      <c r="C313" t="s">
        <v>6636</v>
      </c>
      <c r="D313" s="234">
        <v>10184.200000000001</v>
      </c>
    </row>
    <row r="314" spans="1:4">
      <c r="A314">
        <v>43190</v>
      </c>
      <c r="B314" t="s">
        <v>12234</v>
      </c>
      <c r="C314" t="s">
        <v>6636</v>
      </c>
      <c r="D314" s="234">
        <v>1502.92</v>
      </c>
    </row>
    <row r="315" spans="1:4">
      <c r="A315">
        <v>39555</v>
      </c>
      <c r="B315" t="s">
        <v>6906</v>
      </c>
      <c r="C315" t="s">
        <v>6636</v>
      </c>
      <c r="D315" s="234">
        <v>1625.77</v>
      </c>
    </row>
    <row r="316" spans="1:4">
      <c r="A316">
        <v>43191</v>
      </c>
      <c r="B316" t="s">
        <v>12235</v>
      </c>
      <c r="C316" t="s">
        <v>6636</v>
      </c>
      <c r="D316" s="234">
        <v>2162.5</v>
      </c>
    </row>
    <row r="317" spans="1:4">
      <c r="A317">
        <v>39548</v>
      </c>
      <c r="B317" t="s">
        <v>6907</v>
      </c>
      <c r="C317" t="s">
        <v>6636</v>
      </c>
      <c r="D317" s="234">
        <v>2411.52</v>
      </c>
    </row>
    <row r="318" spans="1:4">
      <c r="A318">
        <v>43192</v>
      </c>
      <c r="B318" t="s">
        <v>12236</v>
      </c>
      <c r="C318" t="s">
        <v>6636</v>
      </c>
      <c r="D318" s="234">
        <v>2832.68</v>
      </c>
    </row>
    <row r="319" spans="1:4">
      <c r="A319">
        <v>39554</v>
      </c>
      <c r="B319" t="s">
        <v>6908</v>
      </c>
      <c r="C319" t="s">
        <v>6636</v>
      </c>
      <c r="D319" s="234">
        <v>3188.87</v>
      </c>
    </row>
    <row r="320" spans="1:4">
      <c r="A320">
        <v>43194</v>
      </c>
      <c r="B320" t="s">
        <v>12237</v>
      </c>
      <c r="C320" t="s">
        <v>6636</v>
      </c>
      <c r="D320" s="234">
        <v>1287.5</v>
      </c>
    </row>
    <row r="321" spans="1:4">
      <c r="A321">
        <v>39551</v>
      </c>
      <c r="B321" t="s">
        <v>6909</v>
      </c>
      <c r="C321" t="s">
        <v>6636</v>
      </c>
      <c r="D321" s="234">
        <v>1417.68</v>
      </c>
    </row>
    <row r="322" spans="1:4">
      <c r="A322">
        <v>43185</v>
      </c>
      <c r="B322" t="s">
        <v>12238</v>
      </c>
      <c r="C322" t="s">
        <v>6636</v>
      </c>
      <c r="D322" s="234">
        <v>4028.79</v>
      </c>
    </row>
    <row r="323" spans="1:4">
      <c r="A323">
        <v>43186</v>
      </c>
      <c r="B323" t="s">
        <v>12239</v>
      </c>
      <c r="C323" t="s">
        <v>6636</v>
      </c>
      <c r="D323" s="234">
        <v>4249.5600000000004</v>
      </c>
    </row>
    <row r="324" spans="1:4">
      <c r="A324">
        <v>43187</v>
      </c>
      <c r="B324" t="s">
        <v>12240</v>
      </c>
      <c r="C324" t="s">
        <v>6636</v>
      </c>
      <c r="D324" s="234">
        <v>5639.21</v>
      </c>
    </row>
    <row r="325" spans="1:4">
      <c r="A325">
        <v>43188</v>
      </c>
      <c r="B325" t="s">
        <v>12241</v>
      </c>
      <c r="C325" t="s">
        <v>6636</v>
      </c>
      <c r="D325" s="234">
        <v>6832.66</v>
      </c>
    </row>
    <row r="326" spans="1:4">
      <c r="A326">
        <v>43189</v>
      </c>
      <c r="B326" t="s">
        <v>12242</v>
      </c>
      <c r="C326" t="s">
        <v>6636</v>
      </c>
      <c r="D326" s="234">
        <v>7685.6</v>
      </c>
    </row>
    <row r="327" spans="1:4">
      <c r="A327">
        <v>39580</v>
      </c>
      <c r="B327" t="s">
        <v>6910</v>
      </c>
      <c r="C327" t="s">
        <v>6636</v>
      </c>
      <c r="D327" s="234">
        <v>60565.69</v>
      </c>
    </row>
    <row r="328" spans="1:4">
      <c r="A328">
        <v>39577</v>
      </c>
      <c r="B328" t="s">
        <v>6911</v>
      </c>
      <c r="C328" t="s">
        <v>6636</v>
      </c>
      <c r="D328" s="234">
        <v>18956.93</v>
      </c>
    </row>
    <row r="329" spans="1:4">
      <c r="A329">
        <v>39578</v>
      </c>
      <c r="B329" t="s">
        <v>6912</v>
      </c>
      <c r="C329" t="s">
        <v>6636</v>
      </c>
      <c r="D329" s="234">
        <v>24464.29</v>
      </c>
    </row>
    <row r="330" spans="1:4">
      <c r="A330">
        <v>39579</v>
      </c>
      <c r="B330" t="s">
        <v>6913</v>
      </c>
      <c r="C330" t="s">
        <v>6636</v>
      </c>
      <c r="D330" s="234">
        <v>35593.629999999997</v>
      </c>
    </row>
    <row r="331" spans="1:4">
      <c r="A331">
        <v>39826</v>
      </c>
      <c r="B331" t="s">
        <v>6914</v>
      </c>
      <c r="C331" t="s">
        <v>6636</v>
      </c>
      <c r="D331" s="234">
        <v>4371.54</v>
      </c>
    </row>
    <row r="332" spans="1:4">
      <c r="A332">
        <v>10700</v>
      </c>
      <c r="B332" t="s">
        <v>6915</v>
      </c>
      <c r="C332" t="s">
        <v>6636</v>
      </c>
      <c r="D332" s="234">
        <v>12121.63</v>
      </c>
    </row>
    <row r="333" spans="1:4">
      <c r="A333">
        <v>346</v>
      </c>
      <c r="B333" t="s">
        <v>6916</v>
      </c>
      <c r="C333" t="s">
        <v>6698</v>
      </c>
      <c r="D333" s="233">
        <v>14.73</v>
      </c>
    </row>
    <row r="334" spans="1:4">
      <c r="A334">
        <v>3312</v>
      </c>
      <c r="B334" t="s">
        <v>6917</v>
      </c>
      <c r="C334" t="s">
        <v>6698</v>
      </c>
      <c r="D334" s="233">
        <v>21.12</v>
      </c>
    </row>
    <row r="335" spans="1:4">
      <c r="A335">
        <v>339</v>
      </c>
      <c r="B335" t="s">
        <v>12243</v>
      </c>
      <c r="C335" t="s">
        <v>6649</v>
      </c>
      <c r="D335" s="233">
        <v>0.76</v>
      </c>
    </row>
    <row r="336" spans="1:4">
      <c r="A336">
        <v>340</v>
      </c>
      <c r="B336" t="s">
        <v>6918</v>
      </c>
      <c r="C336" t="s">
        <v>6649</v>
      </c>
      <c r="D336" s="233">
        <v>0.68</v>
      </c>
    </row>
    <row r="337" spans="1:4">
      <c r="A337">
        <v>43130</v>
      </c>
      <c r="B337" t="s">
        <v>12244</v>
      </c>
      <c r="C337" t="s">
        <v>6698</v>
      </c>
      <c r="D337" s="233">
        <v>12.44</v>
      </c>
    </row>
    <row r="338" spans="1:4">
      <c r="A338">
        <v>333</v>
      </c>
      <c r="B338" t="s">
        <v>6919</v>
      </c>
      <c r="C338" t="s">
        <v>6698</v>
      </c>
      <c r="D338" s="233">
        <v>12.44</v>
      </c>
    </row>
    <row r="339" spans="1:4">
      <c r="A339">
        <v>344</v>
      </c>
      <c r="B339" t="s">
        <v>12245</v>
      </c>
      <c r="C339" t="s">
        <v>6698</v>
      </c>
      <c r="D339" s="233">
        <v>16.350000000000001</v>
      </c>
    </row>
    <row r="340" spans="1:4">
      <c r="A340">
        <v>345</v>
      </c>
      <c r="B340" t="s">
        <v>12246</v>
      </c>
      <c r="C340" t="s">
        <v>6698</v>
      </c>
      <c r="D340" s="233">
        <v>17.739999999999998</v>
      </c>
    </row>
    <row r="341" spans="1:4">
      <c r="A341">
        <v>43131</v>
      </c>
      <c r="B341" t="s">
        <v>12247</v>
      </c>
      <c r="C341" t="s">
        <v>6698</v>
      </c>
      <c r="D341" s="233">
        <v>14.45</v>
      </c>
    </row>
    <row r="342" spans="1:4">
      <c r="A342">
        <v>3313</v>
      </c>
      <c r="B342" t="s">
        <v>6920</v>
      </c>
      <c r="C342" t="s">
        <v>6698</v>
      </c>
      <c r="D342" s="233">
        <v>27.18</v>
      </c>
    </row>
    <row r="343" spans="1:4">
      <c r="A343">
        <v>43132</v>
      </c>
      <c r="B343" t="s">
        <v>12248</v>
      </c>
      <c r="C343" t="s">
        <v>6698</v>
      </c>
      <c r="D343" s="233">
        <v>11.7</v>
      </c>
    </row>
    <row r="344" spans="1:4">
      <c r="A344">
        <v>369</v>
      </c>
      <c r="B344" t="s">
        <v>6921</v>
      </c>
      <c r="C344" t="s">
        <v>6781</v>
      </c>
      <c r="D344" s="233">
        <v>66.5</v>
      </c>
    </row>
    <row r="345" spans="1:4">
      <c r="A345">
        <v>366</v>
      </c>
      <c r="B345" t="s">
        <v>6922</v>
      </c>
      <c r="C345" t="s">
        <v>6781</v>
      </c>
      <c r="D345" s="233">
        <v>65</v>
      </c>
    </row>
    <row r="346" spans="1:4">
      <c r="A346">
        <v>367</v>
      </c>
      <c r="B346" t="s">
        <v>820</v>
      </c>
      <c r="C346" t="s">
        <v>6781</v>
      </c>
      <c r="D346" s="233">
        <v>61.5</v>
      </c>
    </row>
    <row r="347" spans="1:4">
      <c r="A347">
        <v>370</v>
      </c>
      <c r="B347" t="s">
        <v>765</v>
      </c>
      <c r="C347" t="s">
        <v>6781</v>
      </c>
      <c r="D347" s="233">
        <v>62.5</v>
      </c>
    </row>
    <row r="348" spans="1:4">
      <c r="A348">
        <v>368</v>
      </c>
      <c r="B348" t="s">
        <v>6923</v>
      </c>
      <c r="C348" t="s">
        <v>6781</v>
      </c>
      <c r="D348" s="233">
        <v>46.12</v>
      </c>
    </row>
    <row r="349" spans="1:4">
      <c r="A349">
        <v>11075</v>
      </c>
      <c r="B349" t="s">
        <v>6924</v>
      </c>
      <c r="C349" t="s">
        <v>6781</v>
      </c>
      <c r="D349" s="234">
        <v>1007.06</v>
      </c>
    </row>
    <row r="350" spans="1:4">
      <c r="A350">
        <v>11076</v>
      </c>
      <c r="B350" t="s">
        <v>6925</v>
      </c>
      <c r="C350" t="s">
        <v>6781</v>
      </c>
      <c r="D350" s="233">
        <v>76.87</v>
      </c>
    </row>
    <row r="351" spans="1:4">
      <c r="A351">
        <v>1381</v>
      </c>
      <c r="B351" t="s">
        <v>6926</v>
      </c>
      <c r="C351" t="s">
        <v>6698</v>
      </c>
      <c r="D351" s="233">
        <v>0.6</v>
      </c>
    </row>
    <row r="352" spans="1:4">
      <c r="A352">
        <v>34353</v>
      </c>
      <c r="B352" t="s">
        <v>6927</v>
      </c>
      <c r="C352" t="s">
        <v>6698</v>
      </c>
      <c r="D352" s="233">
        <v>1.2</v>
      </c>
    </row>
    <row r="353" spans="1:4">
      <c r="A353">
        <v>37595</v>
      </c>
      <c r="B353" t="s">
        <v>6928</v>
      </c>
      <c r="C353" t="s">
        <v>6698</v>
      </c>
      <c r="D353" s="233">
        <v>1.83</v>
      </c>
    </row>
    <row r="354" spans="1:4">
      <c r="A354">
        <v>37596</v>
      </c>
      <c r="B354" t="s">
        <v>6929</v>
      </c>
      <c r="C354" t="s">
        <v>6698</v>
      </c>
      <c r="D354" s="233">
        <v>2.72</v>
      </c>
    </row>
    <row r="355" spans="1:4">
      <c r="A355">
        <v>371</v>
      </c>
      <c r="B355" t="s">
        <v>6930</v>
      </c>
      <c r="C355" t="s">
        <v>6698</v>
      </c>
      <c r="D355" s="233">
        <v>0.54</v>
      </c>
    </row>
    <row r="356" spans="1:4">
      <c r="A356">
        <v>37553</v>
      </c>
      <c r="B356" t="s">
        <v>6931</v>
      </c>
      <c r="C356" t="s">
        <v>6698</v>
      </c>
      <c r="D356" s="233">
        <v>2.0299999999999998</v>
      </c>
    </row>
    <row r="357" spans="1:4">
      <c r="A357">
        <v>37552</v>
      </c>
      <c r="B357" t="s">
        <v>6932</v>
      </c>
      <c r="C357" t="s">
        <v>6698</v>
      </c>
      <c r="D357" s="233">
        <v>2.6</v>
      </c>
    </row>
    <row r="358" spans="1:4">
      <c r="A358">
        <v>36880</v>
      </c>
      <c r="B358" t="s">
        <v>6933</v>
      </c>
      <c r="C358" t="s">
        <v>6698</v>
      </c>
      <c r="D358" s="233">
        <v>2.02</v>
      </c>
    </row>
    <row r="359" spans="1:4">
      <c r="A359">
        <v>34355</v>
      </c>
      <c r="B359" t="s">
        <v>6934</v>
      </c>
      <c r="C359" t="s">
        <v>6698</v>
      </c>
      <c r="D359" s="233">
        <v>1.66</v>
      </c>
    </row>
    <row r="360" spans="1:4">
      <c r="A360">
        <v>130</v>
      </c>
      <c r="B360" t="s">
        <v>6935</v>
      </c>
      <c r="C360" t="s">
        <v>6698</v>
      </c>
      <c r="D360" s="233">
        <v>2.73</v>
      </c>
    </row>
    <row r="361" spans="1:4">
      <c r="A361">
        <v>135</v>
      </c>
      <c r="B361" t="s">
        <v>6936</v>
      </c>
      <c r="C361" t="s">
        <v>6698</v>
      </c>
      <c r="D361" s="233">
        <v>2.2000000000000002</v>
      </c>
    </row>
    <row r="362" spans="1:4">
      <c r="A362">
        <v>36886</v>
      </c>
      <c r="B362" t="s">
        <v>6937</v>
      </c>
      <c r="C362" t="s">
        <v>6698</v>
      </c>
      <c r="D362" s="233">
        <v>0.64</v>
      </c>
    </row>
    <row r="363" spans="1:4">
      <c r="A363">
        <v>374</v>
      </c>
      <c r="B363" t="s">
        <v>6938</v>
      </c>
      <c r="C363" t="s">
        <v>6698</v>
      </c>
      <c r="D363" s="233">
        <v>0.46</v>
      </c>
    </row>
    <row r="364" spans="1:4">
      <c r="A364">
        <v>38546</v>
      </c>
      <c r="B364" t="s">
        <v>6939</v>
      </c>
      <c r="C364" t="s">
        <v>6781</v>
      </c>
      <c r="D364" s="233">
        <v>462.21</v>
      </c>
    </row>
    <row r="365" spans="1:4">
      <c r="A365">
        <v>34549</v>
      </c>
      <c r="B365" t="s">
        <v>6940</v>
      </c>
      <c r="C365" t="s">
        <v>6781</v>
      </c>
      <c r="D365" s="233">
        <v>199.5</v>
      </c>
    </row>
    <row r="366" spans="1:4">
      <c r="A366">
        <v>6081</v>
      </c>
      <c r="B366" t="s">
        <v>796</v>
      </c>
      <c r="C366" t="s">
        <v>6781</v>
      </c>
      <c r="D366" s="233">
        <v>28.26</v>
      </c>
    </row>
    <row r="367" spans="1:4">
      <c r="A367">
        <v>6077</v>
      </c>
      <c r="B367" t="s">
        <v>6941</v>
      </c>
      <c r="C367" t="s">
        <v>6781</v>
      </c>
      <c r="D367" s="233">
        <v>16.29</v>
      </c>
    </row>
    <row r="368" spans="1:4">
      <c r="A368">
        <v>6079</v>
      </c>
      <c r="B368" t="s">
        <v>6942</v>
      </c>
      <c r="C368" t="s">
        <v>6781</v>
      </c>
      <c r="D368" s="233">
        <v>9.31</v>
      </c>
    </row>
    <row r="369" spans="1:4">
      <c r="A369">
        <v>1091</v>
      </c>
      <c r="B369" t="s">
        <v>6943</v>
      </c>
      <c r="C369" t="s">
        <v>6636</v>
      </c>
      <c r="D369" s="233">
        <v>19.47</v>
      </c>
    </row>
    <row r="370" spans="1:4">
      <c r="A370">
        <v>1094</v>
      </c>
      <c r="B370" t="s">
        <v>6944</v>
      </c>
      <c r="C370" t="s">
        <v>6636</v>
      </c>
      <c r="D370" s="233">
        <v>13.62</v>
      </c>
    </row>
    <row r="371" spans="1:4">
      <c r="A371">
        <v>1095</v>
      </c>
      <c r="B371" t="s">
        <v>6945</v>
      </c>
      <c r="C371" t="s">
        <v>6636</v>
      </c>
      <c r="D371" s="233">
        <v>28.95</v>
      </c>
    </row>
    <row r="372" spans="1:4">
      <c r="A372">
        <v>1092</v>
      </c>
      <c r="B372" t="s">
        <v>6946</v>
      </c>
      <c r="C372" t="s">
        <v>6636</v>
      </c>
      <c r="D372" s="233">
        <v>22.4</v>
      </c>
    </row>
    <row r="373" spans="1:4">
      <c r="A373">
        <v>1093</v>
      </c>
      <c r="B373" t="s">
        <v>6947</v>
      </c>
      <c r="C373" t="s">
        <v>6636</v>
      </c>
      <c r="D373" s="233">
        <v>52.31</v>
      </c>
    </row>
    <row r="374" spans="1:4">
      <c r="A374">
        <v>1090</v>
      </c>
      <c r="B374" t="s">
        <v>6948</v>
      </c>
      <c r="C374" t="s">
        <v>6636</v>
      </c>
      <c r="D374" s="233">
        <v>37.450000000000003</v>
      </c>
    </row>
    <row r="375" spans="1:4">
      <c r="A375">
        <v>1096</v>
      </c>
      <c r="B375" t="s">
        <v>776</v>
      </c>
      <c r="C375" t="s">
        <v>6636</v>
      </c>
      <c r="D375" s="233">
        <v>67.400000000000006</v>
      </c>
    </row>
    <row r="376" spans="1:4">
      <c r="A376">
        <v>1097</v>
      </c>
      <c r="B376" t="s">
        <v>6949</v>
      </c>
      <c r="C376" t="s">
        <v>6636</v>
      </c>
      <c r="D376" s="233">
        <v>57.21</v>
      </c>
    </row>
    <row r="377" spans="1:4">
      <c r="A377">
        <v>378</v>
      </c>
      <c r="B377" t="s">
        <v>6950</v>
      </c>
      <c r="C377" t="s">
        <v>6640</v>
      </c>
      <c r="D377" s="233">
        <v>14.81</v>
      </c>
    </row>
    <row r="378" spans="1:4">
      <c r="A378">
        <v>40911</v>
      </c>
      <c r="B378" t="s">
        <v>6951</v>
      </c>
      <c r="C378" t="s">
        <v>6785</v>
      </c>
      <c r="D378" s="234">
        <v>2626.51</v>
      </c>
    </row>
    <row r="379" spans="1:4">
      <c r="A379">
        <v>33939</v>
      </c>
      <c r="B379" t="s">
        <v>6952</v>
      </c>
      <c r="C379" t="s">
        <v>6640</v>
      </c>
      <c r="D379" s="233">
        <v>66.06</v>
      </c>
    </row>
    <row r="380" spans="1:4">
      <c r="A380">
        <v>40815</v>
      </c>
      <c r="B380" t="s">
        <v>6953</v>
      </c>
      <c r="C380" t="s">
        <v>6785</v>
      </c>
      <c r="D380" s="234">
        <v>11713.52</v>
      </c>
    </row>
    <row r="381" spans="1:4">
      <c r="A381">
        <v>34760</v>
      </c>
      <c r="B381" t="s">
        <v>6954</v>
      </c>
      <c r="C381" t="s">
        <v>6640</v>
      </c>
      <c r="D381" s="233">
        <v>62.37</v>
      </c>
    </row>
    <row r="382" spans="1:4">
      <c r="A382">
        <v>40935</v>
      </c>
      <c r="B382" t="s">
        <v>6955</v>
      </c>
      <c r="C382" t="s">
        <v>6785</v>
      </c>
      <c r="D382" s="234">
        <v>11060.41</v>
      </c>
    </row>
    <row r="383" spans="1:4">
      <c r="A383">
        <v>33952</v>
      </c>
      <c r="B383" t="s">
        <v>6956</v>
      </c>
      <c r="C383" t="s">
        <v>6640</v>
      </c>
      <c r="D383" s="233">
        <v>93.84</v>
      </c>
    </row>
    <row r="384" spans="1:4">
      <c r="A384">
        <v>40816</v>
      </c>
      <c r="B384" t="s">
        <v>6957</v>
      </c>
      <c r="C384" t="s">
        <v>6785</v>
      </c>
      <c r="D384" s="234">
        <v>16638.09</v>
      </c>
    </row>
    <row r="385" spans="1:4">
      <c r="A385">
        <v>33953</v>
      </c>
      <c r="B385" t="s">
        <v>6958</v>
      </c>
      <c r="C385" t="s">
        <v>6640</v>
      </c>
      <c r="D385" s="233">
        <v>124.07</v>
      </c>
    </row>
    <row r="386" spans="1:4">
      <c r="A386">
        <v>40817</v>
      </c>
      <c r="B386" t="s">
        <v>6959</v>
      </c>
      <c r="C386" t="s">
        <v>6785</v>
      </c>
      <c r="D386" s="234">
        <v>21997.040000000001</v>
      </c>
    </row>
    <row r="387" spans="1:4">
      <c r="A387">
        <v>13348</v>
      </c>
      <c r="B387" t="s">
        <v>6960</v>
      </c>
      <c r="C387" t="s">
        <v>6636</v>
      </c>
      <c r="D387" s="233">
        <v>0.49</v>
      </c>
    </row>
    <row r="388" spans="1:4">
      <c r="A388">
        <v>39211</v>
      </c>
      <c r="B388" t="s">
        <v>6961</v>
      </c>
      <c r="C388" t="s">
        <v>6636</v>
      </c>
      <c r="D388" s="233">
        <v>0.89</v>
      </c>
    </row>
    <row r="389" spans="1:4">
      <c r="A389">
        <v>39212</v>
      </c>
      <c r="B389" t="s">
        <v>6962</v>
      </c>
      <c r="C389" t="s">
        <v>6636</v>
      </c>
      <c r="D389" s="233">
        <v>0.99</v>
      </c>
    </row>
    <row r="390" spans="1:4">
      <c r="A390">
        <v>39208</v>
      </c>
      <c r="B390" t="s">
        <v>6963</v>
      </c>
      <c r="C390" t="s">
        <v>6636</v>
      </c>
      <c r="D390" s="233">
        <v>0.27</v>
      </c>
    </row>
    <row r="391" spans="1:4">
      <c r="A391">
        <v>39210</v>
      </c>
      <c r="B391" t="s">
        <v>785</v>
      </c>
      <c r="C391" t="s">
        <v>6636</v>
      </c>
      <c r="D391" s="233">
        <v>0.49</v>
      </c>
    </row>
    <row r="392" spans="1:4">
      <c r="A392">
        <v>39214</v>
      </c>
      <c r="B392" t="s">
        <v>6964</v>
      </c>
      <c r="C392" t="s">
        <v>6636</v>
      </c>
      <c r="D392" s="233">
        <v>1.83</v>
      </c>
    </row>
    <row r="393" spans="1:4">
      <c r="A393">
        <v>39213</v>
      </c>
      <c r="B393" t="s">
        <v>6965</v>
      </c>
      <c r="C393" t="s">
        <v>6636</v>
      </c>
      <c r="D393" s="233">
        <v>1.29</v>
      </c>
    </row>
    <row r="394" spans="1:4">
      <c r="A394">
        <v>39209</v>
      </c>
      <c r="B394" t="s">
        <v>6966</v>
      </c>
      <c r="C394" t="s">
        <v>6636</v>
      </c>
      <c r="D394" s="233">
        <v>0.32</v>
      </c>
    </row>
    <row r="395" spans="1:4">
      <c r="A395">
        <v>39207</v>
      </c>
      <c r="B395" t="s">
        <v>6967</v>
      </c>
      <c r="C395" t="s">
        <v>6636</v>
      </c>
      <c r="D395" s="233">
        <v>0.49</v>
      </c>
    </row>
    <row r="396" spans="1:4">
      <c r="A396">
        <v>39215</v>
      </c>
      <c r="B396" t="s">
        <v>6968</v>
      </c>
      <c r="C396" t="s">
        <v>6636</v>
      </c>
      <c r="D396" s="233">
        <v>3.34</v>
      </c>
    </row>
    <row r="397" spans="1:4">
      <c r="A397">
        <v>39216</v>
      </c>
      <c r="B397" t="s">
        <v>950</v>
      </c>
      <c r="C397" t="s">
        <v>6636</v>
      </c>
      <c r="D397" s="233">
        <v>4.66</v>
      </c>
    </row>
    <row r="398" spans="1:4">
      <c r="A398">
        <v>379</v>
      </c>
      <c r="B398" t="s">
        <v>6969</v>
      </c>
      <c r="C398" t="s">
        <v>6636</v>
      </c>
      <c r="D398" s="233">
        <v>0.43</v>
      </c>
    </row>
    <row r="399" spans="1:4">
      <c r="A399">
        <v>11267</v>
      </c>
      <c r="B399" t="s">
        <v>782</v>
      </c>
      <c r="C399" t="s">
        <v>6636</v>
      </c>
      <c r="D399" s="233">
        <v>4.33</v>
      </c>
    </row>
    <row r="400" spans="1:4">
      <c r="A400">
        <v>41901</v>
      </c>
      <c r="B400" t="s">
        <v>6970</v>
      </c>
      <c r="C400" t="s">
        <v>6698</v>
      </c>
      <c r="D400" s="233">
        <v>6.06</v>
      </c>
    </row>
    <row r="401" spans="1:4">
      <c r="A401">
        <v>510</v>
      </c>
      <c r="B401" t="s">
        <v>6971</v>
      </c>
      <c r="C401" t="s">
        <v>6698</v>
      </c>
      <c r="D401" s="233">
        <v>8.49</v>
      </c>
    </row>
    <row r="402" spans="1:4">
      <c r="A402">
        <v>516</v>
      </c>
      <c r="B402" t="s">
        <v>6972</v>
      </c>
      <c r="C402" t="s">
        <v>6698</v>
      </c>
      <c r="D402" s="233">
        <v>9.0500000000000007</v>
      </c>
    </row>
    <row r="403" spans="1:4">
      <c r="A403">
        <v>509</v>
      </c>
      <c r="B403" t="s">
        <v>6973</v>
      </c>
      <c r="C403" t="s">
        <v>6698</v>
      </c>
      <c r="D403" s="233">
        <v>9.24</v>
      </c>
    </row>
    <row r="404" spans="1:4">
      <c r="A404">
        <v>40331</v>
      </c>
      <c r="B404" t="s">
        <v>6974</v>
      </c>
      <c r="C404" t="s">
        <v>6640</v>
      </c>
      <c r="D404" s="233">
        <v>12.42</v>
      </c>
    </row>
    <row r="405" spans="1:4">
      <c r="A405">
        <v>40930</v>
      </c>
      <c r="B405" t="s">
        <v>6975</v>
      </c>
      <c r="C405" t="s">
        <v>6785</v>
      </c>
      <c r="D405" s="234">
        <v>2205.67</v>
      </c>
    </row>
    <row r="406" spans="1:4">
      <c r="A406">
        <v>11761</v>
      </c>
      <c r="B406" t="s">
        <v>6976</v>
      </c>
      <c r="C406" t="s">
        <v>6636</v>
      </c>
      <c r="D406" s="233">
        <v>53.58</v>
      </c>
    </row>
    <row r="407" spans="1:4">
      <c r="A407">
        <v>377</v>
      </c>
      <c r="B407" t="s">
        <v>893</v>
      </c>
      <c r="C407" t="s">
        <v>6636</v>
      </c>
      <c r="D407" s="233">
        <v>25.18</v>
      </c>
    </row>
    <row r="408" spans="1:4">
      <c r="A408">
        <v>7588</v>
      </c>
      <c r="B408" t="s">
        <v>6977</v>
      </c>
      <c r="C408" t="s">
        <v>6636</v>
      </c>
      <c r="D408" s="233">
        <v>30.5</v>
      </c>
    </row>
    <row r="409" spans="1:4">
      <c r="A409">
        <v>34392</v>
      </c>
      <c r="B409" t="s">
        <v>6978</v>
      </c>
      <c r="C409" t="s">
        <v>6640</v>
      </c>
      <c r="D409" s="233">
        <v>11.34</v>
      </c>
    </row>
    <row r="410" spans="1:4">
      <c r="A410">
        <v>40908</v>
      </c>
      <c r="B410" t="s">
        <v>6979</v>
      </c>
      <c r="C410" t="s">
        <v>6785</v>
      </c>
      <c r="D410" s="234">
        <v>2012.55</v>
      </c>
    </row>
    <row r="411" spans="1:4">
      <c r="A411">
        <v>34551</v>
      </c>
      <c r="B411" t="s">
        <v>6980</v>
      </c>
      <c r="C411" t="s">
        <v>6640</v>
      </c>
      <c r="D411" s="233">
        <v>10.78</v>
      </c>
    </row>
    <row r="412" spans="1:4">
      <c r="A412">
        <v>41078</v>
      </c>
      <c r="B412" t="s">
        <v>6981</v>
      </c>
      <c r="C412" t="s">
        <v>6785</v>
      </c>
      <c r="D412" s="234">
        <v>1914.6</v>
      </c>
    </row>
    <row r="413" spans="1:4">
      <c r="A413">
        <v>246</v>
      </c>
      <c r="B413" t="s">
        <v>6982</v>
      </c>
      <c r="C413" t="s">
        <v>6640</v>
      </c>
      <c r="D413" s="233">
        <v>10.85</v>
      </c>
    </row>
    <row r="414" spans="1:4">
      <c r="A414">
        <v>40927</v>
      </c>
      <c r="B414" t="s">
        <v>6983</v>
      </c>
      <c r="C414" t="s">
        <v>6785</v>
      </c>
      <c r="D414" s="234">
        <v>1926.46</v>
      </c>
    </row>
    <row r="415" spans="1:4">
      <c r="A415">
        <v>2350</v>
      </c>
      <c r="B415" t="s">
        <v>6984</v>
      </c>
      <c r="C415" t="s">
        <v>6640</v>
      </c>
      <c r="D415" s="233">
        <v>11.93</v>
      </c>
    </row>
    <row r="416" spans="1:4">
      <c r="A416">
        <v>40812</v>
      </c>
      <c r="B416" t="s">
        <v>6985</v>
      </c>
      <c r="C416" t="s">
        <v>6785</v>
      </c>
      <c r="D416" s="234">
        <v>2117.66</v>
      </c>
    </row>
    <row r="417" spans="1:4">
      <c r="A417">
        <v>245</v>
      </c>
      <c r="B417" t="s">
        <v>12249</v>
      </c>
      <c r="C417" t="s">
        <v>6640</v>
      </c>
      <c r="D417" s="233">
        <v>20.309999999999999</v>
      </c>
    </row>
    <row r="418" spans="1:4">
      <c r="A418">
        <v>41090</v>
      </c>
      <c r="B418" t="s">
        <v>6986</v>
      </c>
      <c r="C418" t="s">
        <v>6785</v>
      </c>
      <c r="D418" s="234">
        <v>3603.78</v>
      </c>
    </row>
    <row r="419" spans="1:4">
      <c r="A419">
        <v>251</v>
      </c>
      <c r="B419" t="s">
        <v>6987</v>
      </c>
      <c r="C419" t="s">
        <v>6640</v>
      </c>
      <c r="D419" s="233">
        <v>9.27</v>
      </c>
    </row>
    <row r="420" spans="1:4">
      <c r="A420">
        <v>40975</v>
      </c>
      <c r="B420" t="s">
        <v>6988</v>
      </c>
      <c r="C420" t="s">
        <v>6785</v>
      </c>
      <c r="D420" s="234">
        <v>1646.51</v>
      </c>
    </row>
    <row r="421" spans="1:4">
      <c r="A421">
        <v>6127</v>
      </c>
      <c r="B421" t="s">
        <v>6989</v>
      </c>
      <c r="C421" t="s">
        <v>6640</v>
      </c>
      <c r="D421" s="233">
        <v>11</v>
      </c>
    </row>
    <row r="422" spans="1:4">
      <c r="A422">
        <v>41072</v>
      </c>
      <c r="B422" t="s">
        <v>6990</v>
      </c>
      <c r="C422" t="s">
        <v>6785</v>
      </c>
      <c r="D422" s="234">
        <v>1951.57</v>
      </c>
    </row>
    <row r="423" spans="1:4">
      <c r="A423">
        <v>6121</v>
      </c>
      <c r="B423" t="s">
        <v>6991</v>
      </c>
      <c r="C423" t="s">
        <v>6640</v>
      </c>
      <c r="D423" s="233">
        <v>11.85</v>
      </c>
    </row>
    <row r="424" spans="1:4">
      <c r="A424">
        <v>41071</v>
      </c>
      <c r="B424" t="s">
        <v>6992</v>
      </c>
      <c r="C424" t="s">
        <v>6785</v>
      </c>
      <c r="D424" s="234">
        <v>2103.46</v>
      </c>
    </row>
    <row r="425" spans="1:4">
      <c r="A425">
        <v>244</v>
      </c>
      <c r="B425" t="s">
        <v>6993</v>
      </c>
      <c r="C425" t="s">
        <v>6640</v>
      </c>
      <c r="D425" s="233">
        <v>5.84</v>
      </c>
    </row>
    <row r="426" spans="1:4">
      <c r="A426">
        <v>41093</v>
      </c>
      <c r="B426" t="s">
        <v>6994</v>
      </c>
      <c r="C426" t="s">
        <v>6785</v>
      </c>
      <c r="D426" s="234">
        <v>1087.5</v>
      </c>
    </row>
    <row r="427" spans="1:4">
      <c r="A427">
        <v>532</v>
      </c>
      <c r="B427" t="s">
        <v>6995</v>
      </c>
      <c r="C427" t="s">
        <v>6640</v>
      </c>
      <c r="D427" s="233">
        <v>23.15</v>
      </c>
    </row>
    <row r="428" spans="1:4">
      <c r="A428">
        <v>40931</v>
      </c>
      <c r="B428" t="s">
        <v>6996</v>
      </c>
      <c r="C428" t="s">
        <v>6785</v>
      </c>
      <c r="D428" s="234">
        <v>4105.5200000000004</v>
      </c>
    </row>
    <row r="429" spans="1:4">
      <c r="A429">
        <v>36150</v>
      </c>
      <c r="B429" t="s">
        <v>6997</v>
      </c>
      <c r="C429" t="s">
        <v>6636</v>
      </c>
      <c r="D429" s="233">
        <v>35.49</v>
      </c>
    </row>
    <row r="430" spans="1:4">
      <c r="A430">
        <v>4760</v>
      </c>
      <c r="B430" t="s">
        <v>12250</v>
      </c>
      <c r="C430" t="s">
        <v>6640</v>
      </c>
      <c r="D430" s="233">
        <v>14.81</v>
      </c>
    </row>
    <row r="431" spans="1:4">
      <c r="A431">
        <v>41069</v>
      </c>
      <c r="B431" t="s">
        <v>6998</v>
      </c>
      <c r="C431" t="s">
        <v>6785</v>
      </c>
      <c r="D431" s="234">
        <v>2626.51</v>
      </c>
    </row>
    <row r="432" spans="1:4">
      <c r="A432">
        <v>10422</v>
      </c>
      <c r="B432" t="s">
        <v>6999</v>
      </c>
      <c r="C432" t="s">
        <v>6636</v>
      </c>
      <c r="D432" s="233">
        <v>263.95999999999998</v>
      </c>
    </row>
    <row r="433" spans="1:4">
      <c r="A433">
        <v>10420</v>
      </c>
      <c r="B433" t="s">
        <v>7000</v>
      </c>
      <c r="C433" t="s">
        <v>6636</v>
      </c>
      <c r="D433" s="233">
        <v>99</v>
      </c>
    </row>
    <row r="434" spans="1:4">
      <c r="A434">
        <v>10421</v>
      </c>
      <c r="B434" t="s">
        <v>7001</v>
      </c>
      <c r="C434" t="s">
        <v>6636</v>
      </c>
      <c r="D434" s="233">
        <v>132.49</v>
      </c>
    </row>
    <row r="435" spans="1:4">
      <c r="A435">
        <v>36520</v>
      </c>
      <c r="B435" t="s">
        <v>7002</v>
      </c>
      <c r="C435" t="s">
        <v>6636</v>
      </c>
      <c r="D435" s="233">
        <v>493.23</v>
      </c>
    </row>
    <row r="436" spans="1:4">
      <c r="A436">
        <v>11784</v>
      </c>
      <c r="B436" t="s">
        <v>7003</v>
      </c>
      <c r="C436" t="s">
        <v>6636</v>
      </c>
      <c r="D436" s="233">
        <v>370.44</v>
      </c>
    </row>
    <row r="437" spans="1:4">
      <c r="A437">
        <v>10</v>
      </c>
      <c r="B437" t="s">
        <v>7004</v>
      </c>
      <c r="C437" t="s">
        <v>6636</v>
      </c>
      <c r="D437" s="233">
        <v>9.3800000000000008</v>
      </c>
    </row>
    <row r="438" spans="1:4">
      <c r="A438">
        <v>4815</v>
      </c>
      <c r="B438" t="s">
        <v>7005</v>
      </c>
      <c r="C438" t="s">
        <v>6636</v>
      </c>
      <c r="D438" s="233">
        <v>5.01</v>
      </c>
    </row>
    <row r="439" spans="1:4">
      <c r="A439">
        <v>541</v>
      </c>
      <c r="B439" t="s">
        <v>7006</v>
      </c>
      <c r="C439" t="s">
        <v>6636</v>
      </c>
      <c r="D439" s="233">
        <v>128.35</v>
      </c>
    </row>
    <row r="440" spans="1:4">
      <c r="A440">
        <v>542</v>
      </c>
      <c r="B440" t="s">
        <v>7007</v>
      </c>
      <c r="C440" t="s">
        <v>6636</v>
      </c>
      <c r="D440" s="233">
        <v>160.88</v>
      </c>
    </row>
    <row r="441" spans="1:4">
      <c r="A441">
        <v>540</v>
      </c>
      <c r="B441" t="s">
        <v>7008</v>
      </c>
      <c r="C441" t="s">
        <v>6636</v>
      </c>
      <c r="D441" s="233">
        <v>362.56</v>
      </c>
    </row>
    <row r="442" spans="1:4">
      <c r="A442">
        <v>38364</v>
      </c>
      <c r="B442" t="s">
        <v>7009</v>
      </c>
      <c r="C442" t="s">
        <v>6636</v>
      </c>
      <c r="D442" s="233">
        <v>618.44000000000005</v>
      </c>
    </row>
    <row r="443" spans="1:4">
      <c r="A443">
        <v>11692</v>
      </c>
      <c r="B443" t="s">
        <v>7010</v>
      </c>
      <c r="C443" t="s">
        <v>6638</v>
      </c>
      <c r="D443" s="233">
        <v>333.78</v>
      </c>
    </row>
    <row r="444" spans="1:4">
      <c r="A444">
        <v>1746</v>
      </c>
      <c r="B444" t="s">
        <v>7011</v>
      </c>
      <c r="C444" t="s">
        <v>6636</v>
      </c>
      <c r="D444" s="233">
        <v>174.52</v>
      </c>
    </row>
    <row r="445" spans="1:4">
      <c r="A445">
        <v>1748</v>
      </c>
      <c r="B445" t="s">
        <v>7012</v>
      </c>
      <c r="C445" t="s">
        <v>6636</v>
      </c>
      <c r="D445" s="233">
        <v>232.07</v>
      </c>
    </row>
    <row r="446" spans="1:4">
      <c r="A446">
        <v>1749</v>
      </c>
      <c r="B446" t="s">
        <v>7013</v>
      </c>
      <c r="C446" t="s">
        <v>6636</v>
      </c>
      <c r="D446" s="233">
        <v>336.22</v>
      </c>
    </row>
    <row r="447" spans="1:4">
      <c r="A447">
        <v>37412</v>
      </c>
      <c r="B447" t="s">
        <v>7014</v>
      </c>
      <c r="C447" t="s">
        <v>6636</v>
      </c>
      <c r="D447" s="233">
        <v>170.59</v>
      </c>
    </row>
    <row r="448" spans="1:4">
      <c r="A448">
        <v>1745</v>
      </c>
      <c r="B448" t="s">
        <v>7015</v>
      </c>
      <c r="C448" t="s">
        <v>6636</v>
      </c>
      <c r="D448" s="233">
        <v>202.85</v>
      </c>
    </row>
    <row r="449" spans="1:4">
      <c r="A449">
        <v>1750</v>
      </c>
      <c r="B449" t="s">
        <v>7016</v>
      </c>
      <c r="C449" t="s">
        <v>6636</v>
      </c>
      <c r="D449" s="233">
        <v>474.05</v>
      </c>
    </row>
    <row r="450" spans="1:4">
      <c r="A450">
        <v>11687</v>
      </c>
      <c r="B450" t="s">
        <v>7017</v>
      </c>
      <c r="C450" t="s">
        <v>6649</v>
      </c>
      <c r="D450" s="233">
        <v>755.3</v>
      </c>
    </row>
    <row r="451" spans="1:4">
      <c r="A451">
        <v>11689</v>
      </c>
      <c r="B451" t="s">
        <v>7018</v>
      </c>
      <c r="C451" t="s">
        <v>6649</v>
      </c>
      <c r="D451" s="233">
        <v>946.35</v>
      </c>
    </row>
    <row r="452" spans="1:4">
      <c r="A452">
        <v>11693</v>
      </c>
      <c r="B452" t="s">
        <v>7019</v>
      </c>
      <c r="C452" t="s">
        <v>6638</v>
      </c>
      <c r="D452" s="233">
        <v>142.31</v>
      </c>
    </row>
    <row r="453" spans="1:4">
      <c r="A453">
        <v>36215</v>
      </c>
      <c r="B453" t="s">
        <v>7020</v>
      </c>
      <c r="C453" t="s">
        <v>6636</v>
      </c>
      <c r="D453" s="234">
        <v>1052.25</v>
      </c>
    </row>
    <row r="454" spans="1:4">
      <c r="A454">
        <v>42439</v>
      </c>
      <c r="B454" t="s">
        <v>7021</v>
      </c>
      <c r="C454" t="s">
        <v>6636</v>
      </c>
      <c r="D454" s="233">
        <v>686.09</v>
      </c>
    </row>
    <row r="455" spans="1:4">
      <c r="A455">
        <v>38381</v>
      </c>
      <c r="B455" t="s">
        <v>7022</v>
      </c>
      <c r="C455" t="s">
        <v>6636</v>
      </c>
      <c r="D455" s="233">
        <v>8.41</v>
      </c>
    </row>
    <row r="456" spans="1:4">
      <c r="A456">
        <v>39621</v>
      </c>
      <c r="B456" t="s">
        <v>7023</v>
      </c>
      <c r="C456" t="s">
        <v>7024</v>
      </c>
      <c r="D456" s="234">
        <v>1229.54</v>
      </c>
    </row>
    <row r="457" spans="1:4">
      <c r="A457">
        <v>39624</v>
      </c>
      <c r="B457" t="s">
        <v>7025</v>
      </c>
      <c r="C457" t="s">
        <v>7024</v>
      </c>
      <c r="D457" s="234">
        <v>1244.22</v>
      </c>
    </row>
    <row r="458" spans="1:4">
      <c r="A458">
        <v>39615</v>
      </c>
      <c r="B458" t="s">
        <v>7026</v>
      </c>
      <c r="C458" t="s">
        <v>6636</v>
      </c>
      <c r="D458" s="233">
        <v>428.95</v>
      </c>
    </row>
    <row r="459" spans="1:4">
      <c r="A459">
        <v>39620</v>
      </c>
      <c r="B459" t="s">
        <v>7027</v>
      </c>
      <c r="C459" t="s">
        <v>6636</v>
      </c>
      <c r="D459" s="233">
        <v>655.75</v>
      </c>
    </row>
    <row r="460" spans="1:4">
      <c r="A460">
        <v>39623</v>
      </c>
      <c r="B460" t="s">
        <v>7028</v>
      </c>
      <c r="C460" t="s">
        <v>6636</v>
      </c>
      <c r="D460" s="233">
        <v>634.99</v>
      </c>
    </row>
    <row r="461" spans="1:4">
      <c r="A461">
        <v>36207</v>
      </c>
      <c r="B461" t="s">
        <v>7029</v>
      </c>
      <c r="C461" t="s">
        <v>6636</v>
      </c>
      <c r="D461" s="233">
        <v>466.08</v>
      </c>
    </row>
    <row r="462" spans="1:4">
      <c r="A462">
        <v>36209</v>
      </c>
      <c r="B462" t="s">
        <v>7030</v>
      </c>
      <c r="C462" t="s">
        <v>6636</v>
      </c>
      <c r="D462" s="233">
        <v>534.89</v>
      </c>
    </row>
    <row r="463" spans="1:4">
      <c r="A463">
        <v>36210</v>
      </c>
      <c r="B463" t="s">
        <v>7031</v>
      </c>
      <c r="C463" t="s">
        <v>6636</v>
      </c>
      <c r="D463" s="233">
        <v>578.74</v>
      </c>
    </row>
    <row r="464" spans="1:4">
      <c r="A464">
        <v>36204</v>
      </c>
      <c r="B464" t="s">
        <v>7032</v>
      </c>
      <c r="C464" t="s">
        <v>6636</v>
      </c>
      <c r="D464" s="233">
        <v>205.2</v>
      </c>
    </row>
    <row r="465" spans="1:4">
      <c r="A465">
        <v>36205</v>
      </c>
      <c r="B465" t="s">
        <v>7033</v>
      </c>
      <c r="C465" t="s">
        <v>6636</v>
      </c>
      <c r="D465" s="233">
        <v>227.89</v>
      </c>
    </row>
    <row r="466" spans="1:4">
      <c r="A466">
        <v>36081</v>
      </c>
      <c r="B466" t="s">
        <v>841</v>
      </c>
      <c r="C466" t="s">
        <v>6636</v>
      </c>
      <c r="D466" s="233">
        <v>242.99</v>
      </c>
    </row>
    <row r="467" spans="1:4">
      <c r="A467">
        <v>36206</v>
      </c>
      <c r="B467" t="s">
        <v>7034</v>
      </c>
      <c r="C467" t="s">
        <v>6636</v>
      </c>
      <c r="D467" s="233">
        <v>254.57</v>
      </c>
    </row>
    <row r="468" spans="1:4">
      <c r="A468">
        <v>36218</v>
      </c>
      <c r="B468" t="s">
        <v>7035</v>
      </c>
      <c r="C468" t="s">
        <v>6636</v>
      </c>
      <c r="D468" s="233">
        <v>88.89</v>
      </c>
    </row>
    <row r="469" spans="1:4">
      <c r="A469">
        <v>36220</v>
      </c>
      <c r="B469" t="s">
        <v>7036</v>
      </c>
      <c r="C469" t="s">
        <v>6636</v>
      </c>
      <c r="D469" s="233">
        <v>101.93</v>
      </c>
    </row>
    <row r="470" spans="1:4">
      <c r="A470">
        <v>36080</v>
      </c>
      <c r="B470" t="s">
        <v>7037</v>
      </c>
      <c r="C470" t="s">
        <v>6636</v>
      </c>
      <c r="D470" s="233">
        <v>110.26</v>
      </c>
    </row>
    <row r="471" spans="1:4">
      <c r="A471">
        <v>36223</v>
      </c>
      <c r="B471" t="s">
        <v>7038</v>
      </c>
      <c r="C471" t="s">
        <v>6636</v>
      </c>
      <c r="D471" s="233">
        <v>115.46</v>
      </c>
    </row>
    <row r="472" spans="1:4">
      <c r="A472">
        <v>546</v>
      </c>
      <c r="B472" t="s">
        <v>7039</v>
      </c>
      <c r="C472" t="s">
        <v>6698</v>
      </c>
      <c r="D472" s="233">
        <v>5.54</v>
      </c>
    </row>
    <row r="473" spans="1:4">
      <c r="A473">
        <v>557</v>
      </c>
      <c r="B473" t="s">
        <v>7040</v>
      </c>
      <c r="C473" t="s">
        <v>6649</v>
      </c>
      <c r="D473" s="233">
        <v>21.26</v>
      </c>
    </row>
    <row r="474" spans="1:4">
      <c r="A474">
        <v>552</v>
      </c>
      <c r="B474" t="s">
        <v>7041</v>
      </c>
      <c r="C474" t="s">
        <v>6649</v>
      </c>
      <c r="D474" s="233">
        <v>10.47</v>
      </c>
    </row>
    <row r="475" spans="1:4">
      <c r="A475">
        <v>555</v>
      </c>
      <c r="B475" t="s">
        <v>7042</v>
      </c>
      <c r="C475" t="s">
        <v>6649</v>
      </c>
      <c r="D475" s="233">
        <v>6.42</v>
      </c>
    </row>
    <row r="476" spans="1:4">
      <c r="A476">
        <v>565</v>
      </c>
      <c r="B476" t="s">
        <v>7043</v>
      </c>
      <c r="C476" t="s">
        <v>6649</v>
      </c>
      <c r="D476" s="233">
        <v>9.8000000000000007</v>
      </c>
    </row>
    <row r="477" spans="1:4">
      <c r="A477">
        <v>549</v>
      </c>
      <c r="B477" t="s">
        <v>804</v>
      </c>
      <c r="C477" t="s">
        <v>6649</v>
      </c>
      <c r="D477" s="233">
        <v>28.03</v>
      </c>
    </row>
    <row r="478" spans="1:4">
      <c r="A478">
        <v>559</v>
      </c>
      <c r="B478" t="s">
        <v>7044</v>
      </c>
      <c r="C478" t="s">
        <v>6649</v>
      </c>
      <c r="D478" s="233">
        <v>14.01</v>
      </c>
    </row>
    <row r="479" spans="1:4">
      <c r="A479">
        <v>551</v>
      </c>
      <c r="B479" t="s">
        <v>7045</v>
      </c>
      <c r="C479" t="s">
        <v>6649</v>
      </c>
      <c r="D479" s="233">
        <v>54.77</v>
      </c>
    </row>
    <row r="480" spans="1:4">
      <c r="A480">
        <v>547</v>
      </c>
      <c r="B480" t="s">
        <v>7046</v>
      </c>
      <c r="C480" t="s">
        <v>6649</v>
      </c>
      <c r="D480" s="233">
        <v>20.99</v>
      </c>
    </row>
    <row r="481" spans="1:4">
      <c r="A481">
        <v>560</v>
      </c>
      <c r="B481" t="s">
        <v>7047</v>
      </c>
      <c r="C481" t="s">
        <v>6649</v>
      </c>
      <c r="D481" s="233">
        <v>17.739999999999998</v>
      </c>
    </row>
    <row r="482" spans="1:4">
      <c r="A482">
        <v>566</v>
      </c>
      <c r="B482" t="s">
        <v>7048</v>
      </c>
      <c r="C482" t="s">
        <v>6649</v>
      </c>
      <c r="D482" s="233">
        <v>2.85</v>
      </c>
    </row>
    <row r="483" spans="1:4">
      <c r="A483">
        <v>563</v>
      </c>
      <c r="B483" t="s">
        <v>7049</v>
      </c>
      <c r="C483" t="s">
        <v>6649</v>
      </c>
      <c r="D483" s="233">
        <v>15.93</v>
      </c>
    </row>
    <row r="484" spans="1:4">
      <c r="A484">
        <v>38127</v>
      </c>
      <c r="B484" t="s">
        <v>7050</v>
      </c>
      <c r="C484" t="s">
        <v>6636</v>
      </c>
      <c r="D484" s="233">
        <v>351.9</v>
      </c>
    </row>
    <row r="485" spans="1:4">
      <c r="A485">
        <v>38060</v>
      </c>
      <c r="B485" t="s">
        <v>7051</v>
      </c>
      <c r="C485" t="s">
        <v>6636</v>
      </c>
      <c r="D485" s="233">
        <v>66.349999999999994</v>
      </c>
    </row>
    <row r="486" spans="1:4">
      <c r="A486">
        <v>10956</v>
      </c>
      <c r="B486" t="s">
        <v>7052</v>
      </c>
      <c r="C486" t="s">
        <v>6636</v>
      </c>
      <c r="D486" s="233">
        <v>68.930000000000007</v>
      </c>
    </row>
    <row r="487" spans="1:4">
      <c r="A487">
        <v>39380</v>
      </c>
      <c r="B487" t="s">
        <v>7053</v>
      </c>
      <c r="C487" t="s">
        <v>6636</v>
      </c>
      <c r="D487" s="233">
        <v>9.82</v>
      </c>
    </row>
    <row r="488" spans="1:4">
      <c r="A488">
        <v>13374</v>
      </c>
      <c r="B488" t="s">
        <v>7054</v>
      </c>
      <c r="C488" t="s">
        <v>6636</v>
      </c>
      <c r="D488" s="233">
        <v>89.96</v>
      </c>
    </row>
    <row r="489" spans="1:4">
      <c r="A489">
        <v>37597</v>
      </c>
      <c r="B489" t="s">
        <v>7055</v>
      </c>
      <c r="C489" t="s">
        <v>6636</v>
      </c>
      <c r="D489" s="234">
        <v>332215.39</v>
      </c>
    </row>
    <row r="490" spans="1:4">
      <c r="A490">
        <v>183</v>
      </c>
      <c r="B490" t="s">
        <v>7056</v>
      </c>
      <c r="C490" t="s">
        <v>7057</v>
      </c>
      <c r="D490" s="233">
        <v>111.57</v>
      </c>
    </row>
    <row r="491" spans="1:4">
      <c r="A491">
        <v>184</v>
      </c>
      <c r="B491" t="s">
        <v>7058</v>
      </c>
      <c r="C491" t="s">
        <v>7057</v>
      </c>
      <c r="D491" s="233">
        <v>73.739999999999995</v>
      </c>
    </row>
    <row r="492" spans="1:4">
      <c r="A492">
        <v>195</v>
      </c>
      <c r="B492" t="s">
        <v>7059</v>
      </c>
      <c r="C492" t="s">
        <v>7057</v>
      </c>
      <c r="D492" s="233">
        <v>90.63</v>
      </c>
    </row>
    <row r="493" spans="1:4">
      <c r="A493">
        <v>194</v>
      </c>
      <c r="B493" t="s">
        <v>7060</v>
      </c>
      <c r="C493" t="s">
        <v>7057</v>
      </c>
      <c r="D493" s="233">
        <v>49.27</v>
      </c>
    </row>
    <row r="494" spans="1:4">
      <c r="A494">
        <v>20001</v>
      </c>
      <c r="B494" t="s">
        <v>7061</v>
      </c>
      <c r="C494" t="s">
        <v>7057</v>
      </c>
      <c r="D494" s="233">
        <v>90.31</v>
      </c>
    </row>
    <row r="495" spans="1:4">
      <c r="A495">
        <v>181</v>
      </c>
      <c r="B495" t="s">
        <v>7062</v>
      </c>
      <c r="C495" t="s">
        <v>7057</v>
      </c>
      <c r="D495" s="233">
        <v>122.19</v>
      </c>
    </row>
    <row r="496" spans="1:4">
      <c r="A496">
        <v>39837</v>
      </c>
      <c r="B496" t="s">
        <v>7063</v>
      </c>
      <c r="C496" t="s">
        <v>7057</v>
      </c>
      <c r="D496" s="233">
        <v>207.13</v>
      </c>
    </row>
    <row r="497" spans="1:4">
      <c r="A497">
        <v>10535</v>
      </c>
      <c r="B497" t="s">
        <v>7064</v>
      </c>
      <c r="C497" t="s">
        <v>6636</v>
      </c>
      <c r="D497" s="234">
        <v>3873.17</v>
      </c>
    </row>
    <row r="498" spans="1:4">
      <c r="A498">
        <v>10537</v>
      </c>
      <c r="B498" t="s">
        <v>7065</v>
      </c>
      <c r="C498" t="s">
        <v>6636</v>
      </c>
      <c r="D498" s="234">
        <v>5281.95</v>
      </c>
    </row>
    <row r="499" spans="1:4">
      <c r="A499">
        <v>13891</v>
      </c>
      <c r="B499" t="s">
        <v>7066</v>
      </c>
      <c r="C499" t="s">
        <v>6636</v>
      </c>
      <c r="D499" s="234">
        <v>4844.74</v>
      </c>
    </row>
    <row r="500" spans="1:4">
      <c r="A500">
        <v>25975</v>
      </c>
      <c r="B500" t="s">
        <v>7067</v>
      </c>
      <c r="C500" t="s">
        <v>6636</v>
      </c>
      <c r="D500" s="234">
        <v>21072.67</v>
      </c>
    </row>
    <row r="501" spans="1:4">
      <c r="A501">
        <v>36396</v>
      </c>
      <c r="B501" t="s">
        <v>7068</v>
      </c>
      <c r="C501" t="s">
        <v>6636</v>
      </c>
      <c r="D501" s="234">
        <v>4431.16</v>
      </c>
    </row>
    <row r="502" spans="1:4">
      <c r="A502">
        <v>36397</v>
      </c>
      <c r="B502" t="s">
        <v>7069</v>
      </c>
      <c r="C502" t="s">
        <v>6636</v>
      </c>
      <c r="D502" s="234">
        <v>15755.26</v>
      </c>
    </row>
    <row r="503" spans="1:4">
      <c r="A503">
        <v>36398</v>
      </c>
      <c r="B503" t="s">
        <v>7070</v>
      </c>
      <c r="C503" t="s">
        <v>6636</v>
      </c>
      <c r="D503" s="234">
        <v>19149.21</v>
      </c>
    </row>
    <row r="504" spans="1:4">
      <c r="A504">
        <v>647</v>
      </c>
      <c r="B504" t="s">
        <v>7071</v>
      </c>
      <c r="C504" t="s">
        <v>6640</v>
      </c>
      <c r="D504" s="233">
        <v>10.19</v>
      </c>
    </row>
    <row r="505" spans="1:4">
      <c r="A505">
        <v>40920</v>
      </c>
      <c r="B505" t="s">
        <v>7072</v>
      </c>
      <c r="C505" t="s">
        <v>6785</v>
      </c>
      <c r="D505" s="234">
        <v>1806.47</v>
      </c>
    </row>
    <row r="506" spans="1:4">
      <c r="A506">
        <v>7266</v>
      </c>
      <c r="B506" t="s">
        <v>7073</v>
      </c>
      <c r="C506" t="s">
        <v>7074</v>
      </c>
      <c r="D506" s="233">
        <v>597</v>
      </c>
    </row>
    <row r="507" spans="1:4">
      <c r="A507">
        <v>7270</v>
      </c>
      <c r="B507" t="s">
        <v>7075</v>
      </c>
      <c r="C507" t="s">
        <v>6636</v>
      </c>
      <c r="D507" s="233">
        <v>0.56000000000000005</v>
      </c>
    </row>
    <row r="508" spans="1:4">
      <c r="A508">
        <v>7269</v>
      </c>
      <c r="B508" t="s">
        <v>7076</v>
      </c>
      <c r="C508" t="s">
        <v>6636</v>
      </c>
      <c r="D508" s="233">
        <v>0.4</v>
      </c>
    </row>
    <row r="509" spans="1:4">
      <c r="A509">
        <v>7271</v>
      </c>
      <c r="B509" t="s">
        <v>7077</v>
      </c>
      <c r="C509" t="s">
        <v>6636</v>
      </c>
      <c r="D509" s="233">
        <v>0.59</v>
      </c>
    </row>
    <row r="510" spans="1:4">
      <c r="A510">
        <v>7268</v>
      </c>
      <c r="B510" t="s">
        <v>7078</v>
      </c>
      <c r="C510" t="s">
        <v>6636</v>
      </c>
      <c r="D510" s="233">
        <v>0.84</v>
      </c>
    </row>
    <row r="511" spans="1:4">
      <c r="A511">
        <v>7267</v>
      </c>
      <c r="B511" t="s">
        <v>7079</v>
      </c>
      <c r="C511" t="s">
        <v>6636</v>
      </c>
      <c r="D511" s="233">
        <v>0.41</v>
      </c>
    </row>
    <row r="512" spans="1:4">
      <c r="A512">
        <v>38783</v>
      </c>
      <c r="B512" t="s">
        <v>7080</v>
      </c>
      <c r="C512" t="s">
        <v>6636</v>
      </c>
      <c r="D512" s="233">
        <v>0.74</v>
      </c>
    </row>
    <row r="513" spans="1:4">
      <c r="A513">
        <v>37593</v>
      </c>
      <c r="B513" t="s">
        <v>7081</v>
      </c>
      <c r="C513" t="s">
        <v>6636</v>
      </c>
      <c r="D513" s="233">
        <v>1.95</v>
      </c>
    </row>
    <row r="514" spans="1:4">
      <c r="A514">
        <v>37594</v>
      </c>
      <c r="B514" t="s">
        <v>7082</v>
      </c>
      <c r="C514" t="s">
        <v>6636</v>
      </c>
      <c r="D514" s="233">
        <v>2.38</v>
      </c>
    </row>
    <row r="515" spans="1:4">
      <c r="A515">
        <v>37592</v>
      </c>
      <c r="B515" t="s">
        <v>7083</v>
      </c>
      <c r="C515" t="s">
        <v>6636</v>
      </c>
      <c r="D515" s="233">
        <v>1.46</v>
      </c>
    </row>
    <row r="516" spans="1:4">
      <c r="A516">
        <v>34556</v>
      </c>
      <c r="B516" t="s">
        <v>7084</v>
      </c>
      <c r="C516" t="s">
        <v>6636</v>
      </c>
      <c r="D516" s="233">
        <v>2.86</v>
      </c>
    </row>
    <row r="517" spans="1:4">
      <c r="A517">
        <v>37873</v>
      </c>
      <c r="B517" t="s">
        <v>7085</v>
      </c>
      <c r="C517" t="s">
        <v>6636</v>
      </c>
      <c r="D517" s="233">
        <v>3.12</v>
      </c>
    </row>
    <row r="518" spans="1:4">
      <c r="A518">
        <v>34564</v>
      </c>
      <c r="B518" t="s">
        <v>7086</v>
      </c>
      <c r="C518" t="s">
        <v>6636</v>
      </c>
      <c r="D518" s="233">
        <v>3.58</v>
      </c>
    </row>
    <row r="519" spans="1:4">
      <c r="A519">
        <v>34565</v>
      </c>
      <c r="B519" t="s">
        <v>7087</v>
      </c>
      <c r="C519" t="s">
        <v>6636</v>
      </c>
      <c r="D519" s="233">
        <v>4.13</v>
      </c>
    </row>
    <row r="520" spans="1:4">
      <c r="A520">
        <v>38590</v>
      </c>
      <c r="B520" t="s">
        <v>7088</v>
      </c>
      <c r="C520" t="s">
        <v>6636</v>
      </c>
      <c r="D520" s="233">
        <v>2.4</v>
      </c>
    </row>
    <row r="521" spans="1:4">
      <c r="A521">
        <v>34566</v>
      </c>
      <c r="B521" t="s">
        <v>7089</v>
      </c>
      <c r="C521" t="s">
        <v>6636</v>
      </c>
      <c r="D521" s="233">
        <v>2.2400000000000002</v>
      </c>
    </row>
    <row r="522" spans="1:4">
      <c r="A522">
        <v>34567</v>
      </c>
      <c r="B522" t="s">
        <v>7090</v>
      </c>
      <c r="C522" t="s">
        <v>6636</v>
      </c>
      <c r="D522" s="233">
        <v>2.5099999999999998</v>
      </c>
    </row>
    <row r="523" spans="1:4">
      <c r="A523">
        <v>38591</v>
      </c>
      <c r="B523" t="s">
        <v>7091</v>
      </c>
      <c r="C523" t="s">
        <v>6636</v>
      </c>
      <c r="D523" s="233">
        <v>2.72</v>
      </c>
    </row>
    <row r="524" spans="1:4">
      <c r="A524">
        <v>34568</v>
      </c>
      <c r="B524" t="s">
        <v>7092</v>
      </c>
      <c r="C524" t="s">
        <v>6636</v>
      </c>
      <c r="D524" s="233">
        <v>3.28</v>
      </c>
    </row>
    <row r="525" spans="1:4">
      <c r="A525">
        <v>34569</v>
      </c>
      <c r="B525" t="s">
        <v>7093</v>
      </c>
      <c r="C525" t="s">
        <v>6636</v>
      </c>
      <c r="D525" s="233">
        <v>3.36</v>
      </c>
    </row>
    <row r="526" spans="1:4">
      <c r="A526">
        <v>34570</v>
      </c>
      <c r="B526" t="s">
        <v>7094</v>
      </c>
      <c r="C526" t="s">
        <v>6636</v>
      </c>
      <c r="D526" s="233">
        <v>3.59</v>
      </c>
    </row>
    <row r="527" spans="1:4">
      <c r="A527">
        <v>25070</v>
      </c>
      <c r="B527" t="s">
        <v>7095</v>
      </c>
      <c r="C527" t="s">
        <v>6636</v>
      </c>
      <c r="D527" s="233">
        <v>2.75</v>
      </c>
    </row>
    <row r="528" spans="1:4">
      <c r="A528">
        <v>34571</v>
      </c>
      <c r="B528" t="s">
        <v>7096</v>
      </c>
      <c r="C528" t="s">
        <v>6636</v>
      </c>
      <c r="D528" s="233">
        <v>2.8</v>
      </c>
    </row>
    <row r="529" spans="1:4">
      <c r="A529">
        <v>34573</v>
      </c>
      <c r="B529" t="s">
        <v>7097</v>
      </c>
      <c r="C529" t="s">
        <v>6636</v>
      </c>
      <c r="D529" s="233">
        <v>2.95</v>
      </c>
    </row>
    <row r="530" spans="1:4">
      <c r="A530">
        <v>37107</v>
      </c>
      <c r="B530" t="s">
        <v>7098</v>
      </c>
      <c r="C530" t="s">
        <v>6636</v>
      </c>
      <c r="D530" s="233">
        <v>4.3600000000000003</v>
      </c>
    </row>
    <row r="531" spans="1:4">
      <c r="A531">
        <v>34576</v>
      </c>
      <c r="B531" t="s">
        <v>7099</v>
      </c>
      <c r="C531" t="s">
        <v>6636</v>
      </c>
      <c r="D531" s="233">
        <v>4.08</v>
      </c>
    </row>
    <row r="532" spans="1:4">
      <c r="A532">
        <v>34577</v>
      </c>
      <c r="B532" t="s">
        <v>7100</v>
      </c>
      <c r="C532" t="s">
        <v>6636</v>
      </c>
      <c r="D532" s="233">
        <v>4.3600000000000003</v>
      </c>
    </row>
    <row r="533" spans="1:4">
      <c r="A533">
        <v>34578</v>
      </c>
      <c r="B533" t="s">
        <v>7101</v>
      </c>
      <c r="C533" t="s">
        <v>6636</v>
      </c>
      <c r="D533" s="233">
        <v>4.84</v>
      </c>
    </row>
    <row r="534" spans="1:4">
      <c r="A534">
        <v>34579</v>
      </c>
      <c r="B534" t="s">
        <v>7102</v>
      </c>
      <c r="C534" t="s">
        <v>6636</v>
      </c>
      <c r="D534" s="233">
        <v>6.19</v>
      </c>
    </row>
    <row r="535" spans="1:4">
      <c r="A535">
        <v>25067</v>
      </c>
      <c r="B535" t="s">
        <v>7103</v>
      </c>
      <c r="C535" t="s">
        <v>6636</v>
      </c>
      <c r="D535" s="233">
        <v>3.58</v>
      </c>
    </row>
    <row r="536" spans="1:4">
      <c r="A536">
        <v>34580</v>
      </c>
      <c r="B536" t="s">
        <v>7104</v>
      </c>
      <c r="C536" t="s">
        <v>6636</v>
      </c>
      <c r="D536" s="233">
        <v>3.89</v>
      </c>
    </row>
    <row r="537" spans="1:4">
      <c r="A537">
        <v>25071</v>
      </c>
      <c r="B537" t="s">
        <v>7105</v>
      </c>
      <c r="C537" t="s">
        <v>6636</v>
      </c>
      <c r="D537" s="233">
        <v>1.88</v>
      </c>
    </row>
    <row r="538" spans="1:4">
      <c r="A538">
        <v>38395</v>
      </c>
      <c r="B538" t="s">
        <v>7106</v>
      </c>
      <c r="C538" t="s">
        <v>6636</v>
      </c>
      <c r="D538" s="233">
        <v>7.02</v>
      </c>
    </row>
    <row r="539" spans="1:4">
      <c r="A539">
        <v>34583</v>
      </c>
      <c r="B539" t="s">
        <v>7107</v>
      </c>
      <c r="C539" t="s">
        <v>6638</v>
      </c>
      <c r="D539" s="233">
        <v>66.540000000000006</v>
      </c>
    </row>
    <row r="540" spans="1:4">
      <c r="A540">
        <v>34584</v>
      </c>
      <c r="B540" t="s">
        <v>7108</v>
      </c>
      <c r="C540" t="s">
        <v>6638</v>
      </c>
      <c r="D540" s="233">
        <v>37.25</v>
      </c>
    </row>
    <row r="541" spans="1:4">
      <c r="A541">
        <v>709</v>
      </c>
      <c r="B541" t="s">
        <v>7109</v>
      </c>
      <c r="C541" t="s">
        <v>6638</v>
      </c>
      <c r="D541" s="233">
        <v>512.82000000000005</v>
      </c>
    </row>
    <row r="542" spans="1:4">
      <c r="A542">
        <v>716</v>
      </c>
      <c r="B542" t="s">
        <v>7110</v>
      </c>
      <c r="C542" t="s">
        <v>6636</v>
      </c>
      <c r="D542" s="233">
        <v>15.92</v>
      </c>
    </row>
    <row r="543" spans="1:4">
      <c r="A543">
        <v>715</v>
      </c>
      <c r="B543" t="s">
        <v>7111</v>
      </c>
      <c r="C543" t="s">
        <v>6636</v>
      </c>
      <c r="D543" s="233">
        <v>15.75</v>
      </c>
    </row>
    <row r="544" spans="1:4">
      <c r="A544">
        <v>718</v>
      </c>
      <c r="B544" t="s">
        <v>7112</v>
      </c>
      <c r="C544" t="s">
        <v>6636</v>
      </c>
      <c r="D544" s="233">
        <v>23.46</v>
      </c>
    </row>
    <row r="545" spans="1:4">
      <c r="A545">
        <v>11981</v>
      </c>
      <c r="B545" t="s">
        <v>7113</v>
      </c>
      <c r="C545" t="s">
        <v>6636</v>
      </c>
      <c r="D545" s="233">
        <v>16.09</v>
      </c>
    </row>
    <row r="546" spans="1:4">
      <c r="A546">
        <v>10610</v>
      </c>
      <c r="B546" t="s">
        <v>7114</v>
      </c>
      <c r="C546" t="s">
        <v>6636</v>
      </c>
      <c r="D546" s="233">
        <v>1.61</v>
      </c>
    </row>
    <row r="547" spans="1:4">
      <c r="A547">
        <v>34585</v>
      </c>
      <c r="B547" t="s">
        <v>7115</v>
      </c>
      <c r="C547" t="s">
        <v>6636</v>
      </c>
      <c r="D547" s="233">
        <v>1.64</v>
      </c>
    </row>
    <row r="548" spans="1:4">
      <c r="A548">
        <v>34586</v>
      </c>
      <c r="B548" t="s">
        <v>7116</v>
      </c>
      <c r="C548" t="s">
        <v>6636</v>
      </c>
      <c r="D548" s="233">
        <v>1.66</v>
      </c>
    </row>
    <row r="549" spans="1:4">
      <c r="A549">
        <v>38603</v>
      </c>
      <c r="B549" t="s">
        <v>7117</v>
      </c>
      <c r="C549" t="s">
        <v>6636</v>
      </c>
      <c r="D549" s="233">
        <v>1.92</v>
      </c>
    </row>
    <row r="550" spans="1:4">
      <c r="A550">
        <v>34588</v>
      </c>
      <c r="B550" t="s">
        <v>7118</v>
      </c>
      <c r="C550" t="s">
        <v>6636</v>
      </c>
      <c r="D550" s="233">
        <v>2.13</v>
      </c>
    </row>
    <row r="551" spans="1:4">
      <c r="A551">
        <v>34590</v>
      </c>
      <c r="B551" t="s">
        <v>7119</v>
      </c>
      <c r="C551" t="s">
        <v>6636</v>
      </c>
      <c r="D551" s="233">
        <v>2.2999999999999998</v>
      </c>
    </row>
    <row r="552" spans="1:4">
      <c r="A552">
        <v>34591</v>
      </c>
      <c r="B552" t="s">
        <v>7120</v>
      </c>
      <c r="C552" t="s">
        <v>6636</v>
      </c>
      <c r="D552" s="233">
        <v>2.87</v>
      </c>
    </row>
    <row r="553" spans="1:4">
      <c r="A553">
        <v>37103</v>
      </c>
      <c r="B553" t="s">
        <v>7121</v>
      </c>
      <c r="C553" t="s">
        <v>6636</v>
      </c>
      <c r="D553" s="233">
        <v>2.34</v>
      </c>
    </row>
    <row r="554" spans="1:4">
      <c r="A554">
        <v>34555</v>
      </c>
      <c r="B554" t="s">
        <v>7122</v>
      </c>
      <c r="C554" t="s">
        <v>6636</v>
      </c>
      <c r="D554" s="233">
        <v>2.93</v>
      </c>
    </row>
    <row r="555" spans="1:4">
      <c r="A555">
        <v>34599</v>
      </c>
      <c r="B555" t="s">
        <v>7123</v>
      </c>
      <c r="C555" t="s">
        <v>6636</v>
      </c>
      <c r="D555" s="233">
        <v>2.1</v>
      </c>
    </row>
    <row r="556" spans="1:4">
      <c r="A556">
        <v>674</v>
      </c>
      <c r="B556" t="s">
        <v>7124</v>
      </c>
      <c r="C556" t="s">
        <v>6638</v>
      </c>
      <c r="D556" s="233">
        <v>50.59</v>
      </c>
    </row>
    <row r="557" spans="1:4">
      <c r="A557">
        <v>34600</v>
      </c>
      <c r="B557" t="s">
        <v>7125</v>
      </c>
      <c r="C557" t="s">
        <v>6638</v>
      </c>
      <c r="D557" s="233">
        <v>82.2</v>
      </c>
    </row>
    <row r="558" spans="1:4">
      <c r="A558">
        <v>652</v>
      </c>
      <c r="B558" t="s">
        <v>7126</v>
      </c>
      <c r="C558" t="s">
        <v>6638</v>
      </c>
      <c r="D558" s="233">
        <v>104.69</v>
      </c>
    </row>
    <row r="559" spans="1:4">
      <c r="A559">
        <v>34592</v>
      </c>
      <c r="B559" t="s">
        <v>7127</v>
      </c>
      <c r="C559" t="s">
        <v>6636</v>
      </c>
      <c r="D559" s="233">
        <v>1.99</v>
      </c>
    </row>
    <row r="560" spans="1:4">
      <c r="A560">
        <v>651</v>
      </c>
      <c r="B560" t="s">
        <v>7128</v>
      </c>
      <c r="C560" t="s">
        <v>6636</v>
      </c>
      <c r="D560" s="233">
        <v>2.2799999999999998</v>
      </c>
    </row>
    <row r="561" spans="1:4">
      <c r="A561">
        <v>654</v>
      </c>
      <c r="B561" t="s">
        <v>7129</v>
      </c>
      <c r="C561" t="s">
        <v>6636</v>
      </c>
      <c r="D561" s="233">
        <v>2.94</v>
      </c>
    </row>
    <row r="562" spans="1:4">
      <c r="A562">
        <v>650</v>
      </c>
      <c r="B562" t="s">
        <v>7130</v>
      </c>
      <c r="C562" t="s">
        <v>6636</v>
      </c>
      <c r="D562" s="233">
        <v>1.94</v>
      </c>
    </row>
    <row r="563" spans="1:4">
      <c r="A563">
        <v>40517</v>
      </c>
      <c r="B563" t="s">
        <v>7131</v>
      </c>
      <c r="C563" t="s">
        <v>6638</v>
      </c>
      <c r="D563" s="233">
        <v>52.85</v>
      </c>
    </row>
    <row r="564" spans="1:4">
      <c r="A564">
        <v>40520</v>
      </c>
      <c r="B564" t="s">
        <v>7132</v>
      </c>
      <c r="C564" t="s">
        <v>6638</v>
      </c>
      <c r="D564" s="233">
        <v>55.36</v>
      </c>
    </row>
    <row r="565" spans="1:4">
      <c r="A565">
        <v>40515</v>
      </c>
      <c r="B565" t="s">
        <v>7133</v>
      </c>
      <c r="C565" t="s">
        <v>6638</v>
      </c>
      <c r="D565" s="233">
        <v>66.84</v>
      </c>
    </row>
    <row r="566" spans="1:4">
      <c r="A566">
        <v>40516</v>
      </c>
      <c r="B566" t="s">
        <v>7134</v>
      </c>
      <c r="C566" t="s">
        <v>6638</v>
      </c>
      <c r="D566" s="233">
        <v>79.599999999999994</v>
      </c>
    </row>
    <row r="567" spans="1:4">
      <c r="A567">
        <v>40529</v>
      </c>
      <c r="B567" t="s">
        <v>7135</v>
      </c>
      <c r="C567" t="s">
        <v>6638</v>
      </c>
      <c r="D567" s="233">
        <v>62.16</v>
      </c>
    </row>
    <row r="568" spans="1:4">
      <c r="A568">
        <v>36170</v>
      </c>
      <c r="B568" t="s">
        <v>7136</v>
      </c>
      <c r="C568" t="s">
        <v>6638</v>
      </c>
      <c r="D568" s="233">
        <v>46.56</v>
      </c>
    </row>
    <row r="569" spans="1:4">
      <c r="A569">
        <v>40524</v>
      </c>
      <c r="B569" t="s">
        <v>7137</v>
      </c>
      <c r="C569" t="s">
        <v>6638</v>
      </c>
      <c r="D569" s="233">
        <v>56.62</v>
      </c>
    </row>
    <row r="570" spans="1:4">
      <c r="A570">
        <v>36156</v>
      </c>
      <c r="B570" t="s">
        <v>7138</v>
      </c>
      <c r="C570" t="s">
        <v>6638</v>
      </c>
      <c r="D570" s="233">
        <v>49.07</v>
      </c>
    </row>
    <row r="571" spans="1:4">
      <c r="A571">
        <v>36155</v>
      </c>
      <c r="B571" t="s">
        <v>7139</v>
      </c>
      <c r="C571" t="s">
        <v>6638</v>
      </c>
      <c r="D571" s="233">
        <v>43.47</v>
      </c>
    </row>
    <row r="572" spans="1:4">
      <c r="A572">
        <v>36154</v>
      </c>
      <c r="B572" t="s">
        <v>7140</v>
      </c>
      <c r="C572" t="s">
        <v>6638</v>
      </c>
      <c r="D572" s="233">
        <v>57.75</v>
      </c>
    </row>
    <row r="573" spans="1:4">
      <c r="A573">
        <v>695</v>
      </c>
      <c r="B573" t="s">
        <v>7141</v>
      </c>
      <c r="C573" t="s">
        <v>6638</v>
      </c>
      <c r="D573" s="233">
        <v>42.69</v>
      </c>
    </row>
    <row r="574" spans="1:4">
      <c r="A574">
        <v>679</v>
      </c>
      <c r="B574" t="s">
        <v>7142</v>
      </c>
      <c r="C574" t="s">
        <v>6638</v>
      </c>
      <c r="D574" s="233">
        <v>58.51</v>
      </c>
    </row>
    <row r="575" spans="1:4">
      <c r="A575">
        <v>711</v>
      </c>
      <c r="B575" t="s">
        <v>7143</v>
      </c>
      <c r="C575" t="s">
        <v>6638</v>
      </c>
      <c r="D575" s="233">
        <v>44.67</v>
      </c>
    </row>
    <row r="576" spans="1:4">
      <c r="A576">
        <v>712</v>
      </c>
      <c r="B576" t="s">
        <v>7144</v>
      </c>
      <c r="C576" t="s">
        <v>6638</v>
      </c>
      <c r="D576" s="233">
        <v>46.56</v>
      </c>
    </row>
    <row r="577" spans="1:4">
      <c r="A577">
        <v>12614</v>
      </c>
      <c r="B577" t="s">
        <v>7145</v>
      </c>
      <c r="C577" t="s">
        <v>6636</v>
      </c>
      <c r="D577" s="233">
        <v>15.07</v>
      </c>
    </row>
    <row r="578" spans="1:4">
      <c r="A578">
        <v>6140</v>
      </c>
      <c r="B578" t="s">
        <v>7146</v>
      </c>
      <c r="C578" t="s">
        <v>6636</v>
      </c>
      <c r="D578" s="233">
        <v>2.69</v>
      </c>
    </row>
    <row r="579" spans="1:4">
      <c r="A579">
        <v>38399</v>
      </c>
      <c r="B579" t="s">
        <v>7147</v>
      </c>
      <c r="C579" t="s">
        <v>6636</v>
      </c>
      <c r="D579" s="233">
        <v>148.16</v>
      </c>
    </row>
    <row r="580" spans="1:4">
      <c r="A580">
        <v>735</v>
      </c>
      <c r="B580" t="s">
        <v>7148</v>
      </c>
      <c r="C580" t="s">
        <v>6636</v>
      </c>
      <c r="D580" s="234">
        <v>1678.19</v>
      </c>
    </row>
    <row r="581" spans="1:4">
      <c r="A581">
        <v>736</v>
      </c>
      <c r="B581" t="s">
        <v>7149</v>
      </c>
      <c r="C581" t="s">
        <v>6636</v>
      </c>
      <c r="D581" s="234">
        <v>1411.05</v>
      </c>
    </row>
    <row r="582" spans="1:4">
      <c r="A582">
        <v>729</v>
      </c>
      <c r="B582" t="s">
        <v>7150</v>
      </c>
      <c r="C582" t="s">
        <v>6636</v>
      </c>
      <c r="D582" s="233">
        <v>575.02</v>
      </c>
    </row>
    <row r="583" spans="1:4">
      <c r="A583">
        <v>39925</v>
      </c>
      <c r="B583" t="s">
        <v>7151</v>
      </c>
      <c r="C583" t="s">
        <v>6636</v>
      </c>
      <c r="D583" s="234">
        <v>8308.98</v>
      </c>
    </row>
    <row r="584" spans="1:4">
      <c r="A584">
        <v>731</v>
      </c>
      <c r="B584" t="s">
        <v>7152</v>
      </c>
      <c r="C584" t="s">
        <v>6636</v>
      </c>
      <c r="D584" s="233">
        <v>559.63</v>
      </c>
    </row>
    <row r="585" spans="1:4">
      <c r="A585">
        <v>10575</v>
      </c>
      <c r="B585" t="s">
        <v>7153</v>
      </c>
      <c r="C585" t="s">
        <v>6636</v>
      </c>
      <c r="D585" s="233">
        <v>873.35</v>
      </c>
    </row>
    <row r="586" spans="1:4">
      <c r="A586">
        <v>733</v>
      </c>
      <c r="B586" t="s">
        <v>7154</v>
      </c>
      <c r="C586" t="s">
        <v>6636</v>
      </c>
      <c r="D586" s="233">
        <v>956.21</v>
      </c>
    </row>
    <row r="587" spans="1:4">
      <c r="A587">
        <v>732</v>
      </c>
      <c r="B587" t="s">
        <v>7155</v>
      </c>
      <c r="C587" t="s">
        <v>6636</v>
      </c>
      <c r="D587" s="233">
        <v>943.36</v>
      </c>
    </row>
    <row r="588" spans="1:4">
      <c r="A588">
        <v>737</v>
      </c>
      <c r="B588" t="s">
        <v>7156</v>
      </c>
      <c r="C588" t="s">
        <v>6636</v>
      </c>
      <c r="D588" s="234">
        <v>5290.09</v>
      </c>
    </row>
    <row r="589" spans="1:4">
      <c r="A589">
        <v>738</v>
      </c>
      <c r="B589" t="s">
        <v>7157</v>
      </c>
      <c r="C589" t="s">
        <v>6636</v>
      </c>
      <c r="D589" s="234">
        <v>2452.9699999999998</v>
      </c>
    </row>
    <row r="590" spans="1:4">
      <c r="A590">
        <v>740</v>
      </c>
      <c r="B590" t="s">
        <v>7158</v>
      </c>
      <c r="C590" t="s">
        <v>6636</v>
      </c>
      <c r="D590" s="234">
        <v>4976.58</v>
      </c>
    </row>
    <row r="591" spans="1:4">
      <c r="A591">
        <v>734</v>
      </c>
      <c r="B591" t="s">
        <v>7159</v>
      </c>
      <c r="C591" t="s">
        <v>6636</v>
      </c>
      <c r="D591" s="234">
        <v>1011.28</v>
      </c>
    </row>
    <row r="592" spans="1:4">
      <c r="A592">
        <v>39008</v>
      </c>
      <c r="B592" t="s">
        <v>7160</v>
      </c>
      <c r="C592" t="s">
        <v>6636</v>
      </c>
      <c r="D592" s="234">
        <v>47215.12</v>
      </c>
    </row>
    <row r="593" spans="1:4">
      <c r="A593">
        <v>39009</v>
      </c>
      <c r="B593" t="s">
        <v>7161</v>
      </c>
      <c r="C593" t="s">
        <v>6636</v>
      </c>
      <c r="D593" s="234">
        <v>50585.15</v>
      </c>
    </row>
    <row r="594" spans="1:4">
      <c r="A594">
        <v>10587</v>
      </c>
      <c r="B594" t="s">
        <v>7162</v>
      </c>
      <c r="C594" t="s">
        <v>6636</v>
      </c>
      <c r="D594" s="234">
        <v>2805.6</v>
      </c>
    </row>
    <row r="595" spans="1:4">
      <c r="A595">
        <v>759</v>
      </c>
      <c r="B595" t="s">
        <v>7163</v>
      </c>
      <c r="C595" t="s">
        <v>6636</v>
      </c>
      <c r="D595" s="234">
        <v>4033.9</v>
      </c>
    </row>
    <row r="596" spans="1:4">
      <c r="A596">
        <v>761</v>
      </c>
      <c r="B596" t="s">
        <v>7164</v>
      </c>
      <c r="C596" t="s">
        <v>6636</v>
      </c>
      <c r="D596" s="234">
        <v>6837.8</v>
      </c>
    </row>
    <row r="597" spans="1:4">
      <c r="A597">
        <v>750</v>
      </c>
      <c r="B597" t="s">
        <v>7165</v>
      </c>
      <c r="C597" t="s">
        <v>6636</v>
      </c>
      <c r="D597" s="234">
        <v>6491.95</v>
      </c>
    </row>
    <row r="598" spans="1:4">
      <c r="A598">
        <v>755</v>
      </c>
      <c r="B598" t="s">
        <v>7166</v>
      </c>
      <c r="C598" t="s">
        <v>6636</v>
      </c>
      <c r="D598" s="234">
        <v>26639.81</v>
      </c>
    </row>
    <row r="599" spans="1:4">
      <c r="A599">
        <v>749</v>
      </c>
      <c r="B599" t="s">
        <v>7167</v>
      </c>
      <c r="C599" t="s">
        <v>6636</v>
      </c>
      <c r="D599" s="234">
        <v>9797.6299999999992</v>
      </c>
    </row>
    <row r="600" spans="1:4">
      <c r="A600">
        <v>756</v>
      </c>
      <c r="B600" t="s">
        <v>7168</v>
      </c>
      <c r="C600" t="s">
        <v>6636</v>
      </c>
      <c r="D600" s="234">
        <v>29054.28</v>
      </c>
    </row>
    <row r="601" spans="1:4">
      <c r="A601">
        <v>757</v>
      </c>
      <c r="B601" t="s">
        <v>7169</v>
      </c>
      <c r="C601" t="s">
        <v>6636</v>
      </c>
      <c r="D601" s="234">
        <v>13192.5</v>
      </c>
    </row>
    <row r="602" spans="1:4">
      <c r="A602">
        <v>10588</v>
      </c>
      <c r="B602" t="s">
        <v>7170</v>
      </c>
      <c r="C602" t="s">
        <v>6636</v>
      </c>
      <c r="D602" s="234">
        <v>2912.57</v>
      </c>
    </row>
    <row r="603" spans="1:4">
      <c r="A603">
        <v>10592</v>
      </c>
      <c r="B603" t="s">
        <v>7171</v>
      </c>
      <c r="C603" t="s">
        <v>6636</v>
      </c>
      <c r="D603" s="234">
        <v>3518</v>
      </c>
    </row>
    <row r="604" spans="1:4">
      <c r="A604">
        <v>10589</v>
      </c>
      <c r="B604" t="s">
        <v>7172</v>
      </c>
      <c r="C604" t="s">
        <v>6636</v>
      </c>
      <c r="D604" s="234">
        <v>4726.21</v>
      </c>
    </row>
    <row r="605" spans="1:4">
      <c r="A605">
        <v>760</v>
      </c>
      <c r="B605" t="s">
        <v>7173</v>
      </c>
      <c r="C605" t="s">
        <v>6636</v>
      </c>
      <c r="D605" s="234">
        <v>26385</v>
      </c>
    </row>
    <row r="606" spans="1:4">
      <c r="A606">
        <v>751</v>
      </c>
      <c r="B606" t="s">
        <v>7174</v>
      </c>
      <c r="C606" t="s">
        <v>6636</v>
      </c>
      <c r="D606" s="234">
        <v>4155.63</v>
      </c>
    </row>
    <row r="607" spans="1:4">
      <c r="A607">
        <v>754</v>
      </c>
      <c r="B607" t="s">
        <v>7175</v>
      </c>
      <c r="C607" t="s">
        <v>6636</v>
      </c>
      <c r="D607" s="234">
        <v>6596.25</v>
      </c>
    </row>
    <row r="608" spans="1:4">
      <c r="A608">
        <v>14013</v>
      </c>
      <c r="B608" t="s">
        <v>7176</v>
      </c>
      <c r="C608" t="s">
        <v>6636</v>
      </c>
      <c r="D608" s="234">
        <v>142949.71</v>
      </c>
    </row>
    <row r="609" spans="1:4">
      <c r="A609">
        <v>39917</v>
      </c>
      <c r="B609" t="s">
        <v>7177</v>
      </c>
      <c r="C609" t="s">
        <v>6636</v>
      </c>
      <c r="D609" s="234">
        <v>72525.83</v>
      </c>
    </row>
    <row r="610" spans="1:4">
      <c r="A610">
        <v>5081</v>
      </c>
      <c r="B610" t="s">
        <v>7178</v>
      </c>
      <c r="C610" t="s">
        <v>7024</v>
      </c>
      <c r="D610" s="233">
        <v>20.84</v>
      </c>
    </row>
    <row r="611" spans="1:4">
      <c r="A611">
        <v>38167</v>
      </c>
      <c r="B611" t="s">
        <v>7179</v>
      </c>
      <c r="C611" t="s">
        <v>7024</v>
      </c>
      <c r="D611" s="233">
        <v>17.96</v>
      </c>
    </row>
    <row r="612" spans="1:4">
      <c r="A612">
        <v>36145</v>
      </c>
      <c r="B612" t="s">
        <v>7180</v>
      </c>
      <c r="C612" t="s">
        <v>7024</v>
      </c>
      <c r="D612" s="233">
        <v>34.409999999999997</v>
      </c>
    </row>
    <row r="613" spans="1:4">
      <c r="A613">
        <v>12893</v>
      </c>
      <c r="B613" t="s">
        <v>7181</v>
      </c>
      <c r="C613" t="s">
        <v>7024</v>
      </c>
      <c r="D613" s="233">
        <v>57.36</v>
      </c>
    </row>
    <row r="614" spans="1:4">
      <c r="A614">
        <v>11685</v>
      </c>
      <c r="B614" t="s">
        <v>7182</v>
      </c>
      <c r="C614" t="s">
        <v>6636</v>
      </c>
      <c r="D614" s="233">
        <v>22.07</v>
      </c>
    </row>
    <row r="615" spans="1:4">
      <c r="A615">
        <v>11679</v>
      </c>
      <c r="B615" t="s">
        <v>7183</v>
      </c>
      <c r="C615" t="s">
        <v>6636</v>
      </c>
      <c r="D615" s="233">
        <v>6.55</v>
      </c>
    </row>
    <row r="616" spans="1:4">
      <c r="A616">
        <v>11680</v>
      </c>
      <c r="B616" t="s">
        <v>7184</v>
      </c>
      <c r="C616" t="s">
        <v>6636</v>
      </c>
      <c r="D616" s="233">
        <v>5.39</v>
      </c>
    </row>
    <row r="617" spans="1:4">
      <c r="A617">
        <v>2512</v>
      </c>
      <c r="B617" t="s">
        <v>7185</v>
      </c>
      <c r="C617" t="s">
        <v>6636</v>
      </c>
      <c r="D617" s="233">
        <v>18.88</v>
      </c>
    </row>
    <row r="618" spans="1:4">
      <c r="A618">
        <v>4374</v>
      </c>
      <c r="B618" t="s">
        <v>7186</v>
      </c>
      <c r="C618" t="s">
        <v>6636</v>
      </c>
      <c r="D618" s="233">
        <v>0.18</v>
      </c>
    </row>
    <row r="619" spans="1:4">
      <c r="A619">
        <v>7568</v>
      </c>
      <c r="B619" t="s">
        <v>7187</v>
      </c>
      <c r="C619" t="s">
        <v>6636</v>
      </c>
      <c r="D619" s="233">
        <v>0.3</v>
      </c>
    </row>
    <row r="620" spans="1:4">
      <c r="A620">
        <v>7584</v>
      </c>
      <c r="B620" t="s">
        <v>7188</v>
      </c>
      <c r="C620" t="s">
        <v>6636</v>
      </c>
      <c r="D620" s="233">
        <v>0.46</v>
      </c>
    </row>
    <row r="621" spans="1:4">
      <c r="A621">
        <v>11945</v>
      </c>
      <c r="B621" t="s">
        <v>7189</v>
      </c>
      <c r="C621" t="s">
        <v>6636</v>
      </c>
      <c r="D621" s="233">
        <v>0.03</v>
      </c>
    </row>
    <row r="622" spans="1:4">
      <c r="A622">
        <v>11946</v>
      </c>
      <c r="B622" t="s">
        <v>7190</v>
      </c>
      <c r="C622" t="s">
        <v>6636</v>
      </c>
      <c r="D622" s="233">
        <v>0.03</v>
      </c>
    </row>
    <row r="623" spans="1:4">
      <c r="A623">
        <v>4375</v>
      </c>
      <c r="B623" t="s">
        <v>7191</v>
      </c>
      <c r="C623" t="s">
        <v>6636</v>
      </c>
      <c r="D623" s="233">
        <v>0.05</v>
      </c>
    </row>
    <row r="624" spans="1:4">
      <c r="A624">
        <v>11950</v>
      </c>
      <c r="B624" t="s">
        <v>923</v>
      </c>
      <c r="C624" t="s">
        <v>6636</v>
      </c>
      <c r="D624" s="233">
        <v>0.1</v>
      </c>
    </row>
    <row r="625" spans="1:4">
      <c r="A625">
        <v>4376</v>
      </c>
      <c r="B625" t="s">
        <v>7192</v>
      </c>
      <c r="C625" t="s">
        <v>6636</v>
      </c>
      <c r="D625" s="233">
        <v>0.09</v>
      </c>
    </row>
    <row r="626" spans="1:4">
      <c r="A626">
        <v>7583</v>
      </c>
      <c r="B626" t="s">
        <v>959</v>
      </c>
      <c r="C626" t="s">
        <v>6636</v>
      </c>
      <c r="D626" s="233">
        <v>0.2</v>
      </c>
    </row>
    <row r="627" spans="1:4">
      <c r="A627">
        <v>4350</v>
      </c>
      <c r="B627" t="s">
        <v>7193</v>
      </c>
      <c r="C627" t="s">
        <v>6636</v>
      </c>
      <c r="D627" s="233">
        <v>0.44</v>
      </c>
    </row>
    <row r="628" spans="1:4">
      <c r="A628">
        <v>39886</v>
      </c>
      <c r="B628" t="s">
        <v>7194</v>
      </c>
      <c r="C628" t="s">
        <v>6636</v>
      </c>
      <c r="D628" s="233">
        <v>3.38</v>
      </c>
    </row>
    <row r="629" spans="1:4">
      <c r="A629">
        <v>39887</v>
      </c>
      <c r="B629" t="s">
        <v>7195</v>
      </c>
      <c r="C629" t="s">
        <v>6636</v>
      </c>
      <c r="D629" s="233">
        <v>5.07</v>
      </c>
    </row>
    <row r="630" spans="1:4">
      <c r="A630">
        <v>39888</v>
      </c>
      <c r="B630" t="s">
        <v>7196</v>
      </c>
      <c r="C630" t="s">
        <v>6636</v>
      </c>
      <c r="D630" s="233">
        <v>11.6</v>
      </c>
    </row>
    <row r="631" spans="1:4">
      <c r="A631">
        <v>39890</v>
      </c>
      <c r="B631" t="s">
        <v>7197</v>
      </c>
      <c r="C631" t="s">
        <v>6636</v>
      </c>
      <c r="D631" s="233">
        <v>19.79</v>
      </c>
    </row>
    <row r="632" spans="1:4">
      <c r="A632">
        <v>39891</v>
      </c>
      <c r="B632" t="s">
        <v>7198</v>
      </c>
      <c r="C632" t="s">
        <v>6636</v>
      </c>
      <c r="D632" s="233">
        <v>27.91</v>
      </c>
    </row>
    <row r="633" spans="1:4">
      <c r="A633">
        <v>39892</v>
      </c>
      <c r="B633" t="s">
        <v>7199</v>
      </c>
      <c r="C633" t="s">
        <v>6636</v>
      </c>
      <c r="D633" s="233">
        <v>87.01</v>
      </c>
    </row>
    <row r="634" spans="1:4">
      <c r="A634">
        <v>790</v>
      </c>
      <c r="B634" t="s">
        <v>7200</v>
      </c>
      <c r="C634" t="s">
        <v>6636</v>
      </c>
      <c r="D634" s="233">
        <v>10.28</v>
      </c>
    </row>
    <row r="635" spans="1:4">
      <c r="A635">
        <v>766</v>
      </c>
      <c r="B635" t="s">
        <v>7201</v>
      </c>
      <c r="C635" t="s">
        <v>6636</v>
      </c>
      <c r="D635" s="233">
        <v>10.28</v>
      </c>
    </row>
    <row r="636" spans="1:4">
      <c r="A636">
        <v>791</v>
      </c>
      <c r="B636" t="s">
        <v>7202</v>
      </c>
      <c r="C636" t="s">
        <v>6636</v>
      </c>
      <c r="D636" s="233">
        <v>10.28</v>
      </c>
    </row>
    <row r="637" spans="1:4">
      <c r="A637">
        <v>767</v>
      </c>
      <c r="B637" t="s">
        <v>7203</v>
      </c>
      <c r="C637" t="s">
        <v>6636</v>
      </c>
      <c r="D637" s="233">
        <v>10.28</v>
      </c>
    </row>
    <row r="638" spans="1:4">
      <c r="A638">
        <v>768</v>
      </c>
      <c r="B638" t="s">
        <v>7204</v>
      </c>
      <c r="C638" t="s">
        <v>6636</v>
      </c>
      <c r="D638" s="233">
        <v>8.07</v>
      </c>
    </row>
    <row r="639" spans="1:4">
      <c r="A639">
        <v>789</v>
      </c>
      <c r="B639" t="s">
        <v>7205</v>
      </c>
      <c r="C639" t="s">
        <v>6636</v>
      </c>
      <c r="D639" s="233">
        <v>7.9</v>
      </c>
    </row>
    <row r="640" spans="1:4">
      <c r="A640">
        <v>769</v>
      </c>
      <c r="B640" t="s">
        <v>7206</v>
      </c>
      <c r="C640" t="s">
        <v>6636</v>
      </c>
      <c r="D640" s="233">
        <v>8.07</v>
      </c>
    </row>
    <row r="641" spans="1:4">
      <c r="A641">
        <v>770</v>
      </c>
      <c r="B641" t="s">
        <v>7207</v>
      </c>
      <c r="C641" t="s">
        <v>6636</v>
      </c>
      <c r="D641" s="233">
        <v>2.85</v>
      </c>
    </row>
    <row r="642" spans="1:4">
      <c r="A642">
        <v>12394</v>
      </c>
      <c r="B642" t="s">
        <v>7208</v>
      </c>
      <c r="C642" t="s">
        <v>6636</v>
      </c>
      <c r="D642" s="233">
        <v>2.85</v>
      </c>
    </row>
    <row r="643" spans="1:4">
      <c r="A643">
        <v>764</v>
      </c>
      <c r="B643" t="s">
        <v>7209</v>
      </c>
      <c r="C643" t="s">
        <v>6636</v>
      </c>
      <c r="D643" s="233">
        <v>4.97</v>
      </c>
    </row>
    <row r="644" spans="1:4">
      <c r="A644">
        <v>765</v>
      </c>
      <c r="B644" t="s">
        <v>7210</v>
      </c>
      <c r="C644" t="s">
        <v>6636</v>
      </c>
      <c r="D644" s="233">
        <v>4.97</v>
      </c>
    </row>
    <row r="645" spans="1:4">
      <c r="A645">
        <v>787</v>
      </c>
      <c r="B645" t="s">
        <v>7211</v>
      </c>
      <c r="C645" t="s">
        <v>6636</v>
      </c>
      <c r="D645" s="233">
        <v>22.2</v>
      </c>
    </row>
    <row r="646" spans="1:4">
      <c r="A646">
        <v>774</v>
      </c>
      <c r="B646" t="s">
        <v>7212</v>
      </c>
      <c r="C646" t="s">
        <v>6636</v>
      </c>
      <c r="D646" s="233">
        <v>22.2</v>
      </c>
    </row>
    <row r="647" spans="1:4">
      <c r="A647">
        <v>773</v>
      </c>
      <c r="B647" t="s">
        <v>7213</v>
      </c>
      <c r="C647" t="s">
        <v>6636</v>
      </c>
      <c r="D647" s="233">
        <v>22.2</v>
      </c>
    </row>
    <row r="648" spans="1:4">
      <c r="A648">
        <v>775</v>
      </c>
      <c r="B648" t="s">
        <v>7214</v>
      </c>
      <c r="C648" t="s">
        <v>6636</v>
      </c>
      <c r="D648" s="233">
        <v>22.2</v>
      </c>
    </row>
    <row r="649" spans="1:4">
      <c r="A649">
        <v>788</v>
      </c>
      <c r="B649" t="s">
        <v>7215</v>
      </c>
      <c r="C649" t="s">
        <v>6636</v>
      </c>
      <c r="D649" s="233">
        <v>13.79</v>
      </c>
    </row>
    <row r="650" spans="1:4">
      <c r="A650">
        <v>772</v>
      </c>
      <c r="B650" t="s">
        <v>7216</v>
      </c>
      <c r="C650" t="s">
        <v>6636</v>
      </c>
      <c r="D650" s="233">
        <v>13.79</v>
      </c>
    </row>
    <row r="651" spans="1:4">
      <c r="A651">
        <v>771</v>
      </c>
      <c r="B651" t="s">
        <v>7217</v>
      </c>
      <c r="C651" t="s">
        <v>6636</v>
      </c>
      <c r="D651" s="233">
        <v>13.79</v>
      </c>
    </row>
    <row r="652" spans="1:4">
      <c r="A652">
        <v>779</v>
      </c>
      <c r="B652" t="s">
        <v>7218</v>
      </c>
      <c r="C652" t="s">
        <v>6636</v>
      </c>
      <c r="D652" s="233">
        <v>3.43</v>
      </c>
    </row>
    <row r="653" spans="1:4">
      <c r="A653">
        <v>776</v>
      </c>
      <c r="B653" t="s">
        <v>7219</v>
      </c>
      <c r="C653" t="s">
        <v>6636</v>
      </c>
      <c r="D653" s="233">
        <v>32.72</v>
      </c>
    </row>
    <row r="654" spans="1:4">
      <c r="A654">
        <v>777</v>
      </c>
      <c r="B654" t="s">
        <v>7220</v>
      </c>
      <c r="C654" t="s">
        <v>6636</v>
      </c>
      <c r="D654" s="233">
        <v>31.81</v>
      </c>
    </row>
    <row r="655" spans="1:4">
      <c r="A655">
        <v>780</v>
      </c>
      <c r="B655" t="s">
        <v>7221</v>
      </c>
      <c r="C655" t="s">
        <v>6636</v>
      </c>
      <c r="D655" s="233">
        <v>31.97</v>
      </c>
    </row>
    <row r="656" spans="1:4">
      <c r="A656">
        <v>778</v>
      </c>
      <c r="B656" t="s">
        <v>7222</v>
      </c>
      <c r="C656" t="s">
        <v>6636</v>
      </c>
      <c r="D656" s="233">
        <v>32.72</v>
      </c>
    </row>
    <row r="657" spans="1:4">
      <c r="A657">
        <v>781</v>
      </c>
      <c r="B657" t="s">
        <v>7223</v>
      </c>
      <c r="C657" t="s">
        <v>6636</v>
      </c>
      <c r="D657" s="233">
        <v>60.46</v>
      </c>
    </row>
    <row r="658" spans="1:4">
      <c r="A658">
        <v>786</v>
      </c>
      <c r="B658" t="s">
        <v>7224</v>
      </c>
      <c r="C658" t="s">
        <v>6636</v>
      </c>
      <c r="D658" s="233">
        <v>60.46</v>
      </c>
    </row>
    <row r="659" spans="1:4">
      <c r="A659">
        <v>782</v>
      </c>
      <c r="B659" t="s">
        <v>7225</v>
      </c>
      <c r="C659" t="s">
        <v>6636</v>
      </c>
      <c r="D659" s="233">
        <v>60.46</v>
      </c>
    </row>
    <row r="660" spans="1:4">
      <c r="A660">
        <v>783</v>
      </c>
      <c r="B660" t="s">
        <v>7226</v>
      </c>
      <c r="C660" t="s">
        <v>6636</v>
      </c>
      <c r="D660" s="233">
        <v>165.49</v>
      </c>
    </row>
    <row r="661" spans="1:4">
      <c r="A661">
        <v>785</v>
      </c>
      <c r="B661" t="s">
        <v>7227</v>
      </c>
      <c r="C661" t="s">
        <v>6636</v>
      </c>
      <c r="D661" s="233">
        <v>174.86</v>
      </c>
    </row>
    <row r="662" spans="1:4">
      <c r="A662">
        <v>784</v>
      </c>
      <c r="B662" t="s">
        <v>7228</v>
      </c>
      <c r="C662" t="s">
        <v>6636</v>
      </c>
      <c r="D662" s="233">
        <v>187.58</v>
      </c>
    </row>
    <row r="663" spans="1:4">
      <c r="A663">
        <v>831</v>
      </c>
      <c r="B663" t="s">
        <v>7229</v>
      </c>
      <c r="C663" t="s">
        <v>6636</v>
      </c>
      <c r="D663" s="233">
        <v>53.65</v>
      </c>
    </row>
    <row r="664" spans="1:4">
      <c r="A664">
        <v>828</v>
      </c>
      <c r="B664" t="s">
        <v>7230</v>
      </c>
      <c r="C664" t="s">
        <v>6636</v>
      </c>
      <c r="D664" s="233">
        <v>0.31</v>
      </c>
    </row>
    <row r="665" spans="1:4">
      <c r="A665">
        <v>829</v>
      </c>
      <c r="B665" t="s">
        <v>7231</v>
      </c>
      <c r="C665" t="s">
        <v>6636</v>
      </c>
      <c r="D665" s="233">
        <v>0.65</v>
      </c>
    </row>
    <row r="666" spans="1:4">
      <c r="A666">
        <v>812</v>
      </c>
      <c r="B666" t="s">
        <v>7232</v>
      </c>
      <c r="C666" t="s">
        <v>6636</v>
      </c>
      <c r="D666" s="233">
        <v>1.41</v>
      </c>
    </row>
    <row r="667" spans="1:4">
      <c r="A667">
        <v>819</v>
      </c>
      <c r="B667" t="s">
        <v>7233</v>
      </c>
      <c r="C667" t="s">
        <v>6636</v>
      </c>
      <c r="D667" s="233">
        <v>2.31</v>
      </c>
    </row>
    <row r="668" spans="1:4">
      <c r="A668">
        <v>818</v>
      </c>
      <c r="B668" t="s">
        <v>870</v>
      </c>
      <c r="C668" t="s">
        <v>6636</v>
      </c>
      <c r="D668" s="233">
        <v>3.89</v>
      </c>
    </row>
    <row r="669" spans="1:4">
      <c r="A669">
        <v>823</v>
      </c>
      <c r="B669" t="s">
        <v>7234</v>
      </c>
      <c r="C669" t="s">
        <v>6636</v>
      </c>
      <c r="D669" s="233">
        <v>11.73</v>
      </c>
    </row>
    <row r="670" spans="1:4">
      <c r="A670">
        <v>830</v>
      </c>
      <c r="B670" t="s">
        <v>872</v>
      </c>
      <c r="C670" t="s">
        <v>6636</v>
      </c>
      <c r="D670" s="233">
        <v>9.66</v>
      </c>
    </row>
    <row r="671" spans="1:4">
      <c r="A671">
        <v>826</v>
      </c>
      <c r="B671" t="s">
        <v>7235</v>
      </c>
      <c r="C671" t="s">
        <v>6636</v>
      </c>
      <c r="D671" s="233">
        <v>30.09</v>
      </c>
    </row>
    <row r="672" spans="1:4">
      <c r="A672">
        <v>827</v>
      </c>
      <c r="B672" t="s">
        <v>7236</v>
      </c>
      <c r="C672" t="s">
        <v>6636</v>
      </c>
      <c r="D672" s="233">
        <v>25.42</v>
      </c>
    </row>
    <row r="673" spans="1:4">
      <c r="A673">
        <v>832</v>
      </c>
      <c r="B673" t="s">
        <v>7237</v>
      </c>
      <c r="C673" t="s">
        <v>6636</v>
      </c>
      <c r="D673" s="233">
        <v>1.75</v>
      </c>
    </row>
    <row r="674" spans="1:4">
      <c r="A674">
        <v>833</v>
      </c>
      <c r="B674" t="s">
        <v>7238</v>
      </c>
      <c r="C674" t="s">
        <v>6636</v>
      </c>
      <c r="D674" s="233">
        <v>2.4900000000000002</v>
      </c>
    </row>
    <row r="675" spans="1:4">
      <c r="A675">
        <v>834</v>
      </c>
      <c r="B675" t="s">
        <v>7239</v>
      </c>
      <c r="C675" t="s">
        <v>6636</v>
      </c>
      <c r="D675" s="233">
        <v>2.73</v>
      </c>
    </row>
    <row r="676" spans="1:4">
      <c r="A676">
        <v>825</v>
      </c>
      <c r="B676" t="s">
        <v>874</v>
      </c>
      <c r="C676" t="s">
        <v>6636</v>
      </c>
      <c r="D676" s="233">
        <v>3.05</v>
      </c>
    </row>
    <row r="677" spans="1:4">
      <c r="A677">
        <v>813</v>
      </c>
      <c r="B677" t="s">
        <v>873</v>
      </c>
      <c r="C677" t="s">
        <v>6636</v>
      </c>
      <c r="D677" s="233">
        <v>3</v>
      </c>
    </row>
    <row r="678" spans="1:4">
      <c r="A678">
        <v>820</v>
      </c>
      <c r="B678" t="s">
        <v>7240</v>
      </c>
      <c r="C678" t="s">
        <v>6636</v>
      </c>
      <c r="D678" s="233">
        <v>3.8</v>
      </c>
    </row>
    <row r="679" spans="1:4">
      <c r="A679">
        <v>816</v>
      </c>
      <c r="B679" t="s">
        <v>7241</v>
      </c>
      <c r="C679" t="s">
        <v>6636</v>
      </c>
      <c r="D679" s="233">
        <v>6.48</v>
      </c>
    </row>
    <row r="680" spans="1:4">
      <c r="A680">
        <v>814</v>
      </c>
      <c r="B680" t="s">
        <v>7242</v>
      </c>
      <c r="C680" t="s">
        <v>6636</v>
      </c>
      <c r="D680" s="233">
        <v>7.82</v>
      </c>
    </row>
    <row r="681" spans="1:4">
      <c r="A681">
        <v>815</v>
      </c>
      <c r="B681" t="s">
        <v>7243</v>
      </c>
      <c r="C681" t="s">
        <v>6636</v>
      </c>
      <c r="D681" s="233">
        <v>8.4499999999999993</v>
      </c>
    </row>
    <row r="682" spans="1:4">
      <c r="A682">
        <v>822</v>
      </c>
      <c r="B682" t="s">
        <v>7244</v>
      </c>
      <c r="C682" t="s">
        <v>6636</v>
      </c>
      <c r="D682" s="233">
        <v>10.3</v>
      </c>
    </row>
    <row r="683" spans="1:4">
      <c r="A683">
        <v>821</v>
      </c>
      <c r="B683" t="s">
        <v>875</v>
      </c>
      <c r="C683" t="s">
        <v>6636</v>
      </c>
      <c r="D683" s="233">
        <v>12.04</v>
      </c>
    </row>
    <row r="684" spans="1:4">
      <c r="A684">
        <v>817</v>
      </c>
      <c r="B684" t="s">
        <v>876</v>
      </c>
      <c r="C684" t="s">
        <v>6636</v>
      </c>
      <c r="D684" s="233">
        <v>14.31</v>
      </c>
    </row>
    <row r="685" spans="1:4">
      <c r="A685">
        <v>20086</v>
      </c>
      <c r="B685" t="s">
        <v>7245</v>
      </c>
      <c r="C685" t="s">
        <v>6636</v>
      </c>
      <c r="D685" s="233">
        <v>1.54</v>
      </c>
    </row>
    <row r="686" spans="1:4">
      <c r="A686">
        <v>39191</v>
      </c>
      <c r="B686" t="s">
        <v>7246</v>
      </c>
      <c r="C686" t="s">
        <v>6636</v>
      </c>
      <c r="D686" s="233">
        <v>10.42</v>
      </c>
    </row>
    <row r="687" spans="1:4">
      <c r="A687">
        <v>39190</v>
      </c>
      <c r="B687" t="s">
        <v>7247</v>
      </c>
      <c r="C687" t="s">
        <v>6636</v>
      </c>
      <c r="D687" s="233">
        <v>10.88</v>
      </c>
    </row>
    <row r="688" spans="1:4">
      <c r="A688">
        <v>39189</v>
      </c>
      <c r="B688" t="s">
        <v>7248</v>
      </c>
      <c r="C688" t="s">
        <v>6636</v>
      </c>
      <c r="D688" s="233">
        <v>11.52</v>
      </c>
    </row>
    <row r="689" spans="1:4">
      <c r="A689">
        <v>39186</v>
      </c>
      <c r="B689" t="s">
        <v>7249</v>
      </c>
      <c r="C689" t="s">
        <v>6636</v>
      </c>
      <c r="D689" s="233">
        <v>10.31</v>
      </c>
    </row>
    <row r="690" spans="1:4">
      <c r="A690">
        <v>39188</v>
      </c>
      <c r="B690" t="s">
        <v>7250</v>
      </c>
      <c r="C690" t="s">
        <v>6636</v>
      </c>
      <c r="D690" s="233">
        <v>8.48</v>
      </c>
    </row>
    <row r="691" spans="1:4">
      <c r="A691">
        <v>39187</v>
      </c>
      <c r="B691" t="s">
        <v>7251</v>
      </c>
      <c r="C691" t="s">
        <v>6636</v>
      </c>
      <c r="D691" s="233">
        <v>8.89</v>
      </c>
    </row>
    <row r="692" spans="1:4">
      <c r="A692">
        <v>39184</v>
      </c>
      <c r="B692" t="s">
        <v>7252</v>
      </c>
      <c r="C692" t="s">
        <v>6636</v>
      </c>
      <c r="D692" s="233">
        <v>3.34</v>
      </c>
    </row>
    <row r="693" spans="1:4">
      <c r="A693">
        <v>39185</v>
      </c>
      <c r="B693" t="s">
        <v>7253</v>
      </c>
      <c r="C693" t="s">
        <v>6636</v>
      </c>
      <c r="D693" s="233">
        <v>3.05</v>
      </c>
    </row>
    <row r="694" spans="1:4">
      <c r="A694">
        <v>39198</v>
      </c>
      <c r="B694" t="s">
        <v>7254</v>
      </c>
      <c r="C694" t="s">
        <v>6636</v>
      </c>
      <c r="D694" s="233">
        <v>34.19</v>
      </c>
    </row>
    <row r="695" spans="1:4">
      <c r="A695">
        <v>39197</v>
      </c>
      <c r="B695" t="s">
        <v>7255</v>
      </c>
      <c r="C695" t="s">
        <v>6636</v>
      </c>
      <c r="D695" s="233">
        <v>35.71</v>
      </c>
    </row>
    <row r="696" spans="1:4">
      <c r="A696">
        <v>39196</v>
      </c>
      <c r="B696" t="s">
        <v>7256</v>
      </c>
      <c r="C696" t="s">
        <v>6636</v>
      </c>
      <c r="D696" s="233">
        <v>36.83</v>
      </c>
    </row>
    <row r="697" spans="1:4">
      <c r="A697">
        <v>39199</v>
      </c>
      <c r="B697" t="s">
        <v>7257</v>
      </c>
      <c r="C697" t="s">
        <v>6636</v>
      </c>
      <c r="D697" s="233">
        <v>32.9</v>
      </c>
    </row>
    <row r="698" spans="1:4">
      <c r="A698">
        <v>39195</v>
      </c>
      <c r="B698" t="s">
        <v>7258</v>
      </c>
      <c r="C698" t="s">
        <v>6636</v>
      </c>
      <c r="D698" s="233">
        <v>18.989999999999998</v>
      </c>
    </row>
    <row r="699" spans="1:4">
      <c r="A699">
        <v>39194</v>
      </c>
      <c r="B699" t="s">
        <v>7259</v>
      </c>
      <c r="C699" t="s">
        <v>6636</v>
      </c>
      <c r="D699" s="233">
        <v>20.32</v>
      </c>
    </row>
    <row r="700" spans="1:4">
      <c r="A700">
        <v>39193</v>
      </c>
      <c r="B700" t="s">
        <v>7260</v>
      </c>
      <c r="C700" t="s">
        <v>6636</v>
      </c>
      <c r="D700" s="233">
        <v>22.27</v>
      </c>
    </row>
    <row r="701" spans="1:4">
      <c r="A701">
        <v>39192</v>
      </c>
      <c r="B701" t="s">
        <v>7261</v>
      </c>
      <c r="C701" t="s">
        <v>6636</v>
      </c>
      <c r="D701" s="233">
        <v>23.17</v>
      </c>
    </row>
    <row r="702" spans="1:4">
      <c r="A702">
        <v>39920</v>
      </c>
      <c r="B702" t="s">
        <v>7262</v>
      </c>
      <c r="C702" t="s">
        <v>6636</v>
      </c>
      <c r="D702" s="233">
        <v>2.8</v>
      </c>
    </row>
    <row r="703" spans="1:4">
      <c r="A703">
        <v>39201</v>
      </c>
      <c r="B703" t="s">
        <v>7263</v>
      </c>
      <c r="C703" t="s">
        <v>6636</v>
      </c>
      <c r="D703" s="233">
        <v>40.869999999999997</v>
      </c>
    </row>
    <row r="704" spans="1:4">
      <c r="A704">
        <v>39200</v>
      </c>
      <c r="B704" t="s">
        <v>7264</v>
      </c>
      <c r="C704" t="s">
        <v>6636</v>
      </c>
      <c r="D704" s="233">
        <v>41.2</v>
      </c>
    </row>
    <row r="705" spans="1:4">
      <c r="A705">
        <v>39203</v>
      </c>
      <c r="B705" t="s">
        <v>7265</v>
      </c>
      <c r="C705" t="s">
        <v>6636</v>
      </c>
      <c r="D705" s="233">
        <v>33.270000000000003</v>
      </c>
    </row>
    <row r="706" spans="1:4">
      <c r="A706">
        <v>39202</v>
      </c>
      <c r="B706" t="s">
        <v>7266</v>
      </c>
      <c r="C706" t="s">
        <v>6636</v>
      </c>
      <c r="D706" s="233">
        <v>39.08</v>
      </c>
    </row>
    <row r="707" spans="1:4">
      <c r="A707">
        <v>39205</v>
      </c>
      <c r="B707" t="s">
        <v>7267</v>
      </c>
      <c r="C707" t="s">
        <v>6636</v>
      </c>
      <c r="D707" s="233">
        <v>65.2</v>
      </c>
    </row>
    <row r="708" spans="1:4">
      <c r="A708">
        <v>39204</v>
      </c>
      <c r="B708" t="s">
        <v>7268</v>
      </c>
      <c r="C708" t="s">
        <v>6636</v>
      </c>
      <c r="D708" s="233">
        <v>66.78</v>
      </c>
    </row>
    <row r="709" spans="1:4">
      <c r="A709">
        <v>39206</v>
      </c>
      <c r="B709" t="s">
        <v>7269</v>
      </c>
      <c r="C709" t="s">
        <v>6636</v>
      </c>
      <c r="D709" s="233">
        <v>63.36</v>
      </c>
    </row>
    <row r="710" spans="1:4">
      <c r="A710">
        <v>797</v>
      </c>
      <c r="B710" t="s">
        <v>7270</v>
      </c>
      <c r="C710" t="s">
        <v>6636</v>
      </c>
      <c r="D710" s="233">
        <v>5.6</v>
      </c>
    </row>
    <row r="711" spans="1:4">
      <c r="A711">
        <v>798</v>
      </c>
      <c r="B711" t="s">
        <v>7271</v>
      </c>
      <c r="C711" t="s">
        <v>6636</v>
      </c>
      <c r="D711" s="233">
        <v>0.77</v>
      </c>
    </row>
    <row r="712" spans="1:4">
      <c r="A712">
        <v>796</v>
      </c>
      <c r="B712" t="s">
        <v>7272</v>
      </c>
      <c r="C712" t="s">
        <v>6636</v>
      </c>
      <c r="D712" s="233">
        <v>5.36</v>
      </c>
    </row>
    <row r="713" spans="1:4">
      <c r="A713">
        <v>799</v>
      </c>
      <c r="B713" t="s">
        <v>7273</v>
      </c>
      <c r="C713" t="s">
        <v>6636</v>
      </c>
      <c r="D713" s="233">
        <v>2.52</v>
      </c>
    </row>
    <row r="714" spans="1:4">
      <c r="A714">
        <v>792</v>
      </c>
      <c r="B714" t="s">
        <v>7274</v>
      </c>
      <c r="C714" t="s">
        <v>6636</v>
      </c>
      <c r="D714" s="233">
        <v>2.56</v>
      </c>
    </row>
    <row r="715" spans="1:4">
      <c r="A715">
        <v>804</v>
      </c>
      <c r="B715" t="s">
        <v>7275</v>
      </c>
      <c r="C715" t="s">
        <v>6636</v>
      </c>
      <c r="D715" s="233">
        <v>12.71</v>
      </c>
    </row>
    <row r="716" spans="1:4">
      <c r="A716">
        <v>793</v>
      </c>
      <c r="B716" t="s">
        <v>7276</v>
      </c>
      <c r="C716" t="s">
        <v>6636</v>
      </c>
      <c r="D716" s="233">
        <v>5.46</v>
      </c>
    </row>
    <row r="717" spans="1:4">
      <c r="A717">
        <v>801</v>
      </c>
      <c r="B717" t="s">
        <v>7277</v>
      </c>
      <c r="C717" t="s">
        <v>6636</v>
      </c>
      <c r="D717" s="233">
        <v>3.89</v>
      </c>
    </row>
    <row r="718" spans="1:4">
      <c r="A718">
        <v>794</v>
      </c>
      <c r="B718" t="s">
        <v>7278</v>
      </c>
      <c r="C718" t="s">
        <v>6636</v>
      </c>
      <c r="D718" s="233">
        <v>4.0199999999999996</v>
      </c>
    </row>
    <row r="719" spans="1:4">
      <c r="A719">
        <v>802</v>
      </c>
      <c r="B719" t="s">
        <v>7279</v>
      </c>
      <c r="C719" t="s">
        <v>6636</v>
      </c>
      <c r="D719" s="233">
        <v>11.21</v>
      </c>
    </row>
    <row r="720" spans="1:4">
      <c r="A720">
        <v>803</v>
      </c>
      <c r="B720" t="s">
        <v>7280</v>
      </c>
      <c r="C720" t="s">
        <v>6636</v>
      </c>
      <c r="D720" s="233">
        <v>9.7799999999999994</v>
      </c>
    </row>
    <row r="721" spans="1:4">
      <c r="A721">
        <v>38001</v>
      </c>
      <c r="B721" t="s">
        <v>7281</v>
      </c>
      <c r="C721" t="s">
        <v>6636</v>
      </c>
      <c r="D721" s="233">
        <v>1.24</v>
      </c>
    </row>
    <row r="722" spans="1:4">
      <c r="A722">
        <v>38002</v>
      </c>
      <c r="B722" t="s">
        <v>7282</v>
      </c>
      <c r="C722" t="s">
        <v>6636</v>
      </c>
      <c r="D722" s="233">
        <v>2.31</v>
      </c>
    </row>
    <row r="723" spans="1:4">
      <c r="A723">
        <v>38003</v>
      </c>
      <c r="B723" t="s">
        <v>7283</v>
      </c>
      <c r="C723" t="s">
        <v>6636</v>
      </c>
      <c r="D723" s="233">
        <v>27.74</v>
      </c>
    </row>
    <row r="724" spans="1:4">
      <c r="A724">
        <v>38004</v>
      </c>
      <c r="B724" t="s">
        <v>7284</v>
      </c>
      <c r="C724" t="s">
        <v>6636</v>
      </c>
      <c r="D724" s="233">
        <v>37.08</v>
      </c>
    </row>
    <row r="725" spans="1:4">
      <c r="A725">
        <v>36327</v>
      </c>
      <c r="B725" t="s">
        <v>7285</v>
      </c>
      <c r="C725" t="s">
        <v>6636</v>
      </c>
      <c r="D725" s="233">
        <v>1.56</v>
      </c>
    </row>
    <row r="726" spans="1:4">
      <c r="A726">
        <v>38992</v>
      </c>
      <c r="B726" t="s">
        <v>7286</v>
      </c>
      <c r="C726" t="s">
        <v>6636</v>
      </c>
      <c r="D726" s="233">
        <v>2.5</v>
      </c>
    </row>
    <row r="727" spans="1:4">
      <c r="A727">
        <v>38993</v>
      </c>
      <c r="B727" t="s">
        <v>7287</v>
      </c>
      <c r="C727" t="s">
        <v>6636</v>
      </c>
      <c r="D727" s="233">
        <v>7.13</v>
      </c>
    </row>
    <row r="728" spans="1:4">
      <c r="A728">
        <v>38418</v>
      </c>
      <c r="B728" t="s">
        <v>7288</v>
      </c>
      <c r="C728" t="s">
        <v>6636</v>
      </c>
      <c r="D728" s="233">
        <v>4.47</v>
      </c>
    </row>
    <row r="729" spans="1:4">
      <c r="A729">
        <v>39178</v>
      </c>
      <c r="B729" t="s">
        <v>7289</v>
      </c>
      <c r="C729" t="s">
        <v>6636</v>
      </c>
      <c r="D729" s="233">
        <v>1.1200000000000001</v>
      </c>
    </row>
    <row r="730" spans="1:4">
      <c r="A730">
        <v>39177</v>
      </c>
      <c r="B730" t="s">
        <v>7290</v>
      </c>
      <c r="C730" t="s">
        <v>6636</v>
      </c>
      <c r="D730" s="233">
        <v>1.02</v>
      </c>
    </row>
    <row r="731" spans="1:4">
      <c r="A731">
        <v>39174</v>
      </c>
      <c r="B731" t="s">
        <v>7291</v>
      </c>
      <c r="C731" t="s">
        <v>6636</v>
      </c>
      <c r="D731" s="233">
        <v>0.51</v>
      </c>
    </row>
    <row r="732" spans="1:4">
      <c r="A732">
        <v>39176</v>
      </c>
      <c r="B732" t="s">
        <v>784</v>
      </c>
      <c r="C732" t="s">
        <v>6636</v>
      </c>
      <c r="D732" s="233">
        <v>0.66</v>
      </c>
    </row>
    <row r="733" spans="1:4">
      <c r="A733">
        <v>39180</v>
      </c>
      <c r="B733" t="s">
        <v>7292</v>
      </c>
      <c r="C733" t="s">
        <v>6636</v>
      </c>
      <c r="D733" s="233">
        <v>3.06</v>
      </c>
    </row>
    <row r="734" spans="1:4">
      <c r="A734">
        <v>39179</v>
      </c>
      <c r="B734" t="s">
        <v>7293</v>
      </c>
      <c r="C734" t="s">
        <v>6636</v>
      </c>
      <c r="D734" s="233">
        <v>2.71</v>
      </c>
    </row>
    <row r="735" spans="1:4">
      <c r="A735">
        <v>39175</v>
      </c>
      <c r="B735" t="s">
        <v>7294</v>
      </c>
      <c r="C735" t="s">
        <v>6636</v>
      </c>
      <c r="D735" s="233">
        <v>0.62</v>
      </c>
    </row>
    <row r="736" spans="1:4">
      <c r="A736">
        <v>39217</v>
      </c>
      <c r="B736" t="s">
        <v>7295</v>
      </c>
      <c r="C736" t="s">
        <v>6636</v>
      </c>
      <c r="D736" s="233">
        <v>0.48</v>
      </c>
    </row>
    <row r="737" spans="1:4">
      <c r="A737">
        <v>39181</v>
      </c>
      <c r="B737" t="s">
        <v>7296</v>
      </c>
      <c r="C737" t="s">
        <v>6636</v>
      </c>
      <c r="D737" s="233">
        <v>4.0999999999999996</v>
      </c>
    </row>
    <row r="738" spans="1:4">
      <c r="A738">
        <v>39182</v>
      </c>
      <c r="B738" t="s">
        <v>951</v>
      </c>
      <c r="C738" t="s">
        <v>6636</v>
      </c>
      <c r="D738" s="233">
        <v>5.77</v>
      </c>
    </row>
    <row r="739" spans="1:4">
      <c r="A739">
        <v>12616</v>
      </c>
      <c r="B739" t="s">
        <v>7297</v>
      </c>
      <c r="C739" t="s">
        <v>6636</v>
      </c>
      <c r="D739" s="233">
        <v>4.47</v>
      </c>
    </row>
    <row r="740" spans="1:4">
      <c r="A740">
        <v>1049</v>
      </c>
      <c r="B740" t="s">
        <v>7298</v>
      </c>
      <c r="C740" t="s">
        <v>6636</v>
      </c>
      <c r="D740" s="233">
        <v>4.83</v>
      </c>
    </row>
    <row r="741" spans="1:4">
      <c r="A741">
        <v>1099</v>
      </c>
      <c r="B741" t="s">
        <v>7299</v>
      </c>
      <c r="C741" t="s">
        <v>6636</v>
      </c>
      <c r="D741" s="233">
        <v>3.69</v>
      </c>
    </row>
    <row r="742" spans="1:4">
      <c r="A742">
        <v>39678</v>
      </c>
      <c r="B742" t="s">
        <v>7300</v>
      </c>
      <c r="C742" t="s">
        <v>6636</v>
      </c>
      <c r="D742" s="233">
        <v>1.49</v>
      </c>
    </row>
    <row r="743" spans="1:4">
      <c r="A743">
        <v>1050</v>
      </c>
      <c r="B743" t="s">
        <v>7301</v>
      </c>
      <c r="C743" t="s">
        <v>6636</v>
      </c>
      <c r="D743" s="233">
        <v>2.52</v>
      </c>
    </row>
    <row r="744" spans="1:4">
      <c r="A744">
        <v>1101</v>
      </c>
      <c r="B744" t="s">
        <v>7302</v>
      </c>
      <c r="C744" t="s">
        <v>6636</v>
      </c>
      <c r="D744" s="233">
        <v>15.93</v>
      </c>
    </row>
    <row r="745" spans="1:4">
      <c r="A745">
        <v>1100</v>
      </c>
      <c r="B745" t="s">
        <v>7303</v>
      </c>
      <c r="C745" t="s">
        <v>6636</v>
      </c>
      <c r="D745" s="233">
        <v>8.2200000000000006</v>
      </c>
    </row>
    <row r="746" spans="1:4">
      <c r="A746">
        <v>39679</v>
      </c>
      <c r="B746" t="s">
        <v>7304</v>
      </c>
      <c r="C746" t="s">
        <v>6636</v>
      </c>
      <c r="D746" s="233">
        <v>31.75</v>
      </c>
    </row>
    <row r="747" spans="1:4">
      <c r="A747">
        <v>1098</v>
      </c>
      <c r="B747" t="s">
        <v>7305</v>
      </c>
      <c r="C747" t="s">
        <v>6636</v>
      </c>
      <c r="D747" s="233">
        <v>1.97</v>
      </c>
    </row>
    <row r="748" spans="1:4">
      <c r="A748">
        <v>1102</v>
      </c>
      <c r="B748" t="s">
        <v>7306</v>
      </c>
      <c r="C748" t="s">
        <v>6636</v>
      </c>
      <c r="D748" s="233">
        <v>23.76</v>
      </c>
    </row>
    <row r="749" spans="1:4">
      <c r="A749">
        <v>1051</v>
      </c>
      <c r="B749" t="s">
        <v>7307</v>
      </c>
      <c r="C749" t="s">
        <v>6636</v>
      </c>
      <c r="D749" s="233">
        <v>34.53</v>
      </c>
    </row>
    <row r="750" spans="1:4">
      <c r="A750">
        <v>37399</v>
      </c>
      <c r="B750" t="s">
        <v>7308</v>
      </c>
      <c r="C750" t="s">
        <v>6636</v>
      </c>
      <c r="D750" s="233">
        <v>17.62</v>
      </c>
    </row>
    <row r="751" spans="1:4">
      <c r="A751">
        <v>41955</v>
      </c>
      <c r="B751" t="s">
        <v>12251</v>
      </c>
      <c r="C751" t="s">
        <v>6698</v>
      </c>
      <c r="D751" s="233">
        <v>41.63</v>
      </c>
    </row>
    <row r="752" spans="1:4">
      <c r="A752">
        <v>41953</v>
      </c>
      <c r="B752" t="s">
        <v>12252</v>
      </c>
      <c r="C752" t="s">
        <v>6698</v>
      </c>
      <c r="D752" s="233">
        <v>39.729999999999997</v>
      </c>
    </row>
    <row r="753" spans="1:4">
      <c r="A753">
        <v>41954</v>
      </c>
      <c r="B753" t="s">
        <v>12253</v>
      </c>
      <c r="C753" t="s">
        <v>6698</v>
      </c>
      <c r="D753" s="233">
        <v>37.04</v>
      </c>
    </row>
    <row r="754" spans="1:4">
      <c r="A754">
        <v>42655</v>
      </c>
      <c r="B754" t="s">
        <v>7309</v>
      </c>
      <c r="C754" t="s">
        <v>6698</v>
      </c>
      <c r="D754" s="233">
        <v>9.2899999999999991</v>
      </c>
    </row>
    <row r="755" spans="1:4">
      <c r="A755">
        <v>25004</v>
      </c>
      <c r="B755" t="s">
        <v>7310</v>
      </c>
      <c r="C755" t="s">
        <v>6698</v>
      </c>
      <c r="D755" s="233">
        <v>24.04</v>
      </c>
    </row>
    <row r="756" spans="1:4">
      <c r="A756">
        <v>25002</v>
      </c>
      <c r="B756" t="s">
        <v>7311</v>
      </c>
      <c r="C756" t="s">
        <v>6698</v>
      </c>
      <c r="D756" s="233">
        <v>24.24</v>
      </c>
    </row>
    <row r="757" spans="1:4">
      <c r="A757">
        <v>37409</v>
      </c>
      <c r="B757" t="s">
        <v>7312</v>
      </c>
      <c r="C757" t="s">
        <v>6698</v>
      </c>
      <c r="D757" s="233">
        <v>23.84</v>
      </c>
    </row>
    <row r="758" spans="1:4">
      <c r="A758">
        <v>841</v>
      </c>
      <c r="B758" t="s">
        <v>7313</v>
      </c>
      <c r="C758" t="s">
        <v>6698</v>
      </c>
      <c r="D758" s="233">
        <v>24.63</v>
      </c>
    </row>
    <row r="759" spans="1:4">
      <c r="A759">
        <v>25005</v>
      </c>
      <c r="B759" t="s">
        <v>7314</v>
      </c>
      <c r="C759" t="s">
        <v>6698</v>
      </c>
      <c r="D759" s="233">
        <v>27</v>
      </c>
    </row>
    <row r="760" spans="1:4">
      <c r="A760">
        <v>25003</v>
      </c>
      <c r="B760" t="s">
        <v>7315</v>
      </c>
      <c r="C760" t="s">
        <v>6698</v>
      </c>
      <c r="D760" s="233">
        <v>28.85</v>
      </c>
    </row>
    <row r="761" spans="1:4">
      <c r="A761">
        <v>37410</v>
      </c>
      <c r="B761" t="s">
        <v>7316</v>
      </c>
      <c r="C761" t="s">
        <v>6698</v>
      </c>
      <c r="D761" s="233">
        <v>27</v>
      </c>
    </row>
    <row r="762" spans="1:4">
      <c r="A762">
        <v>842</v>
      </c>
      <c r="B762" t="s">
        <v>7317</v>
      </c>
      <c r="C762" t="s">
        <v>6698</v>
      </c>
      <c r="D762" s="233">
        <v>30.38</v>
      </c>
    </row>
    <row r="763" spans="1:4">
      <c r="A763">
        <v>862</v>
      </c>
      <c r="B763" t="s">
        <v>7318</v>
      </c>
      <c r="C763" t="s">
        <v>6649</v>
      </c>
      <c r="D763" s="233">
        <v>5.16</v>
      </c>
    </row>
    <row r="764" spans="1:4">
      <c r="A764">
        <v>866</v>
      </c>
      <c r="B764" t="s">
        <v>7319</v>
      </c>
      <c r="C764" t="s">
        <v>6649</v>
      </c>
      <c r="D764" s="233">
        <v>63.42</v>
      </c>
    </row>
    <row r="765" spans="1:4">
      <c r="A765">
        <v>892</v>
      </c>
      <c r="B765" t="s">
        <v>7320</v>
      </c>
      <c r="C765" t="s">
        <v>6649</v>
      </c>
      <c r="D765" s="233">
        <v>80.650000000000006</v>
      </c>
    </row>
    <row r="766" spans="1:4">
      <c r="A766">
        <v>857</v>
      </c>
      <c r="B766" t="s">
        <v>774</v>
      </c>
      <c r="C766" t="s">
        <v>6649</v>
      </c>
      <c r="D766" s="233">
        <v>8.2100000000000009</v>
      </c>
    </row>
    <row r="767" spans="1:4">
      <c r="A767">
        <v>37404</v>
      </c>
      <c r="B767" t="s">
        <v>7321</v>
      </c>
      <c r="C767" t="s">
        <v>6649</v>
      </c>
      <c r="D767" s="233">
        <v>96.97</v>
      </c>
    </row>
    <row r="768" spans="1:4">
      <c r="A768">
        <v>868</v>
      </c>
      <c r="B768" t="s">
        <v>7322</v>
      </c>
      <c r="C768" t="s">
        <v>6649</v>
      </c>
      <c r="D768" s="233">
        <v>12.68</v>
      </c>
    </row>
    <row r="769" spans="1:4">
      <c r="A769">
        <v>870</v>
      </c>
      <c r="B769" t="s">
        <v>7323</v>
      </c>
      <c r="C769" t="s">
        <v>6649</v>
      </c>
      <c r="D769" s="233">
        <v>167.11</v>
      </c>
    </row>
    <row r="770" spans="1:4">
      <c r="A770">
        <v>863</v>
      </c>
      <c r="B770" t="s">
        <v>946</v>
      </c>
      <c r="C770" t="s">
        <v>6649</v>
      </c>
      <c r="D770" s="233">
        <v>17.510000000000002</v>
      </c>
    </row>
    <row r="771" spans="1:4">
      <c r="A771">
        <v>867</v>
      </c>
      <c r="B771" t="s">
        <v>947</v>
      </c>
      <c r="C771" t="s">
        <v>6649</v>
      </c>
      <c r="D771" s="233">
        <v>24.39</v>
      </c>
    </row>
    <row r="772" spans="1:4">
      <c r="A772">
        <v>891</v>
      </c>
      <c r="B772" t="s">
        <v>7324</v>
      </c>
      <c r="C772" t="s">
        <v>6649</v>
      </c>
      <c r="D772" s="233">
        <v>280.64</v>
      </c>
    </row>
    <row r="773" spans="1:4">
      <c r="A773">
        <v>864</v>
      </c>
      <c r="B773" t="s">
        <v>7325</v>
      </c>
      <c r="C773" t="s">
        <v>6649</v>
      </c>
      <c r="D773" s="233">
        <v>34.369999999999997</v>
      </c>
    </row>
    <row r="774" spans="1:4">
      <c r="A774">
        <v>865</v>
      </c>
      <c r="B774" t="s">
        <v>7326</v>
      </c>
      <c r="C774" t="s">
        <v>6649</v>
      </c>
      <c r="D774" s="233">
        <v>48.41</v>
      </c>
    </row>
    <row r="775" spans="1:4">
      <c r="A775">
        <v>1006</v>
      </c>
      <c r="B775" t="s">
        <v>7327</v>
      </c>
      <c r="C775" t="s">
        <v>6649</v>
      </c>
      <c r="D775" s="233">
        <v>67.09</v>
      </c>
    </row>
    <row r="776" spans="1:4">
      <c r="A776">
        <v>948</v>
      </c>
      <c r="B776" t="s">
        <v>7328</v>
      </c>
      <c r="C776" t="s">
        <v>6649</v>
      </c>
      <c r="D776" s="233">
        <v>12.45</v>
      </c>
    </row>
    <row r="777" spans="1:4">
      <c r="A777">
        <v>947</v>
      </c>
      <c r="B777" t="s">
        <v>7329</v>
      </c>
      <c r="C777" t="s">
        <v>6649</v>
      </c>
      <c r="D777" s="233">
        <v>12.66</v>
      </c>
    </row>
    <row r="778" spans="1:4">
      <c r="A778">
        <v>911</v>
      </c>
      <c r="B778" t="s">
        <v>7330</v>
      </c>
      <c r="C778" t="s">
        <v>6649</v>
      </c>
      <c r="D778" s="233">
        <v>18.420000000000002</v>
      </c>
    </row>
    <row r="779" spans="1:4">
      <c r="A779">
        <v>925</v>
      </c>
      <c r="B779" t="s">
        <v>7331</v>
      </c>
      <c r="C779" t="s">
        <v>6649</v>
      </c>
      <c r="D779" s="233">
        <v>17.02</v>
      </c>
    </row>
    <row r="780" spans="1:4">
      <c r="A780">
        <v>954</v>
      </c>
      <c r="B780" t="s">
        <v>7332</v>
      </c>
      <c r="C780" t="s">
        <v>6649</v>
      </c>
      <c r="D780" s="233">
        <v>18.809999999999999</v>
      </c>
    </row>
    <row r="781" spans="1:4">
      <c r="A781">
        <v>901</v>
      </c>
      <c r="B781" t="s">
        <v>7333</v>
      </c>
      <c r="C781" t="s">
        <v>6649</v>
      </c>
      <c r="D781" s="233">
        <v>20.13</v>
      </c>
    </row>
    <row r="782" spans="1:4">
      <c r="A782">
        <v>926</v>
      </c>
      <c r="B782" t="s">
        <v>7334</v>
      </c>
      <c r="C782" t="s">
        <v>6649</v>
      </c>
      <c r="D782" s="233">
        <v>21.27</v>
      </c>
    </row>
    <row r="783" spans="1:4">
      <c r="A783">
        <v>912</v>
      </c>
      <c r="B783" t="s">
        <v>7335</v>
      </c>
      <c r="C783" t="s">
        <v>6649</v>
      </c>
      <c r="D783" s="233">
        <v>21.4</v>
      </c>
    </row>
    <row r="784" spans="1:4">
      <c r="A784">
        <v>955</v>
      </c>
      <c r="B784" t="s">
        <v>7336</v>
      </c>
      <c r="C784" t="s">
        <v>6649</v>
      </c>
      <c r="D784" s="233">
        <v>25.54</v>
      </c>
    </row>
    <row r="785" spans="1:4">
      <c r="A785">
        <v>946</v>
      </c>
      <c r="B785" t="s">
        <v>7337</v>
      </c>
      <c r="C785" t="s">
        <v>6649</v>
      </c>
      <c r="D785" s="233">
        <v>28.72</v>
      </c>
    </row>
    <row r="786" spans="1:4">
      <c r="A786">
        <v>953</v>
      </c>
      <c r="B786" t="s">
        <v>7338</v>
      </c>
      <c r="C786" t="s">
        <v>6649</v>
      </c>
      <c r="D786" s="233">
        <v>26.13</v>
      </c>
    </row>
    <row r="787" spans="1:4">
      <c r="A787">
        <v>902</v>
      </c>
      <c r="B787" t="s">
        <v>7339</v>
      </c>
      <c r="C787" t="s">
        <v>6649</v>
      </c>
      <c r="D787" s="233">
        <v>31.77</v>
      </c>
    </row>
    <row r="788" spans="1:4">
      <c r="A788">
        <v>927</v>
      </c>
      <c r="B788" t="s">
        <v>7340</v>
      </c>
      <c r="C788" t="s">
        <v>6649</v>
      </c>
      <c r="D788" s="233">
        <v>30.79</v>
      </c>
    </row>
    <row r="789" spans="1:4">
      <c r="A789">
        <v>913</v>
      </c>
      <c r="B789" t="s">
        <v>7341</v>
      </c>
      <c r="C789" t="s">
        <v>6649</v>
      </c>
      <c r="D789" s="233">
        <v>34.369999999999997</v>
      </c>
    </row>
    <row r="790" spans="1:4">
      <c r="A790">
        <v>903</v>
      </c>
      <c r="B790" t="s">
        <v>7342</v>
      </c>
      <c r="C790" t="s">
        <v>6649</v>
      </c>
      <c r="D790" s="233">
        <v>38.9</v>
      </c>
    </row>
    <row r="791" spans="1:4">
      <c r="A791">
        <v>945</v>
      </c>
      <c r="B791" t="s">
        <v>7343</v>
      </c>
      <c r="C791" t="s">
        <v>6649</v>
      </c>
      <c r="D791" s="233">
        <v>41.15</v>
      </c>
    </row>
    <row r="792" spans="1:4">
      <c r="A792">
        <v>914</v>
      </c>
      <c r="B792" t="s">
        <v>7344</v>
      </c>
      <c r="C792" t="s">
        <v>6649</v>
      </c>
      <c r="D792" s="233">
        <v>42.16</v>
      </c>
    </row>
    <row r="793" spans="1:4">
      <c r="A793">
        <v>993</v>
      </c>
      <c r="B793" t="s">
        <v>7345</v>
      </c>
      <c r="C793" t="s">
        <v>6649</v>
      </c>
      <c r="D793" s="233">
        <v>1.44</v>
      </c>
    </row>
    <row r="794" spans="1:4">
      <c r="A794">
        <v>1020</v>
      </c>
      <c r="B794" t="s">
        <v>7346</v>
      </c>
      <c r="C794" t="s">
        <v>6649</v>
      </c>
      <c r="D794" s="233">
        <v>6.29</v>
      </c>
    </row>
    <row r="795" spans="1:4">
      <c r="A795">
        <v>1017</v>
      </c>
      <c r="B795" t="s">
        <v>7347</v>
      </c>
      <c r="C795" t="s">
        <v>6649</v>
      </c>
      <c r="D795" s="233">
        <v>69.12</v>
      </c>
    </row>
    <row r="796" spans="1:4">
      <c r="A796">
        <v>999</v>
      </c>
      <c r="B796" t="s">
        <v>7348</v>
      </c>
      <c r="C796" t="s">
        <v>6649</v>
      </c>
      <c r="D796" s="233">
        <v>85.64</v>
      </c>
    </row>
    <row r="797" spans="1:4">
      <c r="A797">
        <v>995</v>
      </c>
      <c r="B797" t="s">
        <v>7349</v>
      </c>
      <c r="C797" t="s">
        <v>6649</v>
      </c>
      <c r="D797" s="233">
        <v>9.65</v>
      </c>
    </row>
    <row r="798" spans="1:4">
      <c r="A798">
        <v>1000</v>
      </c>
      <c r="B798" t="s">
        <v>7350</v>
      </c>
      <c r="C798" t="s">
        <v>6649</v>
      </c>
      <c r="D798" s="233">
        <v>104.98</v>
      </c>
    </row>
    <row r="799" spans="1:4">
      <c r="A799">
        <v>1022</v>
      </c>
      <c r="B799" t="s">
        <v>7351</v>
      </c>
      <c r="C799" t="s">
        <v>6649</v>
      </c>
      <c r="D799" s="233">
        <v>2</v>
      </c>
    </row>
    <row r="800" spans="1:4">
      <c r="A800">
        <v>1015</v>
      </c>
      <c r="B800" t="s">
        <v>7352</v>
      </c>
      <c r="C800" t="s">
        <v>6649</v>
      </c>
      <c r="D800" s="233">
        <v>138.24</v>
      </c>
    </row>
    <row r="801" spans="1:4">
      <c r="A801">
        <v>996</v>
      </c>
      <c r="B801" t="s">
        <v>7353</v>
      </c>
      <c r="C801" t="s">
        <v>6649</v>
      </c>
      <c r="D801" s="233">
        <v>14.68</v>
      </c>
    </row>
    <row r="802" spans="1:4">
      <c r="A802">
        <v>1001</v>
      </c>
      <c r="B802" t="s">
        <v>7354</v>
      </c>
      <c r="C802" t="s">
        <v>6649</v>
      </c>
      <c r="D802" s="233">
        <v>173</v>
      </c>
    </row>
    <row r="803" spans="1:4">
      <c r="A803">
        <v>1019</v>
      </c>
      <c r="B803" t="s">
        <v>7355</v>
      </c>
      <c r="C803" t="s">
        <v>6649</v>
      </c>
      <c r="D803" s="233">
        <v>20.239999999999998</v>
      </c>
    </row>
    <row r="804" spans="1:4">
      <c r="A804">
        <v>1021</v>
      </c>
      <c r="B804" t="s">
        <v>7356</v>
      </c>
      <c r="C804" t="s">
        <v>6649</v>
      </c>
      <c r="D804" s="233">
        <v>2.87</v>
      </c>
    </row>
    <row r="805" spans="1:4">
      <c r="A805">
        <v>39249</v>
      </c>
      <c r="B805" t="s">
        <v>7357</v>
      </c>
      <c r="C805" t="s">
        <v>6649</v>
      </c>
      <c r="D805" s="233">
        <v>225.68</v>
      </c>
    </row>
    <row r="806" spans="1:4">
      <c r="A806">
        <v>1018</v>
      </c>
      <c r="B806" t="s">
        <v>7358</v>
      </c>
      <c r="C806" t="s">
        <v>6649</v>
      </c>
      <c r="D806" s="233">
        <v>28.85</v>
      </c>
    </row>
    <row r="807" spans="1:4">
      <c r="A807">
        <v>39250</v>
      </c>
      <c r="B807" t="s">
        <v>7359</v>
      </c>
      <c r="C807" t="s">
        <v>6649</v>
      </c>
      <c r="D807" s="233">
        <v>289.89999999999998</v>
      </c>
    </row>
    <row r="808" spans="1:4">
      <c r="A808">
        <v>994</v>
      </c>
      <c r="B808" t="s">
        <v>7360</v>
      </c>
      <c r="C808" t="s">
        <v>6649</v>
      </c>
      <c r="D808" s="233">
        <v>3.92</v>
      </c>
    </row>
    <row r="809" spans="1:4">
      <c r="A809">
        <v>977</v>
      </c>
      <c r="B809" t="s">
        <v>7361</v>
      </c>
      <c r="C809" t="s">
        <v>6649</v>
      </c>
      <c r="D809" s="233">
        <v>39.97</v>
      </c>
    </row>
    <row r="810" spans="1:4">
      <c r="A810">
        <v>998</v>
      </c>
      <c r="B810" t="s">
        <v>7362</v>
      </c>
      <c r="C810" t="s">
        <v>6649</v>
      </c>
      <c r="D810" s="233">
        <v>53.1</v>
      </c>
    </row>
    <row r="811" spans="1:4">
      <c r="A811">
        <v>39251</v>
      </c>
      <c r="B811" t="s">
        <v>7363</v>
      </c>
      <c r="C811" t="s">
        <v>6649</v>
      </c>
      <c r="D811" s="233">
        <v>0.38</v>
      </c>
    </row>
    <row r="812" spans="1:4">
      <c r="A812">
        <v>1011</v>
      </c>
      <c r="B812" t="s">
        <v>7364</v>
      </c>
      <c r="C812" t="s">
        <v>6649</v>
      </c>
      <c r="D812" s="233">
        <v>0.53</v>
      </c>
    </row>
    <row r="813" spans="1:4">
      <c r="A813">
        <v>39252</v>
      </c>
      <c r="B813" t="s">
        <v>7365</v>
      </c>
      <c r="C813" t="s">
        <v>6649</v>
      </c>
      <c r="D813" s="233">
        <v>0.64</v>
      </c>
    </row>
    <row r="814" spans="1:4">
      <c r="A814">
        <v>1013</v>
      </c>
      <c r="B814" t="s">
        <v>7366</v>
      </c>
      <c r="C814" t="s">
        <v>6649</v>
      </c>
      <c r="D814" s="233">
        <v>0.84</v>
      </c>
    </row>
    <row r="815" spans="1:4">
      <c r="A815">
        <v>980</v>
      </c>
      <c r="B815" t="s">
        <v>7367</v>
      </c>
      <c r="C815" t="s">
        <v>6649</v>
      </c>
      <c r="D815" s="233">
        <v>5.77</v>
      </c>
    </row>
    <row r="816" spans="1:4">
      <c r="A816">
        <v>39237</v>
      </c>
      <c r="B816" t="s">
        <v>7368</v>
      </c>
      <c r="C816" t="s">
        <v>6649</v>
      </c>
      <c r="D816" s="233">
        <v>68.39</v>
      </c>
    </row>
    <row r="817" spans="1:4">
      <c r="A817">
        <v>39238</v>
      </c>
      <c r="B817" t="s">
        <v>7369</v>
      </c>
      <c r="C817" t="s">
        <v>6649</v>
      </c>
      <c r="D817" s="233">
        <v>85.39</v>
      </c>
    </row>
    <row r="818" spans="1:4">
      <c r="A818">
        <v>979</v>
      </c>
      <c r="B818" t="s">
        <v>7370</v>
      </c>
      <c r="C818" t="s">
        <v>6649</v>
      </c>
      <c r="D818" s="233">
        <v>8.89</v>
      </c>
    </row>
    <row r="819" spans="1:4">
      <c r="A819">
        <v>39239</v>
      </c>
      <c r="B819" t="s">
        <v>7371</v>
      </c>
      <c r="C819" t="s">
        <v>6649</v>
      </c>
      <c r="D819" s="233">
        <v>103.92</v>
      </c>
    </row>
    <row r="820" spans="1:4">
      <c r="A820">
        <v>1014</v>
      </c>
      <c r="B820" t="s">
        <v>7372</v>
      </c>
      <c r="C820" t="s">
        <v>6649</v>
      </c>
      <c r="D820" s="233">
        <v>1.35</v>
      </c>
    </row>
    <row r="821" spans="1:4">
      <c r="A821">
        <v>39240</v>
      </c>
      <c r="B821" t="s">
        <v>7373</v>
      </c>
      <c r="C821" t="s">
        <v>6649</v>
      </c>
      <c r="D821" s="233">
        <v>137.35</v>
      </c>
    </row>
    <row r="822" spans="1:4">
      <c r="A822">
        <v>39232</v>
      </c>
      <c r="B822" t="s">
        <v>7374</v>
      </c>
      <c r="C822" t="s">
        <v>6649</v>
      </c>
      <c r="D822" s="233">
        <v>14.26</v>
      </c>
    </row>
    <row r="823" spans="1:4">
      <c r="A823">
        <v>39233</v>
      </c>
      <c r="B823" t="s">
        <v>7375</v>
      </c>
      <c r="C823" t="s">
        <v>6649</v>
      </c>
      <c r="D823" s="233">
        <v>19.61</v>
      </c>
    </row>
    <row r="824" spans="1:4">
      <c r="A824">
        <v>981</v>
      </c>
      <c r="B824" t="s">
        <v>7376</v>
      </c>
      <c r="C824" t="s">
        <v>6649</v>
      </c>
      <c r="D824" s="233">
        <v>2.41</v>
      </c>
    </row>
    <row r="825" spans="1:4">
      <c r="A825">
        <v>39234</v>
      </c>
      <c r="B825" t="s">
        <v>7377</v>
      </c>
      <c r="C825" t="s">
        <v>6649</v>
      </c>
      <c r="D825" s="233">
        <v>28.77</v>
      </c>
    </row>
    <row r="826" spans="1:4">
      <c r="A826">
        <v>982</v>
      </c>
      <c r="B826" t="s">
        <v>7378</v>
      </c>
      <c r="C826" t="s">
        <v>6649</v>
      </c>
      <c r="D826" s="233">
        <v>3.37</v>
      </c>
    </row>
    <row r="827" spans="1:4">
      <c r="A827">
        <v>39235</v>
      </c>
      <c r="B827" t="s">
        <v>7379</v>
      </c>
      <c r="C827" t="s">
        <v>6649</v>
      </c>
      <c r="D827" s="233">
        <v>40.47</v>
      </c>
    </row>
    <row r="828" spans="1:4">
      <c r="A828">
        <v>39236</v>
      </c>
      <c r="B828" t="s">
        <v>7380</v>
      </c>
      <c r="C828" t="s">
        <v>6649</v>
      </c>
      <c r="D828" s="233">
        <v>53.06</v>
      </c>
    </row>
    <row r="829" spans="1:4">
      <c r="A829">
        <v>876</v>
      </c>
      <c r="B829" t="s">
        <v>7381</v>
      </c>
      <c r="C829" t="s">
        <v>6649</v>
      </c>
      <c r="D829" s="233">
        <v>136.96</v>
      </c>
    </row>
    <row r="830" spans="1:4">
      <c r="A830">
        <v>877</v>
      </c>
      <c r="B830" t="s">
        <v>7382</v>
      </c>
      <c r="C830" t="s">
        <v>6649</v>
      </c>
      <c r="D830" s="233">
        <v>161.02000000000001</v>
      </c>
    </row>
    <row r="831" spans="1:4">
      <c r="A831">
        <v>882</v>
      </c>
      <c r="B831" t="s">
        <v>7383</v>
      </c>
      <c r="C831" t="s">
        <v>6649</v>
      </c>
      <c r="D831" s="233">
        <v>175.45</v>
      </c>
    </row>
    <row r="832" spans="1:4">
      <c r="A832">
        <v>878</v>
      </c>
      <c r="B832" t="s">
        <v>7384</v>
      </c>
      <c r="C832" t="s">
        <v>6649</v>
      </c>
      <c r="D832" s="233">
        <v>218.13</v>
      </c>
    </row>
    <row r="833" spans="1:4">
      <c r="A833">
        <v>879</v>
      </c>
      <c r="B833" t="s">
        <v>7385</v>
      </c>
      <c r="C833" t="s">
        <v>6649</v>
      </c>
      <c r="D833" s="233">
        <v>257.10000000000002</v>
      </c>
    </row>
    <row r="834" spans="1:4">
      <c r="A834">
        <v>880</v>
      </c>
      <c r="B834" t="s">
        <v>7386</v>
      </c>
      <c r="C834" t="s">
        <v>6649</v>
      </c>
      <c r="D834" s="233">
        <v>302.51</v>
      </c>
    </row>
    <row r="835" spans="1:4">
      <c r="A835">
        <v>873</v>
      </c>
      <c r="B835" t="s">
        <v>7387</v>
      </c>
      <c r="C835" t="s">
        <v>6649</v>
      </c>
      <c r="D835" s="233">
        <v>91.98</v>
      </c>
    </row>
    <row r="836" spans="1:4">
      <c r="A836">
        <v>881</v>
      </c>
      <c r="B836" t="s">
        <v>7388</v>
      </c>
      <c r="C836" t="s">
        <v>6649</v>
      </c>
      <c r="D836" s="233">
        <v>413.48</v>
      </c>
    </row>
    <row r="837" spans="1:4">
      <c r="A837">
        <v>874</v>
      </c>
      <c r="B837" t="s">
        <v>7389</v>
      </c>
      <c r="C837" t="s">
        <v>6649</v>
      </c>
      <c r="D837" s="233">
        <v>109.16</v>
      </c>
    </row>
    <row r="838" spans="1:4">
      <c r="A838">
        <v>875</v>
      </c>
      <c r="B838" t="s">
        <v>7390</v>
      </c>
      <c r="C838" t="s">
        <v>6649</v>
      </c>
      <c r="D838" s="233">
        <v>130.24</v>
      </c>
    </row>
    <row r="839" spans="1:4">
      <c r="A839">
        <v>983</v>
      </c>
      <c r="B839" t="s">
        <v>7391</v>
      </c>
      <c r="C839" t="s">
        <v>6649</v>
      </c>
      <c r="D839" s="233">
        <v>0.81</v>
      </c>
    </row>
    <row r="840" spans="1:4">
      <c r="A840">
        <v>985</v>
      </c>
      <c r="B840" t="s">
        <v>7392</v>
      </c>
      <c r="C840" t="s">
        <v>6649</v>
      </c>
      <c r="D840" s="233">
        <v>6.11</v>
      </c>
    </row>
    <row r="841" spans="1:4">
      <c r="A841">
        <v>990</v>
      </c>
      <c r="B841" t="s">
        <v>7393</v>
      </c>
      <c r="C841" t="s">
        <v>6649</v>
      </c>
      <c r="D841" s="233">
        <v>83.72</v>
      </c>
    </row>
    <row r="842" spans="1:4">
      <c r="A842">
        <v>39241</v>
      </c>
      <c r="B842" t="s">
        <v>7394</v>
      </c>
      <c r="C842" t="s">
        <v>6649</v>
      </c>
      <c r="D842" s="233">
        <v>9.57</v>
      </c>
    </row>
    <row r="843" spans="1:4">
      <c r="A843">
        <v>1005</v>
      </c>
      <c r="B843" t="s">
        <v>7395</v>
      </c>
      <c r="C843" t="s">
        <v>6649</v>
      </c>
      <c r="D843" s="233">
        <v>102.76</v>
      </c>
    </row>
    <row r="844" spans="1:4">
      <c r="A844">
        <v>984</v>
      </c>
      <c r="B844" t="s">
        <v>7396</v>
      </c>
      <c r="C844" t="s">
        <v>6649</v>
      </c>
      <c r="D844" s="233">
        <v>2.11</v>
      </c>
    </row>
    <row r="845" spans="1:4">
      <c r="A845">
        <v>991</v>
      </c>
      <c r="B845" t="s">
        <v>7397</v>
      </c>
      <c r="C845" t="s">
        <v>6649</v>
      </c>
      <c r="D845" s="233">
        <v>135.79</v>
      </c>
    </row>
    <row r="846" spans="1:4">
      <c r="A846">
        <v>986</v>
      </c>
      <c r="B846" t="s">
        <v>7398</v>
      </c>
      <c r="C846" t="s">
        <v>6649</v>
      </c>
      <c r="D846" s="233">
        <v>14.63</v>
      </c>
    </row>
    <row r="847" spans="1:4">
      <c r="A847">
        <v>1024</v>
      </c>
      <c r="B847" t="s">
        <v>7399</v>
      </c>
      <c r="C847" t="s">
        <v>6649</v>
      </c>
      <c r="D847" s="233">
        <v>168.06</v>
      </c>
    </row>
    <row r="848" spans="1:4">
      <c r="A848">
        <v>987</v>
      </c>
      <c r="B848" t="s">
        <v>7400</v>
      </c>
      <c r="C848" t="s">
        <v>6649</v>
      </c>
      <c r="D848" s="233">
        <v>19.88</v>
      </c>
    </row>
    <row r="849" spans="1:4">
      <c r="A849">
        <v>1003</v>
      </c>
      <c r="B849" t="s">
        <v>7401</v>
      </c>
      <c r="C849" t="s">
        <v>6649</v>
      </c>
      <c r="D849" s="233">
        <v>3.09</v>
      </c>
    </row>
    <row r="850" spans="1:4">
      <c r="A850">
        <v>992</v>
      </c>
      <c r="B850" t="s">
        <v>7402</v>
      </c>
      <c r="C850" t="s">
        <v>6649</v>
      </c>
      <c r="D850" s="233">
        <v>217.43</v>
      </c>
    </row>
    <row r="851" spans="1:4">
      <c r="A851">
        <v>1007</v>
      </c>
      <c r="B851" t="s">
        <v>7403</v>
      </c>
      <c r="C851" t="s">
        <v>6649</v>
      </c>
      <c r="D851" s="233">
        <v>28.2</v>
      </c>
    </row>
    <row r="852" spans="1:4">
      <c r="A852">
        <v>39242</v>
      </c>
      <c r="B852" t="s">
        <v>7404</v>
      </c>
      <c r="C852" t="s">
        <v>6649</v>
      </c>
      <c r="D852" s="233">
        <v>269.41000000000003</v>
      </c>
    </row>
    <row r="853" spans="1:4">
      <c r="A853">
        <v>1008</v>
      </c>
      <c r="B853" t="s">
        <v>7405</v>
      </c>
      <c r="C853" t="s">
        <v>6649</v>
      </c>
      <c r="D853" s="233">
        <v>3.51</v>
      </c>
    </row>
    <row r="854" spans="1:4">
      <c r="A854">
        <v>988</v>
      </c>
      <c r="B854" t="s">
        <v>7406</v>
      </c>
      <c r="C854" t="s">
        <v>6649</v>
      </c>
      <c r="D854" s="233">
        <v>38.950000000000003</v>
      </c>
    </row>
    <row r="855" spans="1:4">
      <c r="A855">
        <v>989</v>
      </c>
      <c r="B855" t="s">
        <v>7407</v>
      </c>
      <c r="C855" t="s">
        <v>6649</v>
      </c>
      <c r="D855" s="233">
        <v>52.76</v>
      </c>
    </row>
    <row r="856" spans="1:4">
      <c r="A856">
        <v>39598</v>
      </c>
      <c r="B856" t="s">
        <v>7408</v>
      </c>
      <c r="C856" t="s">
        <v>6649</v>
      </c>
      <c r="D856" s="233">
        <v>1.04</v>
      </c>
    </row>
    <row r="857" spans="1:4">
      <c r="A857">
        <v>39599</v>
      </c>
      <c r="B857" t="s">
        <v>7409</v>
      </c>
      <c r="C857" t="s">
        <v>6649</v>
      </c>
      <c r="D857" s="233">
        <v>1.58</v>
      </c>
    </row>
    <row r="858" spans="1:4">
      <c r="A858">
        <v>34602</v>
      </c>
      <c r="B858" t="s">
        <v>7410</v>
      </c>
      <c r="C858" t="s">
        <v>6649</v>
      </c>
      <c r="D858" s="233">
        <v>1.17</v>
      </c>
    </row>
    <row r="859" spans="1:4">
      <c r="A859">
        <v>34603</v>
      </c>
      <c r="B859" t="s">
        <v>7411</v>
      </c>
      <c r="C859" t="s">
        <v>6649</v>
      </c>
      <c r="D859" s="233">
        <v>5.64</v>
      </c>
    </row>
    <row r="860" spans="1:4">
      <c r="A860">
        <v>34607</v>
      </c>
      <c r="B860" t="s">
        <v>7412</v>
      </c>
      <c r="C860" t="s">
        <v>6649</v>
      </c>
      <c r="D860" s="233">
        <v>2.5099999999999998</v>
      </c>
    </row>
    <row r="861" spans="1:4">
      <c r="A861">
        <v>34609</v>
      </c>
      <c r="B861" t="s">
        <v>7413</v>
      </c>
      <c r="C861" t="s">
        <v>6649</v>
      </c>
      <c r="D861" s="233">
        <v>3.77</v>
      </c>
    </row>
    <row r="862" spans="1:4">
      <c r="A862">
        <v>34618</v>
      </c>
      <c r="B862" t="s">
        <v>7414</v>
      </c>
      <c r="C862" t="s">
        <v>6649</v>
      </c>
      <c r="D862" s="233">
        <v>1.55</v>
      </c>
    </row>
    <row r="863" spans="1:4">
      <c r="A863">
        <v>34620</v>
      </c>
      <c r="B863" t="s">
        <v>7415</v>
      </c>
      <c r="C863" t="s">
        <v>6649</v>
      </c>
      <c r="D863" s="233">
        <v>7.78</v>
      </c>
    </row>
    <row r="864" spans="1:4">
      <c r="A864">
        <v>34621</v>
      </c>
      <c r="B864" t="s">
        <v>7416</v>
      </c>
      <c r="C864" t="s">
        <v>6649</v>
      </c>
      <c r="D864" s="233">
        <v>3.61</v>
      </c>
    </row>
    <row r="865" spans="1:4">
      <c r="A865">
        <v>34622</v>
      </c>
      <c r="B865" t="s">
        <v>7417</v>
      </c>
      <c r="C865" t="s">
        <v>6649</v>
      </c>
      <c r="D865" s="233">
        <v>5.1100000000000003</v>
      </c>
    </row>
    <row r="866" spans="1:4">
      <c r="A866">
        <v>34624</v>
      </c>
      <c r="B866" t="s">
        <v>7418</v>
      </c>
      <c r="C866" t="s">
        <v>6649</v>
      </c>
      <c r="D866" s="233">
        <v>1.98</v>
      </c>
    </row>
    <row r="867" spans="1:4">
      <c r="A867">
        <v>34626</v>
      </c>
      <c r="B867" t="s">
        <v>7419</v>
      </c>
      <c r="C867" t="s">
        <v>6649</v>
      </c>
      <c r="D867" s="233">
        <v>10.7</v>
      </c>
    </row>
    <row r="868" spans="1:4">
      <c r="A868">
        <v>34627</v>
      </c>
      <c r="B868" t="s">
        <v>7420</v>
      </c>
      <c r="C868" t="s">
        <v>6649</v>
      </c>
      <c r="D868" s="233">
        <v>4.6100000000000003</v>
      </c>
    </row>
    <row r="869" spans="1:4">
      <c r="A869">
        <v>34629</v>
      </c>
      <c r="B869" t="s">
        <v>7421</v>
      </c>
      <c r="C869" t="s">
        <v>6649</v>
      </c>
      <c r="D869" s="233">
        <v>6.75</v>
      </c>
    </row>
    <row r="870" spans="1:4">
      <c r="A870">
        <v>39257</v>
      </c>
      <c r="B870" t="s">
        <v>7422</v>
      </c>
      <c r="C870" t="s">
        <v>6649</v>
      </c>
      <c r="D870" s="233">
        <v>3.68</v>
      </c>
    </row>
    <row r="871" spans="1:4">
      <c r="A871">
        <v>39261</v>
      </c>
      <c r="B871" t="s">
        <v>7423</v>
      </c>
      <c r="C871" t="s">
        <v>6649</v>
      </c>
      <c r="D871" s="233">
        <v>19.63</v>
      </c>
    </row>
    <row r="872" spans="1:4">
      <c r="A872">
        <v>39268</v>
      </c>
      <c r="B872" t="s">
        <v>7424</v>
      </c>
      <c r="C872" t="s">
        <v>6649</v>
      </c>
      <c r="D872" s="233">
        <v>226.45</v>
      </c>
    </row>
    <row r="873" spans="1:4">
      <c r="A873">
        <v>39262</v>
      </c>
      <c r="B873" t="s">
        <v>7425</v>
      </c>
      <c r="C873" t="s">
        <v>6649</v>
      </c>
      <c r="D873" s="233">
        <v>30.69</v>
      </c>
    </row>
    <row r="874" spans="1:4">
      <c r="A874">
        <v>39258</v>
      </c>
      <c r="B874" t="s">
        <v>7426</v>
      </c>
      <c r="C874" t="s">
        <v>6649</v>
      </c>
      <c r="D874" s="233">
        <v>5.46</v>
      </c>
    </row>
    <row r="875" spans="1:4">
      <c r="A875">
        <v>39263</v>
      </c>
      <c r="B875" t="s">
        <v>7427</v>
      </c>
      <c r="C875" t="s">
        <v>6649</v>
      </c>
      <c r="D875" s="233">
        <v>47.48</v>
      </c>
    </row>
    <row r="876" spans="1:4">
      <c r="A876">
        <v>39264</v>
      </c>
      <c r="B876" t="s">
        <v>7428</v>
      </c>
      <c r="C876" t="s">
        <v>6649</v>
      </c>
      <c r="D876" s="233">
        <v>64.290000000000006</v>
      </c>
    </row>
    <row r="877" spans="1:4">
      <c r="A877">
        <v>39259</v>
      </c>
      <c r="B877" t="s">
        <v>7429</v>
      </c>
      <c r="C877" t="s">
        <v>6649</v>
      </c>
      <c r="D877" s="233">
        <v>8.31</v>
      </c>
    </row>
    <row r="878" spans="1:4">
      <c r="A878">
        <v>39265</v>
      </c>
      <c r="B878" t="s">
        <v>7430</v>
      </c>
      <c r="C878" t="s">
        <v>6649</v>
      </c>
      <c r="D878" s="233">
        <v>94.71</v>
      </c>
    </row>
    <row r="879" spans="1:4">
      <c r="A879">
        <v>39260</v>
      </c>
      <c r="B879" t="s">
        <v>7431</v>
      </c>
      <c r="C879" t="s">
        <v>6649</v>
      </c>
      <c r="D879" s="233">
        <v>11.84</v>
      </c>
    </row>
    <row r="880" spans="1:4">
      <c r="A880">
        <v>39266</v>
      </c>
      <c r="B880" t="s">
        <v>7432</v>
      </c>
      <c r="C880" t="s">
        <v>6649</v>
      </c>
      <c r="D880" s="233">
        <v>132.88999999999999</v>
      </c>
    </row>
    <row r="881" spans="1:4">
      <c r="A881">
        <v>39267</v>
      </c>
      <c r="B881" t="s">
        <v>7433</v>
      </c>
      <c r="C881" t="s">
        <v>6649</v>
      </c>
      <c r="D881" s="233">
        <v>174.2</v>
      </c>
    </row>
    <row r="882" spans="1:4">
      <c r="A882">
        <v>11901</v>
      </c>
      <c r="B882" t="s">
        <v>7434</v>
      </c>
      <c r="C882" t="s">
        <v>6649</v>
      </c>
      <c r="D882" s="233">
        <v>0.61</v>
      </c>
    </row>
    <row r="883" spans="1:4">
      <c r="A883">
        <v>11902</v>
      </c>
      <c r="B883" t="s">
        <v>7435</v>
      </c>
      <c r="C883" t="s">
        <v>6649</v>
      </c>
      <c r="D883" s="233">
        <v>1.06</v>
      </c>
    </row>
    <row r="884" spans="1:4">
      <c r="A884">
        <v>11903</v>
      </c>
      <c r="B884" t="s">
        <v>7436</v>
      </c>
      <c r="C884" t="s">
        <v>6649</v>
      </c>
      <c r="D884" s="233">
        <v>1.64</v>
      </c>
    </row>
    <row r="885" spans="1:4">
      <c r="A885">
        <v>11904</v>
      </c>
      <c r="B885" t="s">
        <v>7437</v>
      </c>
      <c r="C885" t="s">
        <v>6649</v>
      </c>
      <c r="D885" s="233">
        <v>2.09</v>
      </c>
    </row>
    <row r="886" spans="1:4">
      <c r="A886">
        <v>11905</v>
      </c>
      <c r="B886" t="s">
        <v>7438</v>
      </c>
      <c r="C886" t="s">
        <v>6649</v>
      </c>
      <c r="D886" s="233">
        <v>2.81</v>
      </c>
    </row>
    <row r="887" spans="1:4">
      <c r="A887">
        <v>11906</v>
      </c>
      <c r="B887" t="s">
        <v>7439</v>
      </c>
      <c r="C887" t="s">
        <v>6649</v>
      </c>
      <c r="D887" s="233">
        <v>3.24</v>
      </c>
    </row>
    <row r="888" spans="1:4">
      <c r="A888">
        <v>11919</v>
      </c>
      <c r="B888" t="s">
        <v>7440</v>
      </c>
      <c r="C888" t="s">
        <v>6649</v>
      </c>
      <c r="D888" s="233">
        <v>6.35</v>
      </c>
    </row>
    <row r="889" spans="1:4">
      <c r="A889">
        <v>11920</v>
      </c>
      <c r="B889" t="s">
        <v>7441</v>
      </c>
      <c r="C889" t="s">
        <v>6649</v>
      </c>
      <c r="D889" s="233">
        <v>12.31</v>
      </c>
    </row>
    <row r="890" spans="1:4">
      <c r="A890">
        <v>11924</v>
      </c>
      <c r="B890" t="s">
        <v>7442</v>
      </c>
      <c r="C890" t="s">
        <v>6649</v>
      </c>
      <c r="D890" s="233">
        <v>119.71</v>
      </c>
    </row>
    <row r="891" spans="1:4">
      <c r="A891">
        <v>11921</v>
      </c>
      <c r="B891" t="s">
        <v>7443</v>
      </c>
      <c r="C891" t="s">
        <v>6649</v>
      </c>
      <c r="D891" s="233">
        <v>16.760000000000002</v>
      </c>
    </row>
    <row r="892" spans="1:4">
      <c r="A892">
        <v>11922</v>
      </c>
      <c r="B892" t="s">
        <v>7444</v>
      </c>
      <c r="C892" t="s">
        <v>6649</v>
      </c>
      <c r="D892" s="233">
        <v>29.75</v>
      </c>
    </row>
    <row r="893" spans="1:4">
      <c r="A893">
        <v>11923</v>
      </c>
      <c r="B893" t="s">
        <v>7445</v>
      </c>
      <c r="C893" t="s">
        <v>6649</v>
      </c>
      <c r="D893" s="233">
        <v>48.59</v>
      </c>
    </row>
    <row r="894" spans="1:4">
      <c r="A894">
        <v>11916</v>
      </c>
      <c r="B894" t="s">
        <v>7446</v>
      </c>
      <c r="C894" t="s">
        <v>6649</v>
      </c>
      <c r="D894" s="233">
        <v>8.24</v>
      </c>
    </row>
    <row r="895" spans="1:4">
      <c r="A895">
        <v>11914</v>
      </c>
      <c r="B895" t="s">
        <v>7447</v>
      </c>
      <c r="C895" t="s">
        <v>6649</v>
      </c>
      <c r="D895" s="233">
        <v>59.87</v>
      </c>
    </row>
    <row r="896" spans="1:4">
      <c r="A896">
        <v>11917</v>
      </c>
      <c r="B896" t="s">
        <v>7448</v>
      </c>
      <c r="C896" t="s">
        <v>6649</v>
      </c>
      <c r="D896" s="233">
        <v>14.35</v>
      </c>
    </row>
    <row r="897" spans="1:4">
      <c r="A897">
        <v>11918</v>
      </c>
      <c r="B897" t="s">
        <v>7449</v>
      </c>
      <c r="C897" t="s">
        <v>6649</v>
      </c>
      <c r="D897" s="233">
        <v>19.47</v>
      </c>
    </row>
    <row r="898" spans="1:4">
      <c r="A898">
        <v>37734</v>
      </c>
      <c r="B898" t="s">
        <v>7450</v>
      </c>
      <c r="C898" t="s">
        <v>6636</v>
      </c>
      <c r="D898" s="234">
        <v>40756.99</v>
      </c>
    </row>
    <row r="899" spans="1:4">
      <c r="A899">
        <v>42251</v>
      </c>
      <c r="B899" t="s">
        <v>7451</v>
      </c>
      <c r="C899" t="s">
        <v>6636</v>
      </c>
      <c r="D899" s="234">
        <v>46282.05</v>
      </c>
    </row>
    <row r="900" spans="1:4">
      <c r="A900">
        <v>37733</v>
      </c>
      <c r="B900" t="s">
        <v>7452</v>
      </c>
      <c r="C900" t="s">
        <v>6636</v>
      </c>
      <c r="D900" s="234">
        <v>30559.439999999999</v>
      </c>
    </row>
    <row r="901" spans="1:4">
      <c r="A901">
        <v>37735</v>
      </c>
      <c r="B901" t="s">
        <v>7453</v>
      </c>
      <c r="C901" t="s">
        <v>6636</v>
      </c>
      <c r="D901" s="234">
        <v>36824.120000000003</v>
      </c>
    </row>
    <row r="902" spans="1:4">
      <c r="A902">
        <v>41758</v>
      </c>
      <c r="B902" t="s">
        <v>12655</v>
      </c>
      <c r="C902" t="s">
        <v>6636</v>
      </c>
      <c r="D902" s="233">
        <v>144.72999999999999</v>
      </c>
    </row>
    <row r="903" spans="1:4">
      <c r="A903">
        <v>5090</v>
      </c>
      <c r="B903" t="s">
        <v>7454</v>
      </c>
      <c r="C903" t="s">
        <v>6636</v>
      </c>
      <c r="D903" s="233">
        <v>16.579999999999998</v>
      </c>
    </row>
    <row r="904" spans="1:4">
      <c r="A904">
        <v>5085</v>
      </c>
      <c r="B904" t="s">
        <v>7455</v>
      </c>
      <c r="C904" t="s">
        <v>6636</v>
      </c>
      <c r="D904" s="233">
        <v>18.48</v>
      </c>
    </row>
    <row r="905" spans="1:4">
      <c r="A905">
        <v>38374</v>
      </c>
      <c r="B905" t="s">
        <v>7456</v>
      </c>
      <c r="C905" t="s">
        <v>6636</v>
      </c>
      <c r="D905" s="233">
        <v>862.73</v>
      </c>
    </row>
    <row r="906" spans="1:4">
      <c r="A906">
        <v>20212</v>
      </c>
      <c r="B906" t="s">
        <v>7457</v>
      </c>
      <c r="C906" t="s">
        <v>6649</v>
      </c>
      <c r="D906" s="233">
        <v>9.34</v>
      </c>
    </row>
    <row r="907" spans="1:4">
      <c r="A907">
        <v>4430</v>
      </c>
      <c r="B907" t="s">
        <v>7458</v>
      </c>
      <c r="C907" t="s">
        <v>6649</v>
      </c>
      <c r="D907" s="233">
        <v>5.93</v>
      </c>
    </row>
    <row r="908" spans="1:4">
      <c r="A908">
        <v>4400</v>
      </c>
      <c r="B908" t="s">
        <v>7459</v>
      </c>
      <c r="C908" t="s">
        <v>6649</v>
      </c>
      <c r="D908" s="233">
        <v>7.49</v>
      </c>
    </row>
    <row r="909" spans="1:4">
      <c r="A909">
        <v>4500</v>
      </c>
      <c r="B909" t="s">
        <v>7460</v>
      </c>
      <c r="C909" t="s">
        <v>6649</v>
      </c>
      <c r="D909" s="233">
        <v>18.170000000000002</v>
      </c>
    </row>
    <row r="910" spans="1:4">
      <c r="A910">
        <v>4513</v>
      </c>
      <c r="B910" t="s">
        <v>7461</v>
      </c>
      <c r="C910" t="s">
        <v>6649</v>
      </c>
      <c r="D910" s="233">
        <v>4.87</v>
      </c>
    </row>
    <row r="911" spans="1:4">
      <c r="A911">
        <v>4496</v>
      </c>
      <c r="B911" t="s">
        <v>7462</v>
      </c>
      <c r="C911" t="s">
        <v>6649</v>
      </c>
      <c r="D911" s="233">
        <v>4.01</v>
      </c>
    </row>
    <row r="912" spans="1:4">
      <c r="A912">
        <v>11871</v>
      </c>
      <c r="B912" t="s">
        <v>7463</v>
      </c>
      <c r="C912" t="s">
        <v>6636</v>
      </c>
      <c r="D912" s="233">
        <v>264</v>
      </c>
    </row>
    <row r="913" spans="1:4">
      <c r="A913">
        <v>34636</v>
      </c>
      <c r="B913" t="s">
        <v>770</v>
      </c>
      <c r="C913" t="s">
        <v>6636</v>
      </c>
      <c r="D913" s="233">
        <v>279</v>
      </c>
    </row>
    <row r="914" spans="1:4">
      <c r="A914">
        <v>34639</v>
      </c>
      <c r="B914" t="s">
        <v>7464</v>
      </c>
      <c r="C914" t="s">
        <v>6636</v>
      </c>
      <c r="D914" s="233">
        <v>566.64</v>
      </c>
    </row>
    <row r="915" spans="1:4">
      <c r="A915">
        <v>34640</v>
      </c>
      <c r="B915" t="s">
        <v>7465</v>
      </c>
      <c r="C915" t="s">
        <v>6636</v>
      </c>
      <c r="D915" s="233">
        <v>636.49</v>
      </c>
    </row>
    <row r="916" spans="1:4">
      <c r="A916">
        <v>34637</v>
      </c>
      <c r="B916" t="s">
        <v>7466</v>
      </c>
      <c r="C916" t="s">
        <v>6636</v>
      </c>
      <c r="D916" s="233">
        <v>160.18</v>
      </c>
    </row>
    <row r="917" spans="1:4">
      <c r="A917">
        <v>34638</v>
      </c>
      <c r="B917" t="s">
        <v>7467</v>
      </c>
      <c r="C917" t="s">
        <v>6636</v>
      </c>
      <c r="D917" s="233">
        <v>274.7</v>
      </c>
    </row>
    <row r="918" spans="1:4">
      <c r="A918">
        <v>11868</v>
      </c>
      <c r="B918" t="s">
        <v>7468</v>
      </c>
      <c r="C918" t="s">
        <v>6636</v>
      </c>
      <c r="D918" s="233">
        <v>362.83</v>
      </c>
    </row>
    <row r="919" spans="1:4">
      <c r="A919">
        <v>37106</v>
      </c>
      <c r="B919" t="s">
        <v>7469</v>
      </c>
      <c r="C919" t="s">
        <v>6636</v>
      </c>
      <c r="D919" s="234">
        <v>3504.54</v>
      </c>
    </row>
    <row r="920" spans="1:4">
      <c r="A920">
        <v>11869</v>
      </c>
      <c r="B920" t="s">
        <v>7470</v>
      </c>
      <c r="C920" t="s">
        <v>6636</v>
      </c>
      <c r="D920" s="233">
        <v>588.69000000000005</v>
      </c>
    </row>
    <row r="921" spans="1:4">
      <c r="A921">
        <v>37104</v>
      </c>
      <c r="B921" t="s">
        <v>7471</v>
      </c>
      <c r="C921" t="s">
        <v>6636</v>
      </c>
      <c r="D921" s="233">
        <v>758.85</v>
      </c>
    </row>
    <row r="922" spans="1:4">
      <c r="A922">
        <v>37105</v>
      </c>
      <c r="B922" t="s">
        <v>7472</v>
      </c>
      <c r="C922" t="s">
        <v>6636</v>
      </c>
      <c r="D922" s="234">
        <v>1690.09</v>
      </c>
    </row>
    <row r="923" spans="1:4">
      <c r="A923">
        <v>43094</v>
      </c>
      <c r="B923" t="s">
        <v>12254</v>
      </c>
      <c r="C923" t="s">
        <v>6636</v>
      </c>
      <c r="D923" s="233">
        <v>185.5</v>
      </c>
    </row>
    <row r="924" spans="1:4">
      <c r="A924">
        <v>43093</v>
      </c>
      <c r="B924" t="s">
        <v>12255</v>
      </c>
      <c r="C924" t="s">
        <v>6636</v>
      </c>
      <c r="D924" s="233">
        <v>197.14</v>
      </c>
    </row>
    <row r="925" spans="1:4">
      <c r="A925">
        <v>1030</v>
      </c>
      <c r="B925" t="s">
        <v>7473</v>
      </c>
      <c r="C925" t="s">
        <v>6636</v>
      </c>
      <c r="D925" s="233">
        <v>30.98</v>
      </c>
    </row>
    <row r="926" spans="1:4">
      <c r="A926">
        <v>11694</v>
      </c>
      <c r="B926" t="s">
        <v>7474</v>
      </c>
      <c r="C926" t="s">
        <v>6636</v>
      </c>
      <c r="D926" s="233">
        <v>684.82</v>
      </c>
    </row>
    <row r="927" spans="1:4">
      <c r="A927">
        <v>35277</v>
      </c>
      <c r="B927" t="s">
        <v>7475</v>
      </c>
      <c r="C927" t="s">
        <v>6636</v>
      </c>
      <c r="D927" s="233">
        <v>381.03</v>
      </c>
    </row>
    <row r="928" spans="1:4">
      <c r="A928">
        <v>10521</v>
      </c>
      <c r="B928" t="s">
        <v>7476</v>
      </c>
      <c r="C928" t="s">
        <v>6636</v>
      </c>
      <c r="D928" s="233">
        <v>185.43</v>
      </c>
    </row>
    <row r="929" spans="1:4">
      <c r="A929">
        <v>10885</v>
      </c>
      <c r="B929" t="s">
        <v>7477</v>
      </c>
      <c r="C929" t="s">
        <v>6636</v>
      </c>
      <c r="D929" s="233">
        <v>234.55</v>
      </c>
    </row>
    <row r="930" spans="1:4">
      <c r="A930">
        <v>20962</v>
      </c>
      <c r="B930" t="s">
        <v>7478</v>
      </c>
      <c r="C930" t="s">
        <v>6636</v>
      </c>
      <c r="D930" s="233">
        <v>194.27</v>
      </c>
    </row>
    <row r="931" spans="1:4">
      <c r="A931">
        <v>20963</v>
      </c>
      <c r="B931" t="s">
        <v>7479</v>
      </c>
      <c r="C931" t="s">
        <v>6636</v>
      </c>
      <c r="D931" s="233">
        <v>237.31</v>
      </c>
    </row>
    <row r="932" spans="1:4">
      <c r="A932">
        <v>2555</v>
      </c>
      <c r="B932" t="s">
        <v>7480</v>
      </c>
      <c r="C932" t="s">
        <v>6636</v>
      </c>
      <c r="D932" s="233">
        <v>1.03</v>
      </c>
    </row>
    <row r="933" spans="1:4">
      <c r="A933">
        <v>2556</v>
      </c>
      <c r="B933" t="s">
        <v>7481</v>
      </c>
      <c r="C933" t="s">
        <v>6636</v>
      </c>
      <c r="D933" s="233">
        <v>1.07</v>
      </c>
    </row>
    <row r="934" spans="1:4">
      <c r="A934">
        <v>2557</v>
      </c>
      <c r="B934" t="s">
        <v>7482</v>
      </c>
      <c r="C934" t="s">
        <v>6636</v>
      </c>
      <c r="D934" s="233">
        <v>2.2599999999999998</v>
      </c>
    </row>
    <row r="935" spans="1:4">
      <c r="A935">
        <v>10569</v>
      </c>
      <c r="B935" t="s">
        <v>12256</v>
      </c>
      <c r="C935" t="s">
        <v>6636</v>
      </c>
      <c r="D935" s="233">
        <v>2.2599999999999998</v>
      </c>
    </row>
    <row r="936" spans="1:4">
      <c r="A936">
        <v>39810</v>
      </c>
      <c r="B936" t="s">
        <v>12257</v>
      </c>
      <c r="C936" t="s">
        <v>6636</v>
      </c>
      <c r="D936" s="233">
        <v>25.03</v>
      </c>
    </row>
    <row r="937" spans="1:4">
      <c r="A937">
        <v>39811</v>
      </c>
      <c r="B937" t="s">
        <v>12258</v>
      </c>
      <c r="C937" t="s">
        <v>6636</v>
      </c>
      <c r="D937" s="233">
        <v>30.62</v>
      </c>
    </row>
    <row r="938" spans="1:4">
      <c r="A938">
        <v>39812</v>
      </c>
      <c r="B938" t="s">
        <v>12259</v>
      </c>
      <c r="C938" t="s">
        <v>6636</v>
      </c>
      <c r="D938" s="233">
        <v>50.35</v>
      </c>
    </row>
    <row r="939" spans="1:4">
      <c r="A939">
        <v>43096</v>
      </c>
      <c r="B939" t="s">
        <v>12260</v>
      </c>
      <c r="C939" t="s">
        <v>6636</v>
      </c>
      <c r="D939" s="233">
        <v>166.89</v>
      </c>
    </row>
    <row r="940" spans="1:4">
      <c r="A940">
        <v>43102</v>
      </c>
      <c r="B940" t="s">
        <v>12261</v>
      </c>
      <c r="C940" t="s">
        <v>6636</v>
      </c>
      <c r="D940" s="233">
        <v>101.48</v>
      </c>
    </row>
    <row r="941" spans="1:4">
      <c r="A941">
        <v>43103</v>
      </c>
      <c r="B941" t="s">
        <v>12262</v>
      </c>
      <c r="C941" t="s">
        <v>6636</v>
      </c>
      <c r="D941" s="233">
        <v>149.43</v>
      </c>
    </row>
    <row r="942" spans="1:4">
      <c r="A942">
        <v>43098</v>
      </c>
      <c r="B942" t="s">
        <v>12263</v>
      </c>
      <c r="C942" t="s">
        <v>6636</v>
      </c>
      <c r="D942" s="233">
        <v>56.53</v>
      </c>
    </row>
    <row r="943" spans="1:4">
      <c r="A943">
        <v>43097</v>
      </c>
      <c r="B943" t="s">
        <v>12264</v>
      </c>
      <c r="C943" t="s">
        <v>6636</v>
      </c>
      <c r="D943" s="233">
        <v>33.49</v>
      </c>
    </row>
    <row r="944" spans="1:4">
      <c r="A944">
        <v>43104</v>
      </c>
      <c r="B944" t="s">
        <v>12265</v>
      </c>
      <c r="C944" t="s">
        <v>6636</v>
      </c>
      <c r="D944" s="233">
        <v>396.19</v>
      </c>
    </row>
    <row r="945" spans="1:4">
      <c r="A945">
        <v>39771</v>
      </c>
      <c r="B945" t="s">
        <v>7483</v>
      </c>
      <c r="C945" t="s">
        <v>6636</v>
      </c>
      <c r="D945" s="233">
        <v>21.75</v>
      </c>
    </row>
    <row r="946" spans="1:4">
      <c r="A946">
        <v>39772</v>
      </c>
      <c r="B946" t="s">
        <v>7484</v>
      </c>
      <c r="C946" t="s">
        <v>6636</v>
      </c>
      <c r="D946" s="233">
        <v>42.76</v>
      </c>
    </row>
    <row r="947" spans="1:4">
      <c r="A947">
        <v>39773</v>
      </c>
      <c r="B947" t="s">
        <v>7485</v>
      </c>
      <c r="C947" t="s">
        <v>6636</v>
      </c>
      <c r="D947" s="233">
        <v>68.73</v>
      </c>
    </row>
    <row r="948" spans="1:4">
      <c r="A948">
        <v>39774</v>
      </c>
      <c r="B948" t="s">
        <v>7486</v>
      </c>
      <c r="C948" t="s">
        <v>6636</v>
      </c>
      <c r="D948" s="233">
        <v>102.8</v>
      </c>
    </row>
    <row r="949" spans="1:4">
      <c r="A949">
        <v>39775</v>
      </c>
      <c r="B949" t="s">
        <v>7487</v>
      </c>
      <c r="C949" t="s">
        <v>6636</v>
      </c>
      <c r="D949" s="233">
        <v>137.19999999999999</v>
      </c>
    </row>
    <row r="950" spans="1:4">
      <c r="A950">
        <v>39776</v>
      </c>
      <c r="B950" t="s">
        <v>7488</v>
      </c>
      <c r="C950" t="s">
        <v>6636</v>
      </c>
      <c r="D950" s="233">
        <v>165.81</v>
      </c>
    </row>
    <row r="951" spans="1:4">
      <c r="A951">
        <v>39777</v>
      </c>
      <c r="B951" t="s">
        <v>7489</v>
      </c>
      <c r="C951" t="s">
        <v>6636</v>
      </c>
      <c r="D951" s="233">
        <v>210.16</v>
      </c>
    </row>
    <row r="952" spans="1:4">
      <c r="A952">
        <v>20254</v>
      </c>
      <c r="B952" t="s">
        <v>12266</v>
      </c>
      <c r="C952" t="s">
        <v>6636</v>
      </c>
      <c r="D952" s="233">
        <v>15.25</v>
      </c>
    </row>
    <row r="953" spans="1:4">
      <c r="A953">
        <v>20253</v>
      </c>
      <c r="B953" t="s">
        <v>12267</v>
      </c>
      <c r="C953" t="s">
        <v>6636</v>
      </c>
      <c r="D953" s="233">
        <v>50.09</v>
      </c>
    </row>
    <row r="954" spans="1:4">
      <c r="A954">
        <v>11247</v>
      </c>
      <c r="B954" t="s">
        <v>12268</v>
      </c>
      <c r="C954" t="s">
        <v>6636</v>
      </c>
      <c r="D954" s="233">
        <v>963.19</v>
      </c>
    </row>
    <row r="955" spans="1:4">
      <c r="A955">
        <v>11250</v>
      </c>
      <c r="B955" t="s">
        <v>12269</v>
      </c>
      <c r="C955" t="s">
        <v>6636</v>
      </c>
      <c r="D955" s="233">
        <v>41.46</v>
      </c>
    </row>
    <row r="956" spans="1:4">
      <c r="A956">
        <v>11249</v>
      </c>
      <c r="B956" t="s">
        <v>12270</v>
      </c>
      <c r="C956" t="s">
        <v>6636</v>
      </c>
      <c r="D956" s="234">
        <v>1881.45</v>
      </c>
    </row>
    <row r="957" spans="1:4">
      <c r="A957">
        <v>11251</v>
      </c>
      <c r="B957" t="s">
        <v>12271</v>
      </c>
      <c r="C957" t="s">
        <v>6636</v>
      </c>
      <c r="D957" s="233">
        <v>91.85</v>
      </c>
    </row>
    <row r="958" spans="1:4">
      <c r="A958">
        <v>11253</v>
      </c>
      <c r="B958" t="s">
        <v>12272</v>
      </c>
      <c r="C958" t="s">
        <v>6636</v>
      </c>
      <c r="D958" s="233">
        <v>152.19999999999999</v>
      </c>
    </row>
    <row r="959" spans="1:4">
      <c r="A959">
        <v>11255</v>
      </c>
      <c r="B959" t="s">
        <v>12273</v>
      </c>
      <c r="C959" t="s">
        <v>6636</v>
      </c>
      <c r="D959" s="233">
        <v>227.54</v>
      </c>
    </row>
    <row r="960" spans="1:4">
      <c r="A960">
        <v>14055</v>
      </c>
      <c r="B960" t="s">
        <v>12274</v>
      </c>
      <c r="C960" t="s">
        <v>6636</v>
      </c>
      <c r="D960" s="233">
        <v>457.74</v>
      </c>
    </row>
    <row r="961" spans="1:4">
      <c r="A961">
        <v>11256</v>
      </c>
      <c r="B961" t="s">
        <v>12275</v>
      </c>
      <c r="C961" t="s">
        <v>6636</v>
      </c>
      <c r="D961" s="233">
        <v>285.02</v>
      </c>
    </row>
    <row r="962" spans="1:4">
      <c r="A962">
        <v>1872</v>
      </c>
      <c r="B962" t="s">
        <v>7490</v>
      </c>
      <c r="C962" t="s">
        <v>6636</v>
      </c>
      <c r="D962" s="233">
        <v>1.66</v>
      </c>
    </row>
    <row r="963" spans="1:4">
      <c r="A963">
        <v>1873</v>
      </c>
      <c r="B963" t="s">
        <v>7491</v>
      </c>
      <c r="C963" t="s">
        <v>6636</v>
      </c>
      <c r="D963" s="233">
        <v>3.3</v>
      </c>
    </row>
    <row r="964" spans="1:4">
      <c r="A964">
        <v>39693</v>
      </c>
      <c r="B964" t="s">
        <v>7492</v>
      </c>
      <c r="C964" t="s">
        <v>6636</v>
      </c>
      <c r="D964" s="234">
        <v>1790.09</v>
      </c>
    </row>
    <row r="965" spans="1:4">
      <c r="A965">
        <v>39692</v>
      </c>
      <c r="B965" t="s">
        <v>7493</v>
      </c>
      <c r="C965" t="s">
        <v>6636</v>
      </c>
      <c r="D965" s="233">
        <v>572.79</v>
      </c>
    </row>
    <row r="966" spans="1:4">
      <c r="A966">
        <v>3280</v>
      </c>
      <c r="B966" t="s">
        <v>7494</v>
      </c>
      <c r="C966" t="s">
        <v>6636</v>
      </c>
      <c r="D966" s="233">
        <v>149.91</v>
      </c>
    </row>
    <row r="967" spans="1:4">
      <c r="A967">
        <v>11881</v>
      </c>
      <c r="B967" t="s">
        <v>7495</v>
      </c>
      <c r="C967" t="s">
        <v>6636</v>
      </c>
      <c r="D967" s="233">
        <v>69.62</v>
      </c>
    </row>
    <row r="968" spans="1:4">
      <c r="A968">
        <v>34641</v>
      </c>
      <c r="B968" t="s">
        <v>7496</v>
      </c>
      <c r="C968" t="s">
        <v>6636</v>
      </c>
      <c r="D968" s="233">
        <v>56.14</v>
      </c>
    </row>
    <row r="969" spans="1:4">
      <c r="A969">
        <v>34643</v>
      </c>
      <c r="B969" t="s">
        <v>7497</v>
      </c>
      <c r="C969" t="s">
        <v>6636</v>
      </c>
      <c r="D969" s="233">
        <v>12.33</v>
      </c>
    </row>
    <row r="970" spans="1:4">
      <c r="A970">
        <v>3278</v>
      </c>
      <c r="B970" t="s">
        <v>7498</v>
      </c>
      <c r="C970" t="s">
        <v>6636</v>
      </c>
      <c r="D970" s="233">
        <v>78.599999999999994</v>
      </c>
    </row>
    <row r="971" spans="1:4">
      <c r="A971">
        <v>3279</v>
      </c>
      <c r="B971" t="s">
        <v>7499</v>
      </c>
      <c r="C971" t="s">
        <v>6636</v>
      </c>
      <c r="D971" s="233">
        <v>129.69</v>
      </c>
    </row>
    <row r="972" spans="1:4">
      <c r="A972">
        <v>1062</v>
      </c>
      <c r="B972" t="s">
        <v>12276</v>
      </c>
      <c r="C972" t="s">
        <v>6636</v>
      </c>
      <c r="D972" s="233">
        <v>126.95</v>
      </c>
    </row>
    <row r="973" spans="1:4">
      <c r="A973">
        <v>39686</v>
      </c>
      <c r="B973" t="s">
        <v>12277</v>
      </c>
      <c r="C973" t="s">
        <v>6636</v>
      </c>
      <c r="D973" s="233">
        <v>293.93</v>
      </c>
    </row>
    <row r="974" spans="1:4">
      <c r="A974">
        <v>43095</v>
      </c>
      <c r="B974" t="s">
        <v>12278</v>
      </c>
      <c r="C974" t="s">
        <v>6636</v>
      </c>
      <c r="D974" s="233">
        <v>109.98</v>
      </c>
    </row>
    <row r="975" spans="1:4">
      <c r="A975">
        <v>1871</v>
      </c>
      <c r="B975" t="s">
        <v>7500</v>
      </c>
      <c r="C975" t="s">
        <v>6636</v>
      </c>
      <c r="D975" s="233">
        <v>2.97</v>
      </c>
    </row>
    <row r="976" spans="1:4">
      <c r="A976">
        <v>12001</v>
      </c>
      <c r="B976" t="s">
        <v>7501</v>
      </c>
      <c r="C976" t="s">
        <v>6636</v>
      </c>
      <c r="D976" s="233">
        <v>4.29</v>
      </c>
    </row>
    <row r="977" spans="1:4">
      <c r="A977">
        <v>11882</v>
      </c>
      <c r="B977" t="s">
        <v>7502</v>
      </c>
      <c r="C977" t="s">
        <v>6636</v>
      </c>
      <c r="D977" s="233">
        <v>78.599999999999994</v>
      </c>
    </row>
    <row r="978" spans="1:4">
      <c r="A978">
        <v>1068</v>
      </c>
      <c r="B978" t="s">
        <v>12279</v>
      </c>
      <c r="C978" t="s">
        <v>6636</v>
      </c>
      <c r="D978" s="234">
        <v>1197.3599999999999</v>
      </c>
    </row>
    <row r="979" spans="1:4">
      <c r="A979">
        <v>39690</v>
      </c>
      <c r="B979" t="s">
        <v>12280</v>
      </c>
      <c r="C979" t="s">
        <v>6636</v>
      </c>
      <c r="D979" s="234">
        <v>2008.77</v>
      </c>
    </row>
    <row r="980" spans="1:4">
      <c r="A980">
        <v>39691</v>
      </c>
      <c r="B980" t="s">
        <v>12281</v>
      </c>
      <c r="C980" t="s">
        <v>6636</v>
      </c>
      <c r="D980" s="234">
        <v>2526.4699999999998</v>
      </c>
    </row>
    <row r="981" spans="1:4">
      <c r="A981">
        <v>39808</v>
      </c>
      <c r="B981" t="s">
        <v>12282</v>
      </c>
      <c r="C981" t="s">
        <v>6636</v>
      </c>
      <c r="D981" s="233">
        <v>57.41</v>
      </c>
    </row>
    <row r="982" spans="1:4">
      <c r="A982">
        <v>39809</v>
      </c>
      <c r="B982" t="s">
        <v>12283</v>
      </c>
      <c r="C982" t="s">
        <v>6636</v>
      </c>
      <c r="D982" s="233">
        <v>136.18</v>
      </c>
    </row>
    <row r="983" spans="1:4">
      <c r="A983">
        <v>11713</v>
      </c>
      <c r="B983" t="s">
        <v>7503</v>
      </c>
      <c r="C983" t="s">
        <v>6636</v>
      </c>
      <c r="D983" s="233">
        <v>26.77</v>
      </c>
    </row>
    <row r="984" spans="1:4">
      <c r="A984">
        <v>11716</v>
      </c>
      <c r="B984" t="s">
        <v>7504</v>
      </c>
      <c r="C984" t="s">
        <v>6636</v>
      </c>
      <c r="D984" s="233">
        <v>11.43</v>
      </c>
    </row>
    <row r="985" spans="1:4">
      <c r="A985">
        <v>5103</v>
      </c>
      <c r="B985" t="s">
        <v>7505</v>
      </c>
      <c r="C985" t="s">
        <v>6636</v>
      </c>
      <c r="D985" s="233">
        <v>11.59</v>
      </c>
    </row>
    <row r="986" spans="1:4">
      <c r="A986">
        <v>11712</v>
      </c>
      <c r="B986" t="s">
        <v>902</v>
      </c>
      <c r="C986" t="s">
        <v>6636</v>
      </c>
      <c r="D986" s="233">
        <v>26.99</v>
      </c>
    </row>
    <row r="987" spans="1:4">
      <c r="A987">
        <v>11717</v>
      </c>
      <c r="B987" t="s">
        <v>7506</v>
      </c>
      <c r="C987" t="s">
        <v>6636</v>
      </c>
      <c r="D987" s="233">
        <v>29.33</v>
      </c>
    </row>
    <row r="988" spans="1:4">
      <c r="A988">
        <v>11714</v>
      </c>
      <c r="B988" t="s">
        <v>7507</v>
      </c>
      <c r="C988" t="s">
        <v>6636</v>
      </c>
      <c r="D988" s="233">
        <v>36.49</v>
      </c>
    </row>
    <row r="989" spans="1:4">
      <c r="A989">
        <v>11715</v>
      </c>
      <c r="B989" t="s">
        <v>7508</v>
      </c>
      <c r="C989" t="s">
        <v>6636</v>
      </c>
      <c r="D989" s="233">
        <v>41.98</v>
      </c>
    </row>
    <row r="990" spans="1:4">
      <c r="A990">
        <v>11880</v>
      </c>
      <c r="B990" t="s">
        <v>7509</v>
      </c>
      <c r="C990" t="s">
        <v>6636</v>
      </c>
      <c r="D990" s="233">
        <v>75.47</v>
      </c>
    </row>
    <row r="991" spans="1:4">
      <c r="A991">
        <v>1106</v>
      </c>
      <c r="B991" t="s">
        <v>840</v>
      </c>
      <c r="C991" t="s">
        <v>6698</v>
      </c>
      <c r="D991" s="233">
        <v>0.57999999999999996</v>
      </c>
    </row>
    <row r="992" spans="1:4">
      <c r="A992">
        <v>11161</v>
      </c>
      <c r="B992" t="s">
        <v>7510</v>
      </c>
      <c r="C992" t="s">
        <v>6698</v>
      </c>
      <c r="D992" s="233">
        <v>0.96</v>
      </c>
    </row>
    <row r="993" spans="1:4">
      <c r="A993">
        <v>1107</v>
      </c>
      <c r="B993" t="s">
        <v>7511</v>
      </c>
      <c r="C993" t="s">
        <v>6698</v>
      </c>
      <c r="D993" s="233">
        <v>0.66</v>
      </c>
    </row>
    <row r="994" spans="1:4">
      <c r="A994">
        <v>4758</v>
      </c>
      <c r="B994" t="s">
        <v>7512</v>
      </c>
      <c r="C994" t="s">
        <v>6640</v>
      </c>
      <c r="D994" s="233">
        <v>18.03</v>
      </c>
    </row>
    <row r="995" spans="1:4">
      <c r="A995">
        <v>41080</v>
      </c>
      <c r="B995" t="s">
        <v>7513</v>
      </c>
      <c r="C995" t="s">
        <v>6785</v>
      </c>
      <c r="D995" s="234">
        <v>3199.76</v>
      </c>
    </row>
    <row r="996" spans="1:4">
      <c r="A996">
        <v>25963</v>
      </c>
      <c r="B996" t="s">
        <v>7514</v>
      </c>
      <c r="C996" t="s">
        <v>6698</v>
      </c>
      <c r="D996" s="233">
        <v>0.11</v>
      </c>
    </row>
    <row r="997" spans="1:4">
      <c r="A997">
        <v>4759</v>
      </c>
      <c r="B997" t="s">
        <v>7515</v>
      </c>
      <c r="C997" t="s">
        <v>6640</v>
      </c>
      <c r="D997" s="233">
        <v>14.64</v>
      </c>
    </row>
    <row r="998" spans="1:4">
      <c r="A998">
        <v>41068</v>
      </c>
      <c r="B998" t="s">
        <v>7516</v>
      </c>
      <c r="C998" t="s">
        <v>6785</v>
      </c>
      <c r="D998" s="234">
        <v>2597.38</v>
      </c>
    </row>
    <row r="999" spans="1:4">
      <c r="A999">
        <v>1108</v>
      </c>
      <c r="B999" t="s">
        <v>7517</v>
      </c>
      <c r="C999" t="s">
        <v>6649</v>
      </c>
      <c r="D999" s="233">
        <v>19.52</v>
      </c>
    </row>
    <row r="1000" spans="1:4">
      <c r="A1000">
        <v>1117</v>
      </c>
      <c r="B1000" t="s">
        <v>7518</v>
      </c>
      <c r="C1000" t="s">
        <v>6649</v>
      </c>
      <c r="D1000" s="233">
        <v>19.68</v>
      </c>
    </row>
    <row r="1001" spans="1:4">
      <c r="A1001">
        <v>1118</v>
      </c>
      <c r="B1001" t="s">
        <v>7519</v>
      </c>
      <c r="C1001" t="s">
        <v>6649</v>
      </c>
      <c r="D1001" s="233">
        <v>23.26</v>
      </c>
    </row>
    <row r="1002" spans="1:4">
      <c r="A1002">
        <v>1110</v>
      </c>
      <c r="B1002" t="s">
        <v>7520</v>
      </c>
      <c r="C1002" t="s">
        <v>6649</v>
      </c>
      <c r="D1002" s="233">
        <v>23.26</v>
      </c>
    </row>
    <row r="1003" spans="1:4">
      <c r="A1003">
        <v>12618</v>
      </c>
      <c r="B1003" t="s">
        <v>7521</v>
      </c>
      <c r="C1003" t="s">
        <v>6636</v>
      </c>
      <c r="D1003" s="233">
        <v>35.94</v>
      </c>
    </row>
    <row r="1004" spans="1:4">
      <c r="A1004">
        <v>40784</v>
      </c>
      <c r="B1004" t="s">
        <v>12284</v>
      </c>
      <c r="C1004" t="s">
        <v>6649</v>
      </c>
      <c r="D1004" s="233">
        <v>64.150000000000006</v>
      </c>
    </row>
    <row r="1005" spans="1:4">
      <c r="A1005">
        <v>40782</v>
      </c>
      <c r="B1005" t="s">
        <v>12285</v>
      </c>
      <c r="C1005" t="s">
        <v>6649</v>
      </c>
      <c r="D1005" s="233">
        <v>25.17</v>
      </c>
    </row>
    <row r="1006" spans="1:4">
      <c r="A1006">
        <v>40783</v>
      </c>
      <c r="B1006" t="s">
        <v>12286</v>
      </c>
      <c r="C1006" t="s">
        <v>6649</v>
      </c>
      <c r="D1006" s="233">
        <v>32.79</v>
      </c>
    </row>
    <row r="1007" spans="1:4">
      <c r="A1007">
        <v>1109</v>
      </c>
      <c r="B1007" t="s">
        <v>7522</v>
      </c>
      <c r="C1007" t="s">
        <v>6649</v>
      </c>
      <c r="D1007" s="233">
        <v>19.52</v>
      </c>
    </row>
    <row r="1008" spans="1:4">
      <c r="A1008">
        <v>1119</v>
      </c>
      <c r="B1008" t="s">
        <v>7523</v>
      </c>
      <c r="C1008" t="s">
        <v>6649</v>
      </c>
      <c r="D1008" s="233">
        <v>12.58</v>
      </c>
    </row>
    <row r="1009" spans="1:4">
      <c r="A1009">
        <v>13115</v>
      </c>
      <c r="B1009" t="s">
        <v>7524</v>
      </c>
      <c r="C1009" t="s">
        <v>6649</v>
      </c>
      <c r="D1009" s="233">
        <v>15.23</v>
      </c>
    </row>
    <row r="1010" spans="1:4">
      <c r="A1010">
        <v>10541</v>
      </c>
      <c r="B1010" t="s">
        <v>7525</v>
      </c>
      <c r="C1010" t="s">
        <v>6649</v>
      </c>
      <c r="D1010" s="233">
        <v>17.690000000000001</v>
      </c>
    </row>
    <row r="1011" spans="1:4">
      <c r="A1011">
        <v>10543</v>
      </c>
      <c r="B1011" t="s">
        <v>7526</v>
      </c>
      <c r="C1011" t="s">
        <v>6649</v>
      </c>
      <c r="D1011" s="233">
        <v>34.33</v>
      </c>
    </row>
    <row r="1012" spans="1:4">
      <c r="A1012">
        <v>10544</v>
      </c>
      <c r="B1012" t="s">
        <v>7527</v>
      </c>
      <c r="C1012" t="s">
        <v>6649</v>
      </c>
      <c r="D1012" s="233">
        <v>41.28</v>
      </c>
    </row>
    <row r="1013" spans="1:4">
      <c r="A1013">
        <v>10545</v>
      </c>
      <c r="B1013" t="s">
        <v>7528</v>
      </c>
      <c r="C1013" t="s">
        <v>6649</v>
      </c>
      <c r="D1013" s="233">
        <v>63.32</v>
      </c>
    </row>
    <row r="1014" spans="1:4">
      <c r="A1014">
        <v>10542</v>
      </c>
      <c r="B1014" t="s">
        <v>7529</v>
      </c>
      <c r="C1014" t="s">
        <v>6649</v>
      </c>
      <c r="D1014" s="233">
        <v>24.37</v>
      </c>
    </row>
    <row r="1015" spans="1:4">
      <c r="A1015">
        <v>38365</v>
      </c>
      <c r="B1015" t="s">
        <v>7530</v>
      </c>
      <c r="C1015" t="s">
        <v>6638</v>
      </c>
      <c r="D1015" s="233">
        <v>1.53</v>
      </c>
    </row>
    <row r="1016" spans="1:4">
      <c r="A1016">
        <v>37745</v>
      </c>
      <c r="B1016" t="s">
        <v>7531</v>
      </c>
      <c r="C1016" t="s">
        <v>6636</v>
      </c>
      <c r="D1016" s="234">
        <v>237000</v>
      </c>
    </row>
    <row r="1017" spans="1:4">
      <c r="A1017">
        <v>37754</v>
      </c>
      <c r="B1017" t="s">
        <v>7532</v>
      </c>
      <c r="C1017" t="s">
        <v>6636</v>
      </c>
      <c r="D1017" s="234">
        <v>247500</v>
      </c>
    </row>
    <row r="1018" spans="1:4">
      <c r="A1018">
        <v>37748</v>
      </c>
      <c r="B1018" t="s">
        <v>7533</v>
      </c>
      <c r="C1018" t="s">
        <v>6636</v>
      </c>
      <c r="D1018" s="234">
        <v>251962.49</v>
      </c>
    </row>
    <row r="1019" spans="1:4">
      <c r="A1019">
        <v>37761</v>
      </c>
      <c r="B1019" t="s">
        <v>7534</v>
      </c>
      <c r="C1019" t="s">
        <v>6636</v>
      </c>
      <c r="D1019" s="234">
        <v>208499.99</v>
      </c>
    </row>
    <row r="1020" spans="1:4">
      <c r="A1020">
        <v>37757</v>
      </c>
      <c r="B1020" t="s">
        <v>7535</v>
      </c>
      <c r="C1020" t="s">
        <v>6636</v>
      </c>
      <c r="D1020" s="234">
        <v>290249.98</v>
      </c>
    </row>
    <row r="1021" spans="1:4">
      <c r="A1021">
        <v>37759</v>
      </c>
      <c r="B1021" t="s">
        <v>7536</v>
      </c>
      <c r="C1021" t="s">
        <v>6636</v>
      </c>
      <c r="D1021" s="234">
        <v>291375</v>
      </c>
    </row>
    <row r="1022" spans="1:4">
      <c r="A1022">
        <v>37766</v>
      </c>
      <c r="B1022" t="s">
        <v>7537</v>
      </c>
      <c r="C1022" t="s">
        <v>6636</v>
      </c>
      <c r="D1022" s="234">
        <v>291374.98</v>
      </c>
    </row>
    <row r="1023" spans="1:4">
      <c r="A1023">
        <v>37752</v>
      </c>
      <c r="B1023" t="s">
        <v>7538</v>
      </c>
      <c r="C1023" t="s">
        <v>6636</v>
      </c>
      <c r="D1023" s="234">
        <v>264224.99</v>
      </c>
    </row>
    <row r="1024" spans="1:4">
      <c r="A1024">
        <v>37760</v>
      </c>
      <c r="B1024" t="s">
        <v>7539</v>
      </c>
      <c r="C1024" t="s">
        <v>6636</v>
      </c>
      <c r="D1024" s="234">
        <v>278249.99</v>
      </c>
    </row>
    <row r="1025" spans="1:4">
      <c r="A1025">
        <v>37765</v>
      </c>
      <c r="B1025" t="s">
        <v>7540</v>
      </c>
      <c r="C1025" t="s">
        <v>6636</v>
      </c>
      <c r="D1025" s="234">
        <v>194250.01</v>
      </c>
    </row>
    <row r="1026" spans="1:4">
      <c r="A1026">
        <v>37746</v>
      </c>
      <c r="B1026" t="s">
        <v>7541</v>
      </c>
      <c r="C1026" t="s">
        <v>6636</v>
      </c>
      <c r="D1026" s="234">
        <v>212962.48</v>
      </c>
    </row>
    <row r="1027" spans="1:4">
      <c r="A1027">
        <v>37750</v>
      </c>
      <c r="B1027" t="s">
        <v>7542</v>
      </c>
      <c r="C1027" t="s">
        <v>6636</v>
      </c>
      <c r="D1027" s="234">
        <v>212212.5</v>
      </c>
    </row>
    <row r="1028" spans="1:4">
      <c r="A1028">
        <v>37753</v>
      </c>
      <c r="B1028" t="s">
        <v>7543</v>
      </c>
      <c r="C1028" t="s">
        <v>6636</v>
      </c>
      <c r="D1028" s="234">
        <v>211462.49</v>
      </c>
    </row>
    <row r="1029" spans="1:4">
      <c r="A1029">
        <v>37756</v>
      </c>
      <c r="B1029" t="s">
        <v>7544</v>
      </c>
      <c r="C1029" t="s">
        <v>6636</v>
      </c>
      <c r="D1029" s="234">
        <v>208499.99</v>
      </c>
    </row>
    <row r="1030" spans="1:4">
      <c r="A1030">
        <v>37755</v>
      </c>
      <c r="B1030" t="s">
        <v>7545</v>
      </c>
      <c r="C1030" t="s">
        <v>6636</v>
      </c>
      <c r="D1030" s="234">
        <v>302999.99</v>
      </c>
    </row>
    <row r="1031" spans="1:4">
      <c r="A1031">
        <v>37758</v>
      </c>
      <c r="B1031" t="s">
        <v>7546</v>
      </c>
      <c r="C1031" t="s">
        <v>6636</v>
      </c>
      <c r="D1031" s="234">
        <v>342000</v>
      </c>
    </row>
    <row r="1032" spans="1:4">
      <c r="A1032">
        <v>37747</v>
      </c>
      <c r="B1032" t="s">
        <v>7547</v>
      </c>
      <c r="C1032" t="s">
        <v>6636</v>
      </c>
      <c r="D1032" s="234">
        <v>307724.99</v>
      </c>
    </row>
    <row r="1033" spans="1:4">
      <c r="A1033">
        <v>37767</v>
      </c>
      <c r="B1033" t="s">
        <v>7548</v>
      </c>
      <c r="C1033" t="s">
        <v>6636</v>
      </c>
      <c r="D1033" s="234">
        <v>324750</v>
      </c>
    </row>
    <row r="1034" spans="1:4">
      <c r="A1034">
        <v>37751</v>
      </c>
      <c r="B1034" t="s">
        <v>7549</v>
      </c>
      <c r="C1034" t="s">
        <v>6636</v>
      </c>
      <c r="D1034" s="234">
        <v>324750</v>
      </c>
    </row>
    <row r="1035" spans="1:4">
      <c r="A1035">
        <v>37749</v>
      </c>
      <c r="B1035" t="s">
        <v>7550</v>
      </c>
      <c r="C1035" t="s">
        <v>6636</v>
      </c>
      <c r="D1035" s="234">
        <v>321000</v>
      </c>
    </row>
    <row r="1036" spans="1:4">
      <c r="A1036">
        <v>1159</v>
      </c>
      <c r="B1036" t="s">
        <v>7551</v>
      </c>
      <c r="C1036" t="s">
        <v>6636</v>
      </c>
      <c r="D1036" s="234">
        <v>162042.74</v>
      </c>
    </row>
    <row r="1037" spans="1:4">
      <c r="A1037">
        <v>12114</v>
      </c>
      <c r="B1037" t="s">
        <v>7552</v>
      </c>
      <c r="C1037" t="s">
        <v>6636</v>
      </c>
      <c r="D1037" s="233">
        <v>88.48</v>
      </c>
    </row>
    <row r="1038" spans="1:4">
      <c r="A1038">
        <v>38106</v>
      </c>
      <c r="B1038" t="s">
        <v>7553</v>
      </c>
      <c r="C1038" t="s">
        <v>6636</v>
      </c>
      <c r="D1038" s="233">
        <v>12.02</v>
      </c>
    </row>
    <row r="1039" spans="1:4">
      <c r="A1039">
        <v>38085</v>
      </c>
      <c r="B1039" t="s">
        <v>7554</v>
      </c>
      <c r="C1039" t="s">
        <v>6636</v>
      </c>
      <c r="D1039" s="233">
        <v>14.2</v>
      </c>
    </row>
    <row r="1040" spans="1:4">
      <c r="A1040">
        <v>38599</v>
      </c>
      <c r="B1040" t="s">
        <v>7555</v>
      </c>
      <c r="C1040" t="s">
        <v>6636</v>
      </c>
      <c r="D1040" s="233">
        <v>3.68</v>
      </c>
    </row>
    <row r="1041" spans="1:4">
      <c r="A1041">
        <v>38596</v>
      </c>
      <c r="B1041" t="s">
        <v>7556</v>
      </c>
      <c r="C1041" t="s">
        <v>6636</v>
      </c>
      <c r="D1041" s="233">
        <v>2.5099999999999998</v>
      </c>
    </row>
    <row r="1042" spans="1:4">
      <c r="A1042">
        <v>38600</v>
      </c>
      <c r="B1042" t="s">
        <v>7557</v>
      </c>
      <c r="C1042" t="s">
        <v>6636</v>
      </c>
      <c r="D1042" s="233">
        <v>4.33</v>
      </c>
    </row>
    <row r="1043" spans="1:4">
      <c r="A1043">
        <v>38597</v>
      </c>
      <c r="B1043" t="s">
        <v>7558</v>
      </c>
      <c r="C1043" t="s">
        <v>6636</v>
      </c>
      <c r="D1043" s="233">
        <v>3.07</v>
      </c>
    </row>
    <row r="1044" spans="1:4">
      <c r="A1044">
        <v>659</v>
      </c>
      <c r="B1044" t="s">
        <v>7559</v>
      </c>
      <c r="C1044" t="s">
        <v>6636</v>
      </c>
      <c r="D1044" s="233">
        <v>1.49</v>
      </c>
    </row>
    <row r="1045" spans="1:4">
      <c r="A1045">
        <v>660</v>
      </c>
      <c r="B1045" t="s">
        <v>7560</v>
      </c>
      <c r="C1045" t="s">
        <v>6636</v>
      </c>
      <c r="D1045" s="233">
        <v>2.19</v>
      </c>
    </row>
    <row r="1046" spans="1:4">
      <c r="A1046">
        <v>658</v>
      </c>
      <c r="B1046" t="s">
        <v>7561</v>
      </c>
      <c r="C1046" t="s">
        <v>6636</v>
      </c>
      <c r="D1046" s="233">
        <v>1.2</v>
      </c>
    </row>
    <row r="1047" spans="1:4">
      <c r="A1047">
        <v>38548</v>
      </c>
      <c r="B1047" t="s">
        <v>7562</v>
      </c>
      <c r="C1047" t="s">
        <v>6636</v>
      </c>
      <c r="D1047" s="233">
        <v>1.25</v>
      </c>
    </row>
    <row r="1048" spans="1:4">
      <c r="A1048">
        <v>34647</v>
      </c>
      <c r="B1048" t="s">
        <v>7563</v>
      </c>
      <c r="C1048" t="s">
        <v>6636</v>
      </c>
      <c r="D1048" s="233">
        <v>2.17</v>
      </c>
    </row>
    <row r="1049" spans="1:4">
      <c r="A1049">
        <v>34649</v>
      </c>
      <c r="B1049" t="s">
        <v>7564</v>
      </c>
      <c r="C1049" t="s">
        <v>6636</v>
      </c>
      <c r="D1049" s="233">
        <v>2.23</v>
      </c>
    </row>
    <row r="1050" spans="1:4">
      <c r="A1050">
        <v>34652</v>
      </c>
      <c r="B1050" t="s">
        <v>7565</v>
      </c>
      <c r="C1050" t="s">
        <v>6636</v>
      </c>
      <c r="D1050" s="233">
        <v>3.04</v>
      </c>
    </row>
    <row r="1051" spans="1:4">
      <c r="A1051">
        <v>34655</v>
      </c>
      <c r="B1051" t="s">
        <v>7566</v>
      </c>
      <c r="C1051" t="s">
        <v>6636</v>
      </c>
      <c r="D1051" s="233">
        <v>2.94</v>
      </c>
    </row>
    <row r="1052" spans="1:4">
      <c r="A1052">
        <v>40607</v>
      </c>
      <c r="B1052" t="s">
        <v>7567</v>
      </c>
      <c r="C1052" t="s">
        <v>6636</v>
      </c>
      <c r="D1052" s="233">
        <v>4.25</v>
      </c>
    </row>
    <row r="1053" spans="1:4">
      <c r="A1053">
        <v>585</v>
      </c>
      <c r="B1053" t="s">
        <v>7568</v>
      </c>
      <c r="C1053" t="s">
        <v>6698</v>
      </c>
      <c r="D1053" s="233">
        <v>21.96</v>
      </c>
    </row>
    <row r="1054" spans="1:4">
      <c r="A1054">
        <v>4777</v>
      </c>
      <c r="B1054" t="s">
        <v>7569</v>
      </c>
      <c r="C1054" t="s">
        <v>6698</v>
      </c>
      <c r="D1054" s="233">
        <v>5.19</v>
      </c>
    </row>
    <row r="1055" spans="1:4">
      <c r="A1055">
        <v>587</v>
      </c>
      <c r="B1055" t="s">
        <v>7570</v>
      </c>
      <c r="C1055" t="s">
        <v>6698</v>
      </c>
      <c r="D1055" s="233">
        <v>23.53</v>
      </c>
    </row>
    <row r="1056" spans="1:4">
      <c r="A1056">
        <v>590</v>
      </c>
      <c r="B1056" t="s">
        <v>7571</v>
      </c>
      <c r="C1056" t="s">
        <v>6698</v>
      </c>
      <c r="D1056" s="233">
        <v>22.74</v>
      </c>
    </row>
    <row r="1057" spans="1:4">
      <c r="A1057">
        <v>592</v>
      </c>
      <c r="B1057" t="s">
        <v>842</v>
      </c>
      <c r="C1057" t="s">
        <v>6698</v>
      </c>
      <c r="D1057" s="233">
        <v>23.53</v>
      </c>
    </row>
    <row r="1058" spans="1:4">
      <c r="A1058">
        <v>586</v>
      </c>
      <c r="B1058" t="s">
        <v>7572</v>
      </c>
      <c r="C1058" t="s">
        <v>6649</v>
      </c>
      <c r="D1058" s="233">
        <v>13.83</v>
      </c>
    </row>
    <row r="1059" spans="1:4">
      <c r="A1059">
        <v>591</v>
      </c>
      <c r="B1059" t="s">
        <v>7573</v>
      </c>
      <c r="C1059" t="s">
        <v>6698</v>
      </c>
      <c r="D1059" s="233">
        <v>21.96</v>
      </c>
    </row>
    <row r="1060" spans="1:4">
      <c r="A1060">
        <v>588</v>
      </c>
      <c r="B1060" t="s">
        <v>7574</v>
      </c>
      <c r="C1060" t="s">
        <v>6649</v>
      </c>
      <c r="D1060" s="233">
        <v>21.88</v>
      </c>
    </row>
    <row r="1061" spans="1:4">
      <c r="A1061">
        <v>589</v>
      </c>
      <c r="B1061" t="s">
        <v>7575</v>
      </c>
      <c r="C1061" t="s">
        <v>6649</v>
      </c>
      <c r="D1061" s="233">
        <v>36.979999999999997</v>
      </c>
    </row>
    <row r="1062" spans="1:4">
      <c r="A1062">
        <v>584</v>
      </c>
      <c r="B1062" t="s">
        <v>7576</v>
      </c>
      <c r="C1062" t="s">
        <v>6649</v>
      </c>
      <c r="D1062" s="233">
        <v>23.37</v>
      </c>
    </row>
    <row r="1063" spans="1:4">
      <c r="A1063">
        <v>574</v>
      </c>
      <c r="B1063" t="s">
        <v>7577</v>
      </c>
      <c r="C1063" t="s">
        <v>6649</v>
      </c>
      <c r="D1063" s="233">
        <v>19.7</v>
      </c>
    </row>
    <row r="1064" spans="1:4">
      <c r="A1064">
        <v>567</v>
      </c>
      <c r="B1064" t="s">
        <v>7578</v>
      </c>
      <c r="C1064" t="s">
        <v>6649</v>
      </c>
      <c r="D1064" s="233">
        <v>7.3</v>
      </c>
    </row>
    <row r="1065" spans="1:4">
      <c r="A1065">
        <v>568</v>
      </c>
      <c r="B1065" t="s">
        <v>7579</v>
      </c>
      <c r="C1065" t="s">
        <v>6649</v>
      </c>
      <c r="D1065" s="233">
        <v>44.2</v>
      </c>
    </row>
    <row r="1066" spans="1:4">
      <c r="A1066">
        <v>569</v>
      </c>
      <c r="B1066" t="s">
        <v>7580</v>
      </c>
      <c r="C1066" t="s">
        <v>6698</v>
      </c>
      <c r="D1066" s="233">
        <v>6.15</v>
      </c>
    </row>
    <row r="1067" spans="1:4">
      <c r="A1067">
        <v>1165</v>
      </c>
      <c r="B1067" t="s">
        <v>7581</v>
      </c>
      <c r="C1067" t="s">
        <v>6636</v>
      </c>
      <c r="D1067" s="233">
        <v>9.5299999999999994</v>
      </c>
    </row>
    <row r="1068" spans="1:4">
      <c r="A1068">
        <v>1164</v>
      </c>
      <c r="B1068" t="s">
        <v>7582</v>
      </c>
      <c r="C1068" t="s">
        <v>6636</v>
      </c>
      <c r="D1068" s="233">
        <v>7.71</v>
      </c>
    </row>
    <row r="1069" spans="1:4">
      <c r="A1069">
        <v>1162</v>
      </c>
      <c r="B1069" t="s">
        <v>7583</v>
      </c>
      <c r="C1069" t="s">
        <v>6636</v>
      </c>
      <c r="D1069" s="233">
        <v>2.68</v>
      </c>
    </row>
    <row r="1070" spans="1:4">
      <c r="A1070">
        <v>12395</v>
      </c>
      <c r="B1070" t="s">
        <v>7584</v>
      </c>
      <c r="C1070" t="s">
        <v>6636</v>
      </c>
      <c r="D1070" s="233">
        <v>2.6</v>
      </c>
    </row>
    <row r="1071" spans="1:4">
      <c r="A1071">
        <v>1170</v>
      </c>
      <c r="B1071" t="s">
        <v>7585</v>
      </c>
      <c r="C1071" t="s">
        <v>6636</v>
      </c>
      <c r="D1071" s="233">
        <v>5.05</v>
      </c>
    </row>
    <row r="1072" spans="1:4">
      <c r="A1072">
        <v>1169</v>
      </c>
      <c r="B1072" t="s">
        <v>7586</v>
      </c>
      <c r="C1072" t="s">
        <v>6636</v>
      </c>
      <c r="D1072" s="233">
        <v>24.83</v>
      </c>
    </row>
    <row r="1073" spans="1:4">
      <c r="A1073">
        <v>1166</v>
      </c>
      <c r="B1073" t="s">
        <v>7587</v>
      </c>
      <c r="C1073" t="s">
        <v>6636</v>
      </c>
      <c r="D1073" s="233">
        <v>13.76</v>
      </c>
    </row>
    <row r="1074" spans="1:4">
      <c r="A1074">
        <v>1163</v>
      </c>
      <c r="B1074" t="s">
        <v>7588</v>
      </c>
      <c r="C1074" t="s">
        <v>6636</v>
      </c>
      <c r="D1074" s="233">
        <v>3.47</v>
      </c>
    </row>
    <row r="1075" spans="1:4">
      <c r="A1075">
        <v>12396</v>
      </c>
      <c r="B1075" t="s">
        <v>7589</v>
      </c>
      <c r="C1075" t="s">
        <v>6636</v>
      </c>
      <c r="D1075" s="233">
        <v>2.6</v>
      </c>
    </row>
    <row r="1076" spans="1:4">
      <c r="A1076">
        <v>1168</v>
      </c>
      <c r="B1076" t="s">
        <v>7590</v>
      </c>
      <c r="C1076" t="s">
        <v>6636</v>
      </c>
      <c r="D1076" s="233">
        <v>35.39</v>
      </c>
    </row>
    <row r="1077" spans="1:4">
      <c r="A1077">
        <v>1167</v>
      </c>
      <c r="B1077" t="s">
        <v>7591</v>
      </c>
      <c r="C1077" t="s">
        <v>6636</v>
      </c>
      <c r="D1077" s="233">
        <v>59.2</v>
      </c>
    </row>
    <row r="1078" spans="1:4">
      <c r="A1078">
        <v>36331</v>
      </c>
      <c r="B1078" t="s">
        <v>7592</v>
      </c>
      <c r="C1078" t="s">
        <v>6636</v>
      </c>
      <c r="D1078" s="233">
        <v>1.2</v>
      </c>
    </row>
    <row r="1079" spans="1:4">
      <c r="A1079">
        <v>36346</v>
      </c>
      <c r="B1079" t="s">
        <v>7593</v>
      </c>
      <c r="C1079" t="s">
        <v>6636</v>
      </c>
      <c r="D1079" s="233">
        <v>2.0699999999999998</v>
      </c>
    </row>
    <row r="1080" spans="1:4">
      <c r="A1080">
        <v>1210</v>
      </c>
      <c r="B1080" t="s">
        <v>7594</v>
      </c>
      <c r="C1080" t="s">
        <v>6636</v>
      </c>
      <c r="D1080" s="233">
        <v>8.67</v>
      </c>
    </row>
    <row r="1081" spans="1:4">
      <c r="A1081">
        <v>1203</v>
      </c>
      <c r="B1081" t="s">
        <v>7595</v>
      </c>
      <c r="C1081" t="s">
        <v>6636</v>
      </c>
      <c r="D1081" s="233">
        <v>8.4</v>
      </c>
    </row>
    <row r="1082" spans="1:4">
      <c r="A1082">
        <v>1197</v>
      </c>
      <c r="B1082" t="s">
        <v>7596</v>
      </c>
      <c r="C1082" t="s">
        <v>6636</v>
      </c>
      <c r="D1082" s="233">
        <v>1.07</v>
      </c>
    </row>
    <row r="1083" spans="1:4">
      <c r="A1083">
        <v>1202</v>
      </c>
      <c r="B1083" t="s">
        <v>7597</v>
      </c>
      <c r="C1083" t="s">
        <v>6636</v>
      </c>
      <c r="D1083" s="233">
        <v>2.89</v>
      </c>
    </row>
    <row r="1084" spans="1:4">
      <c r="A1084">
        <v>1188</v>
      </c>
      <c r="B1084" t="s">
        <v>7598</v>
      </c>
      <c r="C1084" t="s">
        <v>6636</v>
      </c>
      <c r="D1084" s="233">
        <v>17.07</v>
      </c>
    </row>
    <row r="1085" spans="1:4">
      <c r="A1085">
        <v>1211</v>
      </c>
      <c r="B1085" t="s">
        <v>7599</v>
      </c>
      <c r="C1085" t="s">
        <v>6636</v>
      </c>
      <c r="D1085" s="233">
        <v>8.81</v>
      </c>
    </row>
    <row r="1086" spans="1:4">
      <c r="A1086">
        <v>1198</v>
      </c>
      <c r="B1086" t="s">
        <v>7600</v>
      </c>
      <c r="C1086" t="s">
        <v>6636</v>
      </c>
      <c r="D1086" s="233">
        <v>1.59</v>
      </c>
    </row>
    <row r="1087" spans="1:4">
      <c r="A1087">
        <v>1199</v>
      </c>
      <c r="B1087" t="s">
        <v>7601</v>
      </c>
      <c r="C1087" t="s">
        <v>6636</v>
      </c>
      <c r="D1087" s="233">
        <v>22.3</v>
      </c>
    </row>
    <row r="1088" spans="1:4">
      <c r="A1088">
        <v>20088</v>
      </c>
      <c r="B1088" t="s">
        <v>7602</v>
      </c>
      <c r="C1088" t="s">
        <v>6636</v>
      </c>
      <c r="D1088" s="233">
        <v>10.3</v>
      </c>
    </row>
    <row r="1089" spans="1:4">
      <c r="A1089">
        <v>20089</v>
      </c>
      <c r="B1089" t="s">
        <v>7603</v>
      </c>
      <c r="C1089" t="s">
        <v>6636</v>
      </c>
      <c r="D1089" s="233">
        <v>49.12</v>
      </c>
    </row>
    <row r="1090" spans="1:4">
      <c r="A1090">
        <v>20087</v>
      </c>
      <c r="B1090" t="s">
        <v>7604</v>
      </c>
      <c r="C1090" t="s">
        <v>6636</v>
      </c>
      <c r="D1090" s="233">
        <v>7.42</v>
      </c>
    </row>
    <row r="1091" spans="1:4">
      <c r="A1091">
        <v>1200</v>
      </c>
      <c r="B1091" t="s">
        <v>7605</v>
      </c>
      <c r="C1091" t="s">
        <v>6636</v>
      </c>
      <c r="D1091" s="233">
        <v>6.02</v>
      </c>
    </row>
    <row r="1092" spans="1:4">
      <c r="A1092">
        <v>12909</v>
      </c>
      <c r="B1092" t="s">
        <v>7606</v>
      </c>
      <c r="C1092" t="s">
        <v>6636</v>
      </c>
      <c r="D1092" s="233">
        <v>2.73</v>
      </c>
    </row>
    <row r="1093" spans="1:4">
      <c r="A1093">
        <v>12910</v>
      </c>
      <c r="B1093" t="s">
        <v>7607</v>
      </c>
      <c r="C1093" t="s">
        <v>6636</v>
      </c>
      <c r="D1093" s="233">
        <v>4.5599999999999996</v>
      </c>
    </row>
    <row r="1094" spans="1:4">
      <c r="A1094">
        <v>1184</v>
      </c>
      <c r="B1094" t="s">
        <v>7608</v>
      </c>
      <c r="C1094" t="s">
        <v>6636</v>
      </c>
      <c r="D1094" s="233">
        <v>54.84</v>
      </c>
    </row>
    <row r="1095" spans="1:4">
      <c r="A1095">
        <v>1191</v>
      </c>
      <c r="B1095" t="s">
        <v>7609</v>
      </c>
      <c r="C1095" t="s">
        <v>6636</v>
      </c>
      <c r="D1095" s="233">
        <v>0.78</v>
      </c>
    </row>
    <row r="1096" spans="1:4">
      <c r="A1096">
        <v>1185</v>
      </c>
      <c r="B1096" t="s">
        <v>7610</v>
      </c>
      <c r="C1096" t="s">
        <v>6636</v>
      </c>
      <c r="D1096" s="233">
        <v>0.89</v>
      </c>
    </row>
    <row r="1097" spans="1:4">
      <c r="A1097">
        <v>1189</v>
      </c>
      <c r="B1097" t="s">
        <v>7611</v>
      </c>
      <c r="C1097" t="s">
        <v>6636</v>
      </c>
      <c r="D1097" s="233">
        <v>1.54</v>
      </c>
    </row>
    <row r="1098" spans="1:4">
      <c r="A1098">
        <v>1193</v>
      </c>
      <c r="B1098" t="s">
        <v>7612</v>
      </c>
      <c r="C1098" t="s">
        <v>6636</v>
      </c>
      <c r="D1098" s="233">
        <v>2.97</v>
      </c>
    </row>
    <row r="1099" spans="1:4">
      <c r="A1099">
        <v>1194</v>
      </c>
      <c r="B1099" t="s">
        <v>7613</v>
      </c>
      <c r="C1099" t="s">
        <v>6636</v>
      </c>
      <c r="D1099" s="233">
        <v>5.62</v>
      </c>
    </row>
    <row r="1100" spans="1:4">
      <c r="A1100">
        <v>1195</v>
      </c>
      <c r="B1100" t="s">
        <v>7614</v>
      </c>
      <c r="C1100" t="s">
        <v>6636</v>
      </c>
      <c r="D1100" s="233">
        <v>8.4499999999999993</v>
      </c>
    </row>
    <row r="1101" spans="1:4">
      <c r="A1101">
        <v>1204</v>
      </c>
      <c r="B1101" t="s">
        <v>7615</v>
      </c>
      <c r="C1101" t="s">
        <v>6636</v>
      </c>
      <c r="D1101" s="233">
        <v>15.38</v>
      </c>
    </row>
    <row r="1102" spans="1:4">
      <c r="A1102">
        <v>1205</v>
      </c>
      <c r="B1102" t="s">
        <v>7616</v>
      </c>
      <c r="C1102" t="s">
        <v>6636</v>
      </c>
      <c r="D1102" s="233">
        <v>36.479999999999997</v>
      </c>
    </row>
    <row r="1103" spans="1:4">
      <c r="A1103">
        <v>1207</v>
      </c>
      <c r="B1103" t="s">
        <v>7617</v>
      </c>
      <c r="C1103" t="s">
        <v>6636</v>
      </c>
      <c r="D1103" s="233">
        <v>22.43</v>
      </c>
    </row>
    <row r="1104" spans="1:4">
      <c r="A1104">
        <v>1206</v>
      </c>
      <c r="B1104" t="s">
        <v>7618</v>
      </c>
      <c r="C1104" t="s">
        <v>6636</v>
      </c>
      <c r="D1104" s="233">
        <v>5.62</v>
      </c>
    </row>
    <row r="1105" spans="1:4">
      <c r="A1105">
        <v>1183</v>
      </c>
      <c r="B1105" t="s">
        <v>7619</v>
      </c>
      <c r="C1105" t="s">
        <v>6636</v>
      </c>
      <c r="D1105" s="233">
        <v>14.65</v>
      </c>
    </row>
    <row r="1106" spans="1:4">
      <c r="A1106">
        <v>42685</v>
      </c>
      <c r="B1106" t="s">
        <v>7620</v>
      </c>
      <c r="C1106" t="s">
        <v>6636</v>
      </c>
      <c r="D1106" s="233">
        <v>42.77</v>
      </c>
    </row>
    <row r="1107" spans="1:4">
      <c r="A1107">
        <v>42686</v>
      </c>
      <c r="B1107" t="s">
        <v>7621</v>
      </c>
      <c r="C1107" t="s">
        <v>6636</v>
      </c>
      <c r="D1107" s="233">
        <v>66.599999999999994</v>
      </c>
    </row>
    <row r="1108" spans="1:4">
      <c r="A1108">
        <v>12894</v>
      </c>
      <c r="B1108" t="s">
        <v>7622</v>
      </c>
      <c r="C1108" t="s">
        <v>6636</v>
      </c>
      <c r="D1108" s="233">
        <v>15.53</v>
      </c>
    </row>
    <row r="1109" spans="1:4">
      <c r="A1109">
        <v>12895</v>
      </c>
      <c r="B1109" t="s">
        <v>7623</v>
      </c>
      <c r="C1109" t="s">
        <v>6636</v>
      </c>
      <c r="D1109" s="233">
        <v>11.95</v>
      </c>
    </row>
    <row r="1110" spans="1:4">
      <c r="A1110">
        <v>1631</v>
      </c>
      <c r="B1110" t="s">
        <v>7624</v>
      </c>
      <c r="C1110" t="s">
        <v>6636</v>
      </c>
      <c r="D1110" s="233">
        <v>118.56</v>
      </c>
    </row>
    <row r="1111" spans="1:4">
      <c r="A1111">
        <v>1633</v>
      </c>
      <c r="B1111" t="s">
        <v>7625</v>
      </c>
      <c r="C1111" t="s">
        <v>6636</v>
      </c>
      <c r="D1111" s="233">
        <v>201.44</v>
      </c>
    </row>
    <row r="1112" spans="1:4">
      <c r="A1112">
        <v>10818</v>
      </c>
      <c r="B1112" t="s">
        <v>7626</v>
      </c>
      <c r="C1112" t="s">
        <v>6698</v>
      </c>
      <c r="D1112" s="233">
        <v>26.28</v>
      </c>
    </row>
    <row r="1113" spans="1:4">
      <c r="A1113">
        <v>39359</v>
      </c>
      <c r="B1113" t="s">
        <v>7627</v>
      </c>
      <c r="C1113" t="s">
        <v>6636</v>
      </c>
      <c r="D1113" s="233">
        <v>21.49</v>
      </c>
    </row>
    <row r="1114" spans="1:4">
      <c r="A1114">
        <v>39360</v>
      </c>
      <c r="B1114" t="s">
        <v>7628</v>
      </c>
      <c r="C1114" t="s">
        <v>6636</v>
      </c>
      <c r="D1114" s="233">
        <v>19.53</v>
      </c>
    </row>
    <row r="1115" spans="1:4">
      <c r="A1115">
        <v>10710</v>
      </c>
      <c r="B1115" t="s">
        <v>7629</v>
      </c>
      <c r="C1115" t="s">
        <v>6638</v>
      </c>
      <c r="D1115" s="233">
        <v>92.83</v>
      </c>
    </row>
    <row r="1116" spans="1:4">
      <c r="A1116">
        <v>10709</v>
      </c>
      <c r="B1116" t="s">
        <v>7630</v>
      </c>
      <c r="C1116" t="s">
        <v>6638</v>
      </c>
      <c r="D1116" s="233">
        <v>114.04</v>
      </c>
    </row>
    <row r="1117" spans="1:4">
      <c r="A1117">
        <v>39636</v>
      </c>
      <c r="B1117" t="s">
        <v>7631</v>
      </c>
      <c r="C1117" t="s">
        <v>6638</v>
      </c>
      <c r="D1117" s="233">
        <v>116.45</v>
      </c>
    </row>
    <row r="1118" spans="1:4">
      <c r="A1118">
        <v>10708</v>
      </c>
      <c r="B1118" t="s">
        <v>7632</v>
      </c>
      <c r="C1118" t="s">
        <v>6638</v>
      </c>
      <c r="D1118" s="233">
        <v>35.93</v>
      </c>
    </row>
    <row r="1119" spans="1:4">
      <c r="A1119">
        <v>39635</v>
      </c>
      <c r="B1119" t="s">
        <v>7633</v>
      </c>
      <c r="C1119" t="s">
        <v>6638</v>
      </c>
      <c r="D1119" s="233">
        <v>61.18</v>
      </c>
    </row>
    <row r="1120" spans="1:4">
      <c r="A1120">
        <v>6117</v>
      </c>
      <c r="B1120" t="s">
        <v>7634</v>
      </c>
      <c r="C1120" t="s">
        <v>6640</v>
      </c>
      <c r="D1120" s="233">
        <v>11.66</v>
      </c>
    </row>
    <row r="1121" spans="1:4">
      <c r="A1121">
        <v>40913</v>
      </c>
      <c r="B1121" t="s">
        <v>7635</v>
      </c>
      <c r="C1121" t="s">
        <v>6785</v>
      </c>
      <c r="D1121" s="234">
        <v>2069.31</v>
      </c>
    </row>
    <row r="1122" spans="1:4">
      <c r="A1122">
        <v>1214</v>
      </c>
      <c r="B1122" t="s">
        <v>7636</v>
      </c>
      <c r="C1122" t="s">
        <v>6640</v>
      </c>
      <c r="D1122" s="233">
        <v>16.149999999999999</v>
      </c>
    </row>
    <row r="1123" spans="1:4">
      <c r="A1123">
        <v>40915</v>
      </c>
      <c r="B1123" t="s">
        <v>7637</v>
      </c>
      <c r="C1123" t="s">
        <v>6785</v>
      </c>
      <c r="D1123" s="234">
        <v>2867.93</v>
      </c>
    </row>
    <row r="1124" spans="1:4">
      <c r="A1124">
        <v>1213</v>
      </c>
      <c r="B1124" t="s">
        <v>7638</v>
      </c>
      <c r="C1124" t="s">
        <v>6640</v>
      </c>
      <c r="D1124" s="233">
        <v>14.81</v>
      </c>
    </row>
    <row r="1125" spans="1:4">
      <c r="A1125">
        <v>40914</v>
      </c>
      <c r="B1125" t="s">
        <v>7639</v>
      </c>
      <c r="C1125" t="s">
        <v>6785</v>
      </c>
      <c r="D1125" s="234">
        <v>2626.51</v>
      </c>
    </row>
    <row r="1126" spans="1:4">
      <c r="A1126">
        <v>5091</v>
      </c>
      <c r="B1126" t="s">
        <v>7640</v>
      </c>
      <c r="C1126" t="s">
        <v>6636</v>
      </c>
      <c r="D1126" s="233">
        <v>16.190000000000001</v>
      </c>
    </row>
    <row r="1127" spans="1:4">
      <c r="A1127">
        <v>14615</v>
      </c>
      <c r="B1127" t="s">
        <v>7641</v>
      </c>
      <c r="C1127" t="s">
        <v>6636</v>
      </c>
      <c r="D1127" s="234">
        <v>3371.77</v>
      </c>
    </row>
    <row r="1128" spans="1:4">
      <c r="A1128">
        <v>2711</v>
      </c>
      <c r="B1128" t="s">
        <v>7642</v>
      </c>
      <c r="C1128" t="s">
        <v>6636</v>
      </c>
      <c r="D1128" s="233">
        <v>119.9</v>
      </c>
    </row>
    <row r="1129" spans="1:4">
      <c r="A1129">
        <v>37727</v>
      </c>
      <c r="B1129" t="s">
        <v>7643</v>
      </c>
      <c r="C1129" t="s">
        <v>6636</v>
      </c>
      <c r="D1129" s="234">
        <v>9500</v>
      </c>
    </row>
    <row r="1130" spans="1:4">
      <c r="A1130">
        <v>37728</v>
      </c>
      <c r="B1130" t="s">
        <v>7644</v>
      </c>
      <c r="C1130" t="s">
        <v>6636</v>
      </c>
      <c r="D1130" s="234">
        <v>12888.11</v>
      </c>
    </row>
    <row r="1131" spans="1:4">
      <c r="A1131">
        <v>37729</v>
      </c>
      <c r="B1131" t="s">
        <v>7645</v>
      </c>
      <c r="C1131" t="s">
        <v>6636</v>
      </c>
      <c r="D1131" s="234">
        <v>13951.04</v>
      </c>
    </row>
    <row r="1132" spans="1:4">
      <c r="A1132">
        <v>37730</v>
      </c>
      <c r="B1132" t="s">
        <v>7646</v>
      </c>
      <c r="C1132" t="s">
        <v>6636</v>
      </c>
      <c r="D1132" s="234">
        <v>15013.98</v>
      </c>
    </row>
    <row r="1133" spans="1:4">
      <c r="A1133">
        <v>37731</v>
      </c>
      <c r="B1133" t="s">
        <v>7647</v>
      </c>
      <c r="C1133" t="s">
        <v>6636</v>
      </c>
      <c r="D1133" s="234">
        <v>16076.92</v>
      </c>
    </row>
    <row r="1134" spans="1:4">
      <c r="A1134">
        <v>37732</v>
      </c>
      <c r="B1134" t="s">
        <v>7648</v>
      </c>
      <c r="C1134" t="s">
        <v>6636</v>
      </c>
      <c r="D1134" s="234">
        <v>18335.66</v>
      </c>
    </row>
    <row r="1135" spans="1:4">
      <c r="A1135">
        <v>42250</v>
      </c>
      <c r="B1135" t="s">
        <v>7649</v>
      </c>
      <c r="C1135" t="s">
        <v>7650</v>
      </c>
      <c r="D1135" s="234">
        <v>2138.77</v>
      </c>
    </row>
    <row r="1136" spans="1:4">
      <c r="A1136">
        <v>42256</v>
      </c>
      <c r="B1136" t="s">
        <v>7651</v>
      </c>
      <c r="C1136" t="s">
        <v>6698</v>
      </c>
      <c r="D1136" s="233">
        <v>4.4800000000000004</v>
      </c>
    </row>
    <row r="1137" spans="1:4">
      <c r="A1137">
        <v>4743</v>
      </c>
      <c r="B1137" t="s">
        <v>7652</v>
      </c>
      <c r="C1137" t="s">
        <v>6781</v>
      </c>
      <c r="D1137" s="233">
        <v>37.090000000000003</v>
      </c>
    </row>
    <row r="1138" spans="1:4">
      <c r="A1138">
        <v>4744</v>
      </c>
      <c r="B1138" t="s">
        <v>7653</v>
      </c>
      <c r="C1138" t="s">
        <v>6781</v>
      </c>
      <c r="D1138" s="233">
        <v>48.48</v>
      </c>
    </row>
    <row r="1139" spans="1:4">
      <c r="A1139">
        <v>4745</v>
      </c>
      <c r="B1139" t="s">
        <v>7654</v>
      </c>
      <c r="C1139" t="s">
        <v>6781</v>
      </c>
      <c r="D1139" s="233">
        <v>64.959999999999994</v>
      </c>
    </row>
    <row r="1140" spans="1:4">
      <c r="A1140">
        <v>36496</v>
      </c>
      <c r="B1140" t="s">
        <v>7655</v>
      </c>
      <c r="C1140" t="s">
        <v>6636</v>
      </c>
      <c r="D1140" s="234">
        <v>8560.8700000000008</v>
      </c>
    </row>
    <row r="1141" spans="1:4">
      <c r="A1141">
        <v>10630</v>
      </c>
      <c r="B1141" t="s">
        <v>7656</v>
      </c>
      <c r="C1141" t="s">
        <v>6636</v>
      </c>
      <c r="D1141" s="234">
        <v>428426.07</v>
      </c>
    </row>
    <row r="1142" spans="1:4">
      <c r="A1142">
        <v>37762</v>
      </c>
      <c r="B1142" t="s">
        <v>7657</v>
      </c>
      <c r="C1142" t="s">
        <v>6636</v>
      </c>
      <c r="D1142" s="234">
        <v>367434.9</v>
      </c>
    </row>
    <row r="1143" spans="1:4">
      <c r="A1143">
        <v>37763</v>
      </c>
      <c r="B1143" t="s">
        <v>7658</v>
      </c>
      <c r="C1143" t="s">
        <v>6636</v>
      </c>
      <c r="D1143" s="234">
        <v>371897.65</v>
      </c>
    </row>
    <row r="1144" spans="1:4">
      <c r="A1144">
        <v>41992</v>
      </c>
      <c r="B1144" t="s">
        <v>7659</v>
      </c>
      <c r="C1144" t="s">
        <v>6636</v>
      </c>
      <c r="D1144" s="234">
        <v>422773.26</v>
      </c>
    </row>
    <row r="1145" spans="1:4">
      <c r="A1145">
        <v>13215</v>
      </c>
      <c r="B1145" t="s">
        <v>7660</v>
      </c>
      <c r="C1145" t="s">
        <v>6636</v>
      </c>
      <c r="D1145" s="234">
        <v>518425.32</v>
      </c>
    </row>
    <row r="1146" spans="1:4">
      <c r="A1146">
        <v>4235</v>
      </c>
      <c r="B1146" t="s">
        <v>7661</v>
      </c>
      <c r="C1146" t="s">
        <v>6640</v>
      </c>
      <c r="D1146" s="233">
        <v>8.8000000000000007</v>
      </c>
    </row>
    <row r="1147" spans="1:4">
      <c r="A1147">
        <v>40976</v>
      </c>
      <c r="B1147" t="s">
        <v>7662</v>
      </c>
      <c r="C1147" t="s">
        <v>6785</v>
      </c>
      <c r="D1147" s="234">
        <v>1562.97</v>
      </c>
    </row>
    <row r="1148" spans="1:4">
      <c r="A1148">
        <v>39013</v>
      </c>
      <c r="B1148" t="s">
        <v>7663</v>
      </c>
      <c r="C1148" t="s">
        <v>6636</v>
      </c>
      <c r="D1148" s="233">
        <v>0.98</v>
      </c>
    </row>
    <row r="1149" spans="1:4">
      <c r="A1149">
        <v>43091</v>
      </c>
      <c r="B1149" t="s">
        <v>12287</v>
      </c>
      <c r="C1149" t="s">
        <v>6636</v>
      </c>
      <c r="D1149" s="234">
        <v>4593.55</v>
      </c>
    </row>
    <row r="1150" spans="1:4">
      <c r="A1150">
        <v>43092</v>
      </c>
      <c r="B1150" t="s">
        <v>12288</v>
      </c>
      <c r="C1150" t="s">
        <v>6636</v>
      </c>
      <c r="D1150" s="234">
        <v>6124.74</v>
      </c>
    </row>
    <row r="1151" spans="1:4">
      <c r="A1151">
        <v>43089</v>
      </c>
      <c r="B1151" t="s">
        <v>12289</v>
      </c>
      <c r="C1151" t="s">
        <v>6636</v>
      </c>
      <c r="D1151" s="234">
        <v>1067.4100000000001</v>
      </c>
    </row>
    <row r="1152" spans="1:4">
      <c r="A1152">
        <v>43090</v>
      </c>
      <c r="B1152" t="s">
        <v>12290</v>
      </c>
      <c r="C1152" t="s">
        <v>6636</v>
      </c>
      <c r="D1152" s="234">
        <v>2355.67</v>
      </c>
    </row>
    <row r="1153" spans="1:4">
      <c r="A1153">
        <v>41967</v>
      </c>
      <c r="B1153" t="s">
        <v>7664</v>
      </c>
      <c r="C1153" t="s">
        <v>6700</v>
      </c>
      <c r="D1153" s="233">
        <v>6.89</v>
      </c>
    </row>
    <row r="1154" spans="1:4">
      <c r="A1154">
        <v>12760</v>
      </c>
      <c r="B1154" t="s">
        <v>7665</v>
      </c>
      <c r="C1154" t="s">
        <v>6638</v>
      </c>
      <c r="D1154" s="234">
        <v>1014.83</v>
      </c>
    </row>
    <row r="1155" spans="1:4">
      <c r="A1155">
        <v>12759</v>
      </c>
      <c r="B1155" t="s">
        <v>7666</v>
      </c>
      <c r="C1155" t="s">
        <v>6638</v>
      </c>
      <c r="D1155" s="233">
        <v>676.54</v>
      </c>
    </row>
    <row r="1156" spans="1:4">
      <c r="A1156">
        <v>43105</v>
      </c>
      <c r="B1156" t="s">
        <v>12291</v>
      </c>
      <c r="C1156" t="s">
        <v>6698</v>
      </c>
      <c r="D1156" s="233">
        <v>25.39</v>
      </c>
    </row>
    <row r="1157" spans="1:4">
      <c r="A1157">
        <v>40424</v>
      </c>
      <c r="B1157" t="s">
        <v>7667</v>
      </c>
      <c r="C1157" t="s">
        <v>6698</v>
      </c>
      <c r="D1157" s="233">
        <v>6.45</v>
      </c>
    </row>
    <row r="1158" spans="1:4">
      <c r="A1158">
        <v>1325</v>
      </c>
      <c r="B1158" t="s">
        <v>7668</v>
      </c>
      <c r="C1158" t="s">
        <v>6698</v>
      </c>
      <c r="D1158" s="233">
        <v>7.06</v>
      </c>
    </row>
    <row r="1159" spans="1:4">
      <c r="A1159">
        <v>1327</v>
      </c>
      <c r="B1159" t="s">
        <v>7669</v>
      </c>
      <c r="C1159" t="s">
        <v>6698</v>
      </c>
      <c r="D1159" s="233">
        <v>7.52</v>
      </c>
    </row>
    <row r="1160" spans="1:4">
      <c r="A1160">
        <v>1328</v>
      </c>
      <c r="B1160" t="s">
        <v>7670</v>
      </c>
      <c r="C1160" t="s">
        <v>6698</v>
      </c>
      <c r="D1160" s="233">
        <v>7.08</v>
      </c>
    </row>
    <row r="1161" spans="1:4">
      <c r="A1161">
        <v>1321</v>
      </c>
      <c r="B1161" t="s">
        <v>7671</v>
      </c>
      <c r="C1161" t="s">
        <v>6698</v>
      </c>
      <c r="D1161" s="233">
        <v>6.56</v>
      </c>
    </row>
    <row r="1162" spans="1:4">
      <c r="A1162">
        <v>1318</v>
      </c>
      <c r="B1162" t="s">
        <v>7672</v>
      </c>
      <c r="C1162" t="s">
        <v>6698</v>
      </c>
      <c r="D1162" s="233">
        <v>6.56</v>
      </c>
    </row>
    <row r="1163" spans="1:4">
      <c r="A1163">
        <v>1322</v>
      </c>
      <c r="B1163" t="s">
        <v>7673</v>
      </c>
      <c r="C1163" t="s">
        <v>6698</v>
      </c>
      <c r="D1163" s="233">
        <v>6.93</v>
      </c>
    </row>
    <row r="1164" spans="1:4">
      <c r="A1164">
        <v>1323</v>
      </c>
      <c r="B1164" t="s">
        <v>7674</v>
      </c>
      <c r="C1164" t="s">
        <v>6698</v>
      </c>
      <c r="D1164" s="233">
        <v>6.93</v>
      </c>
    </row>
    <row r="1165" spans="1:4">
      <c r="A1165">
        <v>1319</v>
      </c>
      <c r="B1165" t="s">
        <v>7675</v>
      </c>
      <c r="C1165" t="s">
        <v>6698</v>
      </c>
      <c r="D1165" s="233">
        <v>5.84</v>
      </c>
    </row>
    <row r="1166" spans="1:4">
      <c r="A1166">
        <v>11026</v>
      </c>
      <c r="B1166" t="s">
        <v>830</v>
      </c>
      <c r="C1166" t="s">
        <v>6698</v>
      </c>
      <c r="D1166" s="233">
        <v>8.0299999999999994</v>
      </c>
    </row>
    <row r="1167" spans="1:4">
      <c r="A1167">
        <v>11027</v>
      </c>
      <c r="B1167" t="s">
        <v>7676</v>
      </c>
      <c r="C1167" t="s">
        <v>6698</v>
      </c>
      <c r="D1167" s="233">
        <v>8.36</v>
      </c>
    </row>
    <row r="1168" spans="1:4">
      <c r="A1168">
        <v>11046</v>
      </c>
      <c r="B1168" t="s">
        <v>7677</v>
      </c>
      <c r="C1168" t="s">
        <v>6698</v>
      </c>
      <c r="D1168" s="233">
        <v>8.01</v>
      </c>
    </row>
    <row r="1169" spans="1:4">
      <c r="A1169">
        <v>11047</v>
      </c>
      <c r="B1169" t="s">
        <v>7678</v>
      </c>
      <c r="C1169" t="s">
        <v>6698</v>
      </c>
      <c r="D1169" s="233">
        <v>8.73</v>
      </c>
    </row>
    <row r="1170" spans="1:4">
      <c r="A1170">
        <v>43668</v>
      </c>
      <c r="B1170" t="s">
        <v>7679</v>
      </c>
      <c r="C1170" t="s">
        <v>6698</v>
      </c>
      <c r="D1170" s="233">
        <v>7.71</v>
      </c>
    </row>
    <row r="1171" spans="1:4">
      <c r="A1171">
        <v>11049</v>
      </c>
      <c r="B1171" t="s">
        <v>7680</v>
      </c>
      <c r="C1171" t="s">
        <v>6698</v>
      </c>
      <c r="D1171" s="233">
        <v>8.35</v>
      </c>
    </row>
    <row r="1172" spans="1:4">
      <c r="A1172">
        <v>43106</v>
      </c>
      <c r="B1172" t="s">
        <v>12292</v>
      </c>
      <c r="C1172" t="s">
        <v>6698</v>
      </c>
      <c r="D1172" s="233">
        <v>8.4</v>
      </c>
    </row>
    <row r="1173" spans="1:4">
      <c r="A1173">
        <v>11051</v>
      </c>
      <c r="B1173" t="s">
        <v>7681</v>
      </c>
      <c r="C1173" t="s">
        <v>6698</v>
      </c>
      <c r="D1173" s="233">
        <v>8.76</v>
      </c>
    </row>
    <row r="1174" spans="1:4">
      <c r="A1174">
        <v>11061</v>
      </c>
      <c r="B1174" t="s">
        <v>7682</v>
      </c>
      <c r="C1174" t="s">
        <v>6698</v>
      </c>
      <c r="D1174" s="233">
        <v>10.52</v>
      </c>
    </row>
    <row r="1175" spans="1:4">
      <c r="A1175">
        <v>43667</v>
      </c>
      <c r="B1175" t="s">
        <v>7683</v>
      </c>
      <c r="C1175" t="s">
        <v>6698</v>
      </c>
      <c r="D1175" s="233">
        <v>7.64</v>
      </c>
    </row>
    <row r="1176" spans="1:4">
      <c r="A1176">
        <v>1333</v>
      </c>
      <c r="B1176" t="s">
        <v>7684</v>
      </c>
      <c r="C1176" t="s">
        <v>6698</v>
      </c>
      <c r="D1176" s="233">
        <v>6.36</v>
      </c>
    </row>
    <row r="1177" spans="1:4">
      <c r="A1177">
        <v>1330</v>
      </c>
      <c r="B1177" t="s">
        <v>7685</v>
      </c>
      <c r="C1177" t="s">
        <v>6698</v>
      </c>
      <c r="D1177" s="233">
        <v>6.31</v>
      </c>
    </row>
    <row r="1178" spans="1:4">
      <c r="A1178">
        <v>10957</v>
      </c>
      <c r="B1178" t="s">
        <v>7686</v>
      </c>
      <c r="C1178" t="s">
        <v>6698</v>
      </c>
      <c r="D1178" s="233">
        <v>7.27</v>
      </c>
    </row>
    <row r="1179" spans="1:4">
      <c r="A1179">
        <v>1332</v>
      </c>
      <c r="B1179" t="s">
        <v>7687</v>
      </c>
      <c r="C1179" t="s">
        <v>6698</v>
      </c>
      <c r="D1179" s="233">
        <v>6.47</v>
      </c>
    </row>
    <row r="1180" spans="1:4">
      <c r="A1180">
        <v>1334</v>
      </c>
      <c r="B1180" t="s">
        <v>7688</v>
      </c>
      <c r="C1180" t="s">
        <v>6698</v>
      </c>
      <c r="D1180" s="233">
        <v>7.17</v>
      </c>
    </row>
    <row r="1181" spans="1:4">
      <c r="A1181">
        <v>1335</v>
      </c>
      <c r="B1181" t="s">
        <v>7689</v>
      </c>
      <c r="C1181" t="s">
        <v>6698</v>
      </c>
      <c r="D1181" s="233">
        <v>7.41</v>
      </c>
    </row>
    <row r="1182" spans="1:4">
      <c r="A1182">
        <v>40425</v>
      </c>
      <c r="B1182" t="s">
        <v>7690</v>
      </c>
      <c r="C1182" t="s">
        <v>6698</v>
      </c>
      <c r="D1182" s="233">
        <v>6.34</v>
      </c>
    </row>
    <row r="1183" spans="1:4">
      <c r="A1183">
        <v>1337</v>
      </c>
      <c r="B1183" t="s">
        <v>7691</v>
      </c>
      <c r="C1183" t="s">
        <v>6698</v>
      </c>
      <c r="D1183" s="233">
        <v>7.27</v>
      </c>
    </row>
    <row r="1184" spans="1:4">
      <c r="A1184">
        <v>39416</v>
      </c>
      <c r="B1184" t="s">
        <v>7692</v>
      </c>
      <c r="C1184" t="s">
        <v>6638</v>
      </c>
      <c r="D1184" s="233">
        <v>29.28</v>
      </c>
    </row>
    <row r="1185" spans="1:4">
      <c r="A1185">
        <v>39417</v>
      </c>
      <c r="B1185" t="s">
        <v>7693</v>
      </c>
      <c r="C1185" t="s">
        <v>6638</v>
      </c>
      <c r="D1185" s="233">
        <v>30.7</v>
      </c>
    </row>
    <row r="1186" spans="1:4">
      <c r="A1186">
        <v>39414</v>
      </c>
      <c r="B1186" t="s">
        <v>7694</v>
      </c>
      <c r="C1186" t="s">
        <v>6638</v>
      </c>
      <c r="D1186" s="233">
        <v>27.5</v>
      </c>
    </row>
    <row r="1187" spans="1:4">
      <c r="A1187">
        <v>39415</v>
      </c>
      <c r="B1187" t="s">
        <v>7695</v>
      </c>
      <c r="C1187" t="s">
        <v>6638</v>
      </c>
      <c r="D1187" s="233">
        <v>29.14</v>
      </c>
    </row>
    <row r="1188" spans="1:4">
      <c r="A1188">
        <v>39412</v>
      </c>
      <c r="B1188" t="s">
        <v>7696</v>
      </c>
      <c r="C1188" t="s">
        <v>6638</v>
      </c>
      <c r="D1188" s="233">
        <v>20.7</v>
      </c>
    </row>
    <row r="1189" spans="1:4">
      <c r="A1189">
        <v>39413</v>
      </c>
      <c r="B1189" t="s">
        <v>7697</v>
      </c>
      <c r="C1189" t="s">
        <v>6638</v>
      </c>
      <c r="D1189" s="233">
        <v>20.51</v>
      </c>
    </row>
    <row r="1190" spans="1:4">
      <c r="A1190">
        <v>1338</v>
      </c>
      <c r="B1190" t="s">
        <v>7698</v>
      </c>
      <c r="C1190" t="s">
        <v>6638</v>
      </c>
      <c r="D1190" s="233">
        <v>26.34</v>
      </c>
    </row>
    <row r="1191" spans="1:4">
      <c r="A1191">
        <v>1340</v>
      </c>
      <c r="B1191" t="s">
        <v>7699</v>
      </c>
      <c r="C1191" t="s">
        <v>6638</v>
      </c>
      <c r="D1191" s="233">
        <v>30.45</v>
      </c>
    </row>
    <row r="1192" spans="1:4">
      <c r="A1192">
        <v>1341</v>
      </c>
      <c r="B1192" t="s">
        <v>7700</v>
      </c>
      <c r="C1192" t="s">
        <v>6638</v>
      </c>
      <c r="D1192" s="233">
        <v>29.33</v>
      </c>
    </row>
    <row r="1193" spans="1:4">
      <c r="A1193">
        <v>1364</v>
      </c>
      <c r="B1193" t="s">
        <v>12656</v>
      </c>
      <c r="C1193" t="s">
        <v>6638</v>
      </c>
      <c r="D1193" s="233">
        <v>23.66</v>
      </c>
    </row>
    <row r="1194" spans="1:4">
      <c r="A1194">
        <v>1361</v>
      </c>
      <c r="B1194" t="s">
        <v>12657</v>
      </c>
      <c r="C1194" t="s">
        <v>6636</v>
      </c>
      <c r="D1194" s="233">
        <v>98.68</v>
      </c>
    </row>
    <row r="1195" spans="1:4">
      <c r="A1195">
        <v>1362</v>
      </c>
      <c r="B1195" t="s">
        <v>12658</v>
      </c>
      <c r="C1195" t="s">
        <v>6638</v>
      </c>
      <c r="D1195" s="233">
        <v>32.94</v>
      </c>
    </row>
    <row r="1196" spans="1:4">
      <c r="A1196">
        <v>11131</v>
      </c>
      <c r="B1196" t="s">
        <v>12659</v>
      </c>
      <c r="C1196" t="s">
        <v>6638</v>
      </c>
      <c r="D1196" s="233">
        <v>42.15</v>
      </c>
    </row>
    <row r="1197" spans="1:4">
      <c r="A1197">
        <v>11132</v>
      </c>
      <c r="B1197" t="s">
        <v>12660</v>
      </c>
      <c r="C1197" t="s">
        <v>6638</v>
      </c>
      <c r="D1197" s="233">
        <v>49.84</v>
      </c>
    </row>
    <row r="1198" spans="1:4">
      <c r="A1198">
        <v>1363</v>
      </c>
      <c r="B1198" t="s">
        <v>12661</v>
      </c>
      <c r="C1198" t="s">
        <v>6638</v>
      </c>
      <c r="D1198" s="233">
        <v>16.760000000000002</v>
      </c>
    </row>
    <row r="1199" spans="1:4">
      <c r="A1199">
        <v>11130</v>
      </c>
      <c r="B1199" t="s">
        <v>12662</v>
      </c>
      <c r="C1199" t="s">
        <v>6638</v>
      </c>
      <c r="D1199" s="233">
        <v>21.23</v>
      </c>
    </row>
    <row r="1200" spans="1:4">
      <c r="A1200">
        <v>11134</v>
      </c>
      <c r="B1200" t="s">
        <v>7701</v>
      </c>
      <c r="C1200" t="s">
        <v>6638</v>
      </c>
      <c r="D1200" s="233">
        <v>28.57</v>
      </c>
    </row>
    <row r="1201" spans="1:4">
      <c r="A1201">
        <v>11135</v>
      </c>
      <c r="B1201" t="s">
        <v>7702</v>
      </c>
      <c r="C1201" t="s">
        <v>6638</v>
      </c>
      <c r="D1201" s="233">
        <v>34.82</v>
      </c>
    </row>
    <row r="1202" spans="1:4">
      <c r="A1202">
        <v>11136</v>
      </c>
      <c r="B1202" t="s">
        <v>7703</v>
      </c>
      <c r="C1202" t="s">
        <v>6638</v>
      </c>
      <c r="D1202" s="233">
        <v>37.67</v>
      </c>
    </row>
    <row r="1203" spans="1:4">
      <c r="A1203">
        <v>34743</v>
      </c>
      <c r="B1203" t="s">
        <v>7704</v>
      </c>
      <c r="C1203" t="s">
        <v>6638</v>
      </c>
      <c r="D1203" s="233">
        <v>47.95</v>
      </c>
    </row>
    <row r="1204" spans="1:4">
      <c r="A1204">
        <v>11137</v>
      </c>
      <c r="B1204" t="s">
        <v>7705</v>
      </c>
      <c r="C1204" t="s">
        <v>6638</v>
      </c>
      <c r="D1204" s="233">
        <v>53.48</v>
      </c>
    </row>
    <row r="1205" spans="1:4">
      <c r="A1205">
        <v>34745</v>
      </c>
      <c r="B1205" t="s">
        <v>7706</v>
      </c>
      <c r="C1205" t="s">
        <v>6638</v>
      </c>
      <c r="D1205" s="233">
        <v>60.94</v>
      </c>
    </row>
    <row r="1206" spans="1:4">
      <c r="A1206">
        <v>34746</v>
      </c>
      <c r="B1206" t="s">
        <v>7707</v>
      </c>
      <c r="C1206" t="s">
        <v>6638</v>
      </c>
      <c r="D1206" s="233">
        <v>15.69</v>
      </c>
    </row>
    <row r="1207" spans="1:4">
      <c r="A1207">
        <v>1360</v>
      </c>
      <c r="B1207" t="s">
        <v>7708</v>
      </c>
      <c r="C1207" t="s">
        <v>6638</v>
      </c>
      <c r="D1207" s="233">
        <v>19.38</v>
      </c>
    </row>
    <row r="1208" spans="1:4">
      <c r="A1208">
        <v>1346</v>
      </c>
      <c r="B1208" t="s">
        <v>7709</v>
      </c>
      <c r="C1208" t="s">
        <v>6638</v>
      </c>
      <c r="D1208" s="233">
        <v>26.28</v>
      </c>
    </row>
    <row r="1209" spans="1:4">
      <c r="A1209">
        <v>1345</v>
      </c>
      <c r="B1209" t="s">
        <v>7710</v>
      </c>
      <c r="C1209" t="s">
        <v>6638</v>
      </c>
      <c r="D1209" s="233">
        <v>42.58</v>
      </c>
    </row>
    <row r="1210" spans="1:4">
      <c r="A1210">
        <v>1344</v>
      </c>
      <c r="B1210" t="s">
        <v>12663</v>
      </c>
      <c r="C1210" t="s">
        <v>6636</v>
      </c>
      <c r="D1210" s="233">
        <v>45.79</v>
      </c>
    </row>
    <row r="1211" spans="1:4">
      <c r="A1211">
        <v>1342</v>
      </c>
      <c r="B1211" t="s">
        <v>12664</v>
      </c>
      <c r="C1211" t="s">
        <v>6636</v>
      </c>
      <c r="D1211" s="233">
        <v>80.94</v>
      </c>
    </row>
    <row r="1212" spans="1:4">
      <c r="A1212">
        <v>1347</v>
      </c>
      <c r="B1212" t="s">
        <v>846</v>
      </c>
      <c r="C1212" t="s">
        <v>6638</v>
      </c>
      <c r="D1212" s="233">
        <v>31.4</v>
      </c>
    </row>
    <row r="1213" spans="1:4">
      <c r="A1213">
        <v>1349</v>
      </c>
      <c r="B1213" t="s">
        <v>12665</v>
      </c>
      <c r="C1213" t="s">
        <v>6636</v>
      </c>
      <c r="D1213" s="233">
        <v>115.43</v>
      </c>
    </row>
    <row r="1214" spans="1:4">
      <c r="A1214">
        <v>1350</v>
      </c>
      <c r="B1214" t="s">
        <v>12666</v>
      </c>
      <c r="C1214" t="s">
        <v>6636</v>
      </c>
      <c r="D1214" s="233">
        <v>38.25</v>
      </c>
    </row>
    <row r="1215" spans="1:4">
      <c r="A1215">
        <v>1357</v>
      </c>
      <c r="B1215" t="s">
        <v>12667</v>
      </c>
      <c r="C1215" t="s">
        <v>6636</v>
      </c>
      <c r="D1215" s="233">
        <v>48.72</v>
      </c>
    </row>
    <row r="1216" spans="1:4">
      <c r="A1216">
        <v>1355</v>
      </c>
      <c r="B1216" t="s">
        <v>7711</v>
      </c>
      <c r="C1216" t="s">
        <v>6638</v>
      </c>
      <c r="D1216" s="233">
        <v>22.42</v>
      </c>
    </row>
    <row r="1217" spans="1:4">
      <c r="A1217">
        <v>1358</v>
      </c>
      <c r="B1217" t="s">
        <v>7712</v>
      </c>
      <c r="C1217" t="s">
        <v>6638</v>
      </c>
      <c r="D1217" s="233">
        <v>25.98</v>
      </c>
    </row>
    <row r="1218" spans="1:4">
      <c r="A1218">
        <v>1359</v>
      </c>
      <c r="B1218" t="s">
        <v>12668</v>
      </c>
      <c r="C1218" t="s">
        <v>6636</v>
      </c>
      <c r="D1218" s="233">
        <v>75.27</v>
      </c>
    </row>
    <row r="1219" spans="1:4">
      <c r="A1219">
        <v>1351</v>
      </c>
      <c r="B1219" t="s">
        <v>12669</v>
      </c>
      <c r="C1219" t="s">
        <v>6636</v>
      </c>
      <c r="D1219" s="233">
        <v>24.25</v>
      </c>
    </row>
    <row r="1220" spans="1:4">
      <c r="A1220">
        <v>34659</v>
      </c>
      <c r="B1220" t="s">
        <v>7713</v>
      </c>
      <c r="C1220" t="s">
        <v>6638</v>
      </c>
      <c r="D1220" s="233">
        <v>26.52</v>
      </c>
    </row>
    <row r="1221" spans="1:4">
      <c r="A1221">
        <v>34514</v>
      </c>
      <c r="B1221" t="s">
        <v>7714</v>
      </c>
      <c r="C1221" t="s">
        <v>6638</v>
      </c>
      <c r="D1221" s="233">
        <v>29.38</v>
      </c>
    </row>
    <row r="1222" spans="1:4">
      <c r="A1222">
        <v>34660</v>
      </c>
      <c r="B1222" t="s">
        <v>7715</v>
      </c>
      <c r="C1222" t="s">
        <v>6638</v>
      </c>
      <c r="D1222" s="233">
        <v>37.28</v>
      </c>
    </row>
    <row r="1223" spans="1:4">
      <c r="A1223">
        <v>34661</v>
      </c>
      <c r="B1223" t="s">
        <v>7716</v>
      </c>
      <c r="C1223" t="s">
        <v>6638</v>
      </c>
      <c r="D1223" s="233">
        <v>53.55</v>
      </c>
    </row>
    <row r="1224" spans="1:4">
      <c r="A1224">
        <v>34667</v>
      </c>
      <c r="B1224" t="s">
        <v>7717</v>
      </c>
      <c r="C1224" t="s">
        <v>6638</v>
      </c>
      <c r="D1224" s="233">
        <v>19.39</v>
      </c>
    </row>
    <row r="1225" spans="1:4">
      <c r="A1225">
        <v>34668</v>
      </c>
      <c r="B1225" t="s">
        <v>7718</v>
      </c>
      <c r="C1225" t="s">
        <v>6638</v>
      </c>
      <c r="D1225" s="233">
        <v>25.34</v>
      </c>
    </row>
    <row r="1226" spans="1:4">
      <c r="A1226">
        <v>34741</v>
      </c>
      <c r="B1226" t="s">
        <v>7719</v>
      </c>
      <c r="C1226" t="s">
        <v>6638</v>
      </c>
      <c r="D1226" s="233">
        <v>27.88</v>
      </c>
    </row>
    <row r="1227" spans="1:4">
      <c r="A1227">
        <v>34664</v>
      </c>
      <c r="B1227" t="s">
        <v>7720</v>
      </c>
      <c r="C1227" t="s">
        <v>6638</v>
      </c>
      <c r="D1227" s="233">
        <v>30.43</v>
      </c>
    </row>
    <row r="1228" spans="1:4">
      <c r="A1228">
        <v>34665</v>
      </c>
      <c r="B1228" t="s">
        <v>7721</v>
      </c>
      <c r="C1228" t="s">
        <v>6638</v>
      </c>
      <c r="D1228" s="233">
        <v>37.770000000000003</v>
      </c>
    </row>
    <row r="1229" spans="1:4">
      <c r="A1229">
        <v>34666</v>
      </c>
      <c r="B1229" t="s">
        <v>7722</v>
      </c>
      <c r="C1229" t="s">
        <v>6638</v>
      </c>
      <c r="D1229" s="233">
        <v>57.05</v>
      </c>
    </row>
    <row r="1230" spans="1:4">
      <c r="A1230">
        <v>34669</v>
      </c>
      <c r="B1230" t="s">
        <v>7723</v>
      </c>
      <c r="C1230" t="s">
        <v>6638</v>
      </c>
      <c r="D1230" s="233">
        <v>20.92</v>
      </c>
    </row>
    <row r="1231" spans="1:4">
      <c r="A1231">
        <v>34670</v>
      </c>
      <c r="B1231" t="s">
        <v>7724</v>
      </c>
      <c r="C1231" t="s">
        <v>6638</v>
      </c>
      <c r="D1231" s="233">
        <v>25.58</v>
      </c>
    </row>
    <row r="1232" spans="1:4">
      <c r="A1232">
        <v>34671</v>
      </c>
      <c r="B1232" t="s">
        <v>7725</v>
      </c>
      <c r="C1232" t="s">
        <v>6638</v>
      </c>
      <c r="D1232" s="233">
        <v>21.35</v>
      </c>
    </row>
    <row r="1233" spans="1:4">
      <c r="A1233">
        <v>34672</v>
      </c>
      <c r="B1233" t="s">
        <v>7726</v>
      </c>
      <c r="C1233" t="s">
        <v>6638</v>
      </c>
      <c r="D1233" s="233">
        <v>22.52</v>
      </c>
    </row>
    <row r="1234" spans="1:4">
      <c r="A1234">
        <v>34673</v>
      </c>
      <c r="B1234" t="s">
        <v>7727</v>
      </c>
      <c r="C1234" t="s">
        <v>6638</v>
      </c>
      <c r="D1234" s="233">
        <v>27.48</v>
      </c>
    </row>
    <row r="1235" spans="1:4">
      <c r="A1235">
        <v>34674</v>
      </c>
      <c r="B1235" t="s">
        <v>7728</v>
      </c>
      <c r="C1235" t="s">
        <v>6638</v>
      </c>
      <c r="D1235" s="233">
        <v>36.53</v>
      </c>
    </row>
    <row r="1236" spans="1:4">
      <c r="A1236">
        <v>34675</v>
      </c>
      <c r="B1236" t="s">
        <v>7729</v>
      </c>
      <c r="C1236" t="s">
        <v>6638</v>
      </c>
      <c r="D1236" s="233">
        <v>44.54</v>
      </c>
    </row>
    <row r="1237" spans="1:4">
      <c r="A1237">
        <v>34676</v>
      </c>
      <c r="B1237" t="s">
        <v>7730</v>
      </c>
      <c r="C1237" t="s">
        <v>6638</v>
      </c>
      <c r="D1237" s="233">
        <v>12.82</v>
      </c>
    </row>
    <row r="1238" spans="1:4">
      <c r="A1238">
        <v>34677</v>
      </c>
      <c r="B1238" t="s">
        <v>7731</v>
      </c>
      <c r="C1238" t="s">
        <v>6638</v>
      </c>
      <c r="D1238" s="233">
        <v>17.239999999999998</v>
      </c>
    </row>
    <row r="1239" spans="1:4">
      <c r="A1239">
        <v>43126</v>
      </c>
      <c r="B1239" t="s">
        <v>12293</v>
      </c>
      <c r="C1239" t="s">
        <v>6638</v>
      </c>
      <c r="D1239" s="233">
        <v>60.92</v>
      </c>
    </row>
    <row r="1240" spans="1:4">
      <c r="A1240">
        <v>43124</v>
      </c>
      <c r="B1240" t="s">
        <v>12294</v>
      </c>
      <c r="C1240" t="s">
        <v>6638</v>
      </c>
      <c r="D1240" s="233">
        <v>71.13</v>
      </c>
    </row>
    <row r="1241" spans="1:4">
      <c r="A1241">
        <v>43125</v>
      </c>
      <c r="B1241" t="s">
        <v>12295</v>
      </c>
      <c r="C1241" t="s">
        <v>6638</v>
      </c>
      <c r="D1241" s="233">
        <v>92.25</v>
      </c>
    </row>
    <row r="1242" spans="1:4">
      <c r="A1242">
        <v>40623</v>
      </c>
      <c r="B1242" t="s">
        <v>7732</v>
      </c>
      <c r="C1242" t="s">
        <v>7024</v>
      </c>
      <c r="D1242" s="233">
        <v>70.819999999999993</v>
      </c>
    </row>
    <row r="1243" spans="1:4">
      <c r="A1243">
        <v>11112</v>
      </c>
      <c r="B1243" t="s">
        <v>12296</v>
      </c>
      <c r="C1243" t="s">
        <v>6698</v>
      </c>
      <c r="D1243" s="233">
        <v>24.99</v>
      </c>
    </row>
    <row r="1244" spans="1:4">
      <c r="A1244">
        <v>11115</v>
      </c>
      <c r="B1244" t="s">
        <v>12297</v>
      </c>
      <c r="C1244" t="s">
        <v>6649</v>
      </c>
      <c r="D1244" s="233">
        <v>208.86</v>
      </c>
    </row>
    <row r="1245" spans="1:4">
      <c r="A1245">
        <v>11113</v>
      </c>
      <c r="B1245" t="s">
        <v>12298</v>
      </c>
      <c r="C1245" t="s">
        <v>6698</v>
      </c>
      <c r="D1245" s="233">
        <v>70.86</v>
      </c>
    </row>
    <row r="1246" spans="1:4">
      <c r="A1246">
        <v>11114</v>
      </c>
      <c r="B1246" t="s">
        <v>12299</v>
      </c>
      <c r="C1246" t="s">
        <v>6649</v>
      </c>
      <c r="D1246" s="233">
        <v>91.71</v>
      </c>
    </row>
    <row r="1247" spans="1:4">
      <c r="A1247">
        <v>11122</v>
      </c>
      <c r="B1247" t="s">
        <v>12300</v>
      </c>
      <c r="C1247" t="s">
        <v>6698</v>
      </c>
      <c r="D1247" s="233">
        <v>519.38</v>
      </c>
    </row>
    <row r="1248" spans="1:4">
      <c r="A1248">
        <v>11123</v>
      </c>
      <c r="B1248" t="s">
        <v>12301</v>
      </c>
      <c r="C1248" t="s">
        <v>6698</v>
      </c>
      <c r="D1248" s="233">
        <v>24.99</v>
      </c>
    </row>
    <row r="1249" spans="1:4">
      <c r="A1249">
        <v>11125</v>
      </c>
      <c r="B1249" t="s">
        <v>12302</v>
      </c>
      <c r="C1249" t="s">
        <v>6698</v>
      </c>
      <c r="D1249" s="233">
        <v>961.62</v>
      </c>
    </row>
    <row r="1250" spans="1:4">
      <c r="A1250">
        <v>12083</v>
      </c>
      <c r="B1250" t="s">
        <v>7733</v>
      </c>
      <c r="C1250" t="s">
        <v>6636</v>
      </c>
      <c r="D1250" s="233">
        <v>635.83000000000004</v>
      </c>
    </row>
    <row r="1251" spans="1:4">
      <c r="A1251">
        <v>12081</v>
      </c>
      <c r="B1251" t="s">
        <v>7734</v>
      </c>
      <c r="C1251" t="s">
        <v>6636</v>
      </c>
      <c r="D1251" s="233">
        <v>215.02</v>
      </c>
    </row>
    <row r="1252" spans="1:4">
      <c r="A1252">
        <v>12082</v>
      </c>
      <c r="B1252" t="s">
        <v>7735</v>
      </c>
      <c r="C1252" t="s">
        <v>6636</v>
      </c>
      <c r="D1252" s="233">
        <v>337.93</v>
      </c>
    </row>
    <row r="1253" spans="1:4">
      <c r="A1253">
        <v>13354</v>
      </c>
      <c r="B1253" t="s">
        <v>7736</v>
      </c>
      <c r="C1253" t="s">
        <v>6636</v>
      </c>
      <c r="D1253" s="233">
        <v>504.7</v>
      </c>
    </row>
    <row r="1254" spans="1:4">
      <c r="A1254">
        <v>14057</v>
      </c>
      <c r="B1254" t="s">
        <v>7737</v>
      </c>
      <c r="C1254" t="s">
        <v>6636</v>
      </c>
      <c r="D1254" s="233">
        <v>281.77999999999997</v>
      </c>
    </row>
    <row r="1255" spans="1:4">
      <c r="A1255">
        <v>14058</v>
      </c>
      <c r="B1255" t="s">
        <v>7738</v>
      </c>
      <c r="C1255" t="s">
        <v>6636</v>
      </c>
      <c r="D1255" s="233">
        <v>444.51</v>
      </c>
    </row>
    <row r="1256" spans="1:4">
      <c r="A1256">
        <v>20971</v>
      </c>
      <c r="B1256" t="s">
        <v>930</v>
      </c>
      <c r="C1256" t="s">
        <v>6636</v>
      </c>
      <c r="D1256" s="233">
        <v>9.7100000000000009</v>
      </c>
    </row>
    <row r="1257" spans="1:4">
      <c r="A1257">
        <v>5047</v>
      </c>
      <c r="B1257" t="s">
        <v>7739</v>
      </c>
      <c r="C1257" t="s">
        <v>6636</v>
      </c>
      <c r="D1257" s="233">
        <v>302.85000000000002</v>
      </c>
    </row>
    <row r="1258" spans="1:4">
      <c r="A1258">
        <v>13369</v>
      </c>
      <c r="B1258" t="s">
        <v>7740</v>
      </c>
      <c r="C1258" t="s">
        <v>6636</v>
      </c>
      <c r="D1258" s="233">
        <v>328.51</v>
      </c>
    </row>
    <row r="1259" spans="1:4">
      <c r="A1259">
        <v>13370</v>
      </c>
      <c r="B1259" t="s">
        <v>7741</v>
      </c>
      <c r="C1259" t="s">
        <v>6636</v>
      </c>
      <c r="D1259" s="233">
        <v>455.39</v>
      </c>
    </row>
    <row r="1260" spans="1:4">
      <c r="A1260">
        <v>13279</v>
      </c>
      <c r="B1260" t="s">
        <v>7742</v>
      </c>
      <c r="C1260" t="s">
        <v>6698</v>
      </c>
      <c r="D1260" s="233">
        <v>14.34</v>
      </c>
    </row>
    <row r="1261" spans="1:4">
      <c r="A1261">
        <v>11977</v>
      </c>
      <c r="B1261" t="s">
        <v>7743</v>
      </c>
      <c r="C1261" t="s">
        <v>6636</v>
      </c>
      <c r="D1261" s="233">
        <v>7.43</v>
      </c>
    </row>
    <row r="1262" spans="1:4">
      <c r="A1262">
        <v>11975</v>
      </c>
      <c r="B1262" t="s">
        <v>7744</v>
      </c>
      <c r="C1262" t="s">
        <v>6636</v>
      </c>
      <c r="D1262" s="233">
        <v>16.29</v>
      </c>
    </row>
    <row r="1263" spans="1:4">
      <c r="A1263">
        <v>39746</v>
      </c>
      <c r="B1263" t="s">
        <v>7745</v>
      </c>
      <c r="C1263" t="s">
        <v>6636</v>
      </c>
      <c r="D1263" s="233">
        <v>181.27</v>
      </c>
    </row>
    <row r="1264" spans="1:4">
      <c r="A1264">
        <v>11976</v>
      </c>
      <c r="B1264" t="s">
        <v>7746</v>
      </c>
      <c r="C1264" t="s">
        <v>6636</v>
      </c>
      <c r="D1264" s="233">
        <v>0.83</v>
      </c>
    </row>
    <row r="1265" spans="1:4">
      <c r="A1265">
        <v>1368</v>
      </c>
      <c r="B1265" t="s">
        <v>7747</v>
      </c>
      <c r="C1265" t="s">
        <v>6636</v>
      </c>
      <c r="D1265" s="233">
        <v>61.9</v>
      </c>
    </row>
    <row r="1266" spans="1:4">
      <c r="A1266">
        <v>1367</v>
      </c>
      <c r="B1266" t="s">
        <v>7748</v>
      </c>
      <c r="C1266" t="s">
        <v>6636</v>
      </c>
      <c r="D1266" s="233">
        <v>200.23</v>
      </c>
    </row>
    <row r="1267" spans="1:4">
      <c r="A1267">
        <v>7608</v>
      </c>
      <c r="B1267" t="s">
        <v>7749</v>
      </c>
      <c r="C1267" t="s">
        <v>6636</v>
      </c>
      <c r="D1267" s="233">
        <v>4.6399999999999997</v>
      </c>
    </row>
    <row r="1268" spans="1:4">
      <c r="A1268">
        <v>41900</v>
      </c>
      <c r="B1268" t="s">
        <v>7750</v>
      </c>
      <c r="C1268" t="s">
        <v>6698</v>
      </c>
      <c r="D1268" s="233">
        <v>3.55</v>
      </c>
    </row>
    <row r="1269" spans="1:4">
      <c r="A1269">
        <v>41899</v>
      </c>
      <c r="B1269" t="s">
        <v>7751</v>
      </c>
      <c r="C1269" t="s">
        <v>7650</v>
      </c>
      <c r="D1269" s="234">
        <v>3542.32</v>
      </c>
    </row>
    <row r="1270" spans="1:4">
      <c r="A1270">
        <v>1380</v>
      </c>
      <c r="B1270" t="s">
        <v>819</v>
      </c>
      <c r="C1270" t="s">
        <v>6698</v>
      </c>
      <c r="D1270" s="233">
        <v>2.92</v>
      </c>
    </row>
    <row r="1271" spans="1:4">
      <c r="A1271">
        <v>1375</v>
      </c>
      <c r="B1271" t="s">
        <v>7752</v>
      </c>
      <c r="C1271" t="s">
        <v>6698</v>
      </c>
      <c r="D1271" s="233">
        <v>11.3</v>
      </c>
    </row>
    <row r="1272" spans="1:4">
      <c r="A1272">
        <v>1379</v>
      </c>
      <c r="B1272" t="s">
        <v>817</v>
      </c>
      <c r="C1272" t="s">
        <v>6698</v>
      </c>
      <c r="D1272" s="233">
        <v>0.49</v>
      </c>
    </row>
    <row r="1273" spans="1:4">
      <c r="A1273">
        <v>10511</v>
      </c>
      <c r="B1273" t="s">
        <v>7753</v>
      </c>
      <c r="C1273" t="s">
        <v>7754</v>
      </c>
      <c r="D1273" s="233">
        <v>24.95</v>
      </c>
    </row>
    <row r="1274" spans="1:4">
      <c r="A1274">
        <v>13284</v>
      </c>
      <c r="B1274" t="s">
        <v>851</v>
      </c>
      <c r="C1274" t="s">
        <v>6698</v>
      </c>
      <c r="D1274" s="233">
        <v>0.42</v>
      </c>
    </row>
    <row r="1275" spans="1:4">
      <c r="A1275">
        <v>25974</v>
      </c>
      <c r="B1275" t="s">
        <v>7755</v>
      </c>
      <c r="C1275" t="s">
        <v>6698</v>
      </c>
      <c r="D1275" s="233">
        <v>1.67</v>
      </c>
    </row>
    <row r="1276" spans="1:4">
      <c r="A1276">
        <v>1382</v>
      </c>
      <c r="B1276" t="s">
        <v>7756</v>
      </c>
      <c r="C1276" t="s">
        <v>7754</v>
      </c>
      <c r="D1276" s="233">
        <v>24.04</v>
      </c>
    </row>
    <row r="1277" spans="1:4">
      <c r="A1277">
        <v>34753</v>
      </c>
      <c r="B1277" t="s">
        <v>7757</v>
      </c>
      <c r="C1277" t="s">
        <v>6698</v>
      </c>
      <c r="D1277" s="233">
        <v>0.48</v>
      </c>
    </row>
    <row r="1278" spans="1:4">
      <c r="A1278">
        <v>420</v>
      </c>
      <c r="B1278" t="s">
        <v>773</v>
      </c>
      <c r="C1278" t="s">
        <v>6636</v>
      </c>
      <c r="D1278" s="233">
        <v>20.309999999999999</v>
      </c>
    </row>
    <row r="1279" spans="1:4">
      <c r="A1279">
        <v>12327</v>
      </c>
      <c r="B1279" t="s">
        <v>7758</v>
      </c>
      <c r="C1279" t="s">
        <v>6636</v>
      </c>
      <c r="D1279" s="233">
        <v>24.19</v>
      </c>
    </row>
    <row r="1280" spans="1:4">
      <c r="A1280">
        <v>36148</v>
      </c>
      <c r="B1280" t="s">
        <v>7759</v>
      </c>
      <c r="C1280" t="s">
        <v>6636</v>
      </c>
      <c r="D1280" s="233">
        <v>57.36</v>
      </c>
    </row>
    <row r="1281" spans="1:4">
      <c r="A1281">
        <v>12329</v>
      </c>
      <c r="B1281" t="s">
        <v>7760</v>
      </c>
      <c r="C1281" t="s">
        <v>6698</v>
      </c>
      <c r="D1281" s="233">
        <v>75.3</v>
      </c>
    </row>
    <row r="1282" spans="1:4">
      <c r="A1282">
        <v>1339</v>
      </c>
      <c r="B1282" t="s">
        <v>7761</v>
      </c>
      <c r="C1282" t="s">
        <v>6698</v>
      </c>
      <c r="D1282" s="233">
        <v>26.41</v>
      </c>
    </row>
    <row r="1283" spans="1:4">
      <c r="A1283">
        <v>11849</v>
      </c>
      <c r="B1283" t="s">
        <v>7762</v>
      </c>
      <c r="C1283" t="s">
        <v>6700</v>
      </c>
      <c r="D1283" s="233">
        <v>8.91</v>
      </c>
    </row>
    <row r="1284" spans="1:4">
      <c r="A1284">
        <v>37418</v>
      </c>
      <c r="B1284" t="s">
        <v>7763</v>
      </c>
      <c r="C1284" t="s">
        <v>6636</v>
      </c>
      <c r="D1284" s="233">
        <v>12.73</v>
      </c>
    </row>
    <row r="1285" spans="1:4">
      <c r="A1285">
        <v>37419</v>
      </c>
      <c r="B1285" t="s">
        <v>7764</v>
      </c>
      <c r="C1285" t="s">
        <v>6636</v>
      </c>
      <c r="D1285" s="233">
        <v>13.08</v>
      </c>
    </row>
    <row r="1286" spans="1:4">
      <c r="A1286">
        <v>1427</v>
      </c>
      <c r="B1286" t="s">
        <v>7765</v>
      </c>
      <c r="C1286" t="s">
        <v>6636</v>
      </c>
      <c r="D1286" s="233">
        <v>13.19</v>
      </c>
    </row>
    <row r="1287" spans="1:4">
      <c r="A1287">
        <v>1402</v>
      </c>
      <c r="B1287" t="s">
        <v>7766</v>
      </c>
      <c r="C1287" t="s">
        <v>6636</v>
      </c>
      <c r="D1287" s="233">
        <v>4.5599999999999996</v>
      </c>
    </row>
    <row r="1288" spans="1:4">
      <c r="A1288">
        <v>1420</v>
      </c>
      <c r="B1288" t="s">
        <v>7767</v>
      </c>
      <c r="C1288" t="s">
        <v>6636</v>
      </c>
      <c r="D1288" s="233">
        <v>5.87</v>
      </c>
    </row>
    <row r="1289" spans="1:4">
      <c r="A1289">
        <v>1419</v>
      </c>
      <c r="B1289" t="s">
        <v>7768</v>
      </c>
      <c r="C1289" t="s">
        <v>6636</v>
      </c>
      <c r="D1289" s="233">
        <v>7.09</v>
      </c>
    </row>
    <row r="1290" spans="1:4">
      <c r="A1290">
        <v>1414</v>
      </c>
      <c r="B1290" t="s">
        <v>7769</v>
      </c>
      <c r="C1290" t="s">
        <v>6636</v>
      </c>
      <c r="D1290" s="233">
        <v>6.94</v>
      </c>
    </row>
    <row r="1291" spans="1:4">
      <c r="A1291">
        <v>1413</v>
      </c>
      <c r="B1291" t="s">
        <v>7770</v>
      </c>
      <c r="C1291" t="s">
        <v>6636</v>
      </c>
      <c r="D1291" s="233">
        <v>10.25</v>
      </c>
    </row>
    <row r="1292" spans="1:4">
      <c r="A1292">
        <v>1412</v>
      </c>
      <c r="B1292" t="s">
        <v>7771</v>
      </c>
      <c r="C1292" t="s">
        <v>6636</v>
      </c>
      <c r="D1292" s="233">
        <v>8.68</v>
      </c>
    </row>
    <row r="1293" spans="1:4">
      <c r="A1293">
        <v>1411</v>
      </c>
      <c r="B1293" t="s">
        <v>7772</v>
      </c>
      <c r="C1293" t="s">
        <v>6636</v>
      </c>
      <c r="D1293" s="233">
        <v>15.8</v>
      </c>
    </row>
    <row r="1294" spans="1:4">
      <c r="A1294">
        <v>1406</v>
      </c>
      <c r="B1294" t="s">
        <v>7773</v>
      </c>
      <c r="C1294" t="s">
        <v>6636</v>
      </c>
      <c r="D1294" s="233">
        <v>10.47</v>
      </c>
    </row>
    <row r="1295" spans="1:4">
      <c r="A1295">
        <v>1407</v>
      </c>
      <c r="B1295" t="s">
        <v>7774</v>
      </c>
      <c r="C1295" t="s">
        <v>6636</v>
      </c>
      <c r="D1295" s="233">
        <v>13.06</v>
      </c>
    </row>
    <row r="1296" spans="1:4">
      <c r="A1296">
        <v>1404</v>
      </c>
      <c r="B1296" t="s">
        <v>7775</v>
      </c>
      <c r="C1296" t="s">
        <v>6636</v>
      </c>
      <c r="D1296" s="233">
        <v>13.89</v>
      </c>
    </row>
    <row r="1297" spans="1:4">
      <c r="A1297">
        <v>11281</v>
      </c>
      <c r="B1297" t="s">
        <v>7776</v>
      </c>
      <c r="C1297" t="s">
        <v>6636</v>
      </c>
      <c r="D1297" s="234">
        <v>9650</v>
      </c>
    </row>
    <row r="1298" spans="1:4">
      <c r="A1298">
        <v>1442</v>
      </c>
      <c r="B1298" t="s">
        <v>7777</v>
      </c>
      <c r="C1298" t="s">
        <v>6636</v>
      </c>
      <c r="D1298" s="234">
        <v>8101.1</v>
      </c>
    </row>
    <row r="1299" spans="1:4">
      <c r="A1299">
        <v>13457</v>
      </c>
      <c r="B1299" t="s">
        <v>7778</v>
      </c>
      <c r="C1299" t="s">
        <v>6636</v>
      </c>
      <c r="D1299" s="234">
        <v>6992.75</v>
      </c>
    </row>
    <row r="1300" spans="1:4">
      <c r="A1300">
        <v>40699</v>
      </c>
      <c r="B1300" t="s">
        <v>7779</v>
      </c>
      <c r="C1300" t="s">
        <v>6636</v>
      </c>
      <c r="D1300" s="234">
        <v>5405.66</v>
      </c>
    </row>
    <row r="1301" spans="1:4">
      <c r="A1301">
        <v>40701</v>
      </c>
      <c r="B1301" t="s">
        <v>7780</v>
      </c>
      <c r="C1301" t="s">
        <v>6636</v>
      </c>
      <c r="D1301" s="234">
        <v>95579.53</v>
      </c>
    </row>
    <row r="1302" spans="1:4">
      <c r="A1302">
        <v>40700</v>
      </c>
      <c r="B1302" t="s">
        <v>7781</v>
      </c>
      <c r="C1302" t="s">
        <v>6636</v>
      </c>
      <c r="D1302" s="234">
        <v>12583.68</v>
      </c>
    </row>
    <row r="1303" spans="1:4">
      <c r="A1303">
        <v>13458</v>
      </c>
      <c r="B1303" t="s">
        <v>7782</v>
      </c>
      <c r="C1303" t="s">
        <v>6636</v>
      </c>
      <c r="D1303" s="234">
        <v>11957.6</v>
      </c>
    </row>
    <row r="1304" spans="1:4">
      <c r="A1304">
        <v>36524</v>
      </c>
      <c r="B1304" t="s">
        <v>7783</v>
      </c>
      <c r="C1304" t="s">
        <v>6636</v>
      </c>
      <c r="D1304" s="234">
        <v>86280.46</v>
      </c>
    </row>
    <row r="1305" spans="1:4">
      <c r="A1305">
        <v>36526</v>
      </c>
      <c r="B1305" t="s">
        <v>7784</v>
      </c>
      <c r="C1305" t="s">
        <v>6636</v>
      </c>
      <c r="D1305" s="234">
        <v>69528.3</v>
      </c>
    </row>
    <row r="1306" spans="1:4">
      <c r="A1306">
        <v>36523</v>
      </c>
      <c r="B1306" t="s">
        <v>7785</v>
      </c>
      <c r="C1306" t="s">
        <v>6636</v>
      </c>
      <c r="D1306" s="234">
        <v>148850.72</v>
      </c>
    </row>
    <row r="1307" spans="1:4">
      <c r="A1307">
        <v>36527</v>
      </c>
      <c r="B1307" t="s">
        <v>7786</v>
      </c>
      <c r="C1307" t="s">
        <v>6636</v>
      </c>
      <c r="D1307" s="234">
        <v>161682.54</v>
      </c>
    </row>
    <row r="1308" spans="1:4">
      <c r="A1308">
        <v>13803</v>
      </c>
      <c r="B1308" t="s">
        <v>7787</v>
      </c>
      <c r="C1308" t="s">
        <v>6636</v>
      </c>
      <c r="D1308" s="234">
        <v>58463</v>
      </c>
    </row>
    <row r="1309" spans="1:4">
      <c r="A1309">
        <v>38642</v>
      </c>
      <c r="B1309" t="s">
        <v>7788</v>
      </c>
      <c r="C1309" t="s">
        <v>6636</v>
      </c>
      <c r="D1309" s="234">
        <v>37643.839999999997</v>
      </c>
    </row>
    <row r="1310" spans="1:4">
      <c r="A1310">
        <v>36522</v>
      </c>
      <c r="B1310" t="s">
        <v>7789</v>
      </c>
      <c r="C1310" t="s">
        <v>6636</v>
      </c>
      <c r="D1310" s="234">
        <v>43779.34</v>
      </c>
    </row>
    <row r="1311" spans="1:4">
      <c r="A1311">
        <v>36525</v>
      </c>
      <c r="B1311" t="s">
        <v>7790</v>
      </c>
      <c r="C1311" t="s">
        <v>6636</v>
      </c>
      <c r="D1311" s="234">
        <v>58630.76</v>
      </c>
    </row>
    <row r="1312" spans="1:4">
      <c r="A1312">
        <v>41991</v>
      </c>
      <c r="B1312" t="s">
        <v>7791</v>
      </c>
      <c r="C1312" t="s">
        <v>6636</v>
      </c>
      <c r="D1312" s="234">
        <v>2166.4899999999998</v>
      </c>
    </row>
    <row r="1313" spans="1:4">
      <c r="A1313">
        <v>34348</v>
      </c>
      <c r="B1313" t="s">
        <v>7792</v>
      </c>
      <c r="C1313" t="s">
        <v>6649</v>
      </c>
      <c r="D1313" s="233">
        <v>12.26</v>
      </c>
    </row>
    <row r="1314" spans="1:4">
      <c r="A1314">
        <v>34347</v>
      </c>
      <c r="B1314" t="s">
        <v>7793</v>
      </c>
      <c r="C1314" t="s">
        <v>6649</v>
      </c>
      <c r="D1314" s="233">
        <v>9.31</v>
      </c>
    </row>
    <row r="1315" spans="1:4">
      <c r="A1315">
        <v>11146</v>
      </c>
      <c r="B1315" t="s">
        <v>7794</v>
      </c>
      <c r="C1315" t="s">
        <v>6781</v>
      </c>
      <c r="D1315" s="233">
        <v>370.42</v>
      </c>
    </row>
    <row r="1316" spans="1:4">
      <c r="A1316">
        <v>11147</v>
      </c>
      <c r="B1316" t="s">
        <v>7795</v>
      </c>
      <c r="C1316" t="s">
        <v>6781</v>
      </c>
      <c r="D1316" s="233">
        <v>384.14</v>
      </c>
    </row>
    <row r="1317" spans="1:4">
      <c r="A1317">
        <v>34872</v>
      </c>
      <c r="B1317" t="s">
        <v>7796</v>
      </c>
      <c r="C1317" t="s">
        <v>6781</v>
      </c>
      <c r="D1317" s="233">
        <v>397.85</v>
      </c>
    </row>
    <row r="1318" spans="1:4">
      <c r="A1318">
        <v>34491</v>
      </c>
      <c r="B1318" t="s">
        <v>7797</v>
      </c>
      <c r="C1318" t="s">
        <v>6781</v>
      </c>
      <c r="D1318" s="233">
        <v>405.91</v>
      </c>
    </row>
    <row r="1319" spans="1:4">
      <c r="A1319">
        <v>34770</v>
      </c>
      <c r="B1319" t="s">
        <v>7798</v>
      </c>
      <c r="C1319" t="s">
        <v>7650</v>
      </c>
      <c r="D1319" s="233">
        <v>302.55</v>
      </c>
    </row>
    <row r="1320" spans="1:4">
      <c r="A1320">
        <v>1518</v>
      </c>
      <c r="B1320" t="s">
        <v>7799</v>
      </c>
      <c r="C1320" t="s">
        <v>7650</v>
      </c>
      <c r="D1320" s="233">
        <v>326.52</v>
      </c>
    </row>
    <row r="1321" spans="1:4">
      <c r="A1321">
        <v>41965</v>
      </c>
      <c r="B1321" t="s">
        <v>7800</v>
      </c>
      <c r="C1321" t="s">
        <v>7650</v>
      </c>
      <c r="D1321" s="233">
        <v>316.33</v>
      </c>
    </row>
    <row r="1322" spans="1:4">
      <c r="A1322">
        <v>34492</v>
      </c>
      <c r="B1322" t="s">
        <v>7801</v>
      </c>
      <c r="C1322" t="s">
        <v>6781</v>
      </c>
      <c r="D1322" s="233">
        <v>336.12</v>
      </c>
    </row>
    <row r="1323" spans="1:4">
      <c r="A1323">
        <v>1524</v>
      </c>
      <c r="B1323" t="s">
        <v>7802</v>
      </c>
      <c r="C1323" t="s">
        <v>6781</v>
      </c>
      <c r="D1323" s="233">
        <v>391</v>
      </c>
    </row>
    <row r="1324" spans="1:4">
      <c r="A1324">
        <v>38404</v>
      </c>
      <c r="B1324" t="s">
        <v>7803</v>
      </c>
      <c r="C1324" t="s">
        <v>6781</v>
      </c>
      <c r="D1324" s="233">
        <v>412.69</v>
      </c>
    </row>
    <row r="1325" spans="1:4">
      <c r="A1325">
        <v>39849</v>
      </c>
      <c r="B1325" t="s">
        <v>7804</v>
      </c>
      <c r="C1325" t="s">
        <v>6781</v>
      </c>
      <c r="D1325" s="233">
        <v>411.8</v>
      </c>
    </row>
    <row r="1326" spans="1:4">
      <c r="A1326">
        <v>38464</v>
      </c>
      <c r="B1326" t="s">
        <v>7805</v>
      </c>
      <c r="C1326" t="s">
        <v>6781</v>
      </c>
      <c r="D1326" s="233">
        <v>498.53</v>
      </c>
    </row>
    <row r="1327" spans="1:4">
      <c r="A1327">
        <v>34493</v>
      </c>
      <c r="B1327" t="s">
        <v>797</v>
      </c>
      <c r="C1327" t="s">
        <v>6781</v>
      </c>
      <c r="D1327" s="233">
        <v>349.15</v>
      </c>
    </row>
    <row r="1328" spans="1:4">
      <c r="A1328">
        <v>1527</v>
      </c>
      <c r="B1328" t="s">
        <v>788</v>
      </c>
      <c r="C1328" t="s">
        <v>6781</v>
      </c>
      <c r="D1328" s="233">
        <v>407.46</v>
      </c>
    </row>
    <row r="1329" spans="1:4">
      <c r="A1329">
        <v>38405</v>
      </c>
      <c r="B1329" t="s">
        <v>7806</v>
      </c>
      <c r="C1329" t="s">
        <v>6781</v>
      </c>
      <c r="D1329" s="233">
        <v>437.45</v>
      </c>
    </row>
    <row r="1330" spans="1:4">
      <c r="A1330">
        <v>38408</v>
      </c>
      <c r="B1330" t="s">
        <v>7807</v>
      </c>
      <c r="C1330" t="s">
        <v>6781</v>
      </c>
      <c r="D1330" s="233">
        <v>454.88</v>
      </c>
    </row>
    <row r="1331" spans="1:4">
      <c r="A1331">
        <v>34494</v>
      </c>
      <c r="B1331" t="s">
        <v>7808</v>
      </c>
      <c r="C1331" t="s">
        <v>6781</v>
      </c>
      <c r="D1331" s="233">
        <v>364.65</v>
      </c>
    </row>
    <row r="1332" spans="1:4">
      <c r="A1332">
        <v>1525</v>
      </c>
      <c r="B1332" t="s">
        <v>7809</v>
      </c>
      <c r="C1332" t="s">
        <v>6781</v>
      </c>
      <c r="D1332" s="233">
        <v>421.18</v>
      </c>
    </row>
    <row r="1333" spans="1:4">
      <c r="A1333">
        <v>38406</v>
      </c>
      <c r="B1333" t="s">
        <v>7810</v>
      </c>
      <c r="C1333" t="s">
        <v>6781</v>
      </c>
      <c r="D1333" s="233">
        <v>459.62</v>
      </c>
    </row>
    <row r="1334" spans="1:4">
      <c r="A1334">
        <v>38409</v>
      </c>
      <c r="B1334" t="s">
        <v>7811</v>
      </c>
      <c r="C1334" t="s">
        <v>6781</v>
      </c>
      <c r="D1334" s="233">
        <v>490.32</v>
      </c>
    </row>
    <row r="1335" spans="1:4">
      <c r="A1335">
        <v>34495</v>
      </c>
      <c r="B1335" t="s">
        <v>7812</v>
      </c>
      <c r="C1335" t="s">
        <v>6781</v>
      </c>
      <c r="D1335" s="233">
        <v>380.23</v>
      </c>
    </row>
    <row r="1336" spans="1:4">
      <c r="A1336">
        <v>11145</v>
      </c>
      <c r="B1336" t="s">
        <v>7813</v>
      </c>
      <c r="C1336" t="s">
        <v>6781</v>
      </c>
      <c r="D1336" s="233">
        <v>436.27</v>
      </c>
    </row>
    <row r="1337" spans="1:4">
      <c r="A1337">
        <v>34496</v>
      </c>
      <c r="B1337" t="s">
        <v>7814</v>
      </c>
      <c r="C1337" t="s">
        <v>6781</v>
      </c>
      <c r="D1337" s="233">
        <v>397.17</v>
      </c>
    </row>
    <row r="1338" spans="1:4">
      <c r="A1338">
        <v>34479</v>
      </c>
      <c r="B1338" t="s">
        <v>7815</v>
      </c>
      <c r="C1338" t="s">
        <v>6781</v>
      </c>
      <c r="D1338" s="233">
        <v>452.73</v>
      </c>
    </row>
    <row r="1339" spans="1:4">
      <c r="A1339">
        <v>34481</v>
      </c>
      <c r="B1339" t="s">
        <v>7816</v>
      </c>
      <c r="C1339" t="s">
        <v>6781</v>
      </c>
      <c r="D1339" s="233">
        <v>508.98</v>
      </c>
    </row>
    <row r="1340" spans="1:4">
      <c r="A1340">
        <v>34483</v>
      </c>
      <c r="B1340" t="s">
        <v>7817</v>
      </c>
      <c r="C1340" t="s">
        <v>6781</v>
      </c>
      <c r="D1340" s="233">
        <v>603.64</v>
      </c>
    </row>
    <row r="1341" spans="1:4">
      <c r="A1341">
        <v>34485</v>
      </c>
      <c r="B1341" t="s">
        <v>7818</v>
      </c>
      <c r="C1341" t="s">
        <v>6781</v>
      </c>
      <c r="D1341" s="233">
        <v>775.14</v>
      </c>
    </row>
    <row r="1342" spans="1:4">
      <c r="A1342">
        <v>34497</v>
      </c>
      <c r="B1342" t="s">
        <v>7819</v>
      </c>
      <c r="C1342" t="s">
        <v>6781</v>
      </c>
      <c r="D1342" s="234">
        <v>1070.0999999999999</v>
      </c>
    </row>
    <row r="1343" spans="1:4">
      <c r="A1343">
        <v>14041</v>
      </c>
      <c r="B1343" t="s">
        <v>7820</v>
      </c>
      <c r="C1343" t="s">
        <v>6781</v>
      </c>
      <c r="D1343" s="233">
        <v>335.38</v>
      </c>
    </row>
    <row r="1344" spans="1:4">
      <c r="A1344">
        <v>1523</v>
      </c>
      <c r="B1344" t="s">
        <v>7821</v>
      </c>
      <c r="C1344" t="s">
        <v>6781</v>
      </c>
      <c r="D1344" s="233">
        <v>338.58</v>
      </c>
    </row>
    <row r="1345" spans="1:4">
      <c r="A1345">
        <v>14052</v>
      </c>
      <c r="B1345" t="s">
        <v>7822</v>
      </c>
      <c r="C1345" t="s">
        <v>6636</v>
      </c>
      <c r="D1345" s="233">
        <v>6.67</v>
      </c>
    </row>
    <row r="1346" spans="1:4">
      <c r="A1346">
        <v>14054</v>
      </c>
      <c r="B1346" t="s">
        <v>7823</v>
      </c>
      <c r="C1346" t="s">
        <v>6636</v>
      </c>
      <c r="D1346" s="233">
        <v>8.67</v>
      </c>
    </row>
    <row r="1347" spans="1:4">
      <c r="A1347">
        <v>14053</v>
      </c>
      <c r="B1347" t="s">
        <v>7824</v>
      </c>
      <c r="C1347" t="s">
        <v>6636</v>
      </c>
      <c r="D1347" s="233">
        <v>6.77</v>
      </c>
    </row>
    <row r="1348" spans="1:4">
      <c r="A1348">
        <v>2558</v>
      </c>
      <c r="B1348" t="s">
        <v>7825</v>
      </c>
      <c r="C1348" t="s">
        <v>6636</v>
      </c>
      <c r="D1348" s="233">
        <v>5.0999999999999996</v>
      </c>
    </row>
    <row r="1349" spans="1:4">
      <c r="A1349">
        <v>2560</v>
      </c>
      <c r="B1349" t="s">
        <v>7826</v>
      </c>
      <c r="C1349" t="s">
        <v>6636</v>
      </c>
      <c r="D1349" s="233">
        <v>8.98</v>
      </c>
    </row>
    <row r="1350" spans="1:4">
      <c r="A1350">
        <v>2559</v>
      </c>
      <c r="B1350" t="s">
        <v>7827</v>
      </c>
      <c r="C1350" t="s">
        <v>6636</v>
      </c>
      <c r="D1350" s="233">
        <v>7.18</v>
      </c>
    </row>
    <row r="1351" spans="1:4">
      <c r="A1351">
        <v>2592</v>
      </c>
      <c r="B1351" t="s">
        <v>7828</v>
      </c>
      <c r="C1351" t="s">
        <v>6636</v>
      </c>
      <c r="D1351" s="233">
        <v>119.02</v>
      </c>
    </row>
    <row r="1352" spans="1:4">
      <c r="A1352">
        <v>2566</v>
      </c>
      <c r="B1352" t="s">
        <v>7829</v>
      </c>
      <c r="C1352" t="s">
        <v>6636</v>
      </c>
      <c r="D1352" s="233">
        <v>11.98</v>
      </c>
    </row>
    <row r="1353" spans="1:4">
      <c r="A1353">
        <v>2589</v>
      </c>
      <c r="B1353" t="s">
        <v>7830</v>
      </c>
      <c r="C1353" t="s">
        <v>6636</v>
      </c>
      <c r="D1353" s="233">
        <v>15.92</v>
      </c>
    </row>
    <row r="1354" spans="1:4">
      <c r="A1354">
        <v>2591</v>
      </c>
      <c r="B1354" t="s">
        <v>7831</v>
      </c>
      <c r="C1354" t="s">
        <v>6636</v>
      </c>
      <c r="D1354" s="233">
        <v>5.8</v>
      </c>
    </row>
    <row r="1355" spans="1:4">
      <c r="A1355">
        <v>2590</v>
      </c>
      <c r="B1355" t="s">
        <v>7832</v>
      </c>
      <c r="C1355" t="s">
        <v>6636</v>
      </c>
      <c r="D1355" s="233">
        <v>9.77</v>
      </c>
    </row>
    <row r="1356" spans="1:4">
      <c r="A1356">
        <v>2567</v>
      </c>
      <c r="B1356" t="s">
        <v>7833</v>
      </c>
      <c r="C1356" t="s">
        <v>6636</v>
      </c>
      <c r="D1356" s="233">
        <v>23.35</v>
      </c>
    </row>
    <row r="1357" spans="1:4">
      <c r="A1357">
        <v>2565</v>
      </c>
      <c r="B1357" t="s">
        <v>7834</v>
      </c>
      <c r="C1357" t="s">
        <v>6636</v>
      </c>
      <c r="D1357" s="233">
        <v>5.81</v>
      </c>
    </row>
    <row r="1358" spans="1:4">
      <c r="A1358">
        <v>2568</v>
      </c>
      <c r="B1358" t="s">
        <v>7835</v>
      </c>
      <c r="C1358" t="s">
        <v>6636</v>
      </c>
      <c r="D1358" s="233">
        <v>64.849999999999994</v>
      </c>
    </row>
    <row r="1359" spans="1:4">
      <c r="A1359">
        <v>2594</v>
      </c>
      <c r="B1359" t="s">
        <v>7836</v>
      </c>
      <c r="C1359" t="s">
        <v>6636</v>
      </c>
      <c r="D1359" s="233">
        <v>108.03</v>
      </c>
    </row>
    <row r="1360" spans="1:4">
      <c r="A1360">
        <v>2587</v>
      </c>
      <c r="B1360" t="s">
        <v>7837</v>
      </c>
      <c r="C1360" t="s">
        <v>6636</v>
      </c>
      <c r="D1360" s="233">
        <v>18.41</v>
      </c>
    </row>
    <row r="1361" spans="1:4">
      <c r="A1361">
        <v>2588</v>
      </c>
      <c r="B1361" t="s">
        <v>7838</v>
      </c>
      <c r="C1361" t="s">
        <v>6636</v>
      </c>
      <c r="D1361" s="233">
        <v>14.62</v>
      </c>
    </row>
    <row r="1362" spans="1:4">
      <c r="A1362">
        <v>2569</v>
      </c>
      <c r="B1362" t="s">
        <v>7839</v>
      </c>
      <c r="C1362" t="s">
        <v>6636</v>
      </c>
      <c r="D1362" s="233">
        <v>5.63</v>
      </c>
    </row>
    <row r="1363" spans="1:4">
      <c r="A1363">
        <v>2570</v>
      </c>
      <c r="B1363" t="s">
        <v>7840</v>
      </c>
      <c r="C1363" t="s">
        <v>6636</v>
      </c>
      <c r="D1363" s="233">
        <v>9.44</v>
      </c>
    </row>
    <row r="1364" spans="1:4">
      <c r="A1364">
        <v>2571</v>
      </c>
      <c r="B1364" t="s">
        <v>7841</v>
      </c>
      <c r="C1364" t="s">
        <v>6636</v>
      </c>
      <c r="D1364" s="233">
        <v>28.04</v>
      </c>
    </row>
    <row r="1365" spans="1:4">
      <c r="A1365">
        <v>2593</v>
      </c>
      <c r="B1365" t="s">
        <v>7842</v>
      </c>
      <c r="C1365" t="s">
        <v>6636</v>
      </c>
      <c r="D1365" s="233">
        <v>6.01</v>
      </c>
    </row>
    <row r="1366" spans="1:4">
      <c r="A1366">
        <v>2572</v>
      </c>
      <c r="B1366" t="s">
        <v>7843</v>
      </c>
      <c r="C1366" t="s">
        <v>6636</v>
      </c>
      <c r="D1366" s="233">
        <v>82.93</v>
      </c>
    </row>
    <row r="1367" spans="1:4">
      <c r="A1367">
        <v>2595</v>
      </c>
      <c r="B1367" t="s">
        <v>7844</v>
      </c>
      <c r="C1367" t="s">
        <v>6636</v>
      </c>
      <c r="D1367" s="233">
        <v>129.38999999999999</v>
      </c>
    </row>
    <row r="1368" spans="1:4">
      <c r="A1368">
        <v>2576</v>
      </c>
      <c r="B1368" t="s">
        <v>7845</v>
      </c>
      <c r="C1368" t="s">
        <v>6636</v>
      </c>
      <c r="D1368" s="233">
        <v>22.05</v>
      </c>
    </row>
    <row r="1369" spans="1:4">
      <c r="A1369">
        <v>2575</v>
      </c>
      <c r="B1369" t="s">
        <v>7846</v>
      </c>
      <c r="C1369" t="s">
        <v>6636</v>
      </c>
      <c r="D1369" s="233">
        <v>16.579999999999998</v>
      </c>
    </row>
    <row r="1370" spans="1:4">
      <c r="A1370">
        <v>2573</v>
      </c>
      <c r="B1370" t="s">
        <v>7847</v>
      </c>
      <c r="C1370" t="s">
        <v>6636</v>
      </c>
      <c r="D1370" s="233">
        <v>6.88</v>
      </c>
    </row>
    <row r="1371" spans="1:4">
      <c r="A1371">
        <v>2586</v>
      </c>
      <c r="B1371" t="s">
        <v>7848</v>
      </c>
      <c r="C1371" t="s">
        <v>6636</v>
      </c>
      <c r="D1371" s="233">
        <v>11.16</v>
      </c>
    </row>
    <row r="1372" spans="1:4">
      <c r="A1372">
        <v>2577</v>
      </c>
      <c r="B1372" t="s">
        <v>7849</v>
      </c>
      <c r="C1372" t="s">
        <v>6636</v>
      </c>
      <c r="D1372" s="233">
        <v>29.88</v>
      </c>
    </row>
    <row r="1373" spans="1:4">
      <c r="A1373">
        <v>2574</v>
      </c>
      <c r="B1373" t="s">
        <v>7850</v>
      </c>
      <c r="C1373" t="s">
        <v>6636</v>
      </c>
      <c r="D1373" s="233">
        <v>6.93</v>
      </c>
    </row>
    <row r="1374" spans="1:4">
      <c r="A1374">
        <v>2578</v>
      </c>
      <c r="B1374" t="s">
        <v>7851</v>
      </c>
      <c r="C1374" t="s">
        <v>6636</v>
      </c>
      <c r="D1374" s="233">
        <v>93.31</v>
      </c>
    </row>
    <row r="1375" spans="1:4">
      <c r="A1375">
        <v>2585</v>
      </c>
      <c r="B1375" t="s">
        <v>7852</v>
      </c>
      <c r="C1375" t="s">
        <v>6636</v>
      </c>
      <c r="D1375" s="233">
        <v>128.05000000000001</v>
      </c>
    </row>
    <row r="1376" spans="1:4">
      <c r="A1376">
        <v>12008</v>
      </c>
      <c r="B1376" t="s">
        <v>7853</v>
      </c>
      <c r="C1376" t="s">
        <v>6636</v>
      </c>
      <c r="D1376" s="233">
        <v>68.7</v>
      </c>
    </row>
    <row r="1377" spans="1:4">
      <c r="A1377">
        <v>2582</v>
      </c>
      <c r="B1377" t="s">
        <v>7854</v>
      </c>
      <c r="C1377" t="s">
        <v>6636</v>
      </c>
      <c r="D1377" s="233">
        <v>20.46</v>
      </c>
    </row>
    <row r="1378" spans="1:4">
      <c r="A1378">
        <v>2597</v>
      </c>
      <c r="B1378" t="s">
        <v>7855</v>
      </c>
      <c r="C1378" t="s">
        <v>6636</v>
      </c>
      <c r="D1378" s="233">
        <v>17.53</v>
      </c>
    </row>
    <row r="1379" spans="1:4">
      <c r="A1379">
        <v>2579</v>
      </c>
      <c r="B1379" t="s">
        <v>7856</v>
      </c>
      <c r="C1379" t="s">
        <v>6636</v>
      </c>
      <c r="D1379" s="233">
        <v>8.34</v>
      </c>
    </row>
    <row r="1380" spans="1:4">
      <c r="A1380">
        <v>2581</v>
      </c>
      <c r="B1380" t="s">
        <v>7857</v>
      </c>
      <c r="C1380" t="s">
        <v>6636</v>
      </c>
      <c r="D1380" s="233">
        <v>10.68</v>
      </c>
    </row>
    <row r="1381" spans="1:4">
      <c r="A1381">
        <v>2596</v>
      </c>
      <c r="B1381" t="s">
        <v>7858</v>
      </c>
      <c r="C1381" t="s">
        <v>6636</v>
      </c>
      <c r="D1381" s="233">
        <v>31.59</v>
      </c>
    </row>
    <row r="1382" spans="1:4">
      <c r="A1382">
        <v>2580</v>
      </c>
      <c r="B1382" t="s">
        <v>7859</v>
      </c>
      <c r="C1382" t="s">
        <v>6636</v>
      </c>
      <c r="D1382" s="233">
        <v>9.15</v>
      </c>
    </row>
    <row r="1383" spans="1:4">
      <c r="A1383">
        <v>2583</v>
      </c>
      <c r="B1383" t="s">
        <v>7860</v>
      </c>
      <c r="C1383" t="s">
        <v>6636</v>
      </c>
      <c r="D1383" s="233">
        <v>76.84</v>
      </c>
    </row>
    <row r="1384" spans="1:4">
      <c r="A1384">
        <v>2584</v>
      </c>
      <c r="B1384" t="s">
        <v>7861</v>
      </c>
      <c r="C1384" t="s">
        <v>6636</v>
      </c>
      <c r="D1384" s="233">
        <v>127.91</v>
      </c>
    </row>
    <row r="1385" spans="1:4">
      <c r="A1385">
        <v>12010</v>
      </c>
      <c r="B1385" t="s">
        <v>7862</v>
      </c>
      <c r="C1385" t="s">
        <v>6636</v>
      </c>
      <c r="D1385" s="233">
        <v>6.98</v>
      </c>
    </row>
    <row r="1386" spans="1:4">
      <c r="A1386">
        <v>39329</v>
      </c>
      <c r="B1386" t="s">
        <v>7863</v>
      </c>
      <c r="C1386" t="s">
        <v>6636</v>
      </c>
      <c r="D1386" s="233">
        <v>7.3</v>
      </c>
    </row>
    <row r="1387" spans="1:4">
      <c r="A1387">
        <v>39330</v>
      </c>
      <c r="B1387" t="s">
        <v>7864</v>
      </c>
      <c r="C1387" t="s">
        <v>6636</v>
      </c>
      <c r="D1387" s="233">
        <v>7.68</v>
      </c>
    </row>
    <row r="1388" spans="1:4">
      <c r="A1388">
        <v>39332</v>
      </c>
      <c r="B1388" t="s">
        <v>7865</v>
      </c>
      <c r="C1388" t="s">
        <v>6636</v>
      </c>
      <c r="D1388" s="233">
        <v>8.58</v>
      </c>
    </row>
    <row r="1389" spans="1:4">
      <c r="A1389">
        <v>39331</v>
      </c>
      <c r="B1389" t="s">
        <v>7866</v>
      </c>
      <c r="C1389" t="s">
        <v>6636</v>
      </c>
      <c r="D1389" s="233">
        <v>6.83</v>
      </c>
    </row>
    <row r="1390" spans="1:4">
      <c r="A1390">
        <v>39333</v>
      </c>
      <c r="B1390" t="s">
        <v>7867</v>
      </c>
      <c r="C1390" t="s">
        <v>6636</v>
      </c>
      <c r="D1390" s="233">
        <v>6.66</v>
      </c>
    </row>
    <row r="1391" spans="1:4">
      <c r="A1391">
        <v>39335</v>
      </c>
      <c r="B1391" t="s">
        <v>7868</v>
      </c>
      <c r="C1391" t="s">
        <v>6636</v>
      </c>
      <c r="D1391" s="233">
        <v>7.71</v>
      </c>
    </row>
    <row r="1392" spans="1:4">
      <c r="A1392">
        <v>39334</v>
      </c>
      <c r="B1392" t="s">
        <v>7869</v>
      </c>
      <c r="C1392" t="s">
        <v>6636</v>
      </c>
      <c r="D1392" s="233">
        <v>6.12</v>
      </c>
    </row>
    <row r="1393" spans="1:4">
      <c r="A1393">
        <v>12016</v>
      </c>
      <c r="B1393" t="s">
        <v>7870</v>
      </c>
      <c r="C1393" t="s">
        <v>6636</v>
      </c>
      <c r="D1393" s="233">
        <v>7.69</v>
      </c>
    </row>
    <row r="1394" spans="1:4">
      <c r="A1394">
        <v>12015</v>
      </c>
      <c r="B1394" t="s">
        <v>7871</v>
      </c>
      <c r="C1394" t="s">
        <v>6636</v>
      </c>
      <c r="D1394" s="233">
        <v>8.9499999999999993</v>
      </c>
    </row>
    <row r="1395" spans="1:4">
      <c r="A1395">
        <v>12020</v>
      </c>
      <c r="B1395" t="s">
        <v>7872</v>
      </c>
      <c r="C1395" t="s">
        <v>6636</v>
      </c>
      <c r="D1395" s="233">
        <v>7.69</v>
      </c>
    </row>
    <row r="1396" spans="1:4">
      <c r="A1396">
        <v>12019</v>
      </c>
      <c r="B1396" t="s">
        <v>7873</v>
      </c>
      <c r="C1396" t="s">
        <v>6636</v>
      </c>
      <c r="D1396" s="233">
        <v>8.9499999999999993</v>
      </c>
    </row>
    <row r="1397" spans="1:4">
      <c r="A1397">
        <v>39336</v>
      </c>
      <c r="B1397" t="s">
        <v>7874</v>
      </c>
      <c r="C1397" t="s">
        <v>6636</v>
      </c>
      <c r="D1397" s="233">
        <v>7.68</v>
      </c>
    </row>
    <row r="1398" spans="1:4">
      <c r="A1398">
        <v>39338</v>
      </c>
      <c r="B1398" t="s">
        <v>7875</v>
      </c>
      <c r="C1398" t="s">
        <v>6636</v>
      </c>
      <c r="D1398" s="233">
        <v>8.58</v>
      </c>
    </row>
    <row r="1399" spans="1:4">
      <c r="A1399">
        <v>39337</v>
      </c>
      <c r="B1399" t="s">
        <v>7876</v>
      </c>
      <c r="C1399" t="s">
        <v>6636</v>
      </c>
      <c r="D1399" s="233">
        <v>6.83</v>
      </c>
    </row>
    <row r="1400" spans="1:4">
      <c r="A1400">
        <v>39341</v>
      </c>
      <c r="B1400" t="s">
        <v>7877</v>
      </c>
      <c r="C1400" t="s">
        <v>6636</v>
      </c>
      <c r="D1400" s="233">
        <v>11.19</v>
      </c>
    </row>
    <row r="1401" spans="1:4">
      <c r="A1401">
        <v>39340</v>
      </c>
      <c r="B1401" t="s">
        <v>7878</v>
      </c>
      <c r="C1401" t="s">
        <v>6636</v>
      </c>
      <c r="D1401" s="233">
        <v>8.2100000000000009</v>
      </c>
    </row>
    <row r="1402" spans="1:4">
      <c r="A1402">
        <v>12025</v>
      </c>
      <c r="B1402" t="s">
        <v>7879</v>
      </c>
      <c r="C1402" t="s">
        <v>6636</v>
      </c>
      <c r="D1402" s="233">
        <v>8.48</v>
      </c>
    </row>
    <row r="1403" spans="1:4">
      <c r="A1403">
        <v>39342</v>
      </c>
      <c r="B1403" t="s">
        <v>7880</v>
      </c>
      <c r="C1403" t="s">
        <v>6636</v>
      </c>
      <c r="D1403" s="233">
        <v>11.19</v>
      </c>
    </row>
    <row r="1404" spans="1:4">
      <c r="A1404">
        <v>39343</v>
      </c>
      <c r="B1404" t="s">
        <v>7881</v>
      </c>
      <c r="C1404" t="s">
        <v>6636</v>
      </c>
      <c r="D1404" s="233">
        <v>9.4499999999999993</v>
      </c>
    </row>
    <row r="1405" spans="1:4">
      <c r="A1405">
        <v>39345</v>
      </c>
      <c r="B1405" t="s">
        <v>7882</v>
      </c>
      <c r="C1405" t="s">
        <v>6636</v>
      </c>
      <c r="D1405" s="233">
        <v>12.78</v>
      </c>
    </row>
    <row r="1406" spans="1:4">
      <c r="A1406">
        <v>39344</v>
      </c>
      <c r="B1406" t="s">
        <v>7883</v>
      </c>
      <c r="C1406" t="s">
        <v>6636</v>
      </c>
      <c r="D1406" s="233">
        <v>9.1300000000000008</v>
      </c>
    </row>
    <row r="1407" spans="1:4">
      <c r="A1407">
        <v>12623</v>
      </c>
      <c r="B1407" t="s">
        <v>7884</v>
      </c>
      <c r="C1407" t="s">
        <v>6649</v>
      </c>
      <c r="D1407" s="233">
        <v>9.36</v>
      </c>
    </row>
    <row r="1408" spans="1:4">
      <c r="A1408">
        <v>34498</v>
      </c>
      <c r="B1408" t="s">
        <v>7885</v>
      </c>
      <c r="C1408" t="s">
        <v>6636</v>
      </c>
      <c r="D1408" s="233">
        <v>68.3</v>
      </c>
    </row>
    <row r="1409" spans="1:4">
      <c r="A1409">
        <v>13244</v>
      </c>
      <c r="B1409" t="s">
        <v>7886</v>
      </c>
      <c r="C1409" t="s">
        <v>6636</v>
      </c>
      <c r="D1409" s="233">
        <v>28.75</v>
      </c>
    </row>
    <row r="1410" spans="1:4">
      <c r="A1410">
        <v>38998</v>
      </c>
      <c r="B1410" t="s">
        <v>7887</v>
      </c>
      <c r="C1410" t="s">
        <v>6636</v>
      </c>
      <c r="D1410" s="233">
        <v>8.77</v>
      </c>
    </row>
    <row r="1411" spans="1:4">
      <c r="A1411">
        <v>38999</v>
      </c>
      <c r="B1411" t="s">
        <v>7888</v>
      </c>
      <c r="C1411" t="s">
        <v>6636</v>
      </c>
      <c r="D1411" s="233">
        <v>14.51</v>
      </c>
    </row>
    <row r="1412" spans="1:4">
      <c r="A1412">
        <v>38996</v>
      </c>
      <c r="B1412" t="s">
        <v>7889</v>
      </c>
      <c r="C1412" t="s">
        <v>6636</v>
      </c>
      <c r="D1412" s="233">
        <v>12.67</v>
      </c>
    </row>
    <row r="1413" spans="1:4">
      <c r="A1413">
        <v>38997</v>
      </c>
      <c r="B1413" t="s">
        <v>7890</v>
      </c>
      <c r="C1413" t="s">
        <v>6636</v>
      </c>
      <c r="D1413" s="233">
        <v>20.51</v>
      </c>
    </row>
    <row r="1414" spans="1:4">
      <c r="A1414">
        <v>39862</v>
      </c>
      <c r="B1414" t="s">
        <v>7891</v>
      </c>
      <c r="C1414" t="s">
        <v>6636</v>
      </c>
      <c r="D1414" s="233">
        <v>7.9</v>
      </c>
    </row>
    <row r="1415" spans="1:4">
      <c r="A1415">
        <v>39863</v>
      </c>
      <c r="B1415" t="s">
        <v>7892</v>
      </c>
      <c r="C1415" t="s">
        <v>6636</v>
      </c>
      <c r="D1415" s="233">
        <v>8.01</v>
      </c>
    </row>
    <row r="1416" spans="1:4">
      <c r="A1416">
        <v>39864</v>
      </c>
      <c r="B1416" t="s">
        <v>7893</v>
      </c>
      <c r="C1416" t="s">
        <v>6636</v>
      </c>
      <c r="D1416" s="233">
        <v>9.94</v>
      </c>
    </row>
    <row r="1417" spans="1:4">
      <c r="A1417">
        <v>39865</v>
      </c>
      <c r="B1417" t="s">
        <v>7894</v>
      </c>
      <c r="C1417" t="s">
        <v>6636</v>
      </c>
      <c r="D1417" s="233">
        <v>14.01</v>
      </c>
    </row>
    <row r="1418" spans="1:4">
      <c r="A1418">
        <v>2517</v>
      </c>
      <c r="B1418" t="s">
        <v>7895</v>
      </c>
      <c r="C1418" t="s">
        <v>6636</v>
      </c>
      <c r="D1418" s="233">
        <v>12.74</v>
      </c>
    </row>
    <row r="1419" spans="1:4">
      <c r="A1419">
        <v>2522</v>
      </c>
      <c r="B1419" t="s">
        <v>7896</v>
      </c>
      <c r="C1419" t="s">
        <v>6636</v>
      </c>
      <c r="D1419" s="233">
        <v>8.23</v>
      </c>
    </row>
    <row r="1420" spans="1:4">
      <c r="A1420">
        <v>2548</v>
      </c>
      <c r="B1420" t="s">
        <v>7897</v>
      </c>
      <c r="C1420" t="s">
        <v>6636</v>
      </c>
      <c r="D1420" s="233">
        <v>5.0599999999999996</v>
      </c>
    </row>
    <row r="1421" spans="1:4">
      <c r="A1421">
        <v>2516</v>
      </c>
      <c r="B1421" t="s">
        <v>7898</v>
      </c>
      <c r="C1421" t="s">
        <v>6636</v>
      </c>
      <c r="D1421" s="233">
        <v>6.61</v>
      </c>
    </row>
    <row r="1422" spans="1:4">
      <c r="A1422">
        <v>2518</v>
      </c>
      <c r="B1422" t="s">
        <v>7899</v>
      </c>
      <c r="C1422" t="s">
        <v>6636</v>
      </c>
      <c r="D1422" s="233">
        <v>60.66</v>
      </c>
    </row>
    <row r="1423" spans="1:4">
      <c r="A1423">
        <v>2521</v>
      </c>
      <c r="B1423" t="s">
        <v>7900</v>
      </c>
      <c r="C1423" t="s">
        <v>6636</v>
      </c>
      <c r="D1423" s="233">
        <v>25.82</v>
      </c>
    </row>
    <row r="1424" spans="1:4">
      <c r="A1424">
        <v>2515</v>
      </c>
      <c r="B1424" t="s">
        <v>7901</v>
      </c>
      <c r="C1424" t="s">
        <v>6636</v>
      </c>
      <c r="D1424" s="233">
        <v>5.5</v>
      </c>
    </row>
    <row r="1425" spans="1:4">
      <c r="A1425">
        <v>2519</v>
      </c>
      <c r="B1425" t="s">
        <v>7902</v>
      </c>
      <c r="C1425" t="s">
        <v>6636</v>
      </c>
      <c r="D1425" s="233">
        <v>73.150000000000006</v>
      </c>
    </row>
    <row r="1426" spans="1:4">
      <c r="A1426">
        <v>2520</v>
      </c>
      <c r="B1426" t="s">
        <v>7903</v>
      </c>
      <c r="C1426" t="s">
        <v>6636</v>
      </c>
      <c r="D1426" s="233">
        <v>134.63</v>
      </c>
    </row>
    <row r="1427" spans="1:4">
      <c r="A1427">
        <v>1602</v>
      </c>
      <c r="B1427" t="s">
        <v>7904</v>
      </c>
      <c r="C1427" t="s">
        <v>6636</v>
      </c>
      <c r="D1427" s="233">
        <v>31.47</v>
      </c>
    </row>
    <row r="1428" spans="1:4">
      <c r="A1428">
        <v>1601</v>
      </c>
      <c r="B1428" t="s">
        <v>7905</v>
      </c>
      <c r="C1428" t="s">
        <v>6636</v>
      </c>
      <c r="D1428" s="233">
        <v>28.05</v>
      </c>
    </row>
    <row r="1429" spans="1:4">
      <c r="A1429">
        <v>1598</v>
      </c>
      <c r="B1429" t="s">
        <v>7906</v>
      </c>
      <c r="C1429" t="s">
        <v>6636</v>
      </c>
      <c r="D1429" s="233">
        <v>8.3000000000000007</v>
      </c>
    </row>
    <row r="1430" spans="1:4">
      <c r="A1430">
        <v>1600</v>
      </c>
      <c r="B1430" t="s">
        <v>7907</v>
      </c>
      <c r="C1430" t="s">
        <v>6636</v>
      </c>
      <c r="D1430" s="233">
        <v>12.25</v>
      </c>
    </row>
    <row r="1431" spans="1:4">
      <c r="A1431">
        <v>1603</v>
      </c>
      <c r="B1431" t="s">
        <v>7908</v>
      </c>
      <c r="C1431" t="s">
        <v>6636</v>
      </c>
      <c r="D1431" s="233">
        <v>47.52</v>
      </c>
    </row>
    <row r="1432" spans="1:4">
      <c r="A1432">
        <v>1599</v>
      </c>
      <c r="B1432" t="s">
        <v>7909</v>
      </c>
      <c r="C1432" t="s">
        <v>6636</v>
      </c>
      <c r="D1432" s="233">
        <v>9.6300000000000008</v>
      </c>
    </row>
    <row r="1433" spans="1:4">
      <c r="A1433">
        <v>1597</v>
      </c>
      <c r="B1433" t="s">
        <v>7910</v>
      </c>
      <c r="C1433" t="s">
        <v>6636</v>
      </c>
      <c r="D1433" s="233">
        <v>7.8</v>
      </c>
    </row>
    <row r="1434" spans="1:4">
      <c r="A1434">
        <v>39600</v>
      </c>
      <c r="B1434" t="s">
        <v>7911</v>
      </c>
      <c r="C1434" t="s">
        <v>6636</v>
      </c>
      <c r="D1434" s="233">
        <v>8.93</v>
      </c>
    </row>
    <row r="1435" spans="1:4">
      <c r="A1435">
        <v>39601</v>
      </c>
      <c r="B1435" t="s">
        <v>7912</v>
      </c>
      <c r="C1435" t="s">
        <v>6636</v>
      </c>
      <c r="D1435" s="233">
        <v>15.54</v>
      </c>
    </row>
    <row r="1436" spans="1:4">
      <c r="A1436">
        <v>39602</v>
      </c>
      <c r="B1436" t="s">
        <v>7913</v>
      </c>
      <c r="C1436" t="s">
        <v>6636</v>
      </c>
      <c r="D1436" s="233">
        <v>1.02</v>
      </c>
    </row>
    <row r="1437" spans="1:4">
      <c r="A1437">
        <v>39603</v>
      </c>
      <c r="B1437" t="s">
        <v>7914</v>
      </c>
      <c r="C1437" t="s">
        <v>6636</v>
      </c>
      <c r="D1437" s="233">
        <v>1.75</v>
      </c>
    </row>
    <row r="1438" spans="1:4">
      <c r="A1438">
        <v>11821</v>
      </c>
      <c r="B1438" t="s">
        <v>7915</v>
      </c>
      <c r="C1438" t="s">
        <v>6636</v>
      </c>
      <c r="D1438" s="233">
        <v>6.41</v>
      </c>
    </row>
    <row r="1439" spans="1:4">
      <c r="A1439">
        <v>1562</v>
      </c>
      <c r="B1439" t="s">
        <v>7916</v>
      </c>
      <c r="C1439" t="s">
        <v>6636</v>
      </c>
      <c r="D1439" s="233">
        <v>10.5</v>
      </c>
    </row>
    <row r="1440" spans="1:4">
      <c r="A1440">
        <v>1563</v>
      </c>
      <c r="B1440" t="s">
        <v>7917</v>
      </c>
      <c r="C1440" t="s">
        <v>6636</v>
      </c>
      <c r="D1440" s="233">
        <v>14.09</v>
      </c>
    </row>
    <row r="1441" spans="1:4">
      <c r="A1441">
        <v>11856</v>
      </c>
      <c r="B1441" t="s">
        <v>7918</v>
      </c>
      <c r="C1441" t="s">
        <v>6636</v>
      </c>
      <c r="D1441" s="233">
        <v>4.2</v>
      </c>
    </row>
    <row r="1442" spans="1:4">
      <c r="A1442">
        <v>11857</v>
      </c>
      <c r="B1442" t="s">
        <v>7919</v>
      </c>
      <c r="C1442" t="s">
        <v>6636</v>
      </c>
      <c r="D1442" s="233">
        <v>22.1</v>
      </c>
    </row>
    <row r="1443" spans="1:4">
      <c r="A1443">
        <v>11858</v>
      </c>
      <c r="B1443" t="s">
        <v>7920</v>
      </c>
      <c r="C1443" t="s">
        <v>6636</v>
      </c>
      <c r="D1443" s="233">
        <v>27.43</v>
      </c>
    </row>
    <row r="1444" spans="1:4">
      <c r="A1444">
        <v>1539</v>
      </c>
      <c r="B1444" t="s">
        <v>777</v>
      </c>
      <c r="C1444" t="s">
        <v>6636</v>
      </c>
      <c r="D1444" s="233">
        <v>4.93</v>
      </c>
    </row>
    <row r="1445" spans="1:4">
      <c r="A1445">
        <v>11859</v>
      </c>
      <c r="B1445" t="s">
        <v>7921</v>
      </c>
      <c r="C1445" t="s">
        <v>6636</v>
      </c>
      <c r="D1445" s="233">
        <v>37.32</v>
      </c>
    </row>
    <row r="1446" spans="1:4">
      <c r="A1446">
        <v>1550</v>
      </c>
      <c r="B1446" t="s">
        <v>7922</v>
      </c>
      <c r="C1446" t="s">
        <v>6636</v>
      </c>
      <c r="D1446" s="233">
        <v>5.2</v>
      </c>
    </row>
    <row r="1447" spans="1:4">
      <c r="A1447">
        <v>11854</v>
      </c>
      <c r="B1447" t="s">
        <v>7923</v>
      </c>
      <c r="C1447" t="s">
        <v>6636</v>
      </c>
      <c r="D1447" s="233">
        <v>6.5</v>
      </c>
    </row>
    <row r="1448" spans="1:4">
      <c r="A1448">
        <v>11862</v>
      </c>
      <c r="B1448" t="s">
        <v>7924</v>
      </c>
      <c r="C1448" t="s">
        <v>6636</v>
      </c>
      <c r="D1448" s="233">
        <v>9.1199999999999992</v>
      </c>
    </row>
    <row r="1449" spans="1:4">
      <c r="A1449">
        <v>11863</v>
      </c>
      <c r="B1449" t="s">
        <v>7925</v>
      </c>
      <c r="C1449" t="s">
        <v>6636</v>
      </c>
      <c r="D1449" s="233">
        <v>3.68</v>
      </c>
    </row>
    <row r="1450" spans="1:4">
      <c r="A1450">
        <v>11855</v>
      </c>
      <c r="B1450" t="s">
        <v>7926</v>
      </c>
      <c r="C1450" t="s">
        <v>6636</v>
      </c>
      <c r="D1450" s="233">
        <v>13.62</v>
      </c>
    </row>
    <row r="1451" spans="1:4">
      <c r="A1451">
        <v>11864</v>
      </c>
      <c r="B1451" t="s">
        <v>7927</v>
      </c>
      <c r="C1451" t="s">
        <v>6636</v>
      </c>
      <c r="D1451" s="233">
        <v>20.59</v>
      </c>
    </row>
    <row r="1452" spans="1:4">
      <c r="A1452">
        <v>2527</v>
      </c>
      <c r="B1452" t="s">
        <v>7928</v>
      </c>
      <c r="C1452" t="s">
        <v>6636</v>
      </c>
      <c r="D1452" s="233">
        <v>4.5599999999999996</v>
      </c>
    </row>
    <row r="1453" spans="1:4">
      <c r="A1453">
        <v>2526</v>
      </c>
      <c r="B1453" t="s">
        <v>7929</v>
      </c>
      <c r="C1453" t="s">
        <v>6636</v>
      </c>
      <c r="D1453" s="233">
        <v>2.92</v>
      </c>
    </row>
    <row r="1454" spans="1:4">
      <c r="A1454">
        <v>2487</v>
      </c>
      <c r="B1454" t="s">
        <v>7930</v>
      </c>
      <c r="C1454" t="s">
        <v>6636</v>
      </c>
      <c r="D1454" s="233">
        <v>0.99</v>
      </c>
    </row>
    <row r="1455" spans="1:4">
      <c r="A1455">
        <v>2483</v>
      </c>
      <c r="B1455" t="s">
        <v>7931</v>
      </c>
      <c r="C1455" t="s">
        <v>6636</v>
      </c>
      <c r="D1455" s="233">
        <v>2.08</v>
      </c>
    </row>
    <row r="1456" spans="1:4">
      <c r="A1456">
        <v>2528</v>
      </c>
      <c r="B1456" t="s">
        <v>7932</v>
      </c>
      <c r="C1456" t="s">
        <v>6636</v>
      </c>
      <c r="D1456" s="233">
        <v>11.48</v>
      </c>
    </row>
    <row r="1457" spans="1:4">
      <c r="A1457">
        <v>2489</v>
      </c>
      <c r="B1457" t="s">
        <v>7933</v>
      </c>
      <c r="C1457" t="s">
        <v>6636</v>
      </c>
      <c r="D1457" s="233">
        <v>5.05</v>
      </c>
    </row>
    <row r="1458" spans="1:4">
      <c r="A1458">
        <v>2488</v>
      </c>
      <c r="B1458" t="s">
        <v>7934</v>
      </c>
      <c r="C1458" t="s">
        <v>6636</v>
      </c>
      <c r="D1458" s="233">
        <v>1.1599999999999999</v>
      </c>
    </row>
    <row r="1459" spans="1:4">
      <c r="A1459">
        <v>2484</v>
      </c>
      <c r="B1459" t="s">
        <v>7935</v>
      </c>
      <c r="C1459" t="s">
        <v>6636</v>
      </c>
      <c r="D1459" s="233">
        <v>16.670000000000002</v>
      </c>
    </row>
    <row r="1460" spans="1:4">
      <c r="A1460">
        <v>2485</v>
      </c>
      <c r="B1460" t="s">
        <v>7936</v>
      </c>
      <c r="C1460" t="s">
        <v>6636</v>
      </c>
      <c r="D1460" s="233">
        <v>26.13</v>
      </c>
    </row>
    <row r="1461" spans="1:4">
      <c r="A1461">
        <v>38005</v>
      </c>
      <c r="B1461" t="s">
        <v>7937</v>
      </c>
      <c r="C1461" t="s">
        <v>6636</v>
      </c>
      <c r="D1461" s="233">
        <v>22.77</v>
      </c>
    </row>
    <row r="1462" spans="1:4">
      <c r="A1462">
        <v>38006</v>
      </c>
      <c r="B1462" t="s">
        <v>7938</v>
      </c>
      <c r="C1462" t="s">
        <v>6636</v>
      </c>
      <c r="D1462" s="233">
        <v>27.95</v>
      </c>
    </row>
    <row r="1463" spans="1:4">
      <c r="A1463">
        <v>38428</v>
      </c>
      <c r="B1463" t="s">
        <v>7939</v>
      </c>
      <c r="C1463" t="s">
        <v>6636</v>
      </c>
      <c r="D1463" s="233">
        <v>26.18</v>
      </c>
    </row>
    <row r="1464" spans="1:4">
      <c r="A1464">
        <v>38007</v>
      </c>
      <c r="B1464" t="s">
        <v>7940</v>
      </c>
      <c r="C1464" t="s">
        <v>6636</v>
      </c>
      <c r="D1464" s="233">
        <v>42.78</v>
      </c>
    </row>
    <row r="1465" spans="1:4">
      <c r="A1465">
        <v>38008</v>
      </c>
      <c r="B1465" t="s">
        <v>7941</v>
      </c>
      <c r="C1465" t="s">
        <v>6636</v>
      </c>
      <c r="D1465" s="233">
        <v>172.28</v>
      </c>
    </row>
    <row r="1466" spans="1:4">
      <c r="A1466">
        <v>38009</v>
      </c>
      <c r="B1466" t="s">
        <v>7942</v>
      </c>
      <c r="C1466" t="s">
        <v>6636</v>
      </c>
      <c r="D1466" s="233">
        <v>210.56</v>
      </c>
    </row>
    <row r="1467" spans="1:4">
      <c r="A1467">
        <v>39279</v>
      </c>
      <c r="B1467" t="s">
        <v>7943</v>
      </c>
      <c r="C1467" t="s">
        <v>6636</v>
      </c>
      <c r="D1467" s="233">
        <v>9.5500000000000007</v>
      </c>
    </row>
    <row r="1468" spans="1:4">
      <c r="A1468">
        <v>38845</v>
      </c>
      <c r="B1468" t="s">
        <v>7944</v>
      </c>
      <c r="C1468" t="s">
        <v>6636</v>
      </c>
      <c r="D1468" s="233">
        <v>13.82</v>
      </c>
    </row>
    <row r="1469" spans="1:4">
      <c r="A1469">
        <v>39280</v>
      </c>
      <c r="B1469" t="s">
        <v>7945</v>
      </c>
      <c r="C1469" t="s">
        <v>6636</v>
      </c>
      <c r="D1469" s="233">
        <v>12.38</v>
      </c>
    </row>
    <row r="1470" spans="1:4">
      <c r="A1470">
        <v>39281</v>
      </c>
      <c r="B1470" t="s">
        <v>7946</v>
      </c>
      <c r="C1470" t="s">
        <v>6636</v>
      </c>
      <c r="D1470" s="233">
        <v>16.3</v>
      </c>
    </row>
    <row r="1471" spans="1:4">
      <c r="A1471">
        <v>38849</v>
      </c>
      <c r="B1471" t="s">
        <v>7947</v>
      </c>
      <c r="C1471" t="s">
        <v>6636</v>
      </c>
      <c r="D1471" s="233">
        <v>13.97</v>
      </c>
    </row>
    <row r="1472" spans="1:4">
      <c r="A1472">
        <v>39282</v>
      </c>
      <c r="B1472" t="s">
        <v>7948</v>
      </c>
      <c r="C1472" t="s">
        <v>6636</v>
      </c>
      <c r="D1472" s="233">
        <v>16.690000000000001</v>
      </c>
    </row>
    <row r="1473" spans="1:4">
      <c r="A1473">
        <v>38852</v>
      </c>
      <c r="B1473" t="s">
        <v>7949</v>
      </c>
      <c r="C1473" t="s">
        <v>6636</v>
      </c>
      <c r="D1473" s="233">
        <v>22.71</v>
      </c>
    </row>
    <row r="1474" spans="1:4">
      <c r="A1474">
        <v>38844</v>
      </c>
      <c r="B1474" t="s">
        <v>7950</v>
      </c>
      <c r="C1474" t="s">
        <v>6636</v>
      </c>
      <c r="D1474" s="233">
        <v>6.98</v>
      </c>
    </row>
    <row r="1475" spans="1:4">
      <c r="A1475">
        <v>38846</v>
      </c>
      <c r="B1475" t="s">
        <v>7951</v>
      </c>
      <c r="C1475" t="s">
        <v>6636</v>
      </c>
      <c r="D1475" s="233">
        <v>7.63</v>
      </c>
    </row>
    <row r="1476" spans="1:4">
      <c r="A1476">
        <v>38847</v>
      </c>
      <c r="B1476" t="s">
        <v>7952</v>
      </c>
      <c r="C1476" t="s">
        <v>6636</v>
      </c>
      <c r="D1476" s="233">
        <v>9.39</v>
      </c>
    </row>
    <row r="1477" spans="1:4">
      <c r="A1477">
        <v>38850</v>
      </c>
      <c r="B1477" t="s">
        <v>7953</v>
      </c>
      <c r="C1477" t="s">
        <v>6636</v>
      </c>
      <c r="D1477" s="233">
        <v>13.05</v>
      </c>
    </row>
    <row r="1478" spans="1:4">
      <c r="A1478">
        <v>38848</v>
      </c>
      <c r="B1478" t="s">
        <v>7954</v>
      </c>
      <c r="C1478" t="s">
        <v>6636</v>
      </c>
      <c r="D1478" s="233">
        <v>10.92</v>
      </c>
    </row>
    <row r="1479" spans="1:4">
      <c r="A1479">
        <v>38851</v>
      </c>
      <c r="B1479" t="s">
        <v>7955</v>
      </c>
      <c r="C1479" t="s">
        <v>6636</v>
      </c>
      <c r="D1479" s="233">
        <v>19.850000000000001</v>
      </c>
    </row>
    <row r="1480" spans="1:4">
      <c r="A1480">
        <v>38860</v>
      </c>
      <c r="B1480" t="s">
        <v>7956</v>
      </c>
      <c r="C1480" t="s">
        <v>6636</v>
      </c>
      <c r="D1480" s="233">
        <v>5.61</v>
      </c>
    </row>
    <row r="1481" spans="1:4">
      <c r="A1481">
        <v>38861</v>
      </c>
      <c r="B1481" t="s">
        <v>7957</v>
      </c>
      <c r="C1481" t="s">
        <v>6636</v>
      </c>
      <c r="D1481" s="233">
        <v>7.55</v>
      </c>
    </row>
    <row r="1482" spans="1:4">
      <c r="A1482">
        <v>38862</v>
      </c>
      <c r="B1482" t="s">
        <v>7958</v>
      </c>
      <c r="C1482" t="s">
        <v>6636</v>
      </c>
      <c r="D1482" s="233">
        <v>6.36</v>
      </c>
    </row>
    <row r="1483" spans="1:4">
      <c r="A1483">
        <v>38863</v>
      </c>
      <c r="B1483" t="s">
        <v>7959</v>
      </c>
      <c r="C1483" t="s">
        <v>6636</v>
      </c>
      <c r="D1483" s="233">
        <v>7.31</v>
      </c>
    </row>
    <row r="1484" spans="1:4">
      <c r="A1484">
        <v>38865</v>
      </c>
      <c r="B1484" t="s">
        <v>7960</v>
      </c>
      <c r="C1484" t="s">
        <v>6636</v>
      </c>
      <c r="D1484" s="233">
        <v>9.93</v>
      </c>
    </row>
    <row r="1485" spans="1:4">
      <c r="A1485">
        <v>38864</v>
      </c>
      <c r="B1485" t="s">
        <v>7961</v>
      </c>
      <c r="C1485" t="s">
        <v>6636</v>
      </c>
      <c r="D1485" s="233">
        <v>15.17</v>
      </c>
    </row>
    <row r="1486" spans="1:4">
      <c r="A1486">
        <v>38866</v>
      </c>
      <c r="B1486" t="s">
        <v>7962</v>
      </c>
      <c r="C1486" t="s">
        <v>6636</v>
      </c>
      <c r="D1486" s="233">
        <v>10.68</v>
      </c>
    </row>
    <row r="1487" spans="1:4">
      <c r="A1487">
        <v>38868</v>
      </c>
      <c r="B1487" t="s">
        <v>7963</v>
      </c>
      <c r="C1487" t="s">
        <v>6636</v>
      </c>
      <c r="D1487" s="233">
        <v>17.809999999999999</v>
      </c>
    </row>
    <row r="1488" spans="1:4">
      <c r="A1488">
        <v>38853</v>
      </c>
      <c r="B1488" t="s">
        <v>7964</v>
      </c>
      <c r="C1488" t="s">
        <v>6636</v>
      </c>
      <c r="D1488" s="233">
        <v>5.75</v>
      </c>
    </row>
    <row r="1489" spans="1:4">
      <c r="A1489">
        <v>38854</v>
      </c>
      <c r="B1489" t="s">
        <v>7965</v>
      </c>
      <c r="C1489" t="s">
        <v>6636</v>
      </c>
      <c r="D1489" s="233">
        <v>7.86</v>
      </c>
    </row>
    <row r="1490" spans="1:4">
      <c r="A1490">
        <v>38855</v>
      </c>
      <c r="B1490" t="s">
        <v>7966</v>
      </c>
      <c r="C1490" t="s">
        <v>6636</v>
      </c>
      <c r="D1490" s="233">
        <v>5.83</v>
      </c>
    </row>
    <row r="1491" spans="1:4">
      <c r="A1491">
        <v>38856</v>
      </c>
      <c r="B1491" t="s">
        <v>7967</v>
      </c>
      <c r="C1491" t="s">
        <v>6636</v>
      </c>
      <c r="D1491" s="233">
        <v>9.3699999999999992</v>
      </c>
    </row>
    <row r="1492" spans="1:4">
      <c r="A1492">
        <v>38857</v>
      </c>
      <c r="B1492" t="s">
        <v>7968</v>
      </c>
      <c r="C1492" t="s">
        <v>6636</v>
      </c>
      <c r="D1492" s="233">
        <v>12.39</v>
      </c>
    </row>
    <row r="1493" spans="1:4">
      <c r="A1493">
        <v>38858</v>
      </c>
      <c r="B1493" t="s">
        <v>7969</v>
      </c>
      <c r="C1493" t="s">
        <v>6636</v>
      </c>
      <c r="D1493" s="233">
        <v>11.27</v>
      </c>
    </row>
    <row r="1494" spans="1:4">
      <c r="A1494">
        <v>38859</v>
      </c>
      <c r="B1494" t="s">
        <v>7970</v>
      </c>
      <c r="C1494" t="s">
        <v>6636</v>
      </c>
      <c r="D1494" s="233">
        <v>18.25</v>
      </c>
    </row>
    <row r="1495" spans="1:4">
      <c r="A1495">
        <v>1607</v>
      </c>
      <c r="B1495" t="s">
        <v>7971</v>
      </c>
      <c r="C1495" t="s">
        <v>7972</v>
      </c>
      <c r="D1495" s="233">
        <v>0.15</v>
      </c>
    </row>
    <row r="1496" spans="1:4">
      <c r="A1496">
        <v>11467</v>
      </c>
      <c r="B1496" t="s">
        <v>7973</v>
      </c>
      <c r="C1496" t="s">
        <v>6636</v>
      </c>
      <c r="D1496" s="233">
        <v>14.61</v>
      </c>
    </row>
    <row r="1497" spans="1:4">
      <c r="A1497">
        <v>38169</v>
      </c>
      <c r="B1497" t="s">
        <v>7974</v>
      </c>
      <c r="C1497" t="s">
        <v>7972</v>
      </c>
      <c r="D1497" s="233">
        <v>65.52</v>
      </c>
    </row>
    <row r="1498" spans="1:4">
      <c r="A1498">
        <v>6142</v>
      </c>
      <c r="B1498" t="s">
        <v>7975</v>
      </c>
      <c r="C1498" t="s">
        <v>6636</v>
      </c>
      <c r="D1498" s="233">
        <v>5.86</v>
      </c>
    </row>
    <row r="1499" spans="1:4">
      <c r="A1499">
        <v>11686</v>
      </c>
      <c r="B1499" t="s">
        <v>7976</v>
      </c>
      <c r="C1499" t="s">
        <v>6636</v>
      </c>
      <c r="D1499" s="233">
        <v>8.1300000000000008</v>
      </c>
    </row>
    <row r="1500" spans="1:4">
      <c r="A1500">
        <v>37598</v>
      </c>
      <c r="B1500" t="s">
        <v>7977</v>
      </c>
      <c r="C1500" t="s">
        <v>6636</v>
      </c>
      <c r="D1500" s="233">
        <v>21.65</v>
      </c>
    </row>
    <row r="1501" spans="1:4">
      <c r="A1501">
        <v>25398</v>
      </c>
      <c r="B1501" t="s">
        <v>863</v>
      </c>
      <c r="C1501" t="s">
        <v>6636</v>
      </c>
      <c r="D1501" s="234">
        <v>2307.08</v>
      </c>
    </row>
    <row r="1502" spans="1:4">
      <c r="A1502">
        <v>25399</v>
      </c>
      <c r="B1502" t="s">
        <v>864</v>
      </c>
      <c r="C1502" t="s">
        <v>6636</v>
      </c>
      <c r="D1502" s="234">
        <v>1400.6</v>
      </c>
    </row>
    <row r="1503" spans="1:4">
      <c r="A1503">
        <v>10667</v>
      </c>
      <c r="B1503" t="s">
        <v>7978</v>
      </c>
      <c r="C1503" t="s">
        <v>6636</v>
      </c>
      <c r="D1503" s="234">
        <v>11487.5</v>
      </c>
    </row>
    <row r="1504" spans="1:4">
      <c r="A1504">
        <v>1613</v>
      </c>
      <c r="B1504" t="s">
        <v>7979</v>
      </c>
      <c r="C1504" t="s">
        <v>6636</v>
      </c>
      <c r="D1504" s="234">
        <v>1189.96</v>
      </c>
    </row>
    <row r="1505" spans="1:4">
      <c r="A1505">
        <v>1626</v>
      </c>
      <c r="B1505" t="s">
        <v>7980</v>
      </c>
      <c r="C1505" t="s">
        <v>6636</v>
      </c>
      <c r="D1505" s="234">
        <v>1779.73</v>
      </c>
    </row>
    <row r="1506" spans="1:4">
      <c r="A1506">
        <v>1625</v>
      </c>
      <c r="B1506" t="s">
        <v>7981</v>
      </c>
      <c r="C1506" t="s">
        <v>6636</v>
      </c>
      <c r="D1506" s="233">
        <v>124.3</v>
      </c>
    </row>
    <row r="1507" spans="1:4">
      <c r="A1507">
        <v>1622</v>
      </c>
      <c r="B1507" t="s">
        <v>7982</v>
      </c>
      <c r="C1507" t="s">
        <v>6636</v>
      </c>
      <c r="D1507" s="234">
        <v>4016.13</v>
      </c>
    </row>
    <row r="1508" spans="1:4">
      <c r="A1508">
        <v>1620</v>
      </c>
      <c r="B1508" t="s">
        <v>7983</v>
      </c>
      <c r="C1508" t="s">
        <v>6636</v>
      </c>
      <c r="D1508" s="233">
        <v>261.86</v>
      </c>
    </row>
    <row r="1509" spans="1:4">
      <c r="A1509">
        <v>1629</v>
      </c>
      <c r="B1509" t="s">
        <v>7984</v>
      </c>
      <c r="C1509" t="s">
        <v>6636</v>
      </c>
      <c r="D1509" s="234">
        <v>9774.2999999999993</v>
      </c>
    </row>
    <row r="1510" spans="1:4">
      <c r="A1510">
        <v>1627</v>
      </c>
      <c r="B1510" t="s">
        <v>7985</v>
      </c>
      <c r="C1510" t="s">
        <v>6636</v>
      </c>
      <c r="D1510" s="233">
        <v>500.53</v>
      </c>
    </row>
    <row r="1511" spans="1:4">
      <c r="A1511">
        <v>1623</v>
      </c>
      <c r="B1511" t="s">
        <v>7986</v>
      </c>
      <c r="C1511" t="s">
        <v>6636</v>
      </c>
      <c r="D1511" s="233">
        <v>101.38</v>
      </c>
    </row>
    <row r="1512" spans="1:4">
      <c r="A1512">
        <v>1619</v>
      </c>
      <c r="B1512" t="s">
        <v>7987</v>
      </c>
      <c r="C1512" t="s">
        <v>6636</v>
      </c>
      <c r="D1512" s="233">
        <v>139.44999999999999</v>
      </c>
    </row>
    <row r="1513" spans="1:4">
      <c r="A1513">
        <v>1630</v>
      </c>
      <c r="B1513" t="s">
        <v>7988</v>
      </c>
      <c r="C1513" t="s">
        <v>6636</v>
      </c>
      <c r="D1513" s="234">
        <v>3070.41</v>
      </c>
    </row>
    <row r="1514" spans="1:4">
      <c r="A1514">
        <v>1616</v>
      </c>
      <c r="B1514" t="s">
        <v>7989</v>
      </c>
      <c r="C1514" t="s">
        <v>6636</v>
      </c>
      <c r="D1514" s="234">
        <v>4722.3500000000004</v>
      </c>
    </row>
    <row r="1515" spans="1:4">
      <c r="A1515">
        <v>1614</v>
      </c>
      <c r="B1515" t="s">
        <v>7990</v>
      </c>
      <c r="C1515" t="s">
        <v>6636</v>
      </c>
      <c r="D1515" s="233">
        <v>215.83</v>
      </c>
    </row>
    <row r="1516" spans="1:4">
      <c r="A1516">
        <v>1617</v>
      </c>
      <c r="B1516" t="s">
        <v>7991</v>
      </c>
      <c r="C1516" t="s">
        <v>6636</v>
      </c>
      <c r="D1516" s="234">
        <v>5637.46</v>
      </c>
    </row>
    <row r="1517" spans="1:4">
      <c r="A1517">
        <v>1621</v>
      </c>
      <c r="B1517" t="s">
        <v>7992</v>
      </c>
      <c r="C1517" t="s">
        <v>6636</v>
      </c>
      <c r="D1517" s="233">
        <v>386</v>
      </c>
    </row>
    <row r="1518" spans="1:4">
      <c r="A1518">
        <v>1624</v>
      </c>
      <c r="B1518" t="s">
        <v>7993</v>
      </c>
      <c r="C1518" t="s">
        <v>6636</v>
      </c>
      <c r="D1518" s="234">
        <v>13857.16</v>
      </c>
    </row>
    <row r="1519" spans="1:4">
      <c r="A1519">
        <v>1615</v>
      </c>
      <c r="B1519" t="s">
        <v>7994</v>
      </c>
      <c r="C1519" t="s">
        <v>6636</v>
      </c>
      <c r="D1519" s="233">
        <v>724.85</v>
      </c>
    </row>
    <row r="1520" spans="1:4">
      <c r="A1520">
        <v>1612</v>
      </c>
      <c r="B1520" t="s">
        <v>7995</v>
      </c>
      <c r="C1520" t="s">
        <v>6636</v>
      </c>
      <c r="D1520" s="233">
        <v>95.47</v>
      </c>
    </row>
    <row r="1521" spans="1:4">
      <c r="A1521">
        <v>1618</v>
      </c>
      <c r="B1521" t="s">
        <v>7996</v>
      </c>
      <c r="C1521" t="s">
        <v>6636</v>
      </c>
      <c r="D1521" s="233">
        <v>996.05</v>
      </c>
    </row>
    <row r="1522" spans="1:4">
      <c r="A1522">
        <v>14211</v>
      </c>
      <c r="B1522" t="s">
        <v>7997</v>
      </c>
      <c r="C1522" t="s">
        <v>6636</v>
      </c>
      <c r="D1522" s="233">
        <v>31.04</v>
      </c>
    </row>
    <row r="1523" spans="1:4">
      <c r="A1523">
        <v>34500</v>
      </c>
      <c r="B1523" t="s">
        <v>7998</v>
      </c>
      <c r="C1523" t="s">
        <v>6640</v>
      </c>
      <c r="D1523" s="233">
        <v>131.41</v>
      </c>
    </row>
    <row r="1524" spans="1:4">
      <c r="A1524">
        <v>40934</v>
      </c>
      <c r="B1524" t="s">
        <v>7999</v>
      </c>
      <c r="C1524" t="s">
        <v>6785</v>
      </c>
      <c r="D1524" s="234">
        <v>23295.29</v>
      </c>
    </row>
    <row r="1525" spans="1:4">
      <c r="A1525">
        <v>5328</v>
      </c>
      <c r="B1525" t="s">
        <v>8000</v>
      </c>
      <c r="C1525" t="s">
        <v>6636</v>
      </c>
      <c r="D1525" s="233">
        <v>4.1100000000000003</v>
      </c>
    </row>
    <row r="1526" spans="1:4">
      <c r="A1526">
        <v>38200</v>
      </c>
      <c r="B1526" t="s">
        <v>8001</v>
      </c>
      <c r="C1526" t="s">
        <v>8002</v>
      </c>
      <c r="D1526" s="233">
        <v>510.06</v>
      </c>
    </row>
    <row r="1527" spans="1:4">
      <c r="A1527">
        <v>39269</v>
      </c>
      <c r="B1527" t="s">
        <v>8003</v>
      </c>
      <c r="C1527" t="s">
        <v>6649</v>
      </c>
      <c r="D1527" s="233">
        <v>0.81</v>
      </c>
    </row>
    <row r="1528" spans="1:4">
      <c r="A1528">
        <v>11889</v>
      </c>
      <c r="B1528" t="s">
        <v>8004</v>
      </c>
      <c r="C1528" t="s">
        <v>6649</v>
      </c>
      <c r="D1528" s="233">
        <v>1.1299999999999999</v>
      </c>
    </row>
    <row r="1529" spans="1:4">
      <c r="A1529">
        <v>39270</v>
      </c>
      <c r="B1529" t="s">
        <v>8005</v>
      </c>
      <c r="C1529" t="s">
        <v>6649</v>
      </c>
      <c r="D1529" s="233">
        <v>1.35</v>
      </c>
    </row>
    <row r="1530" spans="1:4">
      <c r="A1530">
        <v>11890</v>
      </c>
      <c r="B1530" t="s">
        <v>8006</v>
      </c>
      <c r="C1530" t="s">
        <v>6649</v>
      </c>
      <c r="D1530" s="233">
        <v>1.75</v>
      </c>
    </row>
    <row r="1531" spans="1:4">
      <c r="A1531">
        <v>11891</v>
      </c>
      <c r="B1531" t="s">
        <v>8007</v>
      </c>
      <c r="C1531" t="s">
        <v>6649</v>
      </c>
      <c r="D1531" s="233">
        <v>2.89</v>
      </c>
    </row>
    <row r="1532" spans="1:4">
      <c r="A1532">
        <v>11892</v>
      </c>
      <c r="B1532" t="s">
        <v>8008</v>
      </c>
      <c r="C1532" t="s">
        <v>6649</v>
      </c>
      <c r="D1532" s="233">
        <v>4.45</v>
      </c>
    </row>
    <row r="1533" spans="1:4">
      <c r="A1533">
        <v>37601</v>
      </c>
      <c r="B1533" t="s">
        <v>8009</v>
      </c>
      <c r="C1533" t="s">
        <v>6649</v>
      </c>
      <c r="D1533" s="233">
        <v>4.8099999999999996</v>
      </c>
    </row>
    <row r="1534" spans="1:4">
      <c r="A1534">
        <v>1634</v>
      </c>
      <c r="B1534" t="s">
        <v>8010</v>
      </c>
      <c r="C1534" t="s">
        <v>6649</v>
      </c>
      <c r="D1534" s="233">
        <v>4.97</v>
      </c>
    </row>
    <row r="1535" spans="1:4">
      <c r="A1535">
        <v>5086</v>
      </c>
      <c r="B1535" t="s">
        <v>8011</v>
      </c>
      <c r="C1535" t="s">
        <v>6698</v>
      </c>
      <c r="D1535" s="233">
        <v>27.13</v>
      </c>
    </row>
    <row r="1536" spans="1:4">
      <c r="A1536">
        <v>11280</v>
      </c>
      <c r="B1536" t="s">
        <v>8012</v>
      </c>
      <c r="C1536" t="s">
        <v>6636</v>
      </c>
      <c r="D1536" s="234">
        <v>12776.49</v>
      </c>
    </row>
    <row r="1537" spans="1:4">
      <c r="A1537">
        <v>40519</v>
      </c>
      <c r="B1537" t="s">
        <v>8013</v>
      </c>
      <c r="C1537" t="s">
        <v>6636</v>
      </c>
      <c r="D1537" s="234">
        <v>105325.03</v>
      </c>
    </row>
    <row r="1538" spans="1:4">
      <c r="A1538">
        <v>39869</v>
      </c>
      <c r="B1538" t="s">
        <v>8014</v>
      </c>
      <c r="C1538" t="s">
        <v>6636</v>
      </c>
      <c r="D1538" s="233">
        <v>7.85</v>
      </c>
    </row>
    <row r="1539" spans="1:4">
      <c r="A1539">
        <v>39870</v>
      </c>
      <c r="B1539" t="s">
        <v>8015</v>
      </c>
      <c r="C1539" t="s">
        <v>6636</v>
      </c>
      <c r="D1539" s="233">
        <v>12</v>
      </c>
    </row>
    <row r="1540" spans="1:4">
      <c r="A1540">
        <v>39871</v>
      </c>
      <c r="B1540" t="s">
        <v>8016</v>
      </c>
      <c r="C1540" t="s">
        <v>6636</v>
      </c>
      <c r="D1540" s="233">
        <v>13.45</v>
      </c>
    </row>
    <row r="1541" spans="1:4">
      <c r="A1541">
        <v>12722</v>
      </c>
      <c r="B1541" t="s">
        <v>8017</v>
      </c>
      <c r="C1541" t="s">
        <v>6636</v>
      </c>
      <c r="D1541" s="233">
        <v>450.24</v>
      </c>
    </row>
    <row r="1542" spans="1:4">
      <c r="A1542">
        <v>12714</v>
      </c>
      <c r="B1542" t="s">
        <v>8018</v>
      </c>
      <c r="C1542" t="s">
        <v>6636</v>
      </c>
      <c r="D1542" s="233">
        <v>2.94</v>
      </c>
    </row>
    <row r="1543" spans="1:4">
      <c r="A1543">
        <v>12715</v>
      </c>
      <c r="B1543" t="s">
        <v>8019</v>
      </c>
      <c r="C1543" t="s">
        <v>6636</v>
      </c>
      <c r="D1543" s="233">
        <v>6.63</v>
      </c>
    </row>
    <row r="1544" spans="1:4">
      <c r="A1544">
        <v>12716</v>
      </c>
      <c r="B1544" t="s">
        <v>8020</v>
      </c>
      <c r="C1544" t="s">
        <v>6636</v>
      </c>
      <c r="D1544" s="233">
        <v>11.39</v>
      </c>
    </row>
    <row r="1545" spans="1:4">
      <c r="A1545">
        <v>12717</v>
      </c>
      <c r="B1545" t="s">
        <v>8021</v>
      </c>
      <c r="C1545" t="s">
        <v>6636</v>
      </c>
      <c r="D1545" s="233">
        <v>22.4</v>
      </c>
    </row>
    <row r="1546" spans="1:4">
      <c r="A1546">
        <v>12718</v>
      </c>
      <c r="B1546" t="s">
        <v>8022</v>
      </c>
      <c r="C1546" t="s">
        <v>6636</v>
      </c>
      <c r="D1546" s="233">
        <v>34.369999999999997</v>
      </c>
    </row>
    <row r="1547" spans="1:4">
      <c r="A1547">
        <v>12719</v>
      </c>
      <c r="B1547" t="s">
        <v>8023</v>
      </c>
      <c r="C1547" t="s">
        <v>6636</v>
      </c>
      <c r="D1547" s="233">
        <v>54.57</v>
      </c>
    </row>
    <row r="1548" spans="1:4">
      <c r="A1548">
        <v>12720</v>
      </c>
      <c r="B1548" t="s">
        <v>8024</v>
      </c>
      <c r="C1548" t="s">
        <v>6636</v>
      </c>
      <c r="D1548" s="233">
        <v>190.01</v>
      </c>
    </row>
    <row r="1549" spans="1:4">
      <c r="A1549">
        <v>12721</v>
      </c>
      <c r="B1549" t="s">
        <v>8025</v>
      </c>
      <c r="C1549" t="s">
        <v>6636</v>
      </c>
      <c r="D1549" s="233">
        <v>182.21</v>
      </c>
    </row>
    <row r="1550" spans="1:4">
      <c r="A1550">
        <v>3468</v>
      </c>
      <c r="B1550" t="s">
        <v>8026</v>
      </c>
      <c r="C1550" t="s">
        <v>6636</v>
      </c>
      <c r="D1550" s="233">
        <v>21.08</v>
      </c>
    </row>
    <row r="1551" spans="1:4">
      <c r="A1551">
        <v>3465</v>
      </c>
      <c r="B1551" t="s">
        <v>8027</v>
      </c>
      <c r="C1551" t="s">
        <v>6636</v>
      </c>
      <c r="D1551" s="233">
        <v>21.07</v>
      </c>
    </row>
    <row r="1552" spans="1:4">
      <c r="A1552">
        <v>12403</v>
      </c>
      <c r="B1552" t="s">
        <v>8028</v>
      </c>
      <c r="C1552" t="s">
        <v>6636</v>
      </c>
      <c r="D1552" s="233">
        <v>15.02</v>
      </c>
    </row>
    <row r="1553" spans="1:4">
      <c r="A1553">
        <v>3463</v>
      </c>
      <c r="B1553" t="s">
        <v>8029</v>
      </c>
      <c r="C1553" t="s">
        <v>6636</v>
      </c>
      <c r="D1553" s="233">
        <v>8.77</v>
      </c>
    </row>
    <row r="1554" spans="1:4">
      <c r="A1554">
        <v>3464</v>
      </c>
      <c r="B1554" t="s">
        <v>8030</v>
      </c>
      <c r="C1554" t="s">
        <v>6636</v>
      </c>
      <c r="D1554" s="233">
        <v>8.77</v>
      </c>
    </row>
    <row r="1555" spans="1:4">
      <c r="A1555">
        <v>3466</v>
      </c>
      <c r="B1555" t="s">
        <v>8031</v>
      </c>
      <c r="C1555" t="s">
        <v>6636</v>
      </c>
      <c r="D1555" s="233">
        <v>53.53</v>
      </c>
    </row>
    <row r="1556" spans="1:4">
      <c r="A1556">
        <v>3467</v>
      </c>
      <c r="B1556" t="s">
        <v>8032</v>
      </c>
      <c r="C1556" t="s">
        <v>6636</v>
      </c>
      <c r="D1556" s="233">
        <v>30.23</v>
      </c>
    </row>
    <row r="1557" spans="1:4">
      <c r="A1557">
        <v>3462</v>
      </c>
      <c r="B1557" t="s">
        <v>8033</v>
      </c>
      <c r="C1557" t="s">
        <v>6636</v>
      </c>
      <c r="D1557" s="233">
        <v>5.79</v>
      </c>
    </row>
    <row r="1558" spans="1:4">
      <c r="A1558">
        <v>3446</v>
      </c>
      <c r="B1558" t="s">
        <v>8034</v>
      </c>
      <c r="C1558" t="s">
        <v>6636</v>
      </c>
      <c r="D1558" s="233">
        <v>17.82</v>
      </c>
    </row>
    <row r="1559" spans="1:4">
      <c r="A1559">
        <v>3445</v>
      </c>
      <c r="B1559" t="s">
        <v>8035</v>
      </c>
      <c r="C1559" t="s">
        <v>6636</v>
      </c>
      <c r="D1559" s="233">
        <v>14.55</v>
      </c>
    </row>
    <row r="1560" spans="1:4">
      <c r="A1560">
        <v>3441</v>
      </c>
      <c r="B1560" t="s">
        <v>8036</v>
      </c>
      <c r="C1560" t="s">
        <v>6636</v>
      </c>
      <c r="D1560" s="233">
        <v>4.0999999999999996</v>
      </c>
    </row>
    <row r="1561" spans="1:4">
      <c r="A1561">
        <v>3444</v>
      </c>
      <c r="B1561" t="s">
        <v>8037</v>
      </c>
      <c r="C1561" t="s">
        <v>6636</v>
      </c>
      <c r="D1561" s="233">
        <v>8.9499999999999993</v>
      </c>
    </row>
    <row r="1562" spans="1:4">
      <c r="A1562">
        <v>12402</v>
      </c>
      <c r="B1562" t="s">
        <v>8038</v>
      </c>
      <c r="C1562" t="s">
        <v>6636</v>
      </c>
      <c r="D1562" s="233">
        <v>50.1</v>
      </c>
    </row>
    <row r="1563" spans="1:4">
      <c r="A1563">
        <v>3447</v>
      </c>
      <c r="B1563" t="s">
        <v>8039</v>
      </c>
      <c r="C1563" t="s">
        <v>6636</v>
      </c>
      <c r="D1563" s="233">
        <v>25.92</v>
      </c>
    </row>
    <row r="1564" spans="1:4">
      <c r="A1564">
        <v>3442</v>
      </c>
      <c r="B1564" t="s">
        <v>8040</v>
      </c>
      <c r="C1564" t="s">
        <v>6636</v>
      </c>
      <c r="D1564" s="233">
        <v>6.14</v>
      </c>
    </row>
    <row r="1565" spans="1:4">
      <c r="A1565">
        <v>3448</v>
      </c>
      <c r="B1565" t="s">
        <v>8041</v>
      </c>
      <c r="C1565" t="s">
        <v>6636</v>
      </c>
      <c r="D1565" s="233">
        <v>73.239999999999995</v>
      </c>
    </row>
    <row r="1566" spans="1:4">
      <c r="A1566">
        <v>3449</v>
      </c>
      <c r="B1566" t="s">
        <v>8042</v>
      </c>
      <c r="C1566" t="s">
        <v>6636</v>
      </c>
      <c r="D1566" s="233">
        <v>128.34</v>
      </c>
    </row>
    <row r="1567" spans="1:4">
      <c r="A1567">
        <v>37438</v>
      </c>
      <c r="B1567" t="s">
        <v>8043</v>
      </c>
      <c r="C1567" t="s">
        <v>6636</v>
      </c>
      <c r="D1567" s="233">
        <v>160.77000000000001</v>
      </c>
    </row>
    <row r="1568" spans="1:4">
      <c r="A1568">
        <v>37439</v>
      </c>
      <c r="B1568" t="s">
        <v>8044</v>
      </c>
      <c r="C1568" t="s">
        <v>6636</v>
      </c>
      <c r="D1568" s="234">
        <v>1051.1500000000001</v>
      </c>
    </row>
    <row r="1569" spans="1:4">
      <c r="A1569">
        <v>37435</v>
      </c>
      <c r="B1569" t="s">
        <v>8045</v>
      </c>
      <c r="C1569" t="s">
        <v>6636</v>
      </c>
      <c r="D1569" s="233">
        <v>18.89</v>
      </c>
    </row>
    <row r="1570" spans="1:4">
      <c r="A1570">
        <v>37436</v>
      </c>
      <c r="B1570" t="s">
        <v>8046</v>
      </c>
      <c r="C1570" t="s">
        <v>6636</v>
      </c>
      <c r="D1570" s="233">
        <v>22.3</v>
      </c>
    </row>
    <row r="1571" spans="1:4">
      <c r="A1571">
        <v>37437</v>
      </c>
      <c r="B1571" t="s">
        <v>8047</v>
      </c>
      <c r="C1571" t="s">
        <v>6636</v>
      </c>
      <c r="D1571" s="233">
        <v>32.25</v>
      </c>
    </row>
    <row r="1572" spans="1:4">
      <c r="A1572">
        <v>3473</v>
      </c>
      <c r="B1572" t="s">
        <v>8048</v>
      </c>
      <c r="C1572" t="s">
        <v>6636</v>
      </c>
      <c r="D1572" s="233">
        <v>20.149999999999999</v>
      </c>
    </row>
    <row r="1573" spans="1:4">
      <c r="A1573">
        <v>3474</v>
      </c>
      <c r="B1573" t="s">
        <v>8049</v>
      </c>
      <c r="C1573" t="s">
        <v>6636</v>
      </c>
      <c r="D1573" s="233">
        <v>16.61</v>
      </c>
    </row>
    <row r="1574" spans="1:4">
      <c r="A1574">
        <v>3450</v>
      </c>
      <c r="B1574" t="s">
        <v>8050</v>
      </c>
      <c r="C1574" t="s">
        <v>6636</v>
      </c>
      <c r="D1574" s="233">
        <v>4.8099999999999996</v>
      </c>
    </row>
    <row r="1575" spans="1:4">
      <c r="A1575">
        <v>3443</v>
      </c>
      <c r="B1575" t="s">
        <v>8051</v>
      </c>
      <c r="C1575" t="s">
        <v>6636</v>
      </c>
      <c r="D1575" s="233">
        <v>10.33</v>
      </c>
    </row>
    <row r="1576" spans="1:4">
      <c r="A1576">
        <v>3453</v>
      </c>
      <c r="B1576" t="s">
        <v>8052</v>
      </c>
      <c r="C1576" t="s">
        <v>6636</v>
      </c>
      <c r="D1576" s="233">
        <v>58.82</v>
      </c>
    </row>
    <row r="1577" spans="1:4">
      <c r="A1577">
        <v>3452</v>
      </c>
      <c r="B1577" t="s">
        <v>970</v>
      </c>
      <c r="C1577" t="s">
        <v>6636</v>
      </c>
      <c r="D1577" s="233">
        <v>29.03</v>
      </c>
    </row>
    <row r="1578" spans="1:4">
      <c r="A1578">
        <v>3451</v>
      </c>
      <c r="B1578" t="s">
        <v>8053</v>
      </c>
      <c r="C1578" t="s">
        <v>6636</v>
      </c>
      <c r="D1578" s="233">
        <v>5.76</v>
      </c>
    </row>
    <row r="1579" spans="1:4">
      <c r="A1579">
        <v>3454</v>
      </c>
      <c r="B1579" t="s">
        <v>8054</v>
      </c>
      <c r="C1579" t="s">
        <v>6636</v>
      </c>
      <c r="D1579" s="233">
        <v>89.46</v>
      </c>
    </row>
    <row r="1580" spans="1:4">
      <c r="A1580">
        <v>3458</v>
      </c>
      <c r="B1580" t="s">
        <v>8055</v>
      </c>
      <c r="C1580" t="s">
        <v>6636</v>
      </c>
      <c r="D1580" s="233">
        <v>16.149999999999999</v>
      </c>
    </row>
    <row r="1581" spans="1:4">
      <c r="A1581">
        <v>3457</v>
      </c>
      <c r="B1581" t="s">
        <v>8056</v>
      </c>
      <c r="C1581" t="s">
        <v>6636</v>
      </c>
      <c r="D1581" s="233">
        <v>12.12</v>
      </c>
    </row>
    <row r="1582" spans="1:4">
      <c r="A1582">
        <v>3455</v>
      </c>
      <c r="B1582" t="s">
        <v>8057</v>
      </c>
      <c r="C1582" t="s">
        <v>6636</v>
      </c>
      <c r="D1582" s="233">
        <v>3.44</v>
      </c>
    </row>
    <row r="1583" spans="1:4">
      <c r="A1583">
        <v>3472</v>
      </c>
      <c r="B1583" t="s">
        <v>8058</v>
      </c>
      <c r="C1583" t="s">
        <v>6636</v>
      </c>
      <c r="D1583" s="233">
        <v>7.73</v>
      </c>
    </row>
    <row r="1584" spans="1:4">
      <c r="A1584">
        <v>3470</v>
      </c>
      <c r="B1584" t="s">
        <v>8059</v>
      </c>
      <c r="C1584" t="s">
        <v>6636</v>
      </c>
      <c r="D1584" s="233">
        <v>45.1</v>
      </c>
    </row>
    <row r="1585" spans="1:4">
      <c r="A1585">
        <v>3471</v>
      </c>
      <c r="B1585" t="s">
        <v>8060</v>
      </c>
      <c r="C1585" t="s">
        <v>6636</v>
      </c>
      <c r="D1585" s="233">
        <v>24.78</v>
      </c>
    </row>
    <row r="1586" spans="1:4">
      <c r="A1586">
        <v>3456</v>
      </c>
      <c r="B1586" t="s">
        <v>8061</v>
      </c>
      <c r="C1586" t="s">
        <v>6636</v>
      </c>
      <c r="D1586" s="233">
        <v>5.15</v>
      </c>
    </row>
    <row r="1587" spans="1:4">
      <c r="A1587">
        <v>3459</v>
      </c>
      <c r="B1587" t="s">
        <v>8062</v>
      </c>
      <c r="C1587" t="s">
        <v>6636</v>
      </c>
      <c r="D1587" s="233">
        <v>63.62</v>
      </c>
    </row>
    <row r="1588" spans="1:4">
      <c r="A1588">
        <v>3469</v>
      </c>
      <c r="B1588" t="s">
        <v>8063</v>
      </c>
      <c r="C1588" t="s">
        <v>6636</v>
      </c>
      <c r="D1588" s="233">
        <v>120.98</v>
      </c>
    </row>
    <row r="1589" spans="1:4">
      <c r="A1589">
        <v>3460</v>
      </c>
      <c r="B1589" t="s">
        <v>8064</v>
      </c>
      <c r="C1589" t="s">
        <v>6636</v>
      </c>
      <c r="D1589" s="233">
        <v>176.54</v>
      </c>
    </row>
    <row r="1590" spans="1:4">
      <c r="A1590">
        <v>3461</v>
      </c>
      <c r="B1590" t="s">
        <v>8065</v>
      </c>
      <c r="C1590" t="s">
        <v>6636</v>
      </c>
      <c r="D1590" s="233">
        <v>451.22</v>
      </c>
    </row>
    <row r="1591" spans="1:4">
      <c r="A1591">
        <v>37433</v>
      </c>
      <c r="B1591" t="s">
        <v>8066</v>
      </c>
      <c r="C1591" t="s">
        <v>6636</v>
      </c>
      <c r="D1591" s="233">
        <v>160.77000000000001</v>
      </c>
    </row>
    <row r="1592" spans="1:4">
      <c r="A1592">
        <v>37430</v>
      </c>
      <c r="B1592" t="s">
        <v>8067</v>
      </c>
      <c r="C1592" t="s">
        <v>6636</v>
      </c>
      <c r="D1592" s="233">
        <v>20.149999999999999</v>
      </c>
    </row>
    <row r="1593" spans="1:4">
      <c r="A1593">
        <v>37434</v>
      </c>
      <c r="B1593" t="s">
        <v>8068</v>
      </c>
      <c r="C1593" t="s">
        <v>6636</v>
      </c>
      <c r="D1593" s="234">
        <v>1499.08</v>
      </c>
    </row>
    <row r="1594" spans="1:4">
      <c r="A1594">
        <v>37431</v>
      </c>
      <c r="B1594" t="s">
        <v>8069</v>
      </c>
      <c r="C1594" t="s">
        <v>6636</v>
      </c>
      <c r="D1594" s="233">
        <v>27.33</v>
      </c>
    </row>
    <row r="1595" spans="1:4">
      <c r="A1595">
        <v>37432</v>
      </c>
      <c r="B1595" t="s">
        <v>8070</v>
      </c>
      <c r="C1595" t="s">
        <v>6636</v>
      </c>
      <c r="D1595" s="233">
        <v>50.41</v>
      </c>
    </row>
    <row r="1596" spans="1:4">
      <c r="A1596">
        <v>37413</v>
      </c>
      <c r="B1596" t="s">
        <v>8071</v>
      </c>
      <c r="C1596" t="s">
        <v>6636</v>
      </c>
      <c r="D1596" s="233">
        <v>2.92</v>
      </c>
    </row>
    <row r="1597" spans="1:4">
      <c r="A1597">
        <v>37414</v>
      </c>
      <c r="B1597" t="s">
        <v>8072</v>
      </c>
      <c r="C1597" t="s">
        <v>6636</v>
      </c>
      <c r="D1597" s="233">
        <v>3.31</v>
      </c>
    </row>
    <row r="1598" spans="1:4">
      <c r="A1598">
        <v>37415</v>
      </c>
      <c r="B1598" t="s">
        <v>8073</v>
      </c>
      <c r="C1598" t="s">
        <v>6636</v>
      </c>
      <c r="D1598" s="233">
        <v>6.02</v>
      </c>
    </row>
    <row r="1599" spans="1:4">
      <c r="A1599">
        <v>37416</v>
      </c>
      <c r="B1599" t="s">
        <v>8074</v>
      </c>
      <c r="C1599" t="s">
        <v>6636</v>
      </c>
      <c r="D1599" s="233">
        <v>2.73</v>
      </c>
    </row>
    <row r="1600" spans="1:4">
      <c r="A1600">
        <v>37417</v>
      </c>
      <c r="B1600" t="s">
        <v>8075</v>
      </c>
      <c r="C1600" t="s">
        <v>6636</v>
      </c>
      <c r="D1600" s="233">
        <v>3.92</v>
      </c>
    </row>
    <row r="1601" spans="1:4">
      <c r="A1601">
        <v>3112</v>
      </c>
      <c r="B1601" t="s">
        <v>12670</v>
      </c>
      <c r="C1601" t="s">
        <v>7972</v>
      </c>
      <c r="D1601" s="233">
        <v>54.8</v>
      </c>
    </row>
    <row r="1602" spans="1:4">
      <c r="A1602">
        <v>3113</v>
      </c>
      <c r="B1602" t="s">
        <v>12671</v>
      </c>
      <c r="C1602" t="s">
        <v>7972</v>
      </c>
      <c r="D1602" s="233">
        <v>63.14</v>
      </c>
    </row>
    <row r="1603" spans="1:4">
      <c r="A1603">
        <v>3114</v>
      </c>
      <c r="B1603" t="s">
        <v>12672</v>
      </c>
      <c r="C1603" t="s">
        <v>6636</v>
      </c>
      <c r="D1603" s="233">
        <v>28.52</v>
      </c>
    </row>
    <row r="1604" spans="1:4">
      <c r="A1604">
        <v>34519</v>
      </c>
      <c r="B1604" t="s">
        <v>8076</v>
      </c>
      <c r="C1604" t="s">
        <v>6636</v>
      </c>
      <c r="D1604" s="233">
        <v>71.819999999999993</v>
      </c>
    </row>
    <row r="1605" spans="1:4">
      <c r="A1605">
        <v>10510</v>
      </c>
      <c r="B1605" t="s">
        <v>8077</v>
      </c>
      <c r="C1605" t="s">
        <v>6636</v>
      </c>
      <c r="D1605" s="233">
        <v>73.930000000000007</v>
      </c>
    </row>
    <row r="1606" spans="1:4">
      <c r="A1606">
        <v>1649</v>
      </c>
      <c r="B1606" t="s">
        <v>8078</v>
      </c>
      <c r="C1606" t="s">
        <v>6636</v>
      </c>
      <c r="D1606" s="233">
        <v>38.090000000000003</v>
      </c>
    </row>
    <row r="1607" spans="1:4">
      <c r="A1607">
        <v>1653</v>
      </c>
      <c r="B1607" t="s">
        <v>8079</v>
      </c>
      <c r="C1607" t="s">
        <v>6636</v>
      </c>
      <c r="D1607" s="233">
        <v>29.83</v>
      </c>
    </row>
    <row r="1608" spans="1:4">
      <c r="A1608">
        <v>1647</v>
      </c>
      <c r="B1608" t="s">
        <v>8080</v>
      </c>
      <c r="C1608" t="s">
        <v>6636</v>
      </c>
      <c r="D1608" s="233">
        <v>10.68</v>
      </c>
    </row>
    <row r="1609" spans="1:4">
      <c r="A1609">
        <v>1648</v>
      </c>
      <c r="B1609" t="s">
        <v>8081</v>
      </c>
      <c r="C1609" t="s">
        <v>6636</v>
      </c>
      <c r="D1609" s="233">
        <v>20.51</v>
      </c>
    </row>
    <row r="1610" spans="1:4">
      <c r="A1610">
        <v>1651</v>
      </c>
      <c r="B1610" t="s">
        <v>8082</v>
      </c>
      <c r="C1610" t="s">
        <v>6636</v>
      </c>
      <c r="D1610" s="233">
        <v>95.17</v>
      </c>
    </row>
    <row r="1611" spans="1:4">
      <c r="A1611">
        <v>1650</v>
      </c>
      <c r="B1611" t="s">
        <v>8083</v>
      </c>
      <c r="C1611" t="s">
        <v>6636</v>
      </c>
      <c r="D1611" s="233">
        <v>52.6</v>
      </c>
    </row>
    <row r="1612" spans="1:4">
      <c r="A1612">
        <v>1654</v>
      </c>
      <c r="B1612" t="s">
        <v>8084</v>
      </c>
      <c r="C1612" t="s">
        <v>6636</v>
      </c>
      <c r="D1612" s="233">
        <v>14.66</v>
      </c>
    </row>
    <row r="1613" spans="1:4">
      <c r="A1613">
        <v>1652</v>
      </c>
      <c r="B1613" t="s">
        <v>8085</v>
      </c>
      <c r="C1613" t="s">
        <v>6636</v>
      </c>
      <c r="D1613" s="233">
        <v>136.6</v>
      </c>
    </row>
    <row r="1614" spans="1:4">
      <c r="A1614">
        <v>1747</v>
      </c>
      <c r="B1614" t="s">
        <v>8086</v>
      </c>
      <c r="C1614" t="s">
        <v>6636</v>
      </c>
      <c r="D1614" s="233">
        <v>139.21</v>
      </c>
    </row>
    <row r="1615" spans="1:4">
      <c r="A1615">
        <v>1744</v>
      </c>
      <c r="B1615" t="s">
        <v>8087</v>
      </c>
      <c r="C1615" t="s">
        <v>6636</v>
      </c>
      <c r="D1615" s="233">
        <v>96.42</v>
      </c>
    </row>
    <row r="1616" spans="1:4">
      <c r="A1616">
        <v>1743</v>
      </c>
      <c r="B1616" t="s">
        <v>8088</v>
      </c>
      <c r="C1616" t="s">
        <v>6636</v>
      </c>
      <c r="D1616" s="233">
        <v>126.62</v>
      </c>
    </row>
    <row r="1617" spans="1:4">
      <c r="A1617">
        <v>39640</v>
      </c>
      <c r="B1617" t="s">
        <v>8089</v>
      </c>
      <c r="C1617" t="s">
        <v>6636</v>
      </c>
      <c r="D1617" s="233">
        <v>5.95</v>
      </c>
    </row>
    <row r="1618" spans="1:4">
      <c r="A1618">
        <v>11013</v>
      </c>
      <c r="B1618" t="s">
        <v>8090</v>
      </c>
      <c r="C1618" t="s">
        <v>6636</v>
      </c>
      <c r="D1618" s="233">
        <v>12.25</v>
      </c>
    </row>
    <row r="1619" spans="1:4">
      <c r="A1619">
        <v>11017</v>
      </c>
      <c r="B1619" t="s">
        <v>8091</v>
      </c>
      <c r="C1619" t="s">
        <v>6636</v>
      </c>
      <c r="D1619" s="233">
        <v>5.23</v>
      </c>
    </row>
    <row r="1620" spans="1:4">
      <c r="A1620">
        <v>20236</v>
      </c>
      <c r="B1620" t="s">
        <v>8092</v>
      </c>
      <c r="C1620" t="s">
        <v>6636</v>
      </c>
      <c r="D1620" s="233">
        <v>23.03</v>
      </c>
    </row>
    <row r="1621" spans="1:4">
      <c r="A1621">
        <v>7215</v>
      </c>
      <c r="B1621" t="s">
        <v>8093</v>
      </c>
      <c r="C1621" t="s">
        <v>6636</v>
      </c>
      <c r="D1621" s="233">
        <v>19.72</v>
      </c>
    </row>
    <row r="1622" spans="1:4">
      <c r="A1622">
        <v>7216</v>
      </c>
      <c r="B1622" t="s">
        <v>8094</v>
      </c>
      <c r="C1622" t="s">
        <v>6636</v>
      </c>
      <c r="D1622" s="233">
        <v>82.42</v>
      </c>
    </row>
    <row r="1623" spans="1:4">
      <c r="A1623">
        <v>20235</v>
      </c>
      <c r="B1623" t="s">
        <v>8095</v>
      </c>
      <c r="C1623" t="s">
        <v>6636</v>
      </c>
      <c r="D1623" s="233">
        <v>41.67</v>
      </c>
    </row>
    <row r="1624" spans="1:4">
      <c r="A1624">
        <v>7181</v>
      </c>
      <c r="B1624" t="s">
        <v>8096</v>
      </c>
      <c r="C1624" t="s">
        <v>6636</v>
      </c>
      <c r="D1624" s="233">
        <v>4.1399999999999997</v>
      </c>
    </row>
    <row r="1625" spans="1:4">
      <c r="A1625">
        <v>40866</v>
      </c>
      <c r="B1625" t="s">
        <v>8097</v>
      </c>
      <c r="C1625" t="s">
        <v>6636</v>
      </c>
      <c r="D1625" s="233">
        <v>7.67</v>
      </c>
    </row>
    <row r="1626" spans="1:4">
      <c r="A1626">
        <v>7214</v>
      </c>
      <c r="B1626" t="s">
        <v>8098</v>
      </c>
      <c r="C1626" t="s">
        <v>6636</v>
      </c>
      <c r="D1626" s="233">
        <v>28.24</v>
      </c>
    </row>
    <row r="1627" spans="1:4">
      <c r="A1627">
        <v>7219</v>
      </c>
      <c r="B1627" t="s">
        <v>8099</v>
      </c>
      <c r="C1627" t="s">
        <v>6636</v>
      </c>
      <c r="D1627" s="233">
        <v>29.23</v>
      </c>
    </row>
    <row r="1628" spans="1:4">
      <c r="A1628">
        <v>37972</v>
      </c>
      <c r="B1628" t="s">
        <v>8100</v>
      </c>
      <c r="C1628" t="s">
        <v>6636</v>
      </c>
      <c r="D1628" s="233">
        <v>8.16</v>
      </c>
    </row>
    <row r="1629" spans="1:4">
      <c r="A1629">
        <v>37973</v>
      </c>
      <c r="B1629" t="s">
        <v>8101</v>
      </c>
      <c r="C1629" t="s">
        <v>6636</v>
      </c>
      <c r="D1629" s="233">
        <v>13.06</v>
      </c>
    </row>
    <row r="1630" spans="1:4">
      <c r="A1630">
        <v>37971</v>
      </c>
      <c r="B1630" t="s">
        <v>8102</v>
      </c>
      <c r="C1630" t="s">
        <v>6636</v>
      </c>
      <c r="D1630" s="233">
        <v>4.9000000000000004</v>
      </c>
    </row>
    <row r="1631" spans="1:4">
      <c r="A1631">
        <v>20094</v>
      </c>
      <c r="B1631" t="s">
        <v>8103</v>
      </c>
      <c r="C1631" t="s">
        <v>6636</v>
      </c>
      <c r="D1631" s="233">
        <v>13.82</v>
      </c>
    </row>
    <row r="1632" spans="1:4">
      <c r="A1632">
        <v>20095</v>
      </c>
      <c r="B1632" t="s">
        <v>8104</v>
      </c>
      <c r="C1632" t="s">
        <v>6636</v>
      </c>
      <c r="D1632" s="233">
        <v>17.600000000000001</v>
      </c>
    </row>
    <row r="1633" spans="1:4">
      <c r="A1633">
        <v>1954</v>
      </c>
      <c r="B1633" t="s">
        <v>8105</v>
      </c>
      <c r="C1633" t="s">
        <v>6636</v>
      </c>
      <c r="D1633" s="233">
        <v>97.8</v>
      </c>
    </row>
    <row r="1634" spans="1:4">
      <c r="A1634">
        <v>1926</v>
      </c>
      <c r="B1634" t="s">
        <v>8106</v>
      </c>
      <c r="C1634" t="s">
        <v>6636</v>
      </c>
      <c r="D1634" s="233">
        <v>1.29</v>
      </c>
    </row>
    <row r="1635" spans="1:4">
      <c r="A1635">
        <v>1927</v>
      </c>
      <c r="B1635" t="s">
        <v>8107</v>
      </c>
      <c r="C1635" t="s">
        <v>6636</v>
      </c>
      <c r="D1635" s="233">
        <v>1.7</v>
      </c>
    </row>
    <row r="1636" spans="1:4">
      <c r="A1636">
        <v>1923</v>
      </c>
      <c r="B1636" t="s">
        <v>8108</v>
      </c>
      <c r="C1636" t="s">
        <v>6636</v>
      </c>
      <c r="D1636" s="233">
        <v>2.79</v>
      </c>
    </row>
    <row r="1637" spans="1:4">
      <c r="A1637">
        <v>1929</v>
      </c>
      <c r="B1637" t="s">
        <v>8109</v>
      </c>
      <c r="C1637" t="s">
        <v>6636</v>
      </c>
      <c r="D1637" s="233">
        <v>4.57</v>
      </c>
    </row>
    <row r="1638" spans="1:4">
      <c r="A1638">
        <v>1930</v>
      </c>
      <c r="B1638" t="s">
        <v>8110</v>
      </c>
      <c r="C1638" t="s">
        <v>6636</v>
      </c>
      <c r="D1638" s="233">
        <v>8.86</v>
      </c>
    </row>
    <row r="1639" spans="1:4">
      <c r="A1639">
        <v>1924</v>
      </c>
      <c r="B1639" t="s">
        <v>8111</v>
      </c>
      <c r="C1639" t="s">
        <v>6636</v>
      </c>
      <c r="D1639" s="233">
        <v>15.26</v>
      </c>
    </row>
    <row r="1640" spans="1:4">
      <c r="A1640">
        <v>1922</v>
      </c>
      <c r="B1640" t="s">
        <v>8112</v>
      </c>
      <c r="C1640" t="s">
        <v>6636</v>
      </c>
      <c r="D1640" s="233">
        <v>22.67</v>
      </c>
    </row>
    <row r="1641" spans="1:4">
      <c r="A1641">
        <v>1953</v>
      </c>
      <c r="B1641" t="s">
        <v>8113</v>
      </c>
      <c r="C1641" t="s">
        <v>6636</v>
      </c>
      <c r="D1641" s="233">
        <v>39.619999999999997</v>
      </c>
    </row>
    <row r="1642" spans="1:4">
      <c r="A1642">
        <v>1962</v>
      </c>
      <c r="B1642" t="s">
        <v>8114</v>
      </c>
      <c r="C1642" t="s">
        <v>6636</v>
      </c>
      <c r="D1642" s="233">
        <v>129.63999999999999</v>
      </c>
    </row>
    <row r="1643" spans="1:4">
      <c r="A1643">
        <v>1955</v>
      </c>
      <c r="B1643" t="s">
        <v>8115</v>
      </c>
      <c r="C1643" t="s">
        <v>6636</v>
      </c>
      <c r="D1643" s="233">
        <v>1.71</v>
      </c>
    </row>
    <row r="1644" spans="1:4">
      <c r="A1644">
        <v>1956</v>
      </c>
      <c r="B1644" t="s">
        <v>8116</v>
      </c>
      <c r="C1644" t="s">
        <v>6636</v>
      </c>
      <c r="D1644" s="233">
        <v>2.21</v>
      </c>
    </row>
    <row r="1645" spans="1:4">
      <c r="A1645">
        <v>1957</v>
      </c>
      <c r="B1645" t="s">
        <v>8117</v>
      </c>
      <c r="C1645" t="s">
        <v>6636</v>
      </c>
      <c r="D1645" s="233">
        <v>5.0199999999999996</v>
      </c>
    </row>
    <row r="1646" spans="1:4">
      <c r="A1646">
        <v>1958</v>
      </c>
      <c r="B1646" t="s">
        <v>8118</v>
      </c>
      <c r="C1646" t="s">
        <v>6636</v>
      </c>
      <c r="D1646" s="233">
        <v>8.92</v>
      </c>
    </row>
    <row r="1647" spans="1:4">
      <c r="A1647">
        <v>1959</v>
      </c>
      <c r="B1647" t="s">
        <v>8119</v>
      </c>
      <c r="C1647" t="s">
        <v>6636</v>
      </c>
      <c r="D1647" s="233">
        <v>10.87</v>
      </c>
    </row>
    <row r="1648" spans="1:4">
      <c r="A1648">
        <v>1925</v>
      </c>
      <c r="B1648" t="s">
        <v>8120</v>
      </c>
      <c r="C1648" t="s">
        <v>6636</v>
      </c>
      <c r="D1648" s="233">
        <v>26.88</v>
      </c>
    </row>
    <row r="1649" spans="1:4">
      <c r="A1649">
        <v>1960</v>
      </c>
      <c r="B1649" t="s">
        <v>8121</v>
      </c>
      <c r="C1649" t="s">
        <v>6636</v>
      </c>
      <c r="D1649" s="233">
        <v>38.22</v>
      </c>
    </row>
    <row r="1650" spans="1:4">
      <c r="A1650">
        <v>1961</v>
      </c>
      <c r="B1650" t="s">
        <v>8122</v>
      </c>
      <c r="C1650" t="s">
        <v>6636</v>
      </c>
      <c r="D1650" s="233">
        <v>54.92</v>
      </c>
    </row>
    <row r="1651" spans="1:4">
      <c r="A1651">
        <v>38426</v>
      </c>
      <c r="B1651" t="s">
        <v>8123</v>
      </c>
      <c r="C1651" t="s">
        <v>6636</v>
      </c>
      <c r="D1651" s="233">
        <v>16.87</v>
      </c>
    </row>
    <row r="1652" spans="1:4">
      <c r="A1652">
        <v>38423</v>
      </c>
      <c r="B1652" t="s">
        <v>8124</v>
      </c>
      <c r="C1652" t="s">
        <v>6636</v>
      </c>
      <c r="D1652" s="233">
        <v>38.270000000000003</v>
      </c>
    </row>
    <row r="1653" spans="1:4">
      <c r="A1653">
        <v>38421</v>
      </c>
      <c r="B1653" t="s">
        <v>8125</v>
      </c>
      <c r="C1653" t="s">
        <v>6636</v>
      </c>
      <c r="D1653" s="233">
        <v>18.07</v>
      </c>
    </row>
    <row r="1654" spans="1:4">
      <c r="A1654">
        <v>38422</v>
      </c>
      <c r="B1654" t="s">
        <v>8126</v>
      </c>
      <c r="C1654" t="s">
        <v>6636</v>
      </c>
      <c r="D1654" s="233">
        <v>26.41</v>
      </c>
    </row>
    <row r="1655" spans="1:4">
      <c r="A1655">
        <v>39866</v>
      </c>
      <c r="B1655" t="s">
        <v>8127</v>
      </c>
      <c r="C1655" t="s">
        <v>6636</v>
      </c>
      <c r="D1655" s="233">
        <v>10.39</v>
      </c>
    </row>
    <row r="1656" spans="1:4">
      <c r="A1656">
        <v>39867</v>
      </c>
      <c r="B1656" t="s">
        <v>8128</v>
      </c>
      <c r="C1656" t="s">
        <v>6636</v>
      </c>
      <c r="D1656" s="233">
        <v>23.1</v>
      </c>
    </row>
    <row r="1657" spans="1:4">
      <c r="A1657">
        <v>39868</v>
      </c>
      <c r="B1657" t="s">
        <v>8129</v>
      </c>
      <c r="C1657" t="s">
        <v>6636</v>
      </c>
      <c r="D1657" s="233">
        <v>41.63</v>
      </c>
    </row>
    <row r="1658" spans="1:4">
      <c r="A1658">
        <v>37999</v>
      </c>
      <c r="B1658" t="s">
        <v>8130</v>
      </c>
      <c r="C1658" t="s">
        <v>6636</v>
      </c>
      <c r="D1658" s="233">
        <v>7.82</v>
      </c>
    </row>
    <row r="1659" spans="1:4">
      <c r="A1659">
        <v>38000</v>
      </c>
      <c r="B1659" t="s">
        <v>8131</v>
      </c>
      <c r="C1659" t="s">
        <v>6636</v>
      </c>
      <c r="D1659" s="233">
        <v>10.35</v>
      </c>
    </row>
    <row r="1660" spans="1:4">
      <c r="A1660">
        <v>38129</v>
      </c>
      <c r="B1660" t="s">
        <v>8132</v>
      </c>
      <c r="C1660" t="s">
        <v>6636</v>
      </c>
      <c r="D1660" s="233">
        <v>2.97</v>
      </c>
    </row>
    <row r="1661" spans="1:4">
      <c r="A1661">
        <v>38025</v>
      </c>
      <c r="B1661" t="s">
        <v>8133</v>
      </c>
      <c r="C1661" t="s">
        <v>6636</v>
      </c>
      <c r="D1661" s="233">
        <v>4.96</v>
      </c>
    </row>
    <row r="1662" spans="1:4">
      <c r="A1662">
        <v>38026</v>
      </c>
      <c r="B1662" t="s">
        <v>8134</v>
      </c>
      <c r="C1662" t="s">
        <v>6636</v>
      </c>
      <c r="D1662" s="233">
        <v>13.29</v>
      </c>
    </row>
    <row r="1663" spans="1:4">
      <c r="A1663">
        <v>1858</v>
      </c>
      <c r="B1663" t="s">
        <v>8135</v>
      </c>
      <c r="C1663" t="s">
        <v>6636</v>
      </c>
      <c r="D1663" s="233">
        <v>19.36</v>
      </c>
    </row>
    <row r="1664" spans="1:4">
      <c r="A1664">
        <v>1844</v>
      </c>
      <c r="B1664" t="s">
        <v>8136</v>
      </c>
      <c r="C1664" t="s">
        <v>6636</v>
      </c>
      <c r="D1664" s="233">
        <v>71.37</v>
      </c>
    </row>
    <row r="1665" spans="1:4">
      <c r="A1665">
        <v>1863</v>
      </c>
      <c r="B1665" t="s">
        <v>8137</v>
      </c>
      <c r="C1665" t="s">
        <v>6636</v>
      </c>
      <c r="D1665" s="233">
        <v>28.09</v>
      </c>
    </row>
    <row r="1666" spans="1:4">
      <c r="A1666">
        <v>1865</v>
      </c>
      <c r="B1666" t="s">
        <v>8138</v>
      </c>
      <c r="C1666" t="s">
        <v>6636</v>
      </c>
      <c r="D1666" s="233">
        <v>102.48</v>
      </c>
    </row>
    <row r="1667" spans="1:4">
      <c r="A1667">
        <v>36355</v>
      </c>
      <c r="B1667" t="s">
        <v>8139</v>
      </c>
      <c r="C1667" t="s">
        <v>6636</v>
      </c>
      <c r="D1667" s="233">
        <v>4.8499999999999996</v>
      </c>
    </row>
    <row r="1668" spans="1:4">
      <c r="A1668">
        <v>36356</v>
      </c>
      <c r="B1668" t="s">
        <v>8140</v>
      </c>
      <c r="C1668" t="s">
        <v>6636</v>
      </c>
      <c r="D1668" s="233">
        <v>8.16</v>
      </c>
    </row>
    <row r="1669" spans="1:4">
      <c r="A1669">
        <v>1932</v>
      </c>
      <c r="B1669" t="s">
        <v>8141</v>
      </c>
      <c r="C1669" t="s">
        <v>6636</v>
      </c>
      <c r="D1669" s="233">
        <v>6.52</v>
      </c>
    </row>
    <row r="1670" spans="1:4">
      <c r="A1670">
        <v>1933</v>
      </c>
      <c r="B1670" t="s">
        <v>8142</v>
      </c>
      <c r="C1670" t="s">
        <v>6636</v>
      </c>
      <c r="D1670" s="233">
        <v>2.87</v>
      </c>
    </row>
    <row r="1671" spans="1:4">
      <c r="A1671">
        <v>1951</v>
      </c>
      <c r="B1671" t="s">
        <v>8143</v>
      </c>
      <c r="C1671" t="s">
        <v>6636</v>
      </c>
      <c r="D1671" s="233">
        <v>12.75</v>
      </c>
    </row>
    <row r="1672" spans="1:4">
      <c r="A1672">
        <v>1966</v>
      </c>
      <c r="B1672" t="s">
        <v>919</v>
      </c>
      <c r="C1672" t="s">
        <v>6636</v>
      </c>
      <c r="D1672" s="233">
        <v>14.67</v>
      </c>
    </row>
    <row r="1673" spans="1:4">
      <c r="A1673">
        <v>1952</v>
      </c>
      <c r="B1673" t="s">
        <v>8144</v>
      </c>
      <c r="C1673" t="s">
        <v>6636</v>
      </c>
      <c r="D1673" s="233">
        <v>55.11</v>
      </c>
    </row>
    <row r="1674" spans="1:4">
      <c r="A1674">
        <v>20104</v>
      </c>
      <c r="B1674" t="s">
        <v>8145</v>
      </c>
      <c r="C1674" t="s">
        <v>6636</v>
      </c>
      <c r="D1674" s="233">
        <v>407.2</v>
      </c>
    </row>
    <row r="1675" spans="1:4">
      <c r="A1675">
        <v>20105</v>
      </c>
      <c r="B1675" t="s">
        <v>8146</v>
      </c>
      <c r="C1675" t="s">
        <v>6636</v>
      </c>
      <c r="D1675" s="233">
        <v>634.25</v>
      </c>
    </row>
    <row r="1676" spans="1:4">
      <c r="A1676">
        <v>1965</v>
      </c>
      <c r="B1676" t="s">
        <v>905</v>
      </c>
      <c r="C1676" t="s">
        <v>6636</v>
      </c>
      <c r="D1676" s="233">
        <v>29.75</v>
      </c>
    </row>
    <row r="1677" spans="1:4">
      <c r="A1677">
        <v>10765</v>
      </c>
      <c r="B1677" t="s">
        <v>8147</v>
      </c>
      <c r="C1677" t="s">
        <v>6636</v>
      </c>
      <c r="D1677" s="233">
        <v>7.52</v>
      </c>
    </row>
    <row r="1678" spans="1:4">
      <c r="A1678">
        <v>10767</v>
      </c>
      <c r="B1678" t="s">
        <v>8148</v>
      </c>
      <c r="C1678" t="s">
        <v>6636</v>
      </c>
      <c r="D1678" s="233">
        <v>24.64</v>
      </c>
    </row>
    <row r="1679" spans="1:4">
      <c r="A1679">
        <v>1970</v>
      </c>
      <c r="B1679" t="s">
        <v>8149</v>
      </c>
      <c r="C1679" t="s">
        <v>6636</v>
      </c>
      <c r="D1679" s="233">
        <v>30.88</v>
      </c>
    </row>
    <row r="1680" spans="1:4">
      <c r="A1680">
        <v>1967</v>
      </c>
      <c r="B1680" t="s">
        <v>8150</v>
      </c>
      <c r="C1680" t="s">
        <v>6636</v>
      </c>
      <c r="D1680" s="233">
        <v>3.43</v>
      </c>
    </row>
    <row r="1681" spans="1:4">
      <c r="A1681">
        <v>1968</v>
      </c>
      <c r="B1681" t="s">
        <v>8151</v>
      </c>
      <c r="C1681" t="s">
        <v>6636</v>
      </c>
      <c r="D1681" s="233">
        <v>7.2</v>
      </c>
    </row>
    <row r="1682" spans="1:4">
      <c r="A1682">
        <v>1969</v>
      </c>
      <c r="B1682" t="s">
        <v>8152</v>
      </c>
      <c r="C1682" t="s">
        <v>6636</v>
      </c>
      <c r="D1682" s="233">
        <v>21.18</v>
      </c>
    </row>
    <row r="1683" spans="1:4">
      <c r="A1683">
        <v>1839</v>
      </c>
      <c r="B1683" t="s">
        <v>8153</v>
      </c>
      <c r="C1683" t="s">
        <v>6636</v>
      </c>
      <c r="D1683" s="233">
        <v>94.55</v>
      </c>
    </row>
    <row r="1684" spans="1:4">
      <c r="A1684">
        <v>1835</v>
      </c>
      <c r="B1684" t="s">
        <v>8154</v>
      </c>
      <c r="C1684" t="s">
        <v>6636</v>
      </c>
      <c r="D1684" s="233">
        <v>20.100000000000001</v>
      </c>
    </row>
    <row r="1685" spans="1:4">
      <c r="A1685">
        <v>1823</v>
      </c>
      <c r="B1685" t="s">
        <v>8155</v>
      </c>
      <c r="C1685" t="s">
        <v>6636</v>
      </c>
      <c r="D1685" s="233">
        <v>38.86</v>
      </c>
    </row>
    <row r="1686" spans="1:4">
      <c r="A1686">
        <v>1827</v>
      </c>
      <c r="B1686" t="s">
        <v>8156</v>
      </c>
      <c r="C1686" t="s">
        <v>6636</v>
      </c>
      <c r="D1686" s="233">
        <v>93.63</v>
      </c>
    </row>
    <row r="1687" spans="1:4">
      <c r="A1687">
        <v>1831</v>
      </c>
      <c r="B1687" t="s">
        <v>8157</v>
      </c>
      <c r="C1687" t="s">
        <v>6636</v>
      </c>
      <c r="D1687" s="233">
        <v>20.440000000000001</v>
      </c>
    </row>
    <row r="1688" spans="1:4">
      <c r="A1688">
        <v>1825</v>
      </c>
      <c r="B1688" t="s">
        <v>8158</v>
      </c>
      <c r="C1688" t="s">
        <v>6636</v>
      </c>
      <c r="D1688" s="233">
        <v>50.44</v>
      </c>
    </row>
    <row r="1689" spans="1:4">
      <c r="A1689">
        <v>1828</v>
      </c>
      <c r="B1689" t="s">
        <v>8159</v>
      </c>
      <c r="C1689" t="s">
        <v>6636</v>
      </c>
      <c r="D1689" s="233">
        <v>114.26</v>
      </c>
    </row>
    <row r="1690" spans="1:4">
      <c r="A1690">
        <v>1845</v>
      </c>
      <c r="B1690" t="s">
        <v>8160</v>
      </c>
      <c r="C1690" t="s">
        <v>6636</v>
      </c>
      <c r="D1690" s="233">
        <v>25.61</v>
      </c>
    </row>
    <row r="1691" spans="1:4">
      <c r="A1691">
        <v>1824</v>
      </c>
      <c r="B1691" t="s">
        <v>8161</v>
      </c>
      <c r="C1691" t="s">
        <v>6636</v>
      </c>
      <c r="D1691" s="233">
        <v>60.47</v>
      </c>
    </row>
    <row r="1692" spans="1:4">
      <c r="A1692">
        <v>1941</v>
      </c>
      <c r="B1692" t="s">
        <v>8162</v>
      </c>
      <c r="C1692" t="s">
        <v>6636</v>
      </c>
      <c r="D1692" s="233">
        <v>19.16</v>
      </c>
    </row>
    <row r="1693" spans="1:4">
      <c r="A1693">
        <v>1940</v>
      </c>
      <c r="B1693" t="s">
        <v>8163</v>
      </c>
      <c r="C1693" t="s">
        <v>6636</v>
      </c>
      <c r="D1693" s="233">
        <v>14.48</v>
      </c>
    </row>
    <row r="1694" spans="1:4">
      <c r="A1694">
        <v>1937</v>
      </c>
      <c r="B1694" t="s">
        <v>8164</v>
      </c>
      <c r="C1694" t="s">
        <v>6636</v>
      </c>
      <c r="D1694" s="233">
        <v>3</v>
      </c>
    </row>
    <row r="1695" spans="1:4">
      <c r="A1695">
        <v>1939</v>
      </c>
      <c r="B1695" t="s">
        <v>8165</v>
      </c>
      <c r="C1695" t="s">
        <v>6636</v>
      </c>
      <c r="D1695" s="233">
        <v>5.95</v>
      </c>
    </row>
    <row r="1696" spans="1:4">
      <c r="A1696">
        <v>1942</v>
      </c>
      <c r="B1696" t="s">
        <v>8166</v>
      </c>
      <c r="C1696" t="s">
        <v>6636</v>
      </c>
      <c r="D1696" s="233">
        <v>27.34</v>
      </c>
    </row>
    <row r="1697" spans="1:4">
      <c r="A1697">
        <v>1938</v>
      </c>
      <c r="B1697" t="s">
        <v>8167</v>
      </c>
      <c r="C1697" t="s">
        <v>6636</v>
      </c>
      <c r="D1697" s="233">
        <v>3.81</v>
      </c>
    </row>
    <row r="1698" spans="1:4">
      <c r="A1698">
        <v>42692</v>
      </c>
      <c r="B1698" t="s">
        <v>8168</v>
      </c>
      <c r="C1698" t="s">
        <v>6636</v>
      </c>
      <c r="D1698" s="233">
        <v>227.38</v>
      </c>
    </row>
    <row r="1699" spans="1:4">
      <c r="A1699">
        <v>42693</v>
      </c>
      <c r="B1699" t="s">
        <v>8169</v>
      </c>
      <c r="C1699" t="s">
        <v>6636</v>
      </c>
      <c r="D1699" s="233">
        <v>374.03</v>
      </c>
    </row>
    <row r="1700" spans="1:4">
      <c r="A1700">
        <v>42695</v>
      </c>
      <c r="B1700" t="s">
        <v>8170</v>
      </c>
      <c r="C1700" t="s">
        <v>6636</v>
      </c>
      <c r="D1700" s="233">
        <v>284.39</v>
      </c>
    </row>
    <row r="1701" spans="1:4">
      <c r="A1701">
        <v>42694</v>
      </c>
      <c r="B1701" t="s">
        <v>8171</v>
      </c>
      <c r="C1701" t="s">
        <v>6636</v>
      </c>
      <c r="D1701" s="233">
        <v>420.44</v>
      </c>
    </row>
    <row r="1702" spans="1:4">
      <c r="A1702">
        <v>20097</v>
      </c>
      <c r="B1702" t="s">
        <v>8172</v>
      </c>
      <c r="C1702" t="s">
        <v>6636</v>
      </c>
      <c r="D1702" s="233">
        <v>29.17</v>
      </c>
    </row>
    <row r="1703" spans="1:4">
      <c r="A1703">
        <v>20098</v>
      </c>
      <c r="B1703" t="s">
        <v>8173</v>
      </c>
      <c r="C1703" t="s">
        <v>6636</v>
      </c>
      <c r="D1703" s="233">
        <v>98.36</v>
      </c>
    </row>
    <row r="1704" spans="1:4">
      <c r="A1704">
        <v>20096</v>
      </c>
      <c r="B1704" t="s">
        <v>8174</v>
      </c>
      <c r="C1704" t="s">
        <v>6636</v>
      </c>
      <c r="D1704" s="233">
        <v>19.079999999999998</v>
      </c>
    </row>
    <row r="1705" spans="1:4">
      <c r="A1705">
        <v>1964</v>
      </c>
      <c r="B1705" t="s">
        <v>8175</v>
      </c>
      <c r="C1705" t="s">
        <v>6636</v>
      </c>
      <c r="D1705" s="233">
        <v>17.64</v>
      </c>
    </row>
    <row r="1706" spans="1:4">
      <c r="A1706">
        <v>1880</v>
      </c>
      <c r="B1706" t="s">
        <v>8176</v>
      </c>
      <c r="C1706" t="s">
        <v>6636</v>
      </c>
      <c r="D1706" s="233">
        <v>2.2799999999999998</v>
      </c>
    </row>
    <row r="1707" spans="1:4">
      <c r="A1707">
        <v>39274</v>
      </c>
      <c r="B1707" t="s">
        <v>8177</v>
      </c>
      <c r="C1707" t="s">
        <v>6636</v>
      </c>
      <c r="D1707" s="233">
        <v>1.77</v>
      </c>
    </row>
    <row r="1708" spans="1:4">
      <c r="A1708">
        <v>2628</v>
      </c>
      <c r="B1708" t="s">
        <v>8178</v>
      </c>
      <c r="C1708" t="s">
        <v>6636</v>
      </c>
      <c r="D1708" s="233">
        <v>195.09</v>
      </c>
    </row>
    <row r="1709" spans="1:4">
      <c r="A1709">
        <v>2622</v>
      </c>
      <c r="B1709" t="s">
        <v>8179</v>
      </c>
      <c r="C1709" t="s">
        <v>6636</v>
      </c>
      <c r="D1709" s="233">
        <v>4.63</v>
      </c>
    </row>
    <row r="1710" spans="1:4">
      <c r="A1710">
        <v>2623</v>
      </c>
      <c r="B1710" t="s">
        <v>8180</v>
      </c>
      <c r="C1710" t="s">
        <v>6636</v>
      </c>
      <c r="D1710" s="233">
        <v>5.57</v>
      </c>
    </row>
    <row r="1711" spans="1:4">
      <c r="A1711">
        <v>2624</v>
      </c>
      <c r="B1711" t="s">
        <v>8181</v>
      </c>
      <c r="C1711" t="s">
        <v>6636</v>
      </c>
      <c r="D1711" s="233">
        <v>8.86</v>
      </c>
    </row>
    <row r="1712" spans="1:4">
      <c r="A1712">
        <v>2625</v>
      </c>
      <c r="B1712" t="s">
        <v>8182</v>
      </c>
      <c r="C1712" t="s">
        <v>6636</v>
      </c>
      <c r="D1712" s="233">
        <v>18.72</v>
      </c>
    </row>
    <row r="1713" spans="1:4">
      <c r="A1713">
        <v>2626</v>
      </c>
      <c r="B1713" t="s">
        <v>8183</v>
      </c>
      <c r="C1713" t="s">
        <v>6636</v>
      </c>
      <c r="D1713" s="233">
        <v>27.43</v>
      </c>
    </row>
    <row r="1714" spans="1:4">
      <c r="A1714">
        <v>2630</v>
      </c>
      <c r="B1714" t="s">
        <v>8184</v>
      </c>
      <c r="C1714" t="s">
        <v>6636</v>
      </c>
      <c r="D1714" s="233">
        <v>41.71</v>
      </c>
    </row>
    <row r="1715" spans="1:4">
      <c r="A1715">
        <v>2627</v>
      </c>
      <c r="B1715" t="s">
        <v>8185</v>
      </c>
      <c r="C1715" t="s">
        <v>6636</v>
      </c>
      <c r="D1715" s="233">
        <v>73.48</v>
      </c>
    </row>
    <row r="1716" spans="1:4">
      <c r="A1716">
        <v>2629</v>
      </c>
      <c r="B1716" t="s">
        <v>8186</v>
      </c>
      <c r="C1716" t="s">
        <v>6636</v>
      </c>
      <c r="D1716" s="233">
        <v>99.39</v>
      </c>
    </row>
    <row r="1717" spans="1:4">
      <c r="A1717">
        <v>12033</v>
      </c>
      <c r="B1717" t="s">
        <v>8187</v>
      </c>
      <c r="C1717" t="s">
        <v>6636</v>
      </c>
      <c r="D1717" s="233">
        <v>7.29</v>
      </c>
    </row>
    <row r="1718" spans="1:4">
      <c r="A1718">
        <v>40408</v>
      </c>
      <c r="B1718" t="s">
        <v>8188</v>
      </c>
      <c r="C1718" t="s">
        <v>6636</v>
      </c>
      <c r="D1718" s="233">
        <v>4.79</v>
      </c>
    </row>
    <row r="1719" spans="1:4">
      <c r="A1719">
        <v>40409</v>
      </c>
      <c r="B1719" t="s">
        <v>8189</v>
      </c>
      <c r="C1719" t="s">
        <v>6636</v>
      </c>
      <c r="D1719" s="233">
        <v>1.69</v>
      </c>
    </row>
    <row r="1720" spans="1:4">
      <c r="A1720">
        <v>39276</v>
      </c>
      <c r="B1720" t="s">
        <v>8190</v>
      </c>
      <c r="C1720" t="s">
        <v>6636</v>
      </c>
      <c r="D1720" s="233">
        <v>4.3099999999999996</v>
      </c>
    </row>
    <row r="1721" spans="1:4">
      <c r="A1721">
        <v>39277</v>
      </c>
      <c r="B1721" t="s">
        <v>8191</v>
      </c>
      <c r="C1721" t="s">
        <v>6636</v>
      </c>
      <c r="D1721" s="233">
        <v>11.65</v>
      </c>
    </row>
    <row r="1722" spans="1:4">
      <c r="A1722">
        <v>12034</v>
      </c>
      <c r="B1722" t="s">
        <v>783</v>
      </c>
      <c r="C1722" t="s">
        <v>6636</v>
      </c>
      <c r="D1722" s="233">
        <v>3.3</v>
      </c>
    </row>
    <row r="1723" spans="1:4">
      <c r="A1723">
        <v>39879</v>
      </c>
      <c r="B1723" t="s">
        <v>8192</v>
      </c>
      <c r="C1723" t="s">
        <v>6636</v>
      </c>
      <c r="D1723" s="233">
        <v>2.92</v>
      </c>
    </row>
    <row r="1724" spans="1:4">
      <c r="A1724">
        <v>39880</v>
      </c>
      <c r="B1724" t="s">
        <v>8193</v>
      </c>
      <c r="C1724" t="s">
        <v>6636</v>
      </c>
      <c r="D1724" s="233">
        <v>6.47</v>
      </c>
    </row>
    <row r="1725" spans="1:4">
      <c r="A1725">
        <v>39881</v>
      </c>
      <c r="B1725" t="s">
        <v>8194</v>
      </c>
      <c r="C1725" t="s">
        <v>6636</v>
      </c>
      <c r="D1725" s="233">
        <v>10.38</v>
      </c>
    </row>
    <row r="1726" spans="1:4">
      <c r="A1726">
        <v>39882</v>
      </c>
      <c r="B1726" t="s">
        <v>8195</v>
      </c>
      <c r="C1726" t="s">
        <v>6636</v>
      </c>
      <c r="D1726" s="233">
        <v>27.35</v>
      </c>
    </row>
    <row r="1727" spans="1:4">
      <c r="A1727">
        <v>39883</v>
      </c>
      <c r="B1727" t="s">
        <v>8196</v>
      </c>
      <c r="C1727" t="s">
        <v>6636</v>
      </c>
      <c r="D1727" s="233">
        <v>43.68</v>
      </c>
    </row>
    <row r="1728" spans="1:4">
      <c r="A1728">
        <v>39884</v>
      </c>
      <c r="B1728" t="s">
        <v>8197</v>
      </c>
      <c r="C1728" t="s">
        <v>6636</v>
      </c>
      <c r="D1728" s="233">
        <v>64.87</v>
      </c>
    </row>
    <row r="1729" spans="1:4">
      <c r="A1729">
        <v>39885</v>
      </c>
      <c r="B1729" t="s">
        <v>8198</v>
      </c>
      <c r="C1729" t="s">
        <v>6636</v>
      </c>
      <c r="D1729" s="233">
        <v>154.18</v>
      </c>
    </row>
    <row r="1730" spans="1:4">
      <c r="A1730">
        <v>1777</v>
      </c>
      <c r="B1730" t="s">
        <v>8199</v>
      </c>
      <c r="C1730" t="s">
        <v>6636</v>
      </c>
      <c r="D1730" s="233">
        <v>41.07</v>
      </c>
    </row>
    <row r="1731" spans="1:4">
      <c r="A1731">
        <v>1819</v>
      </c>
      <c r="B1731" t="s">
        <v>8200</v>
      </c>
      <c r="C1731" t="s">
        <v>6636</v>
      </c>
      <c r="D1731" s="233">
        <v>29.88</v>
      </c>
    </row>
    <row r="1732" spans="1:4">
      <c r="A1732">
        <v>1775</v>
      </c>
      <c r="B1732" t="s">
        <v>8201</v>
      </c>
      <c r="C1732" t="s">
        <v>6636</v>
      </c>
      <c r="D1732" s="233">
        <v>8.93</v>
      </c>
    </row>
    <row r="1733" spans="1:4">
      <c r="A1733">
        <v>1776</v>
      </c>
      <c r="B1733" t="s">
        <v>8202</v>
      </c>
      <c r="C1733" t="s">
        <v>6636</v>
      </c>
      <c r="D1733" s="233">
        <v>24.31</v>
      </c>
    </row>
    <row r="1734" spans="1:4">
      <c r="A1734">
        <v>1778</v>
      </c>
      <c r="B1734" t="s">
        <v>8203</v>
      </c>
      <c r="C1734" t="s">
        <v>6636</v>
      </c>
      <c r="D1734" s="233">
        <v>99.41</v>
      </c>
    </row>
    <row r="1735" spans="1:4">
      <c r="A1735">
        <v>1818</v>
      </c>
      <c r="B1735" t="s">
        <v>8204</v>
      </c>
      <c r="C1735" t="s">
        <v>6636</v>
      </c>
      <c r="D1735" s="233">
        <v>65.989999999999995</v>
      </c>
    </row>
    <row r="1736" spans="1:4">
      <c r="A1736">
        <v>1820</v>
      </c>
      <c r="B1736" t="s">
        <v>8205</v>
      </c>
      <c r="C1736" t="s">
        <v>6636</v>
      </c>
      <c r="D1736" s="233">
        <v>12.9</v>
      </c>
    </row>
    <row r="1737" spans="1:4">
      <c r="A1737">
        <v>1779</v>
      </c>
      <c r="B1737" t="s">
        <v>8206</v>
      </c>
      <c r="C1737" t="s">
        <v>6636</v>
      </c>
      <c r="D1737" s="233">
        <v>144.58000000000001</v>
      </c>
    </row>
    <row r="1738" spans="1:4">
      <c r="A1738">
        <v>1780</v>
      </c>
      <c r="B1738" t="s">
        <v>8207</v>
      </c>
      <c r="C1738" t="s">
        <v>6636</v>
      </c>
      <c r="D1738" s="233">
        <v>298.07</v>
      </c>
    </row>
    <row r="1739" spans="1:4">
      <c r="A1739">
        <v>1783</v>
      </c>
      <c r="B1739" t="s">
        <v>8208</v>
      </c>
      <c r="C1739" t="s">
        <v>6636</v>
      </c>
      <c r="D1739" s="233">
        <v>31.51</v>
      </c>
    </row>
    <row r="1740" spans="1:4">
      <c r="A1740">
        <v>1782</v>
      </c>
      <c r="B1740" t="s">
        <v>8209</v>
      </c>
      <c r="C1740" t="s">
        <v>6636</v>
      </c>
      <c r="D1740" s="233">
        <v>24.92</v>
      </c>
    </row>
    <row r="1741" spans="1:4">
      <c r="A1741">
        <v>1817</v>
      </c>
      <c r="B1741" t="s">
        <v>8210</v>
      </c>
      <c r="C1741" t="s">
        <v>6636</v>
      </c>
      <c r="D1741" s="233">
        <v>7.42</v>
      </c>
    </row>
    <row r="1742" spans="1:4">
      <c r="A1742">
        <v>1781</v>
      </c>
      <c r="B1742" t="s">
        <v>8211</v>
      </c>
      <c r="C1742" t="s">
        <v>6636</v>
      </c>
      <c r="D1742" s="233">
        <v>16.23</v>
      </c>
    </row>
    <row r="1743" spans="1:4">
      <c r="A1743">
        <v>1784</v>
      </c>
      <c r="B1743" t="s">
        <v>8212</v>
      </c>
      <c r="C1743" t="s">
        <v>6636</v>
      </c>
      <c r="D1743" s="233">
        <v>88.99</v>
      </c>
    </row>
    <row r="1744" spans="1:4">
      <c r="A1744">
        <v>1810</v>
      </c>
      <c r="B1744" t="s">
        <v>8213</v>
      </c>
      <c r="C1744" t="s">
        <v>6636</v>
      </c>
      <c r="D1744" s="233">
        <v>49.36</v>
      </c>
    </row>
    <row r="1745" spans="1:4">
      <c r="A1745">
        <v>1811</v>
      </c>
      <c r="B1745" t="s">
        <v>8214</v>
      </c>
      <c r="C1745" t="s">
        <v>6636</v>
      </c>
      <c r="D1745" s="233">
        <v>10.68</v>
      </c>
    </row>
    <row r="1746" spans="1:4">
      <c r="A1746">
        <v>1812</v>
      </c>
      <c r="B1746" t="s">
        <v>8215</v>
      </c>
      <c r="C1746" t="s">
        <v>6636</v>
      </c>
      <c r="D1746" s="233">
        <v>124.6</v>
      </c>
    </row>
    <row r="1747" spans="1:4">
      <c r="A1747">
        <v>40386</v>
      </c>
      <c r="B1747" t="s">
        <v>8216</v>
      </c>
      <c r="C1747" t="s">
        <v>6636</v>
      </c>
      <c r="D1747" s="233">
        <v>48.29</v>
      </c>
    </row>
    <row r="1748" spans="1:4">
      <c r="A1748">
        <v>40384</v>
      </c>
      <c r="B1748" t="s">
        <v>8217</v>
      </c>
      <c r="C1748" t="s">
        <v>6636</v>
      </c>
      <c r="D1748" s="233">
        <v>33.06</v>
      </c>
    </row>
    <row r="1749" spans="1:4">
      <c r="A1749">
        <v>40379</v>
      </c>
      <c r="B1749" t="s">
        <v>8218</v>
      </c>
      <c r="C1749" t="s">
        <v>6636</v>
      </c>
      <c r="D1749" s="233">
        <v>11.43</v>
      </c>
    </row>
    <row r="1750" spans="1:4">
      <c r="A1750">
        <v>40423</v>
      </c>
      <c r="B1750" t="s">
        <v>8219</v>
      </c>
      <c r="C1750" t="s">
        <v>6636</v>
      </c>
      <c r="D1750" s="233">
        <v>21.63</v>
      </c>
    </row>
    <row r="1751" spans="1:4">
      <c r="A1751">
        <v>40389</v>
      </c>
      <c r="B1751" t="s">
        <v>8220</v>
      </c>
      <c r="C1751" t="s">
        <v>6636</v>
      </c>
      <c r="D1751" s="233">
        <v>137.18</v>
      </c>
    </row>
    <row r="1752" spans="1:4">
      <c r="A1752">
        <v>40388</v>
      </c>
      <c r="B1752" t="s">
        <v>8221</v>
      </c>
      <c r="C1752" t="s">
        <v>6636</v>
      </c>
      <c r="D1752" s="233">
        <v>68.66</v>
      </c>
    </row>
    <row r="1753" spans="1:4">
      <c r="A1753">
        <v>40381</v>
      </c>
      <c r="B1753" t="s">
        <v>8222</v>
      </c>
      <c r="C1753" t="s">
        <v>6636</v>
      </c>
      <c r="D1753" s="233">
        <v>15.24</v>
      </c>
    </row>
    <row r="1754" spans="1:4">
      <c r="A1754">
        <v>40391</v>
      </c>
      <c r="B1754" t="s">
        <v>8223</v>
      </c>
      <c r="C1754" t="s">
        <v>6636</v>
      </c>
      <c r="D1754" s="233">
        <v>356.05</v>
      </c>
    </row>
    <row r="1755" spans="1:4">
      <c r="A1755">
        <v>40414</v>
      </c>
      <c r="B1755" t="s">
        <v>8224</v>
      </c>
      <c r="C1755" t="s">
        <v>6636</v>
      </c>
      <c r="D1755" s="233">
        <v>12.41</v>
      </c>
    </row>
    <row r="1756" spans="1:4">
      <c r="A1756">
        <v>40416</v>
      </c>
      <c r="B1756" t="s">
        <v>8225</v>
      </c>
      <c r="C1756" t="s">
        <v>6636</v>
      </c>
      <c r="D1756" s="233">
        <v>17.16</v>
      </c>
    </row>
    <row r="1757" spans="1:4">
      <c r="A1757">
        <v>40418</v>
      </c>
      <c r="B1757" t="s">
        <v>8226</v>
      </c>
      <c r="C1757" t="s">
        <v>6636</v>
      </c>
      <c r="D1757" s="233">
        <v>20.46</v>
      </c>
    </row>
    <row r="1758" spans="1:4">
      <c r="A1758">
        <v>2609</v>
      </c>
      <c r="B1758" t="s">
        <v>8227</v>
      </c>
      <c r="C1758" t="s">
        <v>6636</v>
      </c>
      <c r="D1758" s="233">
        <v>4.3499999999999996</v>
      </c>
    </row>
    <row r="1759" spans="1:4">
      <c r="A1759">
        <v>2634</v>
      </c>
      <c r="B1759" t="s">
        <v>8228</v>
      </c>
      <c r="C1759" t="s">
        <v>6636</v>
      </c>
      <c r="D1759" s="233">
        <v>5.71</v>
      </c>
    </row>
    <row r="1760" spans="1:4">
      <c r="A1760">
        <v>2611</v>
      </c>
      <c r="B1760" t="s">
        <v>8229</v>
      </c>
      <c r="C1760" t="s">
        <v>6636</v>
      </c>
      <c r="D1760" s="233">
        <v>16.11</v>
      </c>
    </row>
    <row r="1761" spans="1:4">
      <c r="A1761">
        <v>34359</v>
      </c>
      <c r="B1761" t="s">
        <v>956</v>
      </c>
      <c r="C1761" t="s">
        <v>6636</v>
      </c>
      <c r="D1761" s="233">
        <v>6.98</v>
      </c>
    </row>
    <row r="1762" spans="1:4">
      <c r="A1762">
        <v>1789</v>
      </c>
      <c r="B1762" t="s">
        <v>8230</v>
      </c>
      <c r="C1762" t="s">
        <v>6636</v>
      </c>
      <c r="D1762" s="233">
        <v>39.42</v>
      </c>
    </row>
    <row r="1763" spans="1:4">
      <c r="A1763">
        <v>1788</v>
      </c>
      <c r="B1763" t="s">
        <v>8231</v>
      </c>
      <c r="C1763" t="s">
        <v>6636</v>
      </c>
      <c r="D1763" s="233">
        <v>31.6</v>
      </c>
    </row>
    <row r="1764" spans="1:4">
      <c r="A1764">
        <v>1786</v>
      </c>
      <c r="B1764" t="s">
        <v>8232</v>
      </c>
      <c r="C1764" t="s">
        <v>6636</v>
      </c>
      <c r="D1764" s="233">
        <v>7.84</v>
      </c>
    </row>
    <row r="1765" spans="1:4">
      <c r="A1765">
        <v>1787</v>
      </c>
      <c r="B1765" t="s">
        <v>8233</v>
      </c>
      <c r="C1765" t="s">
        <v>6636</v>
      </c>
      <c r="D1765" s="233">
        <v>18.78</v>
      </c>
    </row>
    <row r="1766" spans="1:4">
      <c r="A1766">
        <v>1791</v>
      </c>
      <c r="B1766" t="s">
        <v>8234</v>
      </c>
      <c r="C1766" t="s">
        <v>6636</v>
      </c>
      <c r="D1766" s="233">
        <v>113.92</v>
      </c>
    </row>
    <row r="1767" spans="1:4">
      <c r="A1767">
        <v>1790</v>
      </c>
      <c r="B1767" t="s">
        <v>8235</v>
      </c>
      <c r="C1767" t="s">
        <v>6636</v>
      </c>
      <c r="D1767" s="233">
        <v>65.64</v>
      </c>
    </row>
    <row r="1768" spans="1:4">
      <c r="A1768">
        <v>1813</v>
      </c>
      <c r="B1768" t="s">
        <v>8236</v>
      </c>
      <c r="C1768" t="s">
        <v>6636</v>
      </c>
      <c r="D1768" s="233">
        <v>12.45</v>
      </c>
    </row>
    <row r="1769" spans="1:4">
      <c r="A1769">
        <v>1792</v>
      </c>
      <c r="B1769" t="s">
        <v>8237</v>
      </c>
      <c r="C1769" t="s">
        <v>6636</v>
      </c>
      <c r="D1769" s="233">
        <v>153.78</v>
      </c>
    </row>
    <row r="1770" spans="1:4">
      <c r="A1770">
        <v>1793</v>
      </c>
      <c r="B1770" t="s">
        <v>954</v>
      </c>
      <c r="C1770" t="s">
        <v>6636</v>
      </c>
      <c r="D1770" s="233">
        <v>310.74</v>
      </c>
    </row>
    <row r="1771" spans="1:4">
      <c r="A1771">
        <v>1809</v>
      </c>
      <c r="B1771" t="s">
        <v>8238</v>
      </c>
      <c r="C1771" t="s">
        <v>6636</v>
      </c>
      <c r="D1771" s="233">
        <v>36.950000000000003</v>
      </c>
    </row>
    <row r="1772" spans="1:4">
      <c r="A1772">
        <v>1814</v>
      </c>
      <c r="B1772" t="s">
        <v>8239</v>
      </c>
      <c r="C1772" t="s">
        <v>6636</v>
      </c>
      <c r="D1772" s="233">
        <v>30.36</v>
      </c>
    </row>
    <row r="1773" spans="1:4">
      <c r="A1773">
        <v>1803</v>
      </c>
      <c r="B1773" t="s">
        <v>8240</v>
      </c>
      <c r="C1773" t="s">
        <v>6636</v>
      </c>
      <c r="D1773" s="233">
        <v>7.67</v>
      </c>
    </row>
    <row r="1774" spans="1:4">
      <c r="A1774">
        <v>1805</v>
      </c>
      <c r="B1774" t="s">
        <v>8241</v>
      </c>
      <c r="C1774" t="s">
        <v>6636</v>
      </c>
      <c r="D1774" s="233">
        <v>17.62</v>
      </c>
    </row>
    <row r="1775" spans="1:4">
      <c r="A1775">
        <v>1821</v>
      </c>
      <c r="B1775" t="s">
        <v>8242</v>
      </c>
      <c r="C1775" t="s">
        <v>6636</v>
      </c>
      <c r="D1775" s="233">
        <v>104.08</v>
      </c>
    </row>
    <row r="1776" spans="1:4">
      <c r="A1776">
        <v>1806</v>
      </c>
      <c r="B1776" t="s">
        <v>8243</v>
      </c>
      <c r="C1776" t="s">
        <v>6636</v>
      </c>
      <c r="D1776" s="233">
        <v>61.95</v>
      </c>
    </row>
    <row r="1777" spans="1:4">
      <c r="A1777">
        <v>1804</v>
      </c>
      <c r="B1777" t="s">
        <v>8244</v>
      </c>
      <c r="C1777" t="s">
        <v>6636</v>
      </c>
      <c r="D1777" s="233">
        <v>10.92</v>
      </c>
    </row>
    <row r="1778" spans="1:4">
      <c r="A1778">
        <v>1807</v>
      </c>
      <c r="B1778" t="s">
        <v>8245</v>
      </c>
      <c r="C1778" t="s">
        <v>6636</v>
      </c>
      <c r="D1778" s="233">
        <v>148.86000000000001</v>
      </c>
    </row>
    <row r="1779" spans="1:4">
      <c r="A1779">
        <v>1808</v>
      </c>
      <c r="B1779" t="s">
        <v>8246</v>
      </c>
      <c r="C1779" t="s">
        <v>6636</v>
      </c>
      <c r="D1779" s="233">
        <v>298.44</v>
      </c>
    </row>
    <row r="1780" spans="1:4">
      <c r="A1780">
        <v>1797</v>
      </c>
      <c r="B1780" t="s">
        <v>8247</v>
      </c>
      <c r="C1780" t="s">
        <v>6636</v>
      </c>
      <c r="D1780" s="233">
        <v>44.76</v>
      </c>
    </row>
    <row r="1781" spans="1:4">
      <c r="A1781">
        <v>1796</v>
      </c>
      <c r="B1781" t="s">
        <v>8248</v>
      </c>
      <c r="C1781" t="s">
        <v>6636</v>
      </c>
      <c r="D1781" s="233">
        <v>34.33</v>
      </c>
    </row>
    <row r="1782" spans="1:4">
      <c r="A1782">
        <v>1794</v>
      </c>
      <c r="B1782" t="s">
        <v>8249</v>
      </c>
      <c r="C1782" t="s">
        <v>6636</v>
      </c>
      <c r="D1782" s="233">
        <v>8.19</v>
      </c>
    </row>
    <row r="1783" spans="1:4">
      <c r="A1783">
        <v>1816</v>
      </c>
      <c r="B1783" t="s">
        <v>8250</v>
      </c>
      <c r="C1783" t="s">
        <v>6636</v>
      </c>
      <c r="D1783" s="233">
        <v>18.48</v>
      </c>
    </row>
    <row r="1784" spans="1:4">
      <c r="A1784">
        <v>1815</v>
      </c>
      <c r="B1784" t="s">
        <v>8251</v>
      </c>
      <c r="C1784" t="s">
        <v>6636</v>
      </c>
      <c r="D1784" s="233">
        <v>141.91999999999999</v>
      </c>
    </row>
    <row r="1785" spans="1:4">
      <c r="A1785">
        <v>1798</v>
      </c>
      <c r="B1785" t="s">
        <v>8252</v>
      </c>
      <c r="C1785" t="s">
        <v>6636</v>
      </c>
      <c r="D1785" s="233">
        <v>63.5</v>
      </c>
    </row>
    <row r="1786" spans="1:4">
      <c r="A1786">
        <v>1795</v>
      </c>
      <c r="B1786" t="s">
        <v>8253</v>
      </c>
      <c r="C1786" t="s">
        <v>6636</v>
      </c>
      <c r="D1786" s="233">
        <v>11.35</v>
      </c>
    </row>
    <row r="1787" spans="1:4">
      <c r="A1787">
        <v>1799</v>
      </c>
      <c r="B1787" t="s">
        <v>8254</v>
      </c>
      <c r="C1787" t="s">
        <v>6636</v>
      </c>
      <c r="D1787" s="233">
        <v>184.84</v>
      </c>
    </row>
    <row r="1788" spans="1:4">
      <c r="A1788">
        <v>1800</v>
      </c>
      <c r="B1788" t="s">
        <v>8255</v>
      </c>
      <c r="C1788" t="s">
        <v>6636</v>
      </c>
      <c r="D1788" s="233">
        <v>352.88</v>
      </c>
    </row>
    <row r="1789" spans="1:4">
      <c r="A1789">
        <v>1802</v>
      </c>
      <c r="B1789" t="s">
        <v>8256</v>
      </c>
      <c r="C1789" t="s">
        <v>6636</v>
      </c>
      <c r="D1789" s="233">
        <v>882.71</v>
      </c>
    </row>
    <row r="1790" spans="1:4">
      <c r="A1790">
        <v>40385</v>
      </c>
      <c r="B1790" t="s">
        <v>8257</v>
      </c>
      <c r="C1790" t="s">
        <v>6636</v>
      </c>
      <c r="D1790" s="233">
        <v>48.29</v>
      </c>
    </row>
    <row r="1791" spans="1:4">
      <c r="A1791">
        <v>40383</v>
      </c>
      <c r="B1791" t="s">
        <v>8258</v>
      </c>
      <c r="C1791" t="s">
        <v>6636</v>
      </c>
      <c r="D1791" s="233">
        <v>33.06</v>
      </c>
    </row>
    <row r="1792" spans="1:4">
      <c r="A1792">
        <v>40378</v>
      </c>
      <c r="B1792" t="s">
        <v>8259</v>
      </c>
      <c r="C1792" t="s">
        <v>6636</v>
      </c>
      <c r="D1792" s="233">
        <v>11.43</v>
      </c>
    </row>
    <row r="1793" spans="1:4">
      <c r="A1793">
        <v>40382</v>
      </c>
      <c r="B1793" t="s">
        <v>8260</v>
      </c>
      <c r="C1793" t="s">
        <v>6636</v>
      </c>
      <c r="D1793" s="233">
        <v>21.63</v>
      </c>
    </row>
    <row r="1794" spans="1:4">
      <c r="A1794">
        <v>40422</v>
      </c>
      <c r="B1794" t="s">
        <v>8261</v>
      </c>
      <c r="C1794" t="s">
        <v>6636</v>
      </c>
      <c r="D1794" s="233">
        <v>147.36000000000001</v>
      </c>
    </row>
    <row r="1795" spans="1:4">
      <c r="A1795">
        <v>40387</v>
      </c>
      <c r="B1795" t="s">
        <v>8262</v>
      </c>
      <c r="C1795" t="s">
        <v>6636</v>
      </c>
      <c r="D1795" s="233">
        <v>75.03</v>
      </c>
    </row>
    <row r="1796" spans="1:4">
      <c r="A1796">
        <v>40380</v>
      </c>
      <c r="B1796" t="s">
        <v>8263</v>
      </c>
      <c r="C1796" t="s">
        <v>6636</v>
      </c>
      <c r="D1796" s="233">
        <v>15.24</v>
      </c>
    </row>
    <row r="1797" spans="1:4">
      <c r="A1797">
        <v>40390</v>
      </c>
      <c r="B1797" t="s">
        <v>8264</v>
      </c>
      <c r="C1797" t="s">
        <v>6636</v>
      </c>
      <c r="D1797" s="233">
        <v>310.36</v>
      </c>
    </row>
    <row r="1798" spans="1:4">
      <c r="A1798">
        <v>40413</v>
      </c>
      <c r="B1798" t="s">
        <v>8265</v>
      </c>
      <c r="C1798" t="s">
        <v>6636</v>
      </c>
      <c r="D1798" s="233">
        <v>13.48</v>
      </c>
    </row>
    <row r="1799" spans="1:4">
      <c r="A1799">
        <v>40415</v>
      </c>
      <c r="B1799" t="s">
        <v>8266</v>
      </c>
      <c r="C1799" t="s">
        <v>6636</v>
      </c>
      <c r="D1799" s="233">
        <v>19.21</v>
      </c>
    </row>
    <row r="1800" spans="1:4">
      <c r="A1800">
        <v>40417</v>
      </c>
      <c r="B1800" t="s">
        <v>8267</v>
      </c>
      <c r="C1800" t="s">
        <v>6636</v>
      </c>
      <c r="D1800" s="233">
        <v>22.67</v>
      </c>
    </row>
    <row r="1801" spans="1:4">
      <c r="A1801">
        <v>39271</v>
      </c>
      <c r="B1801" t="s">
        <v>8268</v>
      </c>
      <c r="C1801" t="s">
        <v>6636</v>
      </c>
      <c r="D1801" s="233">
        <v>1.47</v>
      </c>
    </row>
    <row r="1802" spans="1:4">
      <c r="A1802">
        <v>39273</v>
      </c>
      <c r="B1802" t="s">
        <v>8269</v>
      </c>
      <c r="C1802" t="s">
        <v>6636</v>
      </c>
      <c r="D1802" s="233">
        <v>2.4900000000000002</v>
      </c>
    </row>
    <row r="1803" spans="1:4">
      <c r="A1803">
        <v>39272</v>
      </c>
      <c r="B1803" t="s">
        <v>8270</v>
      </c>
      <c r="C1803" t="s">
        <v>6636</v>
      </c>
      <c r="D1803" s="233">
        <v>1.8</v>
      </c>
    </row>
    <row r="1804" spans="1:4">
      <c r="A1804">
        <v>1875</v>
      </c>
      <c r="B1804" t="s">
        <v>8271</v>
      </c>
      <c r="C1804" t="s">
        <v>6636</v>
      </c>
      <c r="D1804" s="233">
        <v>3.98</v>
      </c>
    </row>
    <row r="1805" spans="1:4">
      <c r="A1805">
        <v>1874</v>
      </c>
      <c r="B1805" t="s">
        <v>8272</v>
      </c>
      <c r="C1805" t="s">
        <v>6636</v>
      </c>
      <c r="D1805" s="233">
        <v>3.29</v>
      </c>
    </row>
    <row r="1806" spans="1:4">
      <c r="A1806">
        <v>1870</v>
      </c>
      <c r="B1806" t="s">
        <v>8273</v>
      </c>
      <c r="C1806" t="s">
        <v>6636</v>
      </c>
      <c r="D1806" s="233">
        <v>1.9</v>
      </c>
    </row>
    <row r="1807" spans="1:4">
      <c r="A1807">
        <v>1884</v>
      </c>
      <c r="B1807" t="s">
        <v>8274</v>
      </c>
      <c r="C1807" t="s">
        <v>6636</v>
      </c>
      <c r="D1807" s="233">
        <v>2.91</v>
      </c>
    </row>
    <row r="1808" spans="1:4">
      <c r="A1808">
        <v>1887</v>
      </c>
      <c r="B1808" t="s">
        <v>8275</v>
      </c>
      <c r="C1808" t="s">
        <v>6636</v>
      </c>
      <c r="D1808" s="233">
        <v>16.52</v>
      </c>
    </row>
    <row r="1809" spans="1:4">
      <c r="A1809">
        <v>1876</v>
      </c>
      <c r="B1809" t="s">
        <v>8276</v>
      </c>
      <c r="C1809" t="s">
        <v>6636</v>
      </c>
      <c r="D1809" s="233">
        <v>6.47</v>
      </c>
    </row>
    <row r="1810" spans="1:4">
      <c r="A1810">
        <v>1879</v>
      </c>
      <c r="B1810" t="s">
        <v>8277</v>
      </c>
      <c r="C1810" t="s">
        <v>6636</v>
      </c>
      <c r="D1810" s="233">
        <v>1.92</v>
      </c>
    </row>
    <row r="1811" spans="1:4">
      <c r="A1811">
        <v>1877</v>
      </c>
      <c r="B1811" t="s">
        <v>8278</v>
      </c>
      <c r="C1811" t="s">
        <v>6636</v>
      </c>
      <c r="D1811" s="233">
        <v>16.54</v>
      </c>
    </row>
    <row r="1812" spans="1:4">
      <c r="A1812">
        <v>1878</v>
      </c>
      <c r="B1812" t="s">
        <v>8279</v>
      </c>
      <c r="C1812" t="s">
        <v>6636</v>
      </c>
      <c r="D1812" s="233">
        <v>33.229999999999997</v>
      </c>
    </row>
    <row r="1813" spans="1:4">
      <c r="A1813">
        <v>2621</v>
      </c>
      <c r="B1813" t="s">
        <v>8280</v>
      </c>
      <c r="C1813" t="s">
        <v>6636</v>
      </c>
      <c r="D1813" s="233">
        <v>137.83000000000001</v>
      </c>
    </row>
    <row r="1814" spans="1:4">
      <c r="A1814">
        <v>2616</v>
      </c>
      <c r="B1814" t="s">
        <v>8281</v>
      </c>
      <c r="C1814" t="s">
        <v>6636</v>
      </c>
      <c r="D1814" s="233">
        <v>3.9</v>
      </c>
    </row>
    <row r="1815" spans="1:4">
      <c r="A1815">
        <v>2633</v>
      </c>
      <c r="B1815" t="s">
        <v>8282</v>
      </c>
      <c r="C1815" t="s">
        <v>6636</v>
      </c>
      <c r="D1815" s="233">
        <v>4.41</v>
      </c>
    </row>
    <row r="1816" spans="1:4">
      <c r="A1816">
        <v>2617</v>
      </c>
      <c r="B1816" t="s">
        <v>8283</v>
      </c>
      <c r="C1816" t="s">
        <v>6636</v>
      </c>
      <c r="D1816" s="233">
        <v>5.99</v>
      </c>
    </row>
    <row r="1817" spans="1:4">
      <c r="A1817">
        <v>2618</v>
      </c>
      <c r="B1817" t="s">
        <v>8284</v>
      </c>
      <c r="C1817" t="s">
        <v>6636</v>
      </c>
      <c r="D1817" s="233">
        <v>13.65</v>
      </c>
    </row>
    <row r="1818" spans="1:4">
      <c r="A1818">
        <v>2632</v>
      </c>
      <c r="B1818" t="s">
        <v>8285</v>
      </c>
      <c r="C1818" t="s">
        <v>6636</v>
      </c>
      <c r="D1818" s="233">
        <v>16.649999999999999</v>
      </c>
    </row>
    <row r="1819" spans="1:4">
      <c r="A1819">
        <v>2631</v>
      </c>
      <c r="B1819" t="s">
        <v>8286</v>
      </c>
      <c r="C1819" t="s">
        <v>6636</v>
      </c>
      <c r="D1819" s="233">
        <v>24.45</v>
      </c>
    </row>
    <row r="1820" spans="1:4">
      <c r="A1820">
        <v>2619</v>
      </c>
      <c r="B1820" t="s">
        <v>8287</v>
      </c>
      <c r="C1820" t="s">
        <v>6636</v>
      </c>
      <c r="D1820" s="233">
        <v>61.9</v>
      </c>
    </row>
    <row r="1821" spans="1:4">
      <c r="A1821">
        <v>2620</v>
      </c>
      <c r="B1821" t="s">
        <v>8288</v>
      </c>
      <c r="C1821" t="s">
        <v>6636</v>
      </c>
      <c r="D1821" s="233">
        <v>81.27</v>
      </c>
    </row>
    <row r="1822" spans="1:4">
      <c r="A1822">
        <v>25968</v>
      </c>
      <c r="B1822" t="s">
        <v>8289</v>
      </c>
      <c r="C1822" t="s">
        <v>6636</v>
      </c>
      <c r="D1822" s="233">
        <v>41.31</v>
      </c>
    </row>
    <row r="1823" spans="1:4">
      <c r="A1823">
        <v>38369</v>
      </c>
      <c r="B1823" t="s">
        <v>8290</v>
      </c>
      <c r="C1823" t="s">
        <v>6636</v>
      </c>
      <c r="D1823" s="233">
        <v>12</v>
      </c>
    </row>
    <row r="1824" spans="1:4">
      <c r="A1824">
        <v>38370</v>
      </c>
      <c r="B1824" t="s">
        <v>8291</v>
      </c>
      <c r="C1824" t="s">
        <v>6636</v>
      </c>
      <c r="D1824" s="233">
        <v>12</v>
      </c>
    </row>
    <row r="1825" spans="1:4">
      <c r="A1825">
        <v>38372</v>
      </c>
      <c r="B1825" t="s">
        <v>8292</v>
      </c>
      <c r="C1825" t="s">
        <v>6636</v>
      </c>
      <c r="D1825" s="233">
        <v>17.03</v>
      </c>
    </row>
    <row r="1826" spans="1:4">
      <c r="A1826">
        <v>2357</v>
      </c>
      <c r="B1826" t="s">
        <v>8293</v>
      </c>
      <c r="C1826" t="s">
        <v>6640</v>
      </c>
      <c r="D1826" s="233">
        <v>16.79</v>
      </c>
    </row>
    <row r="1827" spans="1:4">
      <c r="A1827">
        <v>40806</v>
      </c>
      <c r="B1827" t="s">
        <v>8294</v>
      </c>
      <c r="C1827" t="s">
        <v>6785</v>
      </c>
      <c r="D1827" s="234">
        <v>2342.4699999999998</v>
      </c>
    </row>
    <row r="1828" spans="1:4">
      <c r="A1828">
        <v>2355</v>
      </c>
      <c r="B1828" t="s">
        <v>8295</v>
      </c>
      <c r="C1828" t="s">
        <v>6640</v>
      </c>
      <c r="D1828" s="233">
        <v>22.27</v>
      </c>
    </row>
    <row r="1829" spans="1:4">
      <c r="A1829">
        <v>40805</v>
      </c>
      <c r="B1829" t="s">
        <v>8296</v>
      </c>
      <c r="C1829" t="s">
        <v>6785</v>
      </c>
      <c r="D1829" s="234">
        <v>3105.5</v>
      </c>
    </row>
    <row r="1830" spans="1:4">
      <c r="A1830">
        <v>2358</v>
      </c>
      <c r="B1830" t="s">
        <v>8297</v>
      </c>
      <c r="C1830" t="s">
        <v>6640</v>
      </c>
      <c r="D1830" s="233">
        <v>17.8</v>
      </c>
    </row>
    <row r="1831" spans="1:4">
      <c r="A1831">
        <v>40807</v>
      </c>
      <c r="B1831" t="s">
        <v>8298</v>
      </c>
      <c r="C1831" t="s">
        <v>6785</v>
      </c>
      <c r="D1831" s="234">
        <v>2482.3200000000002</v>
      </c>
    </row>
    <row r="1832" spans="1:4">
      <c r="A1832">
        <v>2359</v>
      </c>
      <c r="B1832" t="s">
        <v>8299</v>
      </c>
      <c r="C1832" t="s">
        <v>6640</v>
      </c>
      <c r="D1832" s="233">
        <v>17.8</v>
      </c>
    </row>
    <row r="1833" spans="1:4">
      <c r="A1833">
        <v>40808</v>
      </c>
      <c r="B1833" t="s">
        <v>8300</v>
      </c>
      <c r="C1833" t="s">
        <v>6785</v>
      </c>
      <c r="D1833" s="234">
        <v>2481.63</v>
      </c>
    </row>
    <row r="1834" spans="1:4">
      <c r="A1834">
        <v>43144</v>
      </c>
      <c r="B1834" t="s">
        <v>12303</v>
      </c>
      <c r="C1834" t="s">
        <v>6698</v>
      </c>
      <c r="D1834" s="233">
        <v>25.08</v>
      </c>
    </row>
    <row r="1835" spans="1:4">
      <c r="A1835">
        <v>39397</v>
      </c>
      <c r="B1835" t="s">
        <v>8301</v>
      </c>
      <c r="C1835" t="s">
        <v>6700</v>
      </c>
      <c r="D1835" s="233">
        <v>11.43</v>
      </c>
    </row>
    <row r="1836" spans="1:4">
      <c r="A1836">
        <v>2692</v>
      </c>
      <c r="B1836" t="s">
        <v>850</v>
      </c>
      <c r="C1836" t="s">
        <v>6700</v>
      </c>
      <c r="D1836" s="233">
        <v>4.6100000000000003</v>
      </c>
    </row>
    <row r="1837" spans="1:4">
      <c r="A1837">
        <v>6</v>
      </c>
      <c r="B1837" t="s">
        <v>8302</v>
      </c>
      <c r="C1837" t="s">
        <v>6700</v>
      </c>
      <c r="D1837" s="233">
        <v>3.32</v>
      </c>
    </row>
    <row r="1838" spans="1:4">
      <c r="A1838">
        <v>5330</v>
      </c>
      <c r="B1838" t="s">
        <v>8303</v>
      </c>
      <c r="C1838" t="s">
        <v>6700</v>
      </c>
      <c r="D1838" s="233">
        <v>34.81</v>
      </c>
    </row>
    <row r="1839" spans="1:4">
      <c r="A1839">
        <v>26017</v>
      </c>
      <c r="B1839" t="s">
        <v>8304</v>
      </c>
      <c r="C1839" t="s">
        <v>6636</v>
      </c>
      <c r="D1839" s="233">
        <v>44.7</v>
      </c>
    </row>
    <row r="1840" spans="1:4">
      <c r="A1840">
        <v>25931</v>
      </c>
      <c r="B1840" t="s">
        <v>8305</v>
      </c>
      <c r="C1840" t="s">
        <v>6636</v>
      </c>
      <c r="D1840" s="233">
        <v>142.06</v>
      </c>
    </row>
    <row r="1841" spans="1:4">
      <c r="A1841">
        <v>38140</v>
      </c>
      <c r="B1841" t="s">
        <v>8306</v>
      </c>
      <c r="C1841" t="s">
        <v>6636</v>
      </c>
      <c r="D1841" s="233">
        <v>34.450000000000003</v>
      </c>
    </row>
    <row r="1842" spans="1:4">
      <c r="A1842">
        <v>13887</v>
      </c>
      <c r="B1842" t="s">
        <v>8307</v>
      </c>
      <c r="C1842" t="s">
        <v>6636</v>
      </c>
      <c r="D1842" s="233">
        <v>815.63</v>
      </c>
    </row>
    <row r="1843" spans="1:4">
      <c r="A1843">
        <v>26018</v>
      </c>
      <c r="B1843" t="s">
        <v>8308</v>
      </c>
      <c r="C1843" t="s">
        <v>6636</v>
      </c>
      <c r="D1843" s="233">
        <v>36.31</v>
      </c>
    </row>
    <row r="1844" spans="1:4">
      <c r="A1844">
        <v>26019</v>
      </c>
      <c r="B1844" t="s">
        <v>8309</v>
      </c>
      <c r="C1844" t="s">
        <v>6636</v>
      </c>
      <c r="D1844" s="233">
        <v>34.29</v>
      </c>
    </row>
    <row r="1845" spans="1:4">
      <c r="A1845">
        <v>26020</v>
      </c>
      <c r="B1845" t="s">
        <v>8310</v>
      </c>
      <c r="C1845" t="s">
        <v>6636</v>
      </c>
      <c r="D1845" s="233">
        <v>8.94</v>
      </c>
    </row>
    <row r="1846" spans="1:4">
      <c r="A1846">
        <v>34544</v>
      </c>
      <c r="B1846" t="s">
        <v>8311</v>
      </c>
      <c r="C1846" t="s">
        <v>6636</v>
      </c>
      <c r="D1846" s="234">
        <v>1207.68</v>
      </c>
    </row>
    <row r="1847" spans="1:4">
      <c r="A1847">
        <v>34729</v>
      </c>
      <c r="B1847" t="s">
        <v>8312</v>
      </c>
      <c r="C1847" t="s">
        <v>6636</v>
      </c>
      <c r="D1847" s="233">
        <v>950.03</v>
      </c>
    </row>
    <row r="1848" spans="1:4">
      <c r="A1848">
        <v>34734</v>
      </c>
      <c r="B1848" t="s">
        <v>8313</v>
      </c>
      <c r="C1848" t="s">
        <v>6636</v>
      </c>
      <c r="D1848" s="234">
        <v>1470.95</v>
      </c>
    </row>
    <row r="1849" spans="1:4">
      <c r="A1849">
        <v>34738</v>
      </c>
      <c r="B1849" t="s">
        <v>8314</v>
      </c>
      <c r="C1849" t="s">
        <v>6636</v>
      </c>
      <c r="D1849" s="234">
        <v>3436.6</v>
      </c>
    </row>
    <row r="1850" spans="1:4">
      <c r="A1850">
        <v>2391</v>
      </c>
      <c r="B1850" t="s">
        <v>8315</v>
      </c>
      <c r="C1850" t="s">
        <v>6636</v>
      </c>
      <c r="D1850" s="233">
        <v>279.51</v>
      </c>
    </row>
    <row r="1851" spans="1:4">
      <c r="A1851">
        <v>2374</v>
      </c>
      <c r="B1851" t="s">
        <v>8316</v>
      </c>
      <c r="C1851" t="s">
        <v>6636</v>
      </c>
      <c r="D1851" s="233">
        <v>317.08999999999997</v>
      </c>
    </row>
    <row r="1852" spans="1:4">
      <c r="A1852">
        <v>2377</v>
      </c>
      <c r="B1852" t="s">
        <v>8317</v>
      </c>
      <c r="C1852" t="s">
        <v>6636</v>
      </c>
      <c r="D1852" s="233">
        <v>445.01</v>
      </c>
    </row>
    <row r="1853" spans="1:4">
      <c r="A1853">
        <v>2393</v>
      </c>
      <c r="B1853" t="s">
        <v>8318</v>
      </c>
      <c r="C1853" t="s">
        <v>6636</v>
      </c>
      <c r="D1853" s="233">
        <v>745.22</v>
      </c>
    </row>
    <row r="1854" spans="1:4">
      <c r="A1854">
        <v>34705</v>
      </c>
      <c r="B1854" t="s">
        <v>8319</v>
      </c>
      <c r="C1854" t="s">
        <v>6636</v>
      </c>
      <c r="D1854" s="233">
        <v>651.80999999999995</v>
      </c>
    </row>
    <row r="1855" spans="1:4">
      <c r="A1855">
        <v>34707</v>
      </c>
      <c r="B1855" t="s">
        <v>8320</v>
      </c>
      <c r="C1855" t="s">
        <v>6636</v>
      </c>
      <c r="D1855" s="234">
        <v>1207.81</v>
      </c>
    </row>
    <row r="1856" spans="1:4">
      <c r="A1856">
        <v>2378</v>
      </c>
      <c r="B1856" t="s">
        <v>8321</v>
      </c>
      <c r="C1856" t="s">
        <v>6636</v>
      </c>
      <c r="D1856" s="234">
        <v>1023.67</v>
      </c>
    </row>
    <row r="1857" spans="1:4">
      <c r="A1857">
        <v>2379</v>
      </c>
      <c r="B1857" t="s">
        <v>1145</v>
      </c>
      <c r="C1857" t="s">
        <v>6636</v>
      </c>
      <c r="D1857" s="234">
        <v>1023.67</v>
      </c>
    </row>
    <row r="1858" spans="1:4">
      <c r="A1858">
        <v>2376</v>
      </c>
      <c r="B1858" t="s">
        <v>8322</v>
      </c>
      <c r="C1858" t="s">
        <v>6636</v>
      </c>
      <c r="D1858" s="234">
        <v>1685.97</v>
      </c>
    </row>
    <row r="1859" spans="1:4">
      <c r="A1859">
        <v>2394</v>
      </c>
      <c r="B1859" t="s">
        <v>8323</v>
      </c>
      <c r="C1859" t="s">
        <v>6636</v>
      </c>
      <c r="D1859" s="234">
        <v>3604.3</v>
      </c>
    </row>
    <row r="1860" spans="1:4">
      <c r="A1860">
        <v>34686</v>
      </c>
      <c r="B1860" t="s">
        <v>8324</v>
      </c>
      <c r="C1860" t="s">
        <v>6636</v>
      </c>
      <c r="D1860" s="233">
        <v>10.82</v>
      </c>
    </row>
    <row r="1861" spans="1:4">
      <c r="A1861">
        <v>34616</v>
      </c>
      <c r="B1861" t="s">
        <v>8325</v>
      </c>
      <c r="C1861" t="s">
        <v>6636</v>
      </c>
      <c r="D1861" s="233">
        <v>41.82</v>
      </c>
    </row>
    <row r="1862" spans="1:4">
      <c r="A1862">
        <v>34623</v>
      </c>
      <c r="B1862" t="s">
        <v>8326</v>
      </c>
      <c r="C1862" t="s">
        <v>6636</v>
      </c>
      <c r="D1862" s="233">
        <v>41.18</v>
      </c>
    </row>
    <row r="1863" spans="1:4">
      <c r="A1863">
        <v>34628</v>
      </c>
      <c r="B1863" t="s">
        <v>8327</v>
      </c>
      <c r="C1863" t="s">
        <v>6636</v>
      </c>
      <c r="D1863" s="233">
        <v>58.99</v>
      </c>
    </row>
    <row r="1864" spans="1:4">
      <c r="A1864">
        <v>34653</v>
      </c>
      <c r="B1864" t="s">
        <v>8328</v>
      </c>
      <c r="C1864" t="s">
        <v>6636</v>
      </c>
      <c r="D1864" s="233">
        <v>7.29</v>
      </c>
    </row>
    <row r="1865" spans="1:4">
      <c r="A1865">
        <v>34688</v>
      </c>
      <c r="B1865" t="s">
        <v>8329</v>
      </c>
      <c r="C1865" t="s">
        <v>6636</v>
      </c>
      <c r="D1865" s="233">
        <v>13.22</v>
      </c>
    </row>
    <row r="1866" spans="1:4">
      <c r="A1866">
        <v>34709</v>
      </c>
      <c r="B1866" t="s">
        <v>8330</v>
      </c>
      <c r="C1866" t="s">
        <v>6636</v>
      </c>
      <c r="D1866" s="233">
        <v>51.24</v>
      </c>
    </row>
    <row r="1867" spans="1:4">
      <c r="A1867">
        <v>34714</v>
      </c>
      <c r="B1867" t="s">
        <v>8331</v>
      </c>
      <c r="C1867" t="s">
        <v>6636</v>
      </c>
      <c r="D1867" s="233">
        <v>61.2</v>
      </c>
    </row>
    <row r="1868" spans="1:4">
      <c r="A1868">
        <v>2388</v>
      </c>
      <c r="B1868" t="s">
        <v>8332</v>
      </c>
      <c r="C1868" t="s">
        <v>6636</v>
      </c>
      <c r="D1868" s="233">
        <v>50.86</v>
      </c>
    </row>
    <row r="1869" spans="1:4">
      <c r="A1869">
        <v>34606</v>
      </c>
      <c r="B1869" t="s">
        <v>8333</v>
      </c>
      <c r="C1869" t="s">
        <v>6636</v>
      </c>
      <c r="D1869" s="233">
        <v>78.010000000000005</v>
      </c>
    </row>
    <row r="1870" spans="1:4">
      <c r="A1870">
        <v>34689</v>
      </c>
      <c r="B1870" t="s">
        <v>8334</v>
      </c>
      <c r="C1870" t="s">
        <v>6636</v>
      </c>
      <c r="D1870" s="233">
        <v>24.83</v>
      </c>
    </row>
    <row r="1871" spans="1:4">
      <c r="A1871">
        <v>2370</v>
      </c>
      <c r="B1871" t="s">
        <v>8335</v>
      </c>
      <c r="C1871" t="s">
        <v>6636</v>
      </c>
      <c r="D1871" s="233">
        <v>9.4499999999999993</v>
      </c>
    </row>
    <row r="1872" spans="1:4">
      <c r="A1872">
        <v>2386</v>
      </c>
      <c r="B1872" t="s">
        <v>8336</v>
      </c>
      <c r="C1872" t="s">
        <v>6636</v>
      </c>
      <c r="D1872" s="233">
        <v>15.85</v>
      </c>
    </row>
    <row r="1873" spans="1:4">
      <c r="A1873">
        <v>2392</v>
      </c>
      <c r="B1873" t="s">
        <v>779</v>
      </c>
      <c r="C1873" t="s">
        <v>6636</v>
      </c>
      <c r="D1873" s="233">
        <v>63.43</v>
      </c>
    </row>
    <row r="1874" spans="1:4">
      <c r="A1874">
        <v>2373</v>
      </c>
      <c r="B1874" t="s">
        <v>8337</v>
      </c>
      <c r="C1874" t="s">
        <v>6636</v>
      </c>
      <c r="D1874" s="233">
        <v>89.37</v>
      </c>
    </row>
    <row r="1875" spans="1:4">
      <c r="A1875">
        <v>39465</v>
      </c>
      <c r="B1875" t="s">
        <v>8338</v>
      </c>
      <c r="C1875" t="s">
        <v>6636</v>
      </c>
      <c r="D1875" s="233">
        <v>54.6</v>
      </c>
    </row>
    <row r="1876" spans="1:4">
      <c r="A1876">
        <v>39466</v>
      </c>
      <c r="B1876" t="s">
        <v>8339</v>
      </c>
      <c r="C1876" t="s">
        <v>6636</v>
      </c>
      <c r="D1876" s="233">
        <v>61.42</v>
      </c>
    </row>
    <row r="1877" spans="1:4">
      <c r="A1877">
        <v>39467</v>
      </c>
      <c r="B1877" t="s">
        <v>1143</v>
      </c>
      <c r="C1877" t="s">
        <v>6636</v>
      </c>
      <c r="D1877" s="233">
        <v>78.569999999999993</v>
      </c>
    </row>
    <row r="1878" spans="1:4">
      <c r="A1878">
        <v>39468</v>
      </c>
      <c r="B1878" t="s">
        <v>8340</v>
      </c>
      <c r="C1878" t="s">
        <v>6636</v>
      </c>
      <c r="D1878" s="233">
        <v>139.65</v>
      </c>
    </row>
    <row r="1879" spans="1:4">
      <c r="A1879">
        <v>39469</v>
      </c>
      <c r="B1879" t="s">
        <v>8341</v>
      </c>
      <c r="C1879" t="s">
        <v>6636</v>
      </c>
      <c r="D1879" s="233">
        <v>56.88</v>
      </c>
    </row>
    <row r="1880" spans="1:4">
      <c r="A1880">
        <v>39470</v>
      </c>
      <c r="B1880" t="s">
        <v>8342</v>
      </c>
      <c r="C1880" t="s">
        <v>6636</v>
      </c>
      <c r="D1880" s="233">
        <v>69.89</v>
      </c>
    </row>
    <row r="1881" spans="1:4">
      <c r="A1881">
        <v>39471</v>
      </c>
      <c r="B1881" t="s">
        <v>8343</v>
      </c>
      <c r="C1881" t="s">
        <v>6636</v>
      </c>
      <c r="D1881" s="233">
        <v>84</v>
      </c>
    </row>
    <row r="1882" spans="1:4">
      <c r="A1882">
        <v>39472</v>
      </c>
      <c r="B1882" t="s">
        <v>8344</v>
      </c>
      <c r="C1882" t="s">
        <v>6636</v>
      </c>
      <c r="D1882" s="233">
        <v>145.94</v>
      </c>
    </row>
    <row r="1883" spans="1:4">
      <c r="A1883">
        <v>39473</v>
      </c>
      <c r="B1883" t="s">
        <v>8345</v>
      </c>
      <c r="C1883" t="s">
        <v>6636</v>
      </c>
      <c r="D1883" s="233">
        <v>94.28</v>
      </c>
    </row>
    <row r="1884" spans="1:4">
      <c r="A1884">
        <v>39474</v>
      </c>
      <c r="B1884" t="s">
        <v>8346</v>
      </c>
      <c r="C1884" t="s">
        <v>6636</v>
      </c>
      <c r="D1884" s="233">
        <v>100.51</v>
      </c>
    </row>
    <row r="1885" spans="1:4">
      <c r="A1885">
        <v>39475</v>
      </c>
      <c r="B1885" t="s">
        <v>8347</v>
      </c>
      <c r="C1885" t="s">
        <v>6636</v>
      </c>
      <c r="D1885" s="233">
        <v>114.04</v>
      </c>
    </row>
    <row r="1886" spans="1:4">
      <c r="A1886">
        <v>39476</v>
      </c>
      <c r="B1886" t="s">
        <v>8348</v>
      </c>
      <c r="C1886" t="s">
        <v>6636</v>
      </c>
      <c r="D1886" s="233">
        <v>214.67</v>
      </c>
    </row>
    <row r="1887" spans="1:4">
      <c r="A1887">
        <v>39477</v>
      </c>
      <c r="B1887" t="s">
        <v>8349</v>
      </c>
      <c r="C1887" t="s">
        <v>6636</v>
      </c>
      <c r="D1887" s="233">
        <v>105.18</v>
      </c>
    </row>
    <row r="1888" spans="1:4">
      <c r="A1888">
        <v>39478</v>
      </c>
      <c r="B1888" t="s">
        <v>8350</v>
      </c>
      <c r="C1888" t="s">
        <v>6636</v>
      </c>
      <c r="D1888" s="233">
        <v>108.43</v>
      </c>
    </row>
    <row r="1889" spans="1:4">
      <c r="A1889">
        <v>39479</v>
      </c>
      <c r="B1889" t="s">
        <v>8351</v>
      </c>
      <c r="C1889" t="s">
        <v>6636</v>
      </c>
      <c r="D1889" s="233">
        <v>127.76</v>
      </c>
    </row>
    <row r="1890" spans="1:4">
      <c r="A1890">
        <v>39480</v>
      </c>
      <c r="B1890" t="s">
        <v>8352</v>
      </c>
      <c r="C1890" t="s">
        <v>6636</v>
      </c>
      <c r="D1890" s="233">
        <v>263.63</v>
      </c>
    </row>
    <row r="1891" spans="1:4">
      <c r="A1891">
        <v>39459</v>
      </c>
      <c r="B1891" t="s">
        <v>8353</v>
      </c>
      <c r="C1891" t="s">
        <v>6636</v>
      </c>
      <c r="D1891" s="233">
        <v>223.76</v>
      </c>
    </row>
    <row r="1892" spans="1:4">
      <c r="A1892">
        <v>39445</v>
      </c>
      <c r="B1892" t="s">
        <v>8354</v>
      </c>
      <c r="C1892" t="s">
        <v>6636</v>
      </c>
      <c r="D1892" s="233">
        <v>112.35</v>
      </c>
    </row>
    <row r="1893" spans="1:4">
      <c r="A1893">
        <v>39446</v>
      </c>
      <c r="B1893" t="s">
        <v>8355</v>
      </c>
      <c r="C1893" t="s">
        <v>6636</v>
      </c>
      <c r="D1893" s="233">
        <v>114.35</v>
      </c>
    </row>
    <row r="1894" spans="1:4">
      <c r="A1894">
        <v>39447</v>
      </c>
      <c r="B1894" t="s">
        <v>8356</v>
      </c>
      <c r="C1894" t="s">
        <v>6636</v>
      </c>
      <c r="D1894" s="233">
        <v>122.28</v>
      </c>
    </row>
    <row r="1895" spans="1:4">
      <c r="A1895">
        <v>39448</v>
      </c>
      <c r="B1895" t="s">
        <v>8357</v>
      </c>
      <c r="C1895" t="s">
        <v>6636</v>
      </c>
      <c r="D1895" s="233">
        <v>208.51</v>
      </c>
    </row>
    <row r="1896" spans="1:4">
      <c r="A1896">
        <v>39450</v>
      </c>
      <c r="B1896" t="s">
        <v>8358</v>
      </c>
      <c r="C1896" t="s">
        <v>6636</v>
      </c>
      <c r="D1896" s="233">
        <v>127.21</v>
      </c>
    </row>
    <row r="1897" spans="1:4">
      <c r="A1897">
        <v>39451</v>
      </c>
      <c r="B1897" t="s">
        <v>8359</v>
      </c>
      <c r="C1897" t="s">
        <v>6636</v>
      </c>
      <c r="D1897" s="233">
        <v>138.75</v>
      </c>
    </row>
    <row r="1898" spans="1:4">
      <c r="A1898">
        <v>39452</v>
      </c>
      <c r="B1898" t="s">
        <v>8360</v>
      </c>
      <c r="C1898" t="s">
        <v>6636</v>
      </c>
      <c r="D1898" s="233">
        <v>139.58000000000001</v>
      </c>
    </row>
    <row r="1899" spans="1:4">
      <c r="A1899">
        <v>39523</v>
      </c>
      <c r="B1899" t="s">
        <v>8361</v>
      </c>
      <c r="C1899" t="s">
        <v>6636</v>
      </c>
      <c r="D1899" s="233">
        <v>233.59</v>
      </c>
    </row>
    <row r="1900" spans="1:4">
      <c r="A1900">
        <v>39449</v>
      </c>
      <c r="B1900" t="s">
        <v>8362</v>
      </c>
      <c r="C1900" t="s">
        <v>6636</v>
      </c>
      <c r="D1900" s="233">
        <v>258.68</v>
      </c>
    </row>
    <row r="1901" spans="1:4">
      <c r="A1901">
        <v>39455</v>
      </c>
      <c r="B1901" t="s">
        <v>8363</v>
      </c>
      <c r="C1901" t="s">
        <v>6636</v>
      </c>
      <c r="D1901" s="233">
        <v>128</v>
      </c>
    </row>
    <row r="1902" spans="1:4">
      <c r="A1902">
        <v>39456</v>
      </c>
      <c r="B1902" t="s">
        <v>8364</v>
      </c>
      <c r="C1902" t="s">
        <v>6636</v>
      </c>
      <c r="D1902" s="233">
        <v>128.1</v>
      </c>
    </row>
    <row r="1903" spans="1:4">
      <c r="A1903">
        <v>39457</v>
      </c>
      <c r="B1903" t="s">
        <v>8365</v>
      </c>
      <c r="C1903" t="s">
        <v>6636</v>
      </c>
      <c r="D1903" s="233">
        <v>139.65</v>
      </c>
    </row>
    <row r="1904" spans="1:4">
      <c r="A1904">
        <v>39458</v>
      </c>
      <c r="B1904" t="s">
        <v>8366</v>
      </c>
      <c r="C1904" t="s">
        <v>6636</v>
      </c>
      <c r="D1904" s="233">
        <v>260.58999999999997</v>
      </c>
    </row>
    <row r="1905" spans="1:4">
      <c r="A1905">
        <v>39464</v>
      </c>
      <c r="B1905" t="s">
        <v>8367</v>
      </c>
      <c r="C1905" t="s">
        <v>6636</v>
      </c>
      <c r="D1905" s="233">
        <v>419.05</v>
      </c>
    </row>
    <row r="1906" spans="1:4">
      <c r="A1906">
        <v>39460</v>
      </c>
      <c r="B1906" t="s">
        <v>8368</v>
      </c>
      <c r="C1906" t="s">
        <v>6636</v>
      </c>
      <c r="D1906" s="233">
        <v>158.93</v>
      </c>
    </row>
    <row r="1907" spans="1:4">
      <c r="A1907">
        <v>39461</v>
      </c>
      <c r="B1907" t="s">
        <v>8369</v>
      </c>
      <c r="C1907" t="s">
        <v>6636</v>
      </c>
      <c r="D1907" s="233">
        <v>186.23</v>
      </c>
    </row>
    <row r="1908" spans="1:4">
      <c r="A1908">
        <v>39462</v>
      </c>
      <c r="B1908" t="s">
        <v>8370</v>
      </c>
      <c r="C1908" t="s">
        <v>6636</v>
      </c>
      <c r="D1908" s="233">
        <v>179.48</v>
      </c>
    </row>
    <row r="1909" spans="1:4">
      <c r="A1909">
        <v>39463</v>
      </c>
      <c r="B1909" t="s">
        <v>8371</v>
      </c>
      <c r="C1909" t="s">
        <v>6636</v>
      </c>
      <c r="D1909" s="233">
        <v>415.8</v>
      </c>
    </row>
    <row r="1910" spans="1:4">
      <c r="A1910">
        <v>26039</v>
      </c>
      <c r="B1910" t="s">
        <v>8372</v>
      </c>
      <c r="C1910" t="s">
        <v>6636</v>
      </c>
      <c r="D1910" s="234">
        <v>249588.52</v>
      </c>
    </row>
    <row r="1911" spans="1:4">
      <c r="A1911">
        <v>2401</v>
      </c>
      <c r="B1911" t="s">
        <v>8373</v>
      </c>
      <c r="C1911" t="s">
        <v>6636</v>
      </c>
      <c r="D1911" s="234">
        <v>57408.12</v>
      </c>
    </row>
    <row r="1912" spans="1:4">
      <c r="A1912">
        <v>38870</v>
      </c>
      <c r="B1912" t="s">
        <v>8374</v>
      </c>
      <c r="C1912" t="s">
        <v>6636</v>
      </c>
      <c r="D1912" s="233">
        <v>32.659999999999997</v>
      </c>
    </row>
    <row r="1913" spans="1:4">
      <c r="A1913">
        <v>38869</v>
      </c>
      <c r="B1913" t="s">
        <v>8375</v>
      </c>
      <c r="C1913" t="s">
        <v>6636</v>
      </c>
      <c r="D1913" s="233">
        <v>28.81</v>
      </c>
    </row>
    <row r="1914" spans="1:4">
      <c r="A1914">
        <v>38872</v>
      </c>
      <c r="B1914" t="s">
        <v>8376</v>
      </c>
      <c r="C1914" t="s">
        <v>6636</v>
      </c>
      <c r="D1914" s="233">
        <v>44.61</v>
      </c>
    </row>
    <row r="1915" spans="1:4">
      <c r="A1915">
        <v>38871</v>
      </c>
      <c r="B1915" t="s">
        <v>8377</v>
      </c>
      <c r="C1915" t="s">
        <v>6636</v>
      </c>
      <c r="D1915" s="233">
        <v>35.89</v>
      </c>
    </row>
    <row r="1916" spans="1:4">
      <c r="A1916">
        <v>39283</v>
      </c>
      <c r="B1916" t="s">
        <v>8378</v>
      </c>
      <c r="C1916" t="s">
        <v>6636</v>
      </c>
      <c r="D1916" s="233">
        <v>111.78</v>
      </c>
    </row>
    <row r="1917" spans="1:4">
      <c r="A1917">
        <v>39284</v>
      </c>
      <c r="B1917" t="s">
        <v>8379</v>
      </c>
      <c r="C1917" t="s">
        <v>6636</v>
      </c>
      <c r="D1917" s="233">
        <v>121.14</v>
      </c>
    </row>
    <row r="1918" spans="1:4">
      <c r="A1918">
        <v>39285</v>
      </c>
      <c r="B1918" t="s">
        <v>8380</v>
      </c>
      <c r="C1918" t="s">
        <v>6636</v>
      </c>
      <c r="D1918" s="233">
        <v>122.88</v>
      </c>
    </row>
    <row r="1919" spans="1:4">
      <c r="A1919">
        <v>39286</v>
      </c>
      <c r="B1919" t="s">
        <v>8381</v>
      </c>
      <c r="C1919" t="s">
        <v>6636</v>
      </c>
      <c r="D1919" s="233">
        <v>120.21</v>
      </c>
    </row>
    <row r="1920" spans="1:4">
      <c r="A1920">
        <v>39287</v>
      </c>
      <c r="B1920" t="s">
        <v>8382</v>
      </c>
      <c r="C1920" t="s">
        <v>6636</v>
      </c>
      <c r="D1920" s="233">
        <v>141.15</v>
      </c>
    </row>
    <row r="1921" spans="1:4">
      <c r="A1921">
        <v>39288</v>
      </c>
      <c r="B1921" t="s">
        <v>8383</v>
      </c>
      <c r="C1921" t="s">
        <v>6636</v>
      </c>
      <c r="D1921" s="233">
        <v>150.63</v>
      </c>
    </row>
    <row r="1922" spans="1:4">
      <c r="A1922">
        <v>2414</v>
      </c>
      <c r="B1922" t="s">
        <v>8384</v>
      </c>
      <c r="C1922" t="s">
        <v>6638</v>
      </c>
      <c r="D1922" s="233">
        <v>104.95</v>
      </c>
    </row>
    <row r="1923" spans="1:4">
      <c r="A1923">
        <v>2413</v>
      </c>
      <c r="B1923" t="s">
        <v>8385</v>
      </c>
      <c r="C1923" t="s">
        <v>6638</v>
      </c>
      <c r="D1923" s="233">
        <v>100.97</v>
      </c>
    </row>
    <row r="1924" spans="1:4">
      <c r="A1924">
        <v>2405</v>
      </c>
      <c r="B1924" t="s">
        <v>8386</v>
      </c>
      <c r="C1924" t="s">
        <v>6638</v>
      </c>
      <c r="D1924" s="233">
        <v>117.52</v>
      </c>
    </row>
    <row r="1925" spans="1:4">
      <c r="A1925">
        <v>13361</v>
      </c>
      <c r="B1925" t="s">
        <v>8387</v>
      </c>
      <c r="C1925" t="s">
        <v>6638</v>
      </c>
      <c r="D1925" s="233">
        <v>98.31</v>
      </c>
    </row>
    <row r="1926" spans="1:4">
      <c r="A1926">
        <v>11987</v>
      </c>
      <c r="B1926" t="s">
        <v>8388</v>
      </c>
      <c r="C1926" t="s">
        <v>6638</v>
      </c>
      <c r="D1926" s="233">
        <v>263.05</v>
      </c>
    </row>
    <row r="1927" spans="1:4">
      <c r="A1927">
        <v>2416</v>
      </c>
      <c r="B1927" t="s">
        <v>8389</v>
      </c>
      <c r="C1927" t="s">
        <v>6638</v>
      </c>
      <c r="D1927" s="233">
        <v>116.38</v>
      </c>
    </row>
    <row r="1928" spans="1:4">
      <c r="A1928">
        <v>2412</v>
      </c>
      <c r="B1928" t="s">
        <v>8390</v>
      </c>
      <c r="C1928" t="s">
        <v>6638</v>
      </c>
      <c r="D1928" s="233">
        <v>112.39</v>
      </c>
    </row>
    <row r="1929" spans="1:4">
      <c r="A1929">
        <v>2411</v>
      </c>
      <c r="B1929" t="s">
        <v>8391</v>
      </c>
      <c r="C1929" t="s">
        <v>6638</v>
      </c>
      <c r="D1929" s="233">
        <v>98.31</v>
      </c>
    </row>
    <row r="1930" spans="1:4">
      <c r="A1930">
        <v>2406</v>
      </c>
      <c r="B1930" t="s">
        <v>8392</v>
      </c>
      <c r="C1930" t="s">
        <v>6638</v>
      </c>
      <c r="D1930" s="233">
        <v>95.65</v>
      </c>
    </row>
    <row r="1931" spans="1:4">
      <c r="A1931">
        <v>10571</v>
      </c>
      <c r="B1931" t="s">
        <v>8393</v>
      </c>
      <c r="C1931" t="s">
        <v>6638</v>
      </c>
      <c r="D1931" s="233">
        <v>233.82</v>
      </c>
    </row>
    <row r="1932" spans="1:4">
      <c r="A1932">
        <v>11985</v>
      </c>
      <c r="B1932" t="s">
        <v>8394</v>
      </c>
      <c r="C1932" t="s">
        <v>6638</v>
      </c>
      <c r="D1932" s="233">
        <v>225.85</v>
      </c>
    </row>
    <row r="1933" spans="1:4">
      <c r="A1933">
        <v>2410</v>
      </c>
      <c r="B1933" t="s">
        <v>8395</v>
      </c>
      <c r="C1933" t="s">
        <v>6638</v>
      </c>
      <c r="D1933" s="233">
        <v>99.64</v>
      </c>
    </row>
    <row r="1934" spans="1:4">
      <c r="A1934">
        <v>2417</v>
      </c>
      <c r="B1934" t="s">
        <v>8396</v>
      </c>
      <c r="C1934" t="s">
        <v>6638</v>
      </c>
      <c r="D1934" s="233">
        <v>106.28</v>
      </c>
    </row>
    <row r="1935" spans="1:4">
      <c r="A1935">
        <v>2415</v>
      </c>
      <c r="B1935" t="s">
        <v>8397</v>
      </c>
      <c r="C1935" t="s">
        <v>6638</v>
      </c>
      <c r="D1935" s="233">
        <v>85.02</v>
      </c>
    </row>
    <row r="1936" spans="1:4">
      <c r="A1936">
        <v>13360</v>
      </c>
      <c r="B1936" t="s">
        <v>8398</v>
      </c>
      <c r="C1936" t="s">
        <v>6638</v>
      </c>
      <c r="D1936" s="233">
        <v>85.02</v>
      </c>
    </row>
    <row r="1937" spans="1:4">
      <c r="A1937">
        <v>11983</v>
      </c>
      <c r="B1937" t="s">
        <v>8399</v>
      </c>
      <c r="C1937" t="s">
        <v>6638</v>
      </c>
      <c r="D1937" s="233">
        <v>207.25</v>
      </c>
    </row>
    <row r="1938" spans="1:4">
      <c r="A1938">
        <v>11986</v>
      </c>
      <c r="B1938" t="s">
        <v>8400</v>
      </c>
      <c r="C1938" t="s">
        <v>6638</v>
      </c>
      <c r="D1938" s="233">
        <v>252.42</v>
      </c>
    </row>
    <row r="1939" spans="1:4">
      <c r="A1939">
        <v>25976</v>
      </c>
      <c r="B1939" t="s">
        <v>8401</v>
      </c>
      <c r="C1939" t="s">
        <v>6638</v>
      </c>
      <c r="D1939" s="233">
        <v>493.52</v>
      </c>
    </row>
    <row r="1940" spans="1:4">
      <c r="A1940">
        <v>10629</v>
      </c>
      <c r="B1940" t="s">
        <v>8402</v>
      </c>
      <c r="C1940" t="s">
        <v>6638</v>
      </c>
      <c r="D1940" s="233">
        <v>422.99</v>
      </c>
    </row>
    <row r="1941" spans="1:4">
      <c r="A1941">
        <v>10698</v>
      </c>
      <c r="B1941" t="s">
        <v>8403</v>
      </c>
      <c r="C1941" t="s">
        <v>6638</v>
      </c>
      <c r="D1941" s="233">
        <v>153.99</v>
      </c>
    </row>
    <row r="1942" spans="1:4">
      <c r="A1942">
        <v>40521</v>
      </c>
      <c r="B1942" t="s">
        <v>8404</v>
      </c>
      <c r="C1942" t="s">
        <v>6636</v>
      </c>
      <c r="D1942" s="234">
        <v>111627.59</v>
      </c>
    </row>
    <row r="1943" spans="1:4">
      <c r="A1943">
        <v>2432</v>
      </c>
      <c r="B1943" t="s">
        <v>8405</v>
      </c>
      <c r="C1943" t="s">
        <v>6636</v>
      </c>
      <c r="D1943" s="233">
        <v>19.68</v>
      </c>
    </row>
    <row r="1944" spans="1:4">
      <c r="A1944">
        <v>2418</v>
      </c>
      <c r="B1944" t="s">
        <v>12673</v>
      </c>
      <c r="C1944" t="s">
        <v>6636</v>
      </c>
      <c r="D1944" s="233">
        <v>9.1300000000000008</v>
      </c>
    </row>
    <row r="1945" spans="1:4">
      <c r="A1945">
        <v>2433</v>
      </c>
      <c r="B1945" t="s">
        <v>8406</v>
      </c>
      <c r="C1945" t="s">
        <v>6636</v>
      </c>
      <c r="D1945" s="233">
        <v>6.66</v>
      </c>
    </row>
    <row r="1946" spans="1:4">
      <c r="A1946">
        <v>2420</v>
      </c>
      <c r="B1946" t="s">
        <v>8407</v>
      </c>
      <c r="C1946" t="s">
        <v>6636</v>
      </c>
      <c r="D1946" s="233">
        <v>11.45</v>
      </c>
    </row>
    <row r="1947" spans="1:4">
      <c r="A1947">
        <v>2421</v>
      </c>
      <c r="B1947" t="s">
        <v>12674</v>
      </c>
      <c r="C1947" t="s">
        <v>6636</v>
      </c>
      <c r="D1947" s="233">
        <v>24.98</v>
      </c>
    </row>
    <row r="1948" spans="1:4">
      <c r="A1948">
        <v>11447</v>
      </c>
      <c r="B1948" t="s">
        <v>8408</v>
      </c>
      <c r="C1948" t="s">
        <v>6636</v>
      </c>
      <c r="D1948" s="233">
        <v>22.63</v>
      </c>
    </row>
    <row r="1949" spans="1:4">
      <c r="A1949">
        <v>2429</v>
      </c>
      <c r="B1949" t="s">
        <v>12675</v>
      </c>
      <c r="C1949" t="s">
        <v>6636</v>
      </c>
      <c r="D1949" s="233">
        <v>57.27</v>
      </c>
    </row>
    <row r="1950" spans="1:4">
      <c r="A1950">
        <v>11449</v>
      </c>
      <c r="B1950" t="s">
        <v>12676</v>
      </c>
      <c r="C1950" t="s">
        <v>6636</v>
      </c>
      <c r="D1950" s="233">
        <v>61.7</v>
      </c>
    </row>
    <row r="1951" spans="1:4">
      <c r="A1951">
        <v>11451</v>
      </c>
      <c r="B1951" t="s">
        <v>8409</v>
      </c>
      <c r="C1951" t="s">
        <v>6636</v>
      </c>
      <c r="D1951" s="233">
        <v>60.67</v>
      </c>
    </row>
    <row r="1952" spans="1:4">
      <c r="A1952">
        <v>11116</v>
      </c>
      <c r="B1952" t="s">
        <v>8410</v>
      </c>
      <c r="C1952" t="s">
        <v>6636</v>
      </c>
      <c r="D1952" s="233">
        <v>523.07000000000005</v>
      </c>
    </row>
    <row r="1953" spans="1:4">
      <c r="A1953">
        <v>38411</v>
      </c>
      <c r="B1953" t="s">
        <v>8411</v>
      </c>
      <c r="C1953" t="s">
        <v>6636</v>
      </c>
      <c r="D1953" s="234">
        <v>1283.21</v>
      </c>
    </row>
    <row r="1954" spans="1:4">
      <c r="A1954">
        <v>1370</v>
      </c>
      <c r="B1954" t="s">
        <v>901</v>
      </c>
      <c r="C1954" t="s">
        <v>6636</v>
      </c>
      <c r="D1954" s="233">
        <v>84.29</v>
      </c>
    </row>
    <row r="1955" spans="1:4">
      <c r="A1955">
        <v>38189</v>
      </c>
      <c r="B1955" t="s">
        <v>8412</v>
      </c>
      <c r="C1955" t="s">
        <v>6636</v>
      </c>
      <c r="D1955" s="233">
        <v>172.66</v>
      </c>
    </row>
    <row r="1956" spans="1:4">
      <c r="A1956">
        <v>38190</v>
      </c>
      <c r="B1956" t="s">
        <v>8413</v>
      </c>
      <c r="C1956" t="s">
        <v>6636</v>
      </c>
      <c r="D1956" s="233">
        <v>388.27</v>
      </c>
    </row>
    <row r="1957" spans="1:4">
      <c r="A1957">
        <v>36516</v>
      </c>
      <c r="B1957" t="s">
        <v>8414</v>
      </c>
      <c r="C1957" t="s">
        <v>6636</v>
      </c>
      <c r="D1957" s="234">
        <v>71285.03</v>
      </c>
    </row>
    <row r="1958" spans="1:4">
      <c r="A1958">
        <v>34777</v>
      </c>
      <c r="B1958" t="s">
        <v>8415</v>
      </c>
      <c r="C1958" t="s">
        <v>6636</v>
      </c>
      <c r="D1958" s="233">
        <v>1.76</v>
      </c>
    </row>
    <row r="1959" spans="1:4">
      <c r="A1959">
        <v>7273</v>
      </c>
      <c r="B1959" t="s">
        <v>8416</v>
      </c>
      <c r="C1959" t="s">
        <v>6636</v>
      </c>
      <c r="D1959" s="233">
        <v>2.89</v>
      </c>
    </row>
    <row r="1960" spans="1:4">
      <c r="A1960">
        <v>7272</v>
      </c>
      <c r="B1960" t="s">
        <v>8417</v>
      </c>
      <c r="C1960" t="s">
        <v>6636</v>
      </c>
      <c r="D1960" s="233">
        <v>4.03</v>
      </c>
    </row>
    <row r="1961" spans="1:4">
      <c r="A1961">
        <v>10605</v>
      </c>
      <c r="B1961" t="s">
        <v>8418</v>
      </c>
      <c r="C1961" t="s">
        <v>6636</v>
      </c>
      <c r="D1961" s="233">
        <v>2.12</v>
      </c>
    </row>
    <row r="1962" spans="1:4">
      <c r="A1962">
        <v>10604</v>
      </c>
      <c r="B1962" t="s">
        <v>8419</v>
      </c>
      <c r="C1962" t="s">
        <v>6636</v>
      </c>
      <c r="D1962" s="233">
        <v>4.24</v>
      </c>
    </row>
    <row r="1963" spans="1:4">
      <c r="A1963">
        <v>672</v>
      </c>
      <c r="B1963" t="s">
        <v>8420</v>
      </c>
      <c r="C1963" t="s">
        <v>6636</v>
      </c>
      <c r="D1963" s="233">
        <v>4.28</v>
      </c>
    </row>
    <row r="1964" spans="1:4">
      <c r="A1964">
        <v>668</v>
      </c>
      <c r="B1964" t="s">
        <v>8421</v>
      </c>
      <c r="C1964" t="s">
        <v>6636</v>
      </c>
      <c r="D1964" s="233">
        <v>6.74</v>
      </c>
    </row>
    <row r="1965" spans="1:4">
      <c r="A1965">
        <v>10578</v>
      </c>
      <c r="B1965" t="s">
        <v>8422</v>
      </c>
      <c r="C1965" t="s">
        <v>6636</v>
      </c>
      <c r="D1965" s="233">
        <v>11.76</v>
      </c>
    </row>
    <row r="1966" spans="1:4">
      <c r="A1966">
        <v>666</v>
      </c>
      <c r="B1966" t="s">
        <v>8423</v>
      </c>
      <c r="C1966" t="s">
        <v>6636</v>
      </c>
      <c r="D1966" s="233">
        <v>11.67</v>
      </c>
    </row>
    <row r="1967" spans="1:4">
      <c r="A1967">
        <v>665</v>
      </c>
      <c r="B1967" t="s">
        <v>8424</v>
      </c>
      <c r="C1967" t="s">
        <v>6636</v>
      </c>
      <c r="D1967" s="233">
        <v>21.87</v>
      </c>
    </row>
    <row r="1968" spans="1:4">
      <c r="A1968">
        <v>10577</v>
      </c>
      <c r="B1968" t="s">
        <v>8425</v>
      </c>
      <c r="C1968" t="s">
        <v>6636</v>
      </c>
      <c r="D1968" s="233">
        <v>17.12</v>
      </c>
    </row>
    <row r="1969" spans="1:4">
      <c r="A1969">
        <v>10583</v>
      </c>
      <c r="B1969" t="s">
        <v>8426</v>
      </c>
      <c r="C1969" t="s">
        <v>6636</v>
      </c>
      <c r="D1969" s="233">
        <v>9.6</v>
      </c>
    </row>
    <row r="1970" spans="1:4">
      <c r="A1970">
        <v>10579</v>
      </c>
      <c r="B1970" t="s">
        <v>8427</v>
      </c>
      <c r="C1970" t="s">
        <v>6636</v>
      </c>
      <c r="D1970" s="233">
        <v>15.66</v>
      </c>
    </row>
    <row r="1971" spans="1:4">
      <c r="A1971">
        <v>10582</v>
      </c>
      <c r="B1971" t="s">
        <v>8428</v>
      </c>
      <c r="C1971" t="s">
        <v>6636</v>
      </c>
      <c r="D1971" s="233">
        <v>5.48</v>
      </c>
    </row>
    <row r="1972" spans="1:4">
      <c r="A1972">
        <v>2436</v>
      </c>
      <c r="B1972" t="s">
        <v>8429</v>
      </c>
      <c r="C1972" t="s">
        <v>6640</v>
      </c>
      <c r="D1972" s="233">
        <v>15.32</v>
      </c>
    </row>
    <row r="1973" spans="1:4">
      <c r="A1973">
        <v>40918</v>
      </c>
      <c r="B1973" t="s">
        <v>8430</v>
      </c>
      <c r="C1973" t="s">
        <v>6785</v>
      </c>
      <c r="D1973" s="234">
        <v>2717.21</v>
      </c>
    </row>
    <row r="1974" spans="1:4">
      <c r="A1974">
        <v>2439</v>
      </c>
      <c r="B1974" t="s">
        <v>8431</v>
      </c>
      <c r="C1974" t="s">
        <v>6640</v>
      </c>
      <c r="D1974" s="233">
        <v>15.32</v>
      </c>
    </row>
    <row r="1975" spans="1:4">
      <c r="A1975">
        <v>40923</v>
      </c>
      <c r="B1975" t="s">
        <v>8432</v>
      </c>
      <c r="C1975" t="s">
        <v>6785</v>
      </c>
      <c r="D1975" s="234">
        <v>2717.21</v>
      </c>
    </row>
    <row r="1976" spans="1:4">
      <c r="A1976">
        <v>10998</v>
      </c>
      <c r="B1976" t="s">
        <v>8433</v>
      </c>
      <c r="C1976" t="s">
        <v>6698</v>
      </c>
      <c r="D1976" s="233">
        <v>13.44</v>
      </c>
    </row>
    <row r="1977" spans="1:4">
      <c r="A1977">
        <v>11002</v>
      </c>
      <c r="B1977" t="s">
        <v>8434</v>
      </c>
      <c r="C1977" t="s">
        <v>6698</v>
      </c>
      <c r="D1977" s="233">
        <v>12.32</v>
      </c>
    </row>
    <row r="1978" spans="1:4">
      <c r="A1978">
        <v>10999</v>
      </c>
      <c r="B1978" t="s">
        <v>8435</v>
      </c>
      <c r="C1978" t="s">
        <v>6698</v>
      </c>
      <c r="D1978" s="233">
        <v>11.83</v>
      </c>
    </row>
    <row r="1979" spans="1:4">
      <c r="A1979">
        <v>10997</v>
      </c>
      <c r="B1979" t="s">
        <v>807</v>
      </c>
      <c r="C1979" t="s">
        <v>6698</v>
      </c>
      <c r="D1979" s="233">
        <v>12.83</v>
      </c>
    </row>
    <row r="1980" spans="1:4">
      <c r="A1980">
        <v>2685</v>
      </c>
      <c r="B1980" t="s">
        <v>780</v>
      </c>
      <c r="C1980" t="s">
        <v>6649</v>
      </c>
      <c r="D1980" s="233">
        <v>3.73</v>
      </c>
    </row>
    <row r="1981" spans="1:4">
      <c r="A1981">
        <v>2680</v>
      </c>
      <c r="B1981" t="s">
        <v>8436</v>
      </c>
      <c r="C1981" t="s">
        <v>6649</v>
      </c>
      <c r="D1981" s="233">
        <v>5.46</v>
      </c>
    </row>
    <row r="1982" spans="1:4">
      <c r="A1982">
        <v>2684</v>
      </c>
      <c r="B1982" t="s">
        <v>8437</v>
      </c>
      <c r="C1982" t="s">
        <v>6649</v>
      </c>
      <c r="D1982" s="233">
        <v>4.97</v>
      </c>
    </row>
    <row r="1983" spans="1:4">
      <c r="A1983">
        <v>2673</v>
      </c>
      <c r="B1983" t="s">
        <v>949</v>
      </c>
      <c r="C1983" t="s">
        <v>6649</v>
      </c>
      <c r="D1983" s="233">
        <v>1.92</v>
      </c>
    </row>
    <row r="1984" spans="1:4">
      <c r="A1984">
        <v>2681</v>
      </c>
      <c r="B1984" t="s">
        <v>8438</v>
      </c>
      <c r="C1984" t="s">
        <v>6649</v>
      </c>
      <c r="D1984" s="233">
        <v>8.93</v>
      </c>
    </row>
    <row r="1985" spans="1:4">
      <c r="A1985">
        <v>2682</v>
      </c>
      <c r="B1985" t="s">
        <v>8439</v>
      </c>
      <c r="C1985" t="s">
        <v>6649</v>
      </c>
      <c r="D1985" s="233">
        <v>13.03</v>
      </c>
    </row>
    <row r="1986" spans="1:4">
      <c r="A1986">
        <v>2686</v>
      </c>
      <c r="B1986" t="s">
        <v>8440</v>
      </c>
      <c r="C1986" t="s">
        <v>6649</v>
      </c>
      <c r="D1986" s="233">
        <v>16.34</v>
      </c>
    </row>
    <row r="1987" spans="1:4">
      <c r="A1987">
        <v>2674</v>
      </c>
      <c r="B1987" t="s">
        <v>8441</v>
      </c>
      <c r="C1987" t="s">
        <v>6649</v>
      </c>
      <c r="D1987" s="233">
        <v>2.39</v>
      </c>
    </row>
    <row r="1988" spans="1:4">
      <c r="A1988">
        <v>2683</v>
      </c>
      <c r="B1988" t="s">
        <v>8442</v>
      </c>
      <c r="C1988" t="s">
        <v>6649</v>
      </c>
      <c r="D1988" s="233">
        <v>25.75</v>
      </c>
    </row>
    <row r="1989" spans="1:4">
      <c r="A1989">
        <v>2676</v>
      </c>
      <c r="B1989" t="s">
        <v>8443</v>
      </c>
      <c r="C1989" t="s">
        <v>6649</v>
      </c>
      <c r="D1989" s="233">
        <v>1.1100000000000001</v>
      </c>
    </row>
    <row r="1990" spans="1:4">
      <c r="A1990">
        <v>2678</v>
      </c>
      <c r="B1990" t="s">
        <v>8444</v>
      </c>
      <c r="C1990" t="s">
        <v>6649</v>
      </c>
      <c r="D1990" s="233">
        <v>1.39</v>
      </c>
    </row>
    <row r="1991" spans="1:4">
      <c r="A1991">
        <v>2679</v>
      </c>
      <c r="B1991" t="s">
        <v>8445</v>
      </c>
      <c r="C1991" t="s">
        <v>6649</v>
      </c>
      <c r="D1991" s="233">
        <v>2.15</v>
      </c>
    </row>
    <row r="1992" spans="1:4">
      <c r="A1992">
        <v>12070</v>
      </c>
      <c r="B1992" t="s">
        <v>8446</v>
      </c>
      <c r="C1992" t="s">
        <v>6649</v>
      </c>
      <c r="D1992" s="233">
        <v>3</v>
      </c>
    </row>
    <row r="1993" spans="1:4">
      <c r="A1993">
        <v>2675</v>
      </c>
      <c r="B1993" t="s">
        <v>8447</v>
      </c>
      <c r="C1993" t="s">
        <v>6649</v>
      </c>
      <c r="D1993" s="233">
        <v>3.9</v>
      </c>
    </row>
    <row r="1994" spans="1:4">
      <c r="A1994">
        <v>12067</v>
      </c>
      <c r="B1994" t="s">
        <v>8448</v>
      </c>
      <c r="C1994" t="s">
        <v>6649</v>
      </c>
      <c r="D1994" s="233">
        <v>5.29</v>
      </c>
    </row>
    <row r="1995" spans="1:4">
      <c r="A1995">
        <v>40401</v>
      </c>
      <c r="B1995" t="s">
        <v>8449</v>
      </c>
      <c r="C1995" t="s">
        <v>6649</v>
      </c>
      <c r="D1995" s="233">
        <v>2.08</v>
      </c>
    </row>
    <row r="1996" spans="1:4">
      <c r="A1996">
        <v>40402</v>
      </c>
      <c r="B1996" t="s">
        <v>8450</v>
      </c>
      <c r="C1996" t="s">
        <v>6649</v>
      </c>
      <c r="D1996" s="233">
        <v>2.67</v>
      </c>
    </row>
    <row r="1997" spans="1:4">
      <c r="A1997">
        <v>40400</v>
      </c>
      <c r="B1997" t="s">
        <v>8451</v>
      </c>
      <c r="C1997" t="s">
        <v>6649</v>
      </c>
      <c r="D1997" s="233">
        <v>1.41</v>
      </c>
    </row>
    <row r="1998" spans="1:4">
      <c r="A1998">
        <v>2504</v>
      </c>
      <c r="B1998" t="s">
        <v>8452</v>
      </c>
      <c r="C1998" t="s">
        <v>6649</v>
      </c>
      <c r="D1998" s="233">
        <v>10.02</v>
      </c>
    </row>
    <row r="1999" spans="1:4">
      <c r="A1999">
        <v>2501</v>
      </c>
      <c r="B1999" t="s">
        <v>8453</v>
      </c>
      <c r="C1999" t="s">
        <v>6649</v>
      </c>
      <c r="D1999" s="233">
        <v>13.14</v>
      </c>
    </row>
    <row r="2000" spans="1:4">
      <c r="A2000">
        <v>2502</v>
      </c>
      <c r="B2000" t="s">
        <v>8454</v>
      </c>
      <c r="C2000" t="s">
        <v>6649</v>
      </c>
      <c r="D2000" s="233">
        <v>19.82</v>
      </c>
    </row>
    <row r="2001" spans="1:4">
      <c r="A2001">
        <v>2503</v>
      </c>
      <c r="B2001" t="s">
        <v>8455</v>
      </c>
      <c r="C2001" t="s">
        <v>6649</v>
      </c>
      <c r="D2001" s="233">
        <v>25.51</v>
      </c>
    </row>
    <row r="2002" spans="1:4">
      <c r="A2002">
        <v>2500</v>
      </c>
      <c r="B2002" t="s">
        <v>8456</v>
      </c>
      <c r="C2002" t="s">
        <v>6649</v>
      </c>
      <c r="D2002" s="233">
        <v>33.99</v>
      </c>
    </row>
    <row r="2003" spans="1:4">
      <c r="A2003">
        <v>2505</v>
      </c>
      <c r="B2003" t="s">
        <v>8457</v>
      </c>
      <c r="C2003" t="s">
        <v>6649</v>
      </c>
      <c r="D2003" s="233">
        <v>52.97</v>
      </c>
    </row>
    <row r="2004" spans="1:4">
      <c r="A2004">
        <v>12056</v>
      </c>
      <c r="B2004" t="s">
        <v>8458</v>
      </c>
      <c r="C2004" t="s">
        <v>6649</v>
      </c>
      <c r="D2004" s="233">
        <v>21.4</v>
      </c>
    </row>
    <row r="2005" spans="1:4">
      <c r="A2005">
        <v>12057</v>
      </c>
      <c r="B2005" t="s">
        <v>8459</v>
      </c>
      <c r="C2005" t="s">
        <v>6649</v>
      </c>
      <c r="D2005" s="233">
        <v>18.18</v>
      </c>
    </row>
    <row r="2006" spans="1:4">
      <c r="A2006">
        <v>12059</v>
      </c>
      <c r="B2006" t="s">
        <v>8460</v>
      </c>
      <c r="C2006" t="s">
        <v>6649</v>
      </c>
      <c r="D2006" s="233">
        <v>6.38</v>
      </c>
    </row>
    <row r="2007" spans="1:4">
      <c r="A2007">
        <v>12058</v>
      </c>
      <c r="B2007" t="s">
        <v>8461</v>
      </c>
      <c r="C2007" t="s">
        <v>6649</v>
      </c>
      <c r="D2007" s="233">
        <v>11.33</v>
      </c>
    </row>
    <row r="2008" spans="1:4">
      <c r="A2008">
        <v>12060</v>
      </c>
      <c r="B2008" t="s">
        <v>8462</v>
      </c>
      <c r="C2008" t="s">
        <v>6649</v>
      </c>
      <c r="D2008" s="233">
        <v>47.23</v>
      </c>
    </row>
    <row r="2009" spans="1:4">
      <c r="A2009">
        <v>12061</v>
      </c>
      <c r="B2009" t="s">
        <v>8463</v>
      </c>
      <c r="C2009" t="s">
        <v>6649</v>
      </c>
      <c r="D2009" s="233">
        <v>28.84</v>
      </c>
    </row>
    <row r="2010" spans="1:4">
      <c r="A2010">
        <v>12062</v>
      </c>
      <c r="B2010" t="s">
        <v>8464</v>
      </c>
      <c r="C2010" t="s">
        <v>6649</v>
      </c>
      <c r="D2010" s="233">
        <v>53.18</v>
      </c>
    </row>
    <row r="2011" spans="1:4">
      <c r="A2011">
        <v>21137</v>
      </c>
      <c r="B2011" t="s">
        <v>8465</v>
      </c>
      <c r="C2011" t="s">
        <v>6649</v>
      </c>
      <c r="D2011" s="233">
        <v>9.24</v>
      </c>
    </row>
    <row r="2012" spans="1:4">
      <c r="A2012">
        <v>2687</v>
      </c>
      <c r="B2012" t="s">
        <v>948</v>
      </c>
      <c r="C2012" t="s">
        <v>6649</v>
      </c>
      <c r="D2012" s="233">
        <v>0.97</v>
      </c>
    </row>
    <row r="2013" spans="1:4">
      <c r="A2013">
        <v>2689</v>
      </c>
      <c r="B2013" t="s">
        <v>8466</v>
      </c>
      <c r="C2013" t="s">
        <v>6649</v>
      </c>
      <c r="D2013" s="233">
        <v>1.1599999999999999</v>
      </c>
    </row>
    <row r="2014" spans="1:4">
      <c r="A2014">
        <v>2688</v>
      </c>
      <c r="B2014" t="s">
        <v>8467</v>
      </c>
      <c r="C2014" t="s">
        <v>6649</v>
      </c>
      <c r="D2014" s="233">
        <v>1.25</v>
      </c>
    </row>
    <row r="2015" spans="1:4">
      <c r="A2015">
        <v>2690</v>
      </c>
      <c r="B2015" t="s">
        <v>8468</v>
      </c>
      <c r="C2015" t="s">
        <v>6649</v>
      </c>
      <c r="D2015" s="233">
        <v>2.15</v>
      </c>
    </row>
    <row r="2016" spans="1:4">
      <c r="A2016">
        <v>39243</v>
      </c>
      <c r="B2016" t="s">
        <v>8469</v>
      </c>
      <c r="C2016" t="s">
        <v>6649</v>
      </c>
      <c r="D2016" s="233">
        <v>1.41</v>
      </c>
    </row>
    <row r="2017" spans="1:4">
      <c r="A2017">
        <v>39244</v>
      </c>
      <c r="B2017" t="s">
        <v>8470</v>
      </c>
      <c r="C2017" t="s">
        <v>6649</v>
      </c>
      <c r="D2017" s="233">
        <v>1.91</v>
      </c>
    </row>
    <row r="2018" spans="1:4">
      <c r="A2018">
        <v>39245</v>
      </c>
      <c r="B2018" t="s">
        <v>8471</v>
      </c>
      <c r="C2018" t="s">
        <v>6649</v>
      </c>
      <c r="D2018" s="233">
        <v>3.68</v>
      </c>
    </row>
    <row r="2019" spans="1:4">
      <c r="A2019">
        <v>39254</v>
      </c>
      <c r="B2019" t="s">
        <v>8472</v>
      </c>
      <c r="C2019" t="s">
        <v>6649</v>
      </c>
      <c r="D2019" s="233">
        <v>5.51</v>
      </c>
    </row>
    <row r="2020" spans="1:4">
      <c r="A2020">
        <v>39255</v>
      </c>
      <c r="B2020" t="s">
        <v>8473</v>
      </c>
      <c r="C2020" t="s">
        <v>6649</v>
      </c>
      <c r="D2020" s="233">
        <v>10.199999999999999</v>
      </c>
    </row>
    <row r="2021" spans="1:4">
      <c r="A2021">
        <v>39253</v>
      </c>
      <c r="B2021" t="s">
        <v>8474</v>
      </c>
      <c r="C2021" t="s">
        <v>6649</v>
      </c>
      <c r="D2021" s="233">
        <v>7.02</v>
      </c>
    </row>
    <row r="2022" spans="1:4">
      <c r="A2022">
        <v>2446</v>
      </c>
      <c r="B2022" t="s">
        <v>8475</v>
      </c>
      <c r="C2022" t="s">
        <v>6649</v>
      </c>
      <c r="D2022" s="233">
        <v>5.19</v>
      </c>
    </row>
    <row r="2023" spans="1:4">
      <c r="A2023">
        <v>2442</v>
      </c>
      <c r="B2023" t="s">
        <v>8476</v>
      </c>
      <c r="C2023" t="s">
        <v>6649</v>
      </c>
      <c r="D2023" s="233">
        <v>7.27</v>
      </c>
    </row>
    <row r="2024" spans="1:4">
      <c r="A2024">
        <v>39246</v>
      </c>
      <c r="B2024" t="s">
        <v>8477</v>
      </c>
      <c r="C2024" t="s">
        <v>6649</v>
      </c>
      <c r="D2024" s="233">
        <v>3.61</v>
      </c>
    </row>
    <row r="2025" spans="1:4">
      <c r="A2025">
        <v>39247</v>
      </c>
      <c r="B2025" t="s">
        <v>8478</v>
      </c>
      <c r="C2025" t="s">
        <v>6649</v>
      </c>
      <c r="D2025" s="233">
        <v>3.15</v>
      </c>
    </row>
    <row r="2026" spans="1:4">
      <c r="A2026">
        <v>39248</v>
      </c>
      <c r="B2026" t="s">
        <v>8479</v>
      </c>
      <c r="C2026" t="s">
        <v>6649</v>
      </c>
      <c r="D2026" s="233">
        <v>10.130000000000001</v>
      </c>
    </row>
    <row r="2027" spans="1:4">
      <c r="A2027">
        <v>2438</v>
      </c>
      <c r="B2027" t="s">
        <v>8480</v>
      </c>
      <c r="C2027" t="s">
        <v>6640</v>
      </c>
      <c r="D2027" s="233">
        <v>15.47</v>
      </c>
    </row>
    <row r="2028" spans="1:4">
      <c r="A2028">
        <v>40922</v>
      </c>
      <c r="B2028" t="s">
        <v>8481</v>
      </c>
      <c r="C2028" t="s">
        <v>6785</v>
      </c>
      <c r="D2028" s="234">
        <v>2747.41</v>
      </c>
    </row>
    <row r="2029" spans="1:4">
      <c r="A2029">
        <v>36486</v>
      </c>
      <c r="B2029" t="s">
        <v>8482</v>
      </c>
      <c r="C2029" t="s">
        <v>6636</v>
      </c>
      <c r="D2029" s="234">
        <v>36823.49</v>
      </c>
    </row>
    <row r="2030" spans="1:4">
      <c r="A2030">
        <v>37777</v>
      </c>
      <c r="B2030" t="s">
        <v>8483</v>
      </c>
      <c r="C2030" t="s">
        <v>6636</v>
      </c>
      <c r="D2030" s="234">
        <v>173364.31</v>
      </c>
    </row>
    <row r="2031" spans="1:4">
      <c r="A2031">
        <v>12624</v>
      </c>
      <c r="B2031" t="s">
        <v>8484</v>
      </c>
      <c r="C2031" t="s">
        <v>6636</v>
      </c>
      <c r="D2031" s="233">
        <v>8.99</v>
      </c>
    </row>
    <row r="2032" spans="1:4">
      <c r="A2032">
        <v>10638</v>
      </c>
      <c r="B2032" t="s">
        <v>8485</v>
      </c>
      <c r="C2032" t="s">
        <v>6636</v>
      </c>
      <c r="D2032" s="234">
        <v>323092.78000000003</v>
      </c>
    </row>
    <row r="2033" spans="1:4">
      <c r="A2033">
        <v>10635</v>
      </c>
      <c r="B2033" t="s">
        <v>8486</v>
      </c>
      <c r="C2033" t="s">
        <v>6636</v>
      </c>
      <c r="D2033" s="234">
        <v>111677.29</v>
      </c>
    </row>
    <row r="2034" spans="1:4">
      <c r="A2034">
        <v>10634</v>
      </c>
      <c r="B2034" t="s">
        <v>8487</v>
      </c>
      <c r="C2034" t="s">
        <v>6636</v>
      </c>
      <c r="D2034" s="234">
        <v>95630</v>
      </c>
    </row>
    <row r="2035" spans="1:4">
      <c r="A2035">
        <v>10636</v>
      </c>
      <c r="B2035" t="s">
        <v>8488</v>
      </c>
      <c r="C2035" t="s">
        <v>6636</v>
      </c>
      <c r="D2035" s="234">
        <v>210600.67</v>
      </c>
    </row>
    <row r="2036" spans="1:4">
      <c r="A2036">
        <v>10637</v>
      </c>
      <c r="B2036" t="s">
        <v>8489</v>
      </c>
      <c r="C2036" t="s">
        <v>6636</v>
      </c>
      <c r="D2036" s="234">
        <v>220290.53</v>
      </c>
    </row>
    <row r="2037" spans="1:4">
      <c r="A2037">
        <v>517</v>
      </c>
      <c r="B2037" t="s">
        <v>8490</v>
      </c>
      <c r="C2037" t="s">
        <v>6700</v>
      </c>
      <c r="D2037" s="233">
        <v>8.26</v>
      </c>
    </row>
    <row r="2038" spans="1:4">
      <c r="A2038">
        <v>41904</v>
      </c>
      <c r="B2038" t="s">
        <v>8491</v>
      </c>
      <c r="C2038" t="s">
        <v>7650</v>
      </c>
      <c r="D2038" s="234">
        <v>2795.5</v>
      </c>
    </row>
    <row r="2039" spans="1:4">
      <c r="A2039">
        <v>41905</v>
      </c>
      <c r="B2039" t="s">
        <v>8492</v>
      </c>
      <c r="C2039" t="s">
        <v>6698</v>
      </c>
      <c r="D2039" s="233">
        <v>2.29</v>
      </c>
    </row>
    <row r="2040" spans="1:4">
      <c r="A2040">
        <v>41903</v>
      </c>
      <c r="B2040" t="s">
        <v>8493</v>
      </c>
      <c r="C2040" t="s">
        <v>6698</v>
      </c>
      <c r="D2040" s="233">
        <v>2.75</v>
      </c>
    </row>
    <row r="2041" spans="1:4">
      <c r="A2041">
        <v>37534</v>
      </c>
      <c r="B2041" t="s">
        <v>8494</v>
      </c>
      <c r="C2041" t="s">
        <v>6698</v>
      </c>
      <c r="D2041" s="233">
        <v>15.19</v>
      </c>
    </row>
    <row r="2042" spans="1:4">
      <c r="A2042">
        <v>37535</v>
      </c>
      <c r="B2042" t="s">
        <v>8495</v>
      </c>
      <c r="C2042" t="s">
        <v>6698</v>
      </c>
      <c r="D2042" s="233">
        <v>15.19</v>
      </c>
    </row>
    <row r="2043" spans="1:4">
      <c r="A2043">
        <v>37533</v>
      </c>
      <c r="B2043" t="s">
        <v>8496</v>
      </c>
      <c r="C2043" t="s">
        <v>6698</v>
      </c>
      <c r="D2043" s="233">
        <v>15.19</v>
      </c>
    </row>
    <row r="2044" spans="1:4">
      <c r="A2044">
        <v>37537</v>
      </c>
      <c r="B2044" t="s">
        <v>8497</v>
      </c>
      <c r="C2044" t="s">
        <v>6698</v>
      </c>
      <c r="D2044" s="233">
        <v>11.5</v>
      </c>
    </row>
    <row r="2045" spans="1:4">
      <c r="A2045">
        <v>37536</v>
      </c>
      <c r="B2045" t="s">
        <v>8498</v>
      </c>
      <c r="C2045" t="s">
        <v>6698</v>
      </c>
      <c r="D2045" s="233">
        <v>11.5</v>
      </c>
    </row>
    <row r="2046" spans="1:4">
      <c r="A2046">
        <v>37532</v>
      </c>
      <c r="B2046" t="s">
        <v>8499</v>
      </c>
      <c r="C2046" t="s">
        <v>6698</v>
      </c>
      <c r="D2046" s="233">
        <v>11.5</v>
      </c>
    </row>
    <row r="2047" spans="1:4">
      <c r="A2047">
        <v>2696</v>
      </c>
      <c r="B2047" t="s">
        <v>8500</v>
      </c>
      <c r="C2047" t="s">
        <v>6640</v>
      </c>
      <c r="D2047" s="233">
        <v>15.32</v>
      </c>
    </row>
    <row r="2048" spans="1:4">
      <c r="A2048">
        <v>40928</v>
      </c>
      <c r="B2048" t="s">
        <v>8501</v>
      </c>
      <c r="C2048" t="s">
        <v>6785</v>
      </c>
      <c r="D2048" s="234">
        <v>2717.21</v>
      </c>
    </row>
    <row r="2049" spans="1:4">
      <c r="A2049">
        <v>4083</v>
      </c>
      <c r="B2049" t="s">
        <v>8502</v>
      </c>
      <c r="C2049" t="s">
        <v>6640</v>
      </c>
      <c r="D2049" s="233">
        <v>19.84</v>
      </c>
    </row>
    <row r="2050" spans="1:4">
      <c r="A2050">
        <v>40818</v>
      </c>
      <c r="B2050" t="s">
        <v>8503</v>
      </c>
      <c r="C2050" t="s">
        <v>6785</v>
      </c>
      <c r="D2050" s="234">
        <v>3518.39</v>
      </c>
    </row>
    <row r="2051" spans="1:4">
      <c r="A2051">
        <v>43146</v>
      </c>
      <c r="B2051" t="s">
        <v>12304</v>
      </c>
      <c r="C2051" t="s">
        <v>6698</v>
      </c>
      <c r="D2051" s="233">
        <v>5.9</v>
      </c>
    </row>
    <row r="2052" spans="1:4">
      <c r="A2052">
        <v>2705</v>
      </c>
      <c r="B2052" t="s">
        <v>8504</v>
      </c>
      <c r="C2052" t="s">
        <v>8505</v>
      </c>
      <c r="D2052" s="233">
        <v>0.59</v>
      </c>
    </row>
    <row r="2053" spans="1:4">
      <c r="A2053">
        <v>14250</v>
      </c>
      <c r="B2053" t="s">
        <v>8506</v>
      </c>
      <c r="C2053" t="s">
        <v>8505</v>
      </c>
      <c r="D2053" s="233">
        <v>0.6</v>
      </c>
    </row>
    <row r="2054" spans="1:4">
      <c r="A2054">
        <v>11683</v>
      </c>
      <c r="B2054" t="s">
        <v>8507</v>
      </c>
      <c r="C2054" t="s">
        <v>6636</v>
      </c>
      <c r="D2054" s="233">
        <v>31.3</v>
      </c>
    </row>
    <row r="2055" spans="1:4">
      <c r="A2055">
        <v>11684</v>
      </c>
      <c r="B2055" t="s">
        <v>8508</v>
      </c>
      <c r="C2055" t="s">
        <v>6636</v>
      </c>
      <c r="D2055" s="233">
        <v>34.26</v>
      </c>
    </row>
    <row r="2056" spans="1:4">
      <c r="A2056">
        <v>6141</v>
      </c>
      <c r="B2056" t="s">
        <v>8509</v>
      </c>
      <c r="C2056" t="s">
        <v>6636</v>
      </c>
      <c r="D2056" s="233">
        <v>3.6</v>
      </c>
    </row>
    <row r="2057" spans="1:4">
      <c r="A2057">
        <v>11681</v>
      </c>
      <c r="B2057" t="s">
        <v>8510</v>
      </c>
      <c r="C2057" t="s">
        <v>6636</v>
      </c>
      <c r="D2057" s="233">
        <v>6.02</v>
      </c>
    </row>
    <row r="2058" spans="1:4">
      <c r="A2058">
        <v>2706</v>
      </c>
      <c r="B2058" t="s">
        <v>8511</v>
      </c>
      <c r="C2058" t="s">
        <v>6640</v>
      </c>
      <c r="D2058" s="233">
        <v>89.64</v>
      </c>
    </row>
    <row r="2059" spans="1:4">
      <c r="A2059">
        <v>40811</v>
      </c>
      <c r="B2059" t="s">
        <v>8512</v>
      </c>
      <c r="C2059" t="s">
        <v>6785</v>
      </c>
      <c r="D2059" s="234">
        <v>15891.36</v>
      </c>
    </row>
    <row r="2060" spans="1:4">
      <c r="A2060">
        <v>2707</v>
      </c>
      <c r="B2060" t="s">
        <v>8513</v>
      </c>
      <c r="C2060" t="s">
        <v>6640</v>
      </c>
      <c r="D2060" s="233">
        <v>102.03</v>
      </c>
    </row>
    <row r="2061" spans="1:4">
      <c r="A2061">
        <v>40813</v>
      </c>
      <c r="B2061" t="s">
        <v>8514</v>
      </c>
      <c r="C2061" t="s">
        <v>6785</v>
      </c>
      <c r="D2061" s="234">
        <v>18087.64</v>
      </c>
    </row>
    <row r="2062" spans="1:4">
      <c r="A2062">
        <v>2708</v>
      </c>
      <c r="B2062" t="s">
        <v>8515</v>
      </c>
      <c r="C2062" t="s">
        <v>6640</v>
      </c>
      <c r="D2062" s="233">
        <v>139.46</v>
      </c>
    </row>
    <row r="2063" spans="1:4">
      <c r="A2063">
        <v>40814</v>
      </c>
      <c r="B2063" t="s">
        <v>8516</v>
      </c>
      <c r="C2063" t="s">
        <v>6785</v>
      </c>
      <c r="D2063" s="234">
        <v>24725.32</v>
      </c>
    </row>
    <row r="2064" spans="1:4">
      <c r="A2064">
        <v>34779</v>
      </c>
      <c r="B2064" t="s">
        <v>8517</v>
      </c>
      <c r="C2064" t="s">
        <v>6640</v>
      </c>
      <c r="D2064" s="233">
        <v>90.94</v>
      </c>
    </row>
    <row r="2065" spans="1:4">
      <c r="A2065">
        <v>40936</v>
      </c>
      <c r="B2065" t="s">
        <v>8518</v>
      </c>
      <c r="C2065" t="s">
        <v>6785</v>
      </c>
      <c r="D2065" s="234">
        <v>16123.18</v>
      </c>
    </row>
    <row r="2066" spans="1:4">
      <c r="A2066">
        <v>34780</v>
      </c>
      <c r="B2066" t="s">
        <v>8519</v>
      </c>
      <c r="C2066" t="s">
        <v>6640</v>
      </c>
      <c r="D2066" s="233">
        <v>102.6</v>
      </c>
    </row>
    <row r="2067" spans="1:4">
      <c r="A2067">
        <v>40937</v>
      </c>
      <c r="B2067" t="s">
        <v>8520</v>
      </c>
      <c r="C2067" t="s">
        <v>6785</v>
      </c>
      <c r="D2067" s="234">
        <v>18190.14</v>
      </c>
    </row>
    <row r="2068" spans="1:4">
      <c r="A2068">
        <v>34782</v>
      </c>
      <c r="B2068" t="s">
        <v>8521</v>
      </c>
      <c r="C2068" t="s">
        <v>6640</v>
      </c>
      <c r="D2068" s="233">
        <v>140.62</v>
      </c>
    </row>
    <row r="2069" spans="1:4">
      <c r="A2069">
        <v>40938</v>
      </c>
      <c r="B2069" t="s">
        <v>8522</v>
      </c>
      <c r="C2069" t="s">
        <v>6785</v>
      </c>
      <c r="D2069" s="234">
        <v>24927.87</v>
      </c>
    </row>
    <row r="2070" spans="1:4">
      <c r="A2070">
        <v>34783</v>
      </c>
      <c r="B2070" t="s">
        <v>8523</v>
      </c>
      <c r="C2070" t="s">
        <v>6640</v>
      </c>
      <c r="D2070" s="233">
        <v>85.48</v>
      </c>
    </row>
    <row r="2071" spans="1:4">
      <c r="A2071">
        <v>40939</v>
      </c>
      <c r="B2071" t="s">
        <v>8524</v>
      </c>
      <c r="C2071" t="s">
        <v>6785</v>
      </c>
      <c r="D2071" s="234">
        <v>15157.78</v>
      </c>
    </row>
    <row r="2072" spans="1:4">
      <c r="A2072">
        <v>34785</v>
      </c>
      <c r="B2072" t="s">
        <v>8525</v>
      </c>
      <c r="C2072" t="s">
        <v>6640</v>
      </c>
      <c r="D2072" s="233">
        <v>84.65</v>
      </c>
    </row>
    <row r="2073" spans="1:4">
      <c r="A2073">
        <v>40940</v>
      </c>
      <c r="B2073" t="s">
        <v>8526</v>
      </c>
      <c r="C2073" t="s">
        <v>6785</v>
      </c>
      <c r="D2073" s="234">
        <v>15008.5</v>
      </c>
    </row>
    <row r="2074" spans="1:4">
      <c r="A2074">
        <v>38403</v>
      </c>
      <c r="B2074" t="s">
        <v>8527</v>
      </c>
      <c r="C2074" t="s">
        <v>6636</v>
      </c>
      <c r="D2074" s="233">
        <v>29.7</v>
      </c>
    </row>
    <row r="2075" spans="1:4">
      <c r="A2075">
        <v>43482</v>
      </c>
      <c r="B2075" t="s">
        <v>8528</v>
      </c>
      <c r="C2075" t="s">
        <v>6640</v>
      </c>
      <c r="D2075" s="233">
        <v>0.61</v>
      </c>
    </row>
    <row r="2076" spans="1:4">
      <c r="A2076">
        <v>43494</v>
      </c>
      <c r="B2076" t="s">
        <v>12305</v>
      </c>
      <c r="C2076" t="s">
        <v>6785</v>
      </c>
      <c r="D2076" s="233">
        <v>114.12</v>
      </c>
    </row>
    <row r="2077" spans="1:4">
      <c r="A2077">
        <v>43483</v>
      </c>
      <c r="B2077" t="s">
        <v>8529</v>
      </c>
      <c r="C2077" t="s">
        <v>6640</v>
      </c>
      <c r="D2077" s="233">
        <v>1.08</v>
      </c>
    </row>
    <row r="2078" spans="1:4">
      <c r="A2078">
        <v>43495</v>
      </c>
      <c r="B2078" t="s">
        <v>8530</v>
      </c>
      <c r="C2078" t="s">
        <v>6785</v>
      </c>
      <c r="D2078" s="233">
        <v>203.86</v>
      </c>
    </row>
    <row r="2079" spans="1:4">
      <c r="A2079">
        <v>43484</v>
      </c>
      <c r="B2079" t="s">
        <v>8531</v>
      </c>
      <c r="C2079" t="s">
        <v>6640</v>
      </c>
      <c r="D2079" s="233">
        <v>0.93</v>
      </c>
    </row>
    <row r="2080" spans="1:4">
      <c r="A2080">
        <v>43496</v>
      </c>
      <c r="B2080" t="s">
        <v>8532</v>
      </c>
      <c r="C2080" t="s">
        <v>6785</v>
      </c>
      <c r="D2080" s="233">
        <v>175.1</v>
      </c>
    </row>
    <row r="2081" spans="1:4">
      <c r="A2081">
        <v>43485</v>
      </c>
      <c r="B2081" t="s">
        <v>8533</v>
      </c>
      <c r="C2081" t="s">
        <v>6640</v>
      </c>
      <c r="D2081" s="233">
        <v>0.83</v>
      </c>
    </row>
    <row r="2082" spans="1:4">
      <c r="A2082">
        <v>43497</v>
      </c>
      <c r="B2082" t="s">
        <v>8534</v>
      </c>
      <c r="C2082" t="s">
        <v>6785</v>
      </c>
      <c r="D2082" s="233">
        <v>156.65</v>
      </c>
    </row>
    <row r="2083" spans="1:4">
      <c r="A2083">
        <v>43487</v>
      </c>
      <c r="B2083" t="s">
        <v>8535</v>
      </c>
      <c r="C2083" t="s">
        <v>6640</v>
      </c>
      <c r="D2083" s="233">
        <v>0.95</v>
      </c>
    </row>
    <row r="2084" spans="1:4">
      <c r="A2084">
        <v>43499</v>
      </c>
      <c r="B2084" t="s">
        <v>12306</v>
      </c>
      <c r="C2084" t="s">
        <v>6785</v>
      </c>
      <c r="D2084" s="233">
        <v>179.44</v>
      </c>
    </row>
    <row r="2085" spans="1:4">
      <c r="A2085">
        <v>43486</v>
      </c>
      <c r="B2085" t="s">
        <v>8536</v>
      </c>
      <c r="C2085" t="s">
        <v>6640</v>
      </c>
      <c r="D2085" s="233">
        <v>0.56999999999999995</v>
      </c>
    </row>
    <row r="2086" spans="1:4">
      <c r="A2086">
        <v>43498</v>
      </c>
      <c r="B2086" t="s">
        <v>8537</v>
      </c>
      <c r="C2086" t="s">
        <v>6785</v>
      </c>
      <c r="D2086" s="233">
        <v>108.24</v>
      </c>
    </row>
    <row r="2087" spans="1:4">
      <c r="A2087">
        <v>43488</v>
      </c>
      <c r="B2087" t="s">
        <v>8538</v>
      </c>
      <c r="C2087" t="s">
        <v>6640</v>
      </c>
      <c r="D2087" s="233">
        <v>0.66</v>
      </c>
    </row>
    <row r="2088" spans="1:4">
      <c r="A2088">
        <v>43500</v>
      </c>
      <c r="B2088" t="s">
        <v>8539</v>
      </c>
      <c r="C2088" t="s">
        <v>6785</v>
      </c>
      <c r="D2088" s="233">
        <v>125.38</v>
      </c>
    </row>
    <row r="2089" spans="1:4">
      <c r="A2089">
        <v>43489</v>
      </c>
      <c r="B2089" t="s">
        <v>8540</v>
      </c>
      <c r="C2089" t="s">
        <v>6640</v>
      </c>
      <c r="D2089" s="233">
        <v>0.96</v>
      </c>
    </row>
    <row r="2090" spans="1:4">
      <c r="A2090">
        <v>43501</v>
      </c>
      <c r="B2090" t="s">
        <v>8541</v>
      </c>
      <c r="C2090" t="s">
        <v>6785</v>
      </c>
      <c r="D2090" s="233">
        <v>181.88</v>
      </c>
    </row>
    <row r="2091" spans="1:4">
      <c r="A2091">
        <v>43490</v>
      </c>
      <c r="B2091" t="s">
        <v>8542</v>
      </c>
      <c r="C2091" t="s">
        <v>6640</v>
      </c>
      <c r="D2091" s="233">
        <v>1.46</v>
      </c>
    </row>
    <row r="2092" spans="1:4">
      <c r="A2092">
        <v>43502</v>
      </c>
      <c r="B2092" t="s">
        <v>8543</v>
      </c>
      <c r="C2092" t="s">
        <v>6785</v>
      </c>
      <c r="D2092" s="233">
        <v>275.92</v>
      </c>
    </row>
    <row r="2093" spans="1:4">
      <c r="A2093">
        <v>43491</v>
      </c>
      <c r="B2093" t="s">
        <v>8544</v>
      </c>
      <c r="C2093" t="s">
        <v>6640</v>
      </c>
      <c r="D2093" s="233">
        <v>1.02</v>
      </c>
    </row>
    <row r="2094" spans="1:4">
      <c r="A2094">
        <v>43503</v>
      </c>
      <c r="B2094" t="s">
        <v>8545</v>
      </c>
      <c r="C2094" t="s">
        <v>6785</v>
      </c>
      <c r="D2094" s="233">
        <v>192.76</v>
      </c>
    </row>
    <row r="2095" spans="1:4">
      <c r="A2095">
        <v>43492</v>
      </c>
      <c r="B2095" t="s">
        <v>8546</v>
      </c>
      <c r="C2095" t="s">
        <v>6640</v>
      </c>
      <c r="D2095" s="233">
        <v>1.36</v>
      </c>
    </row>
    <row r="2096" spans="1:4">
      <c r="A2096">
        <v>43504</v>
      </c>
      <c r="B2096" t="s">
        <v>8547</v>
      </c>
      <c r="C2096" t="s">
        <v>6785</v>
      </c>
      <c r="D2096" s="233">
        <v>255.78</v>
      </c>
    </row>
    <row r="2097" spans="1:4">
      <c r="A2097">
        <v>43493</v>
      </c>
      <c r="B2097" t="s">
        <v>8548</v>
      </c>
      <c r="C2097" t="s">
        <v>6640</v>
      </c>
      <c r="D2097" s="233">
        <v>0.54</v>
      </c>
    </row>
    <row r="2098" spans="1:4">
      <c r="A2098">
        <v>43505</v>
      </c>
      <c r="B2098" t="s">
        <v>8549</v>
      </c>
      <c r="C2098" t="s">
        <v>6785</v>
      </c>
      <c r="D2098" s="233">
        <v>102.76</v>
      </c>
    </row>
    <row r="2099" spans="1:4">
      <c r="A2099">
        <v>37774</v>
      </c>
      <c r="B2099" t="s">
        <v>8550</v>
      </c>
      <c r="C2099" t="s">
        <v>6636</v>
      </c>
      <c r="D2099" s="234">
        <v>188694.18</v>
      </c>
    </row>
    <row r="2100" spans="1:4">
      <c r="A2100">
        <v>38630</v>
      </c>
      <c r="B2100" t="s">
        <v>8551</v>
      </c>
      <c r="C2100" t="s">
        <v>6636</v>
      </c>
      <c r="D2100" s="234">
        <v>972265.62</v>
      </c>
    </row>
    <row r="2101" spans="1:4">
      <c r="A2101">
        <v>38629</v>
      </c>
      <c r="B2101" t="s">
        <v>8552</v>
      </c>
      <c r="C2101" t="s">
        <v>6636</v>
      </c>
      <c r="D2101" s="234">
        <v>1447265.62</v>
      </c>
    </row>
    <row r="2102" spans="1:4">
      <c r="A2102">
        <v>38476</v>
      </c>
      <c r="B2102" t="s">
        <v>8553</v>
      </c>
      <c r="C2102" t="s">
        <v>6636</v>
      </c>
      <c r="D2102" s="233">
        <v>223.23</v>
      </c>
    </row>
    <row r="2103" spans="1:4">
      <c r="A2103">
        <v>38477</v>
      </c>
      <c r="B2103" t="s">
        <v>8554</v>
      </c>
      <c r="C2103" t="s">
        <v>6636</v>
      </c>
      <c r="D2103" s="233">
        <v>632.20000000000005</v>
      </c>
    </row>
    <row r="2104" spans="1:4">
      <c r="A2104">
        <v>40635</v>
      </c>
      <c r="B2104" t="s">
        <v>8555</v>
      </c>
      <c r="C2104" t="s">
        <v>6636</v>
      </c>
      <c r="D2104" s="234">
        <v>495242.66</v>
      </c>
    </row>
    <row r="2105" spans="1:4">
      <c r="A2105">
        <v>36483</v>
      </c>
      <c r="B2105" t="s">
        <v>8556</v>
      </c>
      <c r="C2105" t="s">
        <v>6636</v>
      </c>
      <c r="D2105" s="234">
        <v>448769.18</v>
      </c>
    </row>
    <row r="2106" spans="1:4">
      <c r="A2106">
        <v>14525</v>
      </c>
      <c r="B2106" t="s">
        <v>8557</v>
      </c>
      <c r="C2106" t="s">
        <v>6636</v>
      </c>
      <c r="D2106" s="234">
        <v>469887.73</v>
      </c>
    </row>
    <row r="2107" spans="1:4">
      <c r="A2107">
        <v>36482</v>
      </c>
      <c r="B2107" t="s">
        <v>8558</v>
      </c>
      <c r="C2107" t="s">
        <v>6636</v>
      </c>
      <c r="D2107" s="234">
        <v>402994.18</v>
      </c>
    </row>
    <row r="2108" spans="1:4">
      <c r="A2108">
        <v>36408</v>
      </c>
      <c r="B2108" t="s">
        <v>8559</v>
      </c>
      <c r="C2108" t="s">
        <v>6636</v>
      </c>
      <c r="D2108" s="234">
        <v>481502.94</v>
      </c>
    </row>
    <row r="2109" spans="1:4">
      <c r="A2109">
        <v>2723</v>
      </c>
      <c r="B2109" t="s">
        <v>8560</v>
      </c>
      <c r="C2109" t="s">
        <v>6636</v>
      </c>
      <c r="D2109" s="234">
        <v>369574.62</v>
      </c>
    </row>
    <row r="2110" spans="1:4">
      <c r="A2110">
        <v>36481</v>
      </c>
      <c r="B2110" t="s">
        <v>8561</v>
      </c>
      <c r="C2110" t="s">
        <v>6636</v>
      </c>
      <c r="D2110" s="234">
        <v>440849.73</v>
      </c>
    </row>
    <row r="2111" spans="1:4">
      <c r="A2111">
        <v>10685</v>
      </c>
      <c r="B2111" t="s">
        <v>8562</v>
      </c>
      <c r="C2111" t="s">
        <v>6636</v>
      </c>
      <c r="D2111" s="234">
        <v>422371</v>
      </c>
    </row>
    <row r="2112" spans="1:4">
      <c r="A2112">
        <v>40636</v>
      </c>
      <c r="B2112" t="s">
        <v>8563</v>
      </c>
      <c r="C2112" t="s">
        <v>6636</v>
      </c>
      <c r="D2112" s="234">
        <v>476763.93</v>
      </c>
    </row>
    <row r="2113" spans="1:4">
      <c r="A2113">
        <v>4111</v>
      </c>
      <c r="B2113" t="s">
        <v>8564</v>
      </c>
      <c r="C2113" t="s">
        <v>6636</v>
      </c>
      <c r="D2113" s="233">
        <v>36.299999999999997</v>
      </c>
    </row>
    <row r="2114" spans="1:4">
      <c r="A2114">
        <v>26021</v>
      </c>
      <c r="B2114" t="s">
        <v>8565</v>
      </c>
      <c r="C2114" t="s">
        <v>6636</v>
      </c>
      <c r="D2114" s="233">
        <v>82.54</v>
      </c>
    </row>
    <row r="2115" spans="1:4">
      <c r="A2115">
        <v>12</v>
      </c>
      <c r="B2115" t="s">
        <v>8566</v>
      </c>
      <c r="C2115" t="s">
        <v>6636</v>
      </c>
      <c r="D2115" s="233">
        <v>9.18</v>
      </c>
    </row>
    <row r="2116" spans="1:4">
      <c r="A2116">
        <v>37554</v>
      </c>
      <c r="B2116" t="s">
        <v>8567</v>
      </c>
      <c r="C2116" t="s">
        <v>6636</v>
      </c>
      <c r="D2116" s="233">
        <v>119.78</v>
      </c>
    </row>
    <row r="2117" spans="1:4">
      <c r="A2117">
        <v>37555</v>
      </c>
      <c r="B2117" t="s">
        <v>8568</v>
      </c>
      <c r="C2117" t="s">
        <v>6636</v>
      </c>
      <c r="D2117" s="233">
        <v>145.71</v>
      </c>
    </row>
    <row r="2118" spans="1:4">
      <c r="A2118">
        <v>10902</v>
      </c>
      <c r="B2118" t="s">
        <v>8569</v>
      </c>
      <c r="C2118" t="s">
        <v>6636</v>
      </c>
      <c r="D2118" s="233">
        <v>36.56</v>
      </c>
    </row>
    <row r="2119" spans="1:4">
      <c r="A2119">
        <v>20965</v>
      </c>
      <c r="B2119" t="s">
        <v>8570</v>
      </c>
      <c r="C2119" t="s">
        <v>6636</v>
      </c>
      <c r="D2119" s="233">
        <v>36.9</v>
      </c>
    </row>
    <row r="2120" spans="1:4">
      <c r="A2120">
        <v>20966</v>
      </c>
      <c r="B2120" t="s">
        <v>929</v>
      </c>
      <c r="C2120" t="s">
        <v>6636</v>
      </c>
      <c r="D2120" s="233">
        <v>39.729999999999997</v>
      </c>
    </row>
    <row r="2121" spans="1:4">
      <c r="A2121">
        <v>10903</v>
      </c>
      <c r="B2121" t="s">
        <v>8571</v>
      </c>
      <c r="C2121" t="s">
        <v>6636</v>
      </c>
      <c r="D2121" s="233">
        <v>60.22</v>
      </c>
    </row>
    <row r="2122" spans="1:4">
      <c r="A2122">
        <v>20967</v>
      </c>
      <c r="B2122" t="s">
        <v>8572</v>
      </c>
      <c r="C2122" t="s">
        <v>6636</v>
      </c>
      <c r="D2122" s="233">
        <v>60.22</v>
      </c>
    </row>
    <row r="2123" spans="1:4">
      <c r="A2123">
        <v>20968</v>
      </c>
      <c r="B2123" t="s">
        <v>8573</v>
      </c>
      <c r="C2123" t="s">
        <v>6636</v>
      </c>
      <c r="D2123" s="233">
        <v>66.05</v>
      </c>
    </row>
    <row r="2124" spans="1:4">
      <c r="A2124">
        <v>11359</v>
      </c>
      <c r="B2124" t="s">
        <v>8574</v>
      </c>
      <c r="C2124" t="s">
        <v>6636</v>
      </c>
      <c r="D2124" s="233">
        <v>924.79</v>
      </c>
    </row>
    <row r="2125" spans="1:4">
      <c r="A2125">
        <v>39017</v>
      </c>
      <c r="B2125" t="s">
        <v>966</v>
      </c>
      <c r="C2125" t="s">
        <v>6636</v>
      </c>
      <c r="D2125" s="233">
        <v>0.14000000000000001</v>
      </c>
    </row>
    <row r="2126" spans="1:4">
      <c r="A2126">
        <v>39315</v>
      </c>
      <c r="B2126" t="s">
        <v>8575</v>
      </c>
      <c r="C2126" t="s">
        <v>6636</v>
      </c>
      <c r="D2126" s="233">
        <v>0.23</v>
      </c>
    </row>
    <row r="2127" spans="1:4">
      <c r="A2127">
        <v>39016</v>
      </c>
      <c r="B2127" t="s">
        <v>8576</v>
      </c>
      <c r="C2127" t="s">
        <v>6636</v>
      </c>
      <c r="D2127" s="233">
        <v>0.23</v>
      </c>
    </row>
    <row r="2128" spans="1:4">
      <c r="A2128">
        <v>40432</v>
      </c>
      <c r="B2128" t="s">
        <v>8577</v>
      </c>
      <c r="C2128" t="s">
        <v>6636</v>
      </c>
      <c r="D2128" s="233">
        <v>1.82</v>
      </c>
    </row>
    <row r="2129" spans="1:4">
      <c r="A2129">
        <v>39481</v>
      </c>
      <c r="B2129" t="s">
        <v>8578</v>
      </c>
      <c r="C2129" t="s">
        <v>6636</v>
      </c>
      <c r="D2129" s="233">
        <v>1.1499999999999999</v>
      </c>
    </row>
    <row r="2130" spans="1:4">
      <c r="A2130">
        <v>40433</v>
      </c>
      <c r="B2130" t="s">
        <v>8579</v>
      </c>
      <c r="C2130" t="s">
        <v>6636</v>
      </c>
      <c r="D2130" s="233">
        <v>1.01</v>
      </c>
    </row>
    <row r="2131" spans="1:4">
      <c r="A2131">
        <v>20219</v>
      </c>
      <c r="B2131" t="s">
        <v>8580</v>
      </c>
      <c r="C2131" t="s">
        <v>6636</v>
      </c>
      <c r="D2131" s="234">
        <v>74000</v>
      </c>
    </row>
    <row r="2132" spans="1:4">
      <c r="A2132">
        <v>36484</v>
      </c>
      <c r="B2132" t="s">
        <v>8581</v>
      </c>
      <c r="C2132" t="s">
        <v>6636</v>
      </c>
      <c r="D2132" s="234">
        <v>157088.51999999999</v>
      </c>
    </row>
    <row r="2133" spans="1:4">
      <c r="A2133">
        <v>38367</v>
      </c>
      <c r="B2133" t="s">
        <v>8582</v>
      </c>
      <c r="C2133" t="s">
        <v>6636</v>
      </c>
      <c r="D2133" s="233">
        <v>11.99</v>
      </c>
    </row>
    <row r="2134" spans="1:4">
      <c r="A2134">
        <v>38368</v>
      </c>
      <c r="B2134" t="s">
        <v>8583</v>
      </c>
      <c r="C2134" t="s">
        <v>6636</v>
      </c>
      <c r="D2134" s="233">
        <v>6.62</v>
      </c>
    </row>
    <row r="2135" spans="1:4">
      <c r="A2135">
        <v>38091</v>
      </c>
      <c r="B2135" t="s">
        <v>8584</v>
      </c>
      <c r="C2135" t="s">
        <v>6636</v>
      </c>
      <c r="D2135" s="233">
        <v>1.58</v>
      </c>
    </row>
    <row r="2136" spans="1:4">
      <c r="A2136">
        <v>38095</v>
      </c>
      <c r="B2136" t="s">
        <v>8585</v>
      </c>
      <c r="C2136" t="s">
        <v>6636</v>
      </c>
      <c r="D2136" s="233">
        <v>3.35</v>
      </c>
    </row>
    <row r="2137" spans="1:4">
      <c r="A2137">
        <v>38092</v>
      </c>
      <c r="B2137" t="s">
        <v>8586</v>
      </c>
      <c r="C2137" t="s">
        <v>6636</v>
      </c>
      <c r="D2137" s="233">
        <v>1.5</v>
      </c>
    </row>
    <row r="2138" spans="1:4">
      <c r="A2138">
        <v>38093</v>
      </c>
      <c r="B2138" t="s">
        <v>8587</v>
      </c>
      <c r="C2138" t="s">
        <v>6636</v>
      </c>
      <c r="D2138" s="233">
        <v>1.55</v>
      </c>
    </row>
    <row r="2139" spans="1:4">
      <c r="A2139">
        <v>38096</v>
      </c>
      <c r="B2139" t="s">
        <v>8588</v>
      </c>
      <c r="C2139" t="s">
        <v>6636</v>
      </c>
      <c r="D2139" s="233">
        <v>3.6</v>
      </c>
    </row>
    <row r="2140" spans="1:4">
      <c r="A2140">
        <v>38094</v>
      </c>
      <c r="B2140" t="s">
        <v>8589</v>
      </c>
      <c r="C2140" t="s">
        <v>6636</v>
      </c>
      <c r="D2140" s="233">
        <v>1.9</v>
      </c>
    </row>
    <row r="2141" spans="1:4">
      <c r="A2141">
        <v>38097</v>
      </c>
      <c r="B2141" t="s">
        <v>8590</v>
      </c>
      <c r="C2141" t="s">
        <v>6636</v>
      </c>
      <c r="D2141" s="233">
        <v>3.86</v>
      </c>
    </row>
    <row r="2142" spans="1:4">
      <c r="A2142">
        <v>38098</v>
      </c>
      <c r="B2142" t="s">
        <v>8591</v>
      </c>
      <c r="C2142" t="s">
        <v>6636</v>
      </c>
      <c r="D2142" s="233">
        <v>3.86</v>
      </c>
    </row>
    <row r="2143" spans="1:4">
      <c r="A2143">
        <v>11186</v>
      </c>
      <c r="B2143" t="s">
        <v>8592</v>
      </c>
      <c r="C2143" t="s">
        <v>6638</v>
      </c>
      <c r="D2143" s="233">
        <v>298.13</v>
      </c>
    </row>
    <row r="2144" spans="1:4">
      <c r="A2144">
        <v>11558</v>
      </c>
      <c r="B2144" t="s">
        <v>8593</v>
      </c>
      <c r="C2144" t="s">
        <v>7024</v>
      </c>
      <c r="D2144" s="233">
        <v>11.88</v>
      </c>
    </row>
    <row r="2145" spans="1:4">
      <c r="A2145">
        <v>11557</v>
      </c>
      <c r="B2145" t="s">
        <v>8594</v>
      </c>
      <c r="C2145" t="s">
        <v>7024</v>
      </c>
      <c r="D2145" s="233">
        <v>30.09</v>
      </c>
    </row>
    <row r="2146" spans="1:4">
      <c r="A2146">
        <v>2759</v>
      </c>
      <c r="B2146" t="s">
        <v>8595</v>
      </c>
      <c r="C2146" t="s">
        <v>6636</v>
      </c>
      <c r="D2146" s="233">
        <v>5.5</v>
      </c>
    </row>
    <row r="2147" spans="1:4">
      <c r="A2147">
        <v>38124</v>
      </c>
      <c r="B2147" t="s">
        <v>8596</v>
      </c>
      <c r="C2147" t="s">
        <v>6636</v>
      </c>
      <c r="D2147" s="233">
        <v>23.95</v>
      </c>
    </row>
    <row r="2148" spans="1:4">
      <c r="A2148">
        <v>38380</v>
      </c>
      <c r="B2148" t="s">
        <v>8597</v>
      </c>
      <c r="C2148" t="s">
        <v>6636</v>
      </c>
      <c r="D2148" s="233">
        <v>19.05</v>
      </c>
    </row>
    <row r="2149" spans="1:4">
      <c r="A2149">
        <v>20059</v>
      </c>
      <c r="B2149" t="s">
        <v>8598</v>
      </c>
      <c r="C2149" t="s">
        <v>6636</v>
      </c>
      <c r="D2149" s="233">
        <v>12.75</v>
      </c>
    </row>
    <row r="2150" spans="1:4">
      <c r="A2150">
        <v>42429</v>
      </c>
      <c r="B2150" t="s">
        <v>8599</v>
      </c>
      <c r="C2150" t="s">
        <v>6636</v>
      </c>
      <c r="D2150" s="234">
        <v>3422.44</v>
      </c>
    </row>
    <row r="2151" spans="1:4">
      <c r="A2151">
        <v>38538</v>
      </c>
      <c r="B2151" t="s">
        <v>8600</v>
      </c>
      <c r="C2151" t="s">
        <v>6649</v>
      </c>
      <c r="D2151" s="233">
        <v>40</v>
      </c>
    </row>
    <row r="2152" spans="1:4">
      <c r="A2152">
        <v>38539</v>
      </c>
      <c r="B2152" t="s">
        <v>8601</v>
      </c>
      <c r="C2152" t="s">
        <v>6649</v>
      </c>
      <c r="D2152" s="233">
        <v>54.39</v>
      </c>
    </row>
    <row r="2153" spans="1:4">
      <c r="A2153">
        <v>38540</v>
      </c>
      <c r="B2153" t="s">
        <v>8602</v>
      </c>
      <c r="C2153" t="s">
        <v>6649</v>
      </c>
      <c r="D2153" s="233">
        <v>139.4</v>
      </c>
    </row>
    <row r="2154" spans="1:4">
      <c r="A2154">
        <v>38384</v>
      </c>
      <c r="B2154" t="s">
        <v>8603</v>
      </c>
      <c r="C2154" t="s">
        <v>6636</v>
      </c>
      <c r="D2154" s="233">
        <v>17.16</v>
      </c>
    </row>
    <row r="2155" spans="1:4">
      <c r="A2155">
        <v>13</v>
      </c>
      <c r="B2155" t="s">
        <v>8604</v>
      </c>
      <c r="C2155" t="s">
        <v>6698</v>
      </c>
      <c r="D2155" s="233">
        <v>14.13</v>
      </c>
    </row>
    <row r="2156" spans="1:4">
      <c r="A2156">
        <v>2762</v>
      </c>
      <c r="B2156" t="s">
        <v>8605</v>
      </c>
      <c r="C2156" t="s">
        <v>6649</v>
      </c>
      <c r="D2156" s="233">
        <v>6.87</v>
      </c>
    </row>
    <row r="2157" spans="1:4">
      <c r="A2157">
        <v>21142</v>
      </c>
      <c r="B2157" t="s">
        <v>8606</v>
      </c>
      <c r="C2157" t="s">
        <v>6636</v>
      </c>
      <c r="D2157" s="233">
        <v>19.559999999999999</v>
      </c>
    </row>
    <row r="2158" spans="1:4">
      <c r="A2158">
        <v>12865</v>
      </c>
      <c r="B2158" t="s">
        <v>8607</v>
      </c>
      <c r="C2158" t="s">
        <v>6640</v>
      </c>
      <c r="D2158" s="233">
        <v>15.54</v>
      </c>
    </row>
    <row r="2159" spans="1:4">
      <c r="A2159">
        <v>41074</v>
      </c>
      <c r="B2159" t="s">
        <v>8608</v>
      </c>
      <c r="C2159" t="s">
        <v>6785</v>
      </c>
      <c r="D2159" s="234">
        <v>2755.78</v>
      </c>
    </row>
    <row r="2160" spans="1:4">
      <c r="A2160">
        <v>4223</v>
      </c>
      <c r="B2160" t="s">
        <v>8609</v>
      </c>
      <c r="C2160" t="s">
        <v>6700</v>
      </c>
      <c r="D2160" s="233">
        <v>3.09</v>
      </c>
    </row>
    <row r="2161" spans="1:4">
      <c r="A2161">
        <v>37372</v>
      </c>
      <c r="B2161" t="s">
        <v>8610</v>
      </c>
      <c r="C2161" t="s">
        <v>6640</v>
      </c>
      <c r="D2161" s="233">
        <v>0.35</v>
      </c>
    </row>
    <row r="2162" spans="1:4">
      <c r="A2162">
        <v>40863</v>
      </c>
      <c r="B2162" t="s">
        <v>8611</v>
      </c>
      <c r="C2162" t="s">
        <v>6785</v>
      </c>
      <c r="D2162" s="233">
        <v>65.94</v>
      </c>
    </row>
    <row r="2163" spans="1:4">
      <c r="A2163">
        <v>38475</v>
      </c>
      <c r="B2163" t="s">
        <v>8612</v>
      </c>
      <c r="C2163" t="s">
        <v>6636</v>
      </c>
      <c r="D2163" s="233">
        <v>31.92</v>
      </c>
    </row>
    <row r="2164" spans="1:4">
      <c r="A2164">
        <v>38474</v>
      </c>
      <c r="B2164" t="s">
        <v>8613</v>
      </c>
      <c r="C2164" t="s">
        <v>6636</v>
      </c>
      <c r="D2164" s="233">
        <v>39.46</v>
      </c>
    </row>
    <row r="2165" spans="1:4">
      <c r="A2165">
        <v>10886</v>
      </c>
      <c r="B2165" t="s">
        <v>8614</v>
      </c>
      <c r="C2165" t="s">
        <v>6636</v>
      </c>
      <c r="D2165" s="233">
        <v>128.87</v>
      </c>
    </row>
    <row r="2166" spans="1:4">
      <c r="A2166">
        <v>10888</v>
      </c>
      <c r="B2166" t="s">
        <v>8615</v>
      </c>
      <c r="C2166" t="s">
        <v>6636</v>
      </c>
      <c r="D2166" s="233">
        <v>407.85</v>
      </c>
    </row>
    <row r="2167" spans="1:4">
      <c r="A2167">
        <v>10889</v>
      </c>
      <c r="B2167" t="s">
        <v>8616</v>
      </c>
      <c r="C2167" t="s">
        <v>6636</v>
      </c>
      <c r="D2167" s="233">
        <v>441.84</v>
      </c>
    </row>
    <row r="2168" spans="1:4">
      <c r="A2168">
        <v>10890</v>
      </c>
      <c r="B2168" t="s">
        <v>8617</v>
      </c>
      <c r="C2168" t="s">
        <v>6636</v>
      </c>
      <c r="D2168" s="233">
        <v>203.92</v>
      </c>
    </row>
    <row r="2169" spans="1:4">
      <c r="A2169">
        <v>10891</v>
      </c>
      <c r="B2169" t="s">
        <v>8618</v>
      </c>
      <c r="C2169" t="s">
        <v>6636</v>
      </c>
      <c r="D2169" s="233">
        <v>124.62</v>
      </c>
    </row>
    <row r="2170" spans="1:4">
      <c r="A2170">
        <v>10892</v>
      </c>
      <c r="B2170" t="s">
        <v>8619</v>
      </c>
      <c r="C2170" t="s">
        <v>6636</v>
      </c>
      <c r="D2170" s="233">
        <v>147.28</v>
      </c>
    </row>
    <row r="2171" spans="1:4">
      <c r="A2171">
        <v>20977</v>
      </c>
      <c r="B2171" t="s">
        <v>8620</v>
      </c>
      <c r="C2171" t="s">
        <v>6636</v>
      </c>
      <c r="D2171" s="233">
        <v>175.6</v>
      </c>
    </row>
    <row r="2172" spans="1:4">
      <c r="A2172">
        <v>3073</v>
      </c>
      <c r="B2172" t="s">
        <v>8621</v>
      </c>
      <c r="C2172" t="s">
        <v>6636</v>
      </c>
      <c r="D2172" s="233">
        <v>137.72</v>
      </c>
    </row>
    <row r="2173" spans="1:4">
      <c r="A2173">
        <v>3068</v>
      </c>
      <c r="B2173" t="s">
        <v>8622</v>
      </c>
      <c r="C2173" t="s">
        <v>6636</v>
      </c>
      <c r="D2173" s="233">
        <v>27.53</v>
      </c>
    </row>
    <row r="2174" spans="1:4">
      <c r="A2174">
        <v>3074</v>
      </c>
      <c r="B2174" t="s">
        <v>8623</v>
      </c>
      <c r="C2174" t="s">
        <v>6636</v>
      </c>
      <c r="D2174" s="233">
        <v>86.94</v>
      </c>
    </row>
    <row r="2175" spans="1:4">
      <c r="A2175">
        <v>3076</v>
      </c>
      <c r="B2175" t="s">
        <v>8624</v>
      </c>
      <c r="C2175" t="s">
        <v>6636</v>
      </c>
      <c r="D2175" s="233">
        <v>113.21</v>
      </c>
    </row>
    <row r="2176" spans="1:4">
      <c r="A2176">
        <v>3072</v>
      </c>
      <c r="B2176" t="s">
        <v>8625</v>
      </c>
      <c r="C2176" t="s">
        <v>6636</v>
      </c>
      <c r="D2176" s="233">
        <v>28.52</v>
      </c>
    </row>
    <row r="2177" spans="1:4">
      <c r="A2177">
        <v>3075</v>
      </c>
      <c r="B2177" t="s">
        <v>8626</v>
      </c>
      <c r="C2177" t="s">
        <v>6636</v>
      </c>
      <c r="D2177" s="233">
        <v>71.540000000000006</v>
      </c>
    </row>
    <row r="2178" spans="1:4">
      <c r="A2178">
        <v>10780</v>
      </c>
      <c r="B2178" t="s">
        <v>8627</v>
      </c>
      <c r="C2178" t="s">
        <v>6636</v>
      </c>
      <c r="D2178" s="233">
        <v>6.04</v>
      </c>
    </row>
    <row r="2179" spans="1:4">
      <c r="A2179">
        <v>10781</v>
      </c>
      <c r="B2179" t="s">
        <v>8628</v>
      </c>
      <c r="C2179" t="s">
        <v>6636</v>
      </c>
      <c r="D2179" s="233">
        <v>9.6999999999999993</v>
      </c>
    </row>
    <row r="2180" spans="1:4">
      <c r="A2180">
        <v>20106</v>
      </c>
      <c r="B2180" t="s">
        <v>8629</v>
      </c>
      <c r="C2180" t="s">
        <v>6636</v>
      </c>
      <c r="D2180" s="233">
        <v>3.19</v>
      </c>
    </row>
    <row r="2181" spans="1:4">
      <c r="A2181">
        <v>20107</v>
      </c>
      <c r="B2181" t="s">
        <v>8630</v>
      </c>
      <c r="C2181" t="s">
        <v>6636</v>
      </c>
      <c r="D2181" s="233">
        <v>3.66</v>
      </c>
    </row>
    <row r="2182" spans="1:4">
      <c r="A2182">
        <v>20108</v>
      </c>
      <c r="B2182" t="s">
        <v>8631</v>
      </c>
      <c r="C2182" t="s">
        <v>6636</v>
      </c>
      <c r="D2182" s="233">
        <v>4.83</v>
      </c>
    </row>
    <row r="2183" spans="1:4">
      <c r="A2183">
        <v>20109</v>
      </c>
      <c r="B2183" t="s">
        <v>8632</v>
      </c>
      <c r="C2183" t="s">
        <v>6636</v>
      </c>
      <c r="D2183" s="233">
        <v>6.04</v>
      </c>
    </row>
    <row r="2184" spans="1:4">
      <c r="A2184">
        <v>34795</v>
      </c>
      <c r="B2184" t="s">
        <v>8633</v>
      </c>
      <c r="C2184" t="s">
        <v>6638</v>
      </c>
      <c r="D2184" s="233">
        <v>230.39</v>
      </c>
    </row>
    <row r="2185" spans="1:4">
      <c r="A2185">
        <v>34796</v>
      </c>
      <c r="B2185" t="s">
        <v>8634</v>
      </c>
      <c r="C2185" t="s">
        <v>6649</v>
      </c>
      <c r="D2185" s="233">
        <v>10.11</v>
      </c>
    </row>
    <row r="2186" spans="1:4">
      <c r="A2186">
        <v>11474</v>
      </c>
      <c r="B2186" t="s">
        <v>12677</v>
      </c>
      <c r="C2186" t="s">
        <v>6636</v>
      </c>
      <c r="D2186" s="233">
        <v>31.69</v>
      </c>
    </row>
    <row r="2187" spans="1:4">
      <c r="A2187">
        <v>11470</v>
      </c>
      <c r="B2187" t="s">
        <v>12678</v>
      </c>
      <c r="C2187" t="s">
        <v>6636</v>
      </c>
      <c r="D2187" s="233">
        <v>20.76</v>
      </c>
    </row>
    <row r="2188" spans="1:4">
      <c r="A2188">
        <v>11480</v>
      </c>
      <c r="B2188" t="s">
        <v>8635</v>
      </c>
      <c r="C2188" t="s">
        <v>7972</v>
      </c>
      <c r="D2188" s="233">
        <v>51.83</v>
      </c>
    </row>
    <row r="2189" spans="1:4">
      <c r="A2189">
        <v>38154</v>
      </c>
      <c r="B2189" t="s">
        <v>12679</v>
      </c>
      <c r="C2189" t="s">
        <v>7972</v>
      </c>
      <c r="D2189" s="233">
        <v>32.450000000000003</v>
      </c>
    </row>
    <row r="2190" spans="1:4">
      <c r="A2190">
        <v>11482</v>
      </c>
      <c r="B2190" t="s">
        <v>12680</v>
      </c>
      <c r="C2190" t="s">
        <v>7972</v>
      </c>
      <c r="D2190" s="233">
        <v>47.08</v>
      </c>
    </row>
    <row r="2191" spans="1:4">
      <c r="A2191">
        <v>3084</v>
      </c>
      <c r="B2191" t="s">
        <v>12681</v>
      </c>
      <c r="C2191" t="s">
        <v>7972</v>
      </c>
      <c r="D2191" s="233">
        <v>60.53</v>
      </c>
    </row>
    <row r="2192" spans="1:4">
      <c r="A2192">
        <v>3103</v>
      </c>
      <c r="B2192" t="s">
        <v>8636</v>
      </c>
      <c r="C2192" t="s">
        <v>6636</v>
      </c>
      <c r="D2192" s="233">
        <v>54.1</v>
      </c>
    </row>
    <row r="2193" spans="1:4">
      <c r="A2193">
        <v>11481</v>
      </c>
      <c r="B2193" t="s">
        <v>8637</v>
      </c>
      <c r="C2193" t="s">
        <v>6636</v>
      </c>
      <c r="D2193" s="233">
        <v>16.32</v>
      </c>
    </row>
    <row r="2194" spans="1:4">
      <c r="A2194">
        <v>3097</v>
      </c>
      <c r="B2194" t="s">
        <v>8638</v>
      </c>
      <c r="C2194" t="s">
        <v>7972</v>
      </c>
      <c r="D2194" s="233">
        <v>33.53</v>
      </c>
    </row>
    <row r="2195" spans="1:4">
      <c r="A2195">
        <v>38153</v>
      </c>
      <c r="B2195" t="s">
        <v>8639</v>
      </c>
      <c r="C2195" t="s">
        <v>7972</v>
      </c>
      <c r="D2195" s="233">
        <v>30.75</v>
      </c>
    </row>
    <row r="2196" spans="1:4">
      <c r="A2196">
        <v>3099</v>
      </c>
      <c r="B2196" t="s">
        <v>8640</v>
      </c>
      <c r="C2196" t="s">
        <v>7972</v>
      </c>
      <c r="D2196" s="233">
        <v>53.63</v>
      </c>
    </row>
    <row r="2197" spans="1:4">
      <c r="A2197">
        <v>3080</v>
      </c>
      <c r="B2197" t="s">
        <v>8641</v>
      </c>
      <c r="C2197" t="s">
        <v>7972</v>
      </c>
      <c r="D2197" s="233">
        <v>44.81</v>
      </c>
    </row>
    <row r="2198" spans="1:4">
      <c r="A2198">
        <v>3081</v>
      </c>
      <c r="B2198" t="s">
        <v>8642</v>
      </c>
      <c r="C2198" t="s">
        <v>7972</v>
      </c>
      <c r="D2198" s="233">
        <v>67.819999999999993</v>
      </c>
    </row>
    <row r="2199" spans="1:4">
      <c r="A2199">
        <v>38151</v>
      </c>
      <c r="B2199" t="s">
        <v>8643</v>
      </c>
      <c r="C2199" t="s">
        <v>7972</v>
      </c>
      <c r="D2199" s="233">
        <v>42.46</v>
      </c>
    </row>
    <row r="2200" spans="1:4">
      <c r="A2200">
        <v>11479</v>
      </c>
      <c r="B2200" t="s">
        <v>8644</v>
      </c>
      <c r="C2200" t="s">
        <v>6636</v>
      </c>
      <c r="D2200" s="233">
        <v>24.68</v>
      </c>
    </row>
    <row r="2201" spans="1:4">
      <c r="A2201">
        <v>38152</v>
      </c>
      <c r="B2201" t="s">
        <v>8645</v>
      </c>
      <c r="C2201" t="s">
        <v>7972</v>
      </c>
      <c r="D2201" s="233">
        <v>61.44</v>
      </c>
    </row>
    <row r="2202" spans="1:4">
      <c r="A2202">
        <v>11478</v>
      </c>
      <c r="B2202" t="s">
        <v>8646</v>
      </c>
      <c r="C2202" t="s">
        <v>6636</v>
      </c>
      <c r="D2202" s="233">
        <v>43.31</v>
      </c>
    </row>
    <row r="2203" spans="1:4">
      <c r="A2203">
        <v>3090</v>
      </c>
      <c r="B2203" t="s">
        <v>8647</v>
      </c>
      <c r="C2203" t="s">
        <v>7972</v>
      </c>
      <c r="D2203" s="233">
        <v>36.229999999999997</v>
      </c>
    </row>
    <row r="2204" spans="1:4">
      <c r="A2204">
        <v>3093</v>
      </c>
      <c r="B2204" t="s">
        <v>8648</v>
      </c>
      <c r="C2204" t="s">
        <v>7972</v>
      </c>
      <c r="D2204" s="233">
        <v>60.21</v>
      </c>
    </row>
    <row r="2205" spans="1:4">
      <c r="A2205">
        <v>11476</v>
      </c>
      <c r="B2205" t="s">
        <v>8649</v>
      </c>
      <c r="C2205" t="s">
        <v>6636</v>
      </c>
      <c r="D2205" s="233">
        <v>25.95</v>
      </c>
    </row>
    <row r="2206" spans="1:4">
      <c r="A2206">
        <v>3082</v>
      </c>
      <c r="B2206" t="s">
        <v>12682</v>
      </c>
      <c r="C2206" t="s">
        <v>7972</v>
      </c>
      <c r="D2206" s="233">
        <v>41.91</v>
      </c>
    </row>
    <row r="2207" spans="1:4">
      <c r="A2207">
        <v>11484</v>
      </c>
      <c r="B2207" t="s">
        <v>8650</v>
      </c>
      <c r="C2207" t="s">
        <v>6636</v>
      </c>
      <c r="D2207" s="233">
        <v>29.9</v>
      </c>
    </row>
    <row r="2208" spans="1:4">
      <c r="A2208">
        <v>38155</v>
      </c>
      <c r="B2208" t="s">
        <v>8651</v>
      </c>
      <c r="C2208" t="s">
        <v>6636</v>
      </c>
      <c r="D2208" s="233">
        <v>40.76</v>
      </c>
    </row>
    <row r="2209" spans="1:4">
      <c r="A2209">
        <v>11468</v>
      </c>
      <c r="B2209" t="s">
        <v>8652</v>
      </c>
      <c r="C2209" t="s">
        <v>6636</v>
      </c>
      <c r="D2209" s="233">
        <v>9.15</v>
      </c>
    </row>
    <row r="2210" spans="1:4">
      <c r="A2210">
        <v>11469</v>
      </c>
      <c r="B2210" t="s">
        <v>8653</v>
      </c>
      <c r="C2210" t="s">
        <v>6636</v>
      </c>
      <c r="D2210" s="233">
        <v>10.92</v>
      </c>
    </row>
    <row r="2211" spans="1:4">
      <c r="A2211">
        <v>11477</v>
      </c>
      <c r="B2211" t="s">
        <v>12683</v>
      </c>
      <c r="C2211" t="s">
        <v>7972</v>
      </c>
      <c r="D2211" s="233">
        <v>49.65</v>
      </c>
    </row>
    <row r="2212" spans="1:4">
      <c r="A2212">
        <v>40311</v>
      </c>
      <c r="B2212" t="s">
        <v>12684</v>
      </c>
      <c r="C2212" t="s">
        <v>7972</v>
      </c>
      <c r="D2212" s="233">
        <v>47.95</v>
      </c>
    </row>
    <row r="2213" spans="1:4">
      <c r="A2213">
        <v>38165</v>
      </c>
      <c r="B2213" t="s">
        <v>8654</v>
      </c>
      <c r="C2213" t="s">
        <v>7972</v>
      </c>
      <c r="D2213" s="233">
        <v>57.17</v>
      </c>
    </row>
    <row r="2214" spans="1:4">
      <c r="A2214">
        <v>3096</v>
      </c>
      <c r="B2214" t="s">
        <v>12685</v>
      </c>
      <c r="C2214" t="s">
        <v>7972</v>
      </c>
      <c r="D2214" s="233">
        <v>27.56</v>
      </c>
    </row>
    <row r="2215" spans="1:4">
      <c r="A2215">
        <v>11456</v>
      </c>
      <c r="B2215" t="s">
        <v>8655</v>
      </c>
      <c r="C2215" t="s">
        <v>6636</v>
      </c>
      <c r="D2215" s="233">
        <v>12.67</v>
      </c>
    </row>
    <row r="2216" spans="1:4">
      <c r="A2216">
        <v>3119</v>
      </c>
      <c r="B2216" t="s">
        <v>8656</v>
      </c>
      <c r="C2216" t="s">
        <v>6636</v>
      </c>
      <c r="D2216" s="233">
        <v>1.88</v>
      </c>
    </row>
    <row r="2217" spans="1:4">
      <c r="A2217">
        <v>3122</v>
      </c>
      <c r="B2217" t="s">
        <v>8657</v>
      </c>
      <c r="C2217" t="s">
        <v>6636</v>
      </c>
      <c r="D2217" s="233">
        <v>2.64</v>
      </c>
    </row>
    <row r="2218" spans="1:4">
      <c r="A2218">
        <v>3121</v>
      </c>
      <c r="B2218" t="s">
        <v>8658</v>
      </c>
      <c r="C2218" t="s">
        <v>6636</v>
      </c>
      <c r="D2218" s="233">
        <v>4.0999999999999996</v>
      </c>
    </row>
    <row r="2219" spans="1:4">
      <c r="A2219">
        <v>3120</v>
      </c>
      <c r="B2219" t="s">
        <v>8659</v>
      </c>
      <c r="C2219" t="s">
        <v>6636</v>
      </c>
      <c r="D2219" s="233">
        <v>6.47</v>
      </c>
    </row>
    <row r="2220" spans="1:4">
      <c r="A2220">
        <v>11455</v>
      </c>
      <c r="B2220" t="s">
        <v>8660</v>
      </c>
      <c r="C2220" t="s">
        <v>6636</v>
      </c>
      <c r="D2220" s="233">
        <v>9.08</v>
      </c>
    </row>
    <row r="2221" spans="1:4">
      <c r="A2221">
        <v>3111</v>
      </c>
      <c r="B2221" t="s">
        <v>12686</v>
      </c>
      <c r="C2221" t="s">
        <v>6636</v>
      </c>
      <c r="D2221" s="233">
        <v>21.73</v>
      </c>
    </row>
    <row r="2222" spans="1:4">
      <c r="A2222">
        <v>3108</v>
      </c>
      <c r="B2222" t="s">
        <v>8661</v>
      </c>
      <c r="C2222" t="s">
        <v>6636</v>
      </c>
      <c r="D2222" s="233">
        <v>22.8</v>
      </c>
    </row>
    <row r="2223" spans="1:4">
      <c r="A2223">
        <v>3105</v>
      </c>
      <c r="B2223" t="s">
        <v>8662</v>
      </c>
      <c r="C2223" t="s">
        <v>6636</v>
      </c>
      <c r="D2223" s="233">
        <v>35.42</v>
      </c>
    </row>
    <row r="2224" spans="1:4">
      <c r="A2224">
        <v>38178</v>
      </c>
      <c r="B2224" t="s">
        <v>8663</v>
      </c>
      <c r="C2224" t="s">
        <v>6636</v>
      </c>
      <c r="D2224" s="233">
        <v>23.15</v>
      </c>
    </row>
    <row r="2225" spans="1:4">
      <c r="A2225">
        <v>11458</v>
      </c>
      <c r="B2225" t="s">
        <v>8664</v>
      </c>
      <c r="C2225" t="s">
        <v>6636</v>
      </c>
      <c r="D2225" s="233">
        <v>20.28</v>
      </c>
    </row>
    <row r="2226" spans="1:4">
      <c r="A2226">
        <v>42481</v>
      </c>
      <c r="B2226" t="s">
        <v>8665</v>
      </c>
      <c r="C2226" t="s">
        <v>6638</v>
      </c>
      <c r="D2226" s="233">
        <v>21.06</v>
      </c>
    </row>
    <row r="2227" spans="1:4">
      <c r="A2227">
        <v>43458</v>
      </c>
      <c r="B2227" t="s">
        <v>8666</v>
      </c>
      <c r="C2227" t="s">
        <v>6640</v>
      </c>
      <c r="D2227" s="233">
        <v>0.04</v>
      </c>
    </row>
    <row r="2228" spans="1:4">
      <c r="A2228">
        <v>43470</v>
      </c>
      <c r="B2228" t="s">
        <v>8667</v>
      </c>
      <c r="C2228" t="s">
        <v>6785</v>
      </c>
      <c r="D2228" s="233">
        <v>7.37</v>
      </c>
    </row>
    <row r="2229" spans="1:4">
      <c r="A2229">
        <v>43459</v>
      </c>
      <c r="B2229" t="s">
        <v>8668</v>
      </c>
      <c r="C2229" t="s">
        <v>6640</v>
      </c>
      <c r="D2229" s="233">
        <v>0.34</v>
      </c>
    </row>
    <row r="2230" spans="1:4">
      <c r="A2230">
        <v>43471</v>
      </c>
      <c r="B2230" t="s">
        <v>8669</v>
      </c>
      <c r="C2230" t="s">
        <v>6785</v>
      </c>
      <c r="D2230" s="233">
        <v>64.510000000000005</v>
      </c>
    </row>
    <row r="2231" spans="1:4">
      <c r="A2231">
        <v>43460</v>
      </c>
      <c r="B2231" t="s">
        <v>8670</v>
      </c>
      <c r="C2231" t="s">
        <v>6640</v>
      </c>
      <c r="D2231" s="233">
        <v>0.55000000000000004</v>
      </c>
    </row>
    <row r="2232" spans="1:4">
      <c r="A2232">
        <v>43472</v>
      </c>
      <c r="B2232" t="s">
        <v>8671</v>
      </c>
      <c r="C2232" t="s">
        <v>6785</v>
      </c>
      <c r="D2232" s="233">
        <v>103.89</v>
      </c>
    </row>
    <row r="2233" spans="1:4">
      <c r="A2233">
        <v>43461</v>
      </c>
      <c r="B2233" t="s">
        <v>8672</v>
      </c>
      <c r="C2233" t="s">
        <v>6640</v>
      </c>
      <c r="D2233" s="233">
        <v>0.24</v>
      </c>
    </row>
    <row r="2234" spans="1:4">
      <c r="A2234">
        <v>43473</v>
      </c>
      <c r="B2234" t="s">
        <v>8673</v>
      </c>
      <c r="C2234" t="s">
        <v>6785</v>
      </c>
      <c r="D2234" s="233">
        <v>45.78</v>
      </c>
    </row>
    <row r="2235" spans="1:4">
      <c r="A2235">
        <v>43463</v>
      </c>
      <c r="B2235" t="s">
        <v>8674</v>
      </c>
      <c r="C2235" t="s">
        <v>6640</v>
      </c>
      <c r="D2235" s="233">
        <v>0.08</v>
      </c>
    </row>
    <row r="2236" spans="1:4">
      <c r="A2236">
        <v>43475</v>
      </c>
      <c r="B2236" t="s">
        <v>12307</v>
      </c>
      <c r="C2236" t="s">
        <v>6785</v>
      </c>
      <c r="D2236" s="233">
        <v>14.26</v>
      </c>
    </row>
    <row r="2237" spans="1:4">
      <c r="A2237">
        <v>43462</v>
      </c>
      <c r="B2237" t="s">
        <v>8675</v>
      </c>
      <c r="C2237" t="s">
        <v>6640</v>
      </c>
      <c r="D2237" s="233">
        <v>0.01</v>
      </c>
    </row>
    <row r="2238" spans="1:4">
      <c r="A2238">
        <v>43474</v>
      </c>
      <c r="B2238" t="s">
        <v>8676</v>
      </c>
      <c r="C2238" t="s">
        <v>6785</v>
      </c>
      <c r="D2238" s="233">
        <v>1.45</v>
      </c>
    </row>
    <row r="2239" spans="1:4">
      <c r="A2239">
        <v>43464</v>
      </c>
      <c r="B2239" t="s">
        <v>8677</v>
      </c>
      <c r="C2239" t="s">
        <v>6640</v>
      </c>
      <c r="D2239" s="233">
        <v>0.01</v>
      </c>
    </row>
    <row r="2240" spans="1:4">
      <c r="A2240">
        <v>43476</v>
      </c>
      <c r="B2240" t="s">
        <v>8678</v>
      </c>
      <c r="C2240" t="s">
        <v>6785</v>
      </c>
      <c r="D2240" s="233">
        <v>0.01</v>
      </c>
    </row>
    <row r="2241" spans="1:4">
      <c r="A2241">
        <v>43465</v>
      </c>
      <c r="B2241" t="s">
        <v>8679</v>
      </c>
      <c r="C2241" t="s">
        <v>6640</v>
      </c>
      <c r="D2241" s="233">
        <v>0.5</v>
      </c>
    </row>
    <row r="2242" spans="1:4">
      <c r="A2242">
        <v>43477</v>
      </c>
      <c r="B2242" t="s">
        <v>8680</v>
      </c>
      <c r="C2242" t="s">
        <v>6785</v>
      </c>
      <c r="D2242" s="233">
        <v>94.89</v>
      </c>
    </row>
    <row r="2243" spans="1:4">
      <c r="A2243">
        <v>43466</v>
      </c>
      <c r="B2243" t="s">
        <v>8681</v>
      </c>
      <c r="C2243" t="s">
        <v>6640</v>
      </c>
      <c r="D2243" s="233">
        <v>1.17</v>
      </c>
    </row>
    <row r="2244" spans="1:4">
      <c r="A2244">
        <v>43478</v>
      </c>
      <c r="B2244" t="s">
        <v>8682</v>
      </c>
      <c r="C2244" t="s">
        <v>6785</v>
      </c>
      <c r="D2244" s="233">
        <v>220.02</v>
      </c>
    </row>
    <row r="2245" spans="1:4">
      <c r="A2245">
        <v>43467</v>
      </c>
      <c r="B2245" t="s">
        <v>8683</v>
      </c>
      <c r="C2245" t="s">
        <v>6640</v>
      </c>
      <c r="D2245" s="233">
        <v>0.38</v>
      </c>
    </row>
    <row r="2246" spans="1:4">
      <c r="A2246">
        <v>43479</v>
      </c>
      <c r="B2246" t="s">
        <v>8684</v>
      </c>
      <c r="C2246" t="s">
        <v>6785</v>
      </c>
      <c r="D2246" s="233">
        <v>71.290000000000006</v>
      </c>
    </row>
    <row r="2247" spans="1:4">
      <c r="A2247">
        <v>43468</v>
      </c>
      <c r="B2247" t="s">
        <v>8685</v>
      </c>
      <c r="C2247" t="s">
        <v>6640</v>
      </c>
      <c r="D2247" s="233">
        <v>0.84</v>
      </c>
    </row>
    <row r="2248" spans="1:4">
      <c r="A2248">
        <v>43480</v>
      </c>
      <c r="B2248" t="s">
        <v>8686</v>
      </c>
      <c r="C2248" t="s">
        <v>6785</v>
      </c>
      <c r="D2248" s="233">
        <v>157.85</v>
      </c>
    </row>
    <row r="2249" spans="1:4">
      <c r="A2249">
        <v>43469</v>
      </c>
      <c r="B2249" t="s">
        <v>8687</v>
      </c>
      <c r="C2249" t="s">
        <v>6640</v>
      </c>
      <c r="D2249" s="233">
        <v>0.05</v>
      </c>
    </row>
    <row r="2250" spans="1:4">
      <c r="A2250">
        <v>43481</v>
      </c>
      <c r="B2250" t="s">
        <v>8688</v>
      </c>
      <c r="C2250" t="s">
        <v>6785</v>
      </c>
      <c r="D2250" s="233">
        <v>10.02</v>
      </c>
    </row>
    <row r="2251" spans="1:4">
      <c r="A2251">
        <v>11461</v>
      </c>
      <c r="B2251" t="s">
        <v>8689</v>
      </c>
      <c r="C2251" t="s">
        <v>6636</v>
      </c>
      <c r="D2251" s="233">
        <v>5.14</v>
      </c>
    </row>
    <row r="2252" spans="1:4">
      <c r="A2252">
        <v>3106</v>
      </c>
      <c r="B2252" t="s">
        <v>8690</v>
      </c>
      <c r="C2252" t="s">
        <v>6636</v>
      </c>
      <c r="D2252" s="233">
        <v>3.91</v>
      </c>
    </row>
    <row r="2253" spans="1:4">
      <c r="A2253">
        <v>3107</v>
      </c>
      <c r="B2253" t="s">
        <v>8691</v>
      </c>
      <c r="C2253" t="s">
        <v>6636</v>
      </c>
      <c r="D2253" s="233">
        <v>3.29</v>
      </c>
    </row>
    <row r="2254" spans="1:4">
      <c r="A2254">
        <v>25951</v>
      </c>
      <c r="B2254" t="s">
        <v>8692</v>
      </c>
      <c r="C2254" t="s">
        <v>6698</v>
      </c>
      <c r="D2254" s="233">
        <v>1.59</v>
      </c>
    </row>
    <row r="2255" spans="1:4">
      <c r="A2255">
        <v>3123</v>
      </c>
      <c r="B2255" t="s">
        <v>8693</v>
      </c>
      <c r="C2255" t="s">
        <v>6698</v>
      </c>
      <c r="D2255" s="233">
        <v>1.49</v>
      </c>
    </row>
    <row r="2256" spans="1:4">
      <c r="A2256">
        <v>38125</v>
      </c>
      <c r="B2256" t="s">
        <v>8694</v>
      </c>
      <c r="C2256" t="s">
        <v>6698</v>
      </c>
      <c r="D2256" s="233">
        <v>0.87</v>
      </c>
    </row>
    <row r="2257" spans="1:4">
      <c r="A2257">
        <v>39014</v>
      </c>
      <c r="B2257" t="s">
        <v>8695</v>
      </c>
      <c r="C2257" t="s">
        <v>6698</v>
      </c>
      <c r="D2257" s="233">
        <v>6.04</v>
      </c>
    </row>
    <row r="2258" spans="1:4">
      <c r="A2258">
        <v>11894</v>
      </c>
      <c r="B2258" t="s">
        <v>8696</v>
      </c>
      <c r="C2258" t="s">
        <v>6636</v>
      </c>
      <c r="D2258" s="233">
        <v>679.37</v>
      </c>
    </row>
    <row r="2259" spans="1:4">
      <c r="A2259">
        <v>39365</v>
      </c>
      <c r="B2259" t="s">
        <v>8697</v>
      </c>
      <c r="C2259" t="s">
        <v>6636</v>
      </c>
      <c r="D2259" s="233">
        <v>750.05</v>
      </c>
    </row>
    <row r="2260" spans="1:4">
      <c r="A2260">
        <v>39366</v>
      </c>
      <c r="B2260" t="s">
        <v>8698</v>
      </c>
      <c r="C2260" t="s">
        <v>6636</v>
      </c>
      <c r="D2260" s="234">
        <v>1920.46</v>
      </c>
    </row>
    <row r="2261" spans="1:4">
      <c r="A2261">
        <v>39367</v>
      </c>
      <c r="B2261" t="s">
        <v>8699</v>
      </c>
      <c r="C2261" t="s">
        <v>6636</v>
      </c>
      <c r="D2261" s="234">
        <v>2624.92</v>
      </c>
    </row>
    <row r="2262" spans="1:4">
      <c r="A2262">
        <v>37394</v>
      </c>
      <c r="B2262" t="s">
        <v>8700</v>
      </c>
      <c r="C2262" t="s">
        <v>8701</v>
      </c>
      <c r="D2262" s="233">
        <v>29.53</v>
      </c>
    </row>
    <row r="2263" spans="1:4">
      <c r="A2263">
        <v>14146</v>
      </c>
      <c r="B2263" t="s">
        <v>8702</v>
      </c>
      <c r="C2263" t="s">
        <v>8701</v>
      </c>
      <c r="D2263" s="233">
        <v>47.5</v>
      </c>
    </row>
    <row r="2264" spans="1:4">
      <c r="A2264">
        <v>38134</v>
      </c>
      <c r="B2264" t="s">
        <v>8703</v>
      </c>
      <c r="C2264" t="s">
        <v>6698</v>
      </c>
      <c r="D2264" s="233">
        <v>53.35</v>
      </c>
    </row>
    <row r="2265" spans="1:4">
      <c r="A2265">
        <v>38132</v>
      </c>
      <c r="B2265" t="s">
        <v>8704</v>
      </c>
      <c r="C2265" t="s">
        <v>6698</v>
      </c>
      <c r="D2265" s="233">
        <v>54.42</v>
      </c>
    </row>
    <row r="2266" spans="1:4">
      <c r="A2266">
        <v>38133</v>
      </c>
      <c r="B2266" t="s">
        <v>8705</v>
      </c>
      <c r="C2266" t="s">
        <v>6698</v>
      </c>
      <c r="D2266" s="233">
        <v>52.63</v>
      </c>
    </row>
    <row r="2267" spans="1:4">
      <c r="A2267">
        <v>938</v>
      </c>
      <c r="B2267" t="s">
        <v>8706</v>
      </c>
      <c r="C2267" t="s">
        <v>6649</v>
      </c>
      <c r="D2267" s="233">
        <v>0.86</v>
      </c>
    </row>
    <row r="2268" spans="1:4">
      <c r="A2268">
        <v>937</v>
      </c>
      <c r="B2268" t="s">
        <v>775</v>
      </c>
      <c r="C2268" t="s">
        <v>6649</v>
      </c>
      <c r="D2268" s="233">
        <v>5.36</v>
      </c>
    </row>
    <row r="2269" spans="1:4">
      <c r="A2269">
        <v>939</v>
      </c>
      <c r="B2269" t="s">
        <v>8707</v>
      </c>
      <c r="C2269" t="s">
        <v>6649</v>
      </c>
      <c r="D2269" s="233">
        <v>1.38</v>
      </c>
    </row>
    <row r="2270" spans="1:4">
      <c r="A2270">
        <v>944</v>
      </c>
      <c r="B2270" t="s">
        <v>8708</v>
      </c>
      <c r="C2270" t="s">
        <v>6649</v>
      </c>
      <c r="D2270" s="233">
        <v>2.37</v>
      </c>
    </row>
    <row r="2271" spans="1:4">
      <c r="A2271">
        <v>940</v>
      </c>
      <c r="B2271" t="s">
        <v>8709</v>
      </c>
      <c r="C2271" t="s">
        <v>6649</v>
      </c>
      <c r="D2271" s="233">
        <v>3.28</v>
      </c>
    </row>
    <row r="2272" spans="1:4">
      <c r="A2272">
        <v>936</v>
      </c>
      <c r="B2272" t="s">
        <v>8710</v>
      </c>
      <c r="C2272" t="s">
        <v>6649</v>
      </c>
      <c r="D2272" s="233">
        <v>1.3</v>
      </c>
    </row>
    <row r="2273" spans="1:4">
      <c r="A2273">
        <v>935</v>
      </c>
      <c r="B2273" t="s">
        <v>8711</v>
      </c>
      <c r="C2273" t="s">
        <v>6649</v>
      </c>
      <c r="D2273" s="233">
        <v>0.99</v>
      </c>
    </row>
    <row r="2274" spans="1:4">
      <c r="A2274">
        <v>406</v>
      </c>
      <c r="B2274" t="s">
        <v>772</v>
      </c>
      <c r="C2274" t="s">
        <v>6636</v>
      </c>
      <c r="D2274" s="233">
        <v>60.15</v>
      </c>
    </row>
    <row r="2275" spans="1:4">
      <c r="A2275">
        <v>42529</v>
      </c>
      <c r="B2275" t="s">
        <v>8712</v>
      </c>
      <c r="C2275" t="s">
        <v>6649</v>
      </c>
      <c r="D2275" s="233">
        <v>0.94</v>
      </c>
    </row>
    <row r="2276" spans="1:4">
      <c r="A2276">
        <v>39634</v>
      </c>
      <c r="B2276" t="s">
        <v>8713</v>
      </c>
      <c r="C2276" t="s">
        <v>6649</v>
      </c>
      <c r="D2276" s="233">
        <v>8.3800000000000008</v>
      </c>
    </row>
    <row r="2277" spans="1:4">
      <c r="A2277">
        <v>39701</v>
      </c>
      <c r="B2277" t="s">
        <v>8714</v>
      </c>
      <c r="C2277" t="s">
        <v>6636</v>
      </c>
      <c r="D2277" s="233">
        <v>71.12</v>
      </c>
    </row>
    <row r="2278" spans="1:4">
      <c r="A2278">
        <v>12815</v>
      </c>
      <c r="B2278" t="s">
        <v>8715</v>
      </c>
      <c r="C2278" t="s">
        <v>6636</v>
      </c>
      <c r="D2278" s="233">
        <v>7.55</v>
      </c>
    </row>
    <row r="2279" spans="1:4">
      <c r="A2279">
        <v>407</v>
      </c>
      <c r="B2279" t="s">
        <v>8716</v>
      </c>
      <c r="C2279" t="s">
        <v>6698</v>
      </c>
      <c r="D2279" s="233">
        <v>37.64</v>
      </c>
    </row>
    <row r="2280" spans="1:4">
      <c r="A2280">
        <v>39431</v>
      </c>
      <c r="B2280" t="s">
        <v>8717</v>
      </c>
      <c r="C2280" t="s">
        <v>6649</v>
      </c>
      <c r="D2280" s="233">
        <v>0.23</v>
      </c>
    </row>
    <row r="2281" spans="1:4">
      <c r="A2281">
        <v>39432</v>
      </c>
      <c r="B2281" t="s">
        <v>8718</v>
      </c>
      <c r="C2281" t="s">
        <v>6649</v>
      </c>
      <c r="D2281" s="233">
        <v>3.04</v>
      </c>
    </row>
    <row r="2282" spans="1:4">
      <c r="A2282">
        <v>20111</v>
      </c>
      <c r="B2282" t="s">
        <v>955</v>
      </c>
      <c r="C2282" t="s">
        <v>6636</v>
      </c>
      <c r="D2282" s="233">
        <v>9.9</v>
      </c>
    </row>
    <row r="2283" spans="1:4">
      <c r="A2283">
        <v>21127</v>
      </c>
      <c r="B2283" t="s">
        <v>8719</v>
      </c>
      <c r="C2283" t="s">
        <v>6636</v>
      </c>
      <c r="D2283" s="233">
        <v>3.74</v>
      </c>
    </row>
    <row r="2284" spans="1:4">
      <c r="A2284">
        <v>404</v>
      </c>
      <c r="B2284" t="s">
        <v>8720</v>
      </c>
      <c r="C2284" t="s">
        <v>6649</v>
      </c>
      <c r="D2284" s="233">
        <v>1.35</v>
      </c>
    </row>
    <row r="2285" spans="1:4">
      <c r="A2285">
        <v>14151</v>
      </c>
      <c r="B2285" t="s">
        <v>8721</v>
      </c>
      <c r="C2285" t="s">
        <v>6636</v>
      </c>
      <c r="D2285" s="233">
        <v>34.14</v>
      </c>
    </row>
    <row r="2286" spans="1:4">
      <c r="A2286">
        <v>14153</v>
      </c>
      <c r="B2286" t="s">
        <v>8722</v>
      </c>
      <c r="C2286" t="s">
        <v>6636</v>
      </c>
      <c r="D2286" s="233">
        <v>38.590000000000003</v>
      </c>
    </row>
    <row r="2287" spans="1:4">
      <c r="A2287">
        <v>14152</v>
      </c>
      <c r="B2287" t="s">
        <v>8723</v>
      </c>
      <c r="C2287" t="s">
        <v>6636</v>
      </c>
      <c r="D2287" s="233">
        <v>29.62</v>
      </c>
    </row>
    <row r="2288" spans="1:4">
      <c r="A2288">
        <v>14154</v>
      </c>
      <c r="B2288" t="s">
        <v>8724</v>
      </c>
      <c r="C2288" t="s">
        <v>6636</v>
      </c>
      <c r="D2288" s="233">
        <v>103.69</v>
      </c>
    </row>
    <row r="2289" spans="1:4">
      <c r="A2289">
        <v>42015</v>
      </c>
      <c r="B2289" t="s">
        <v>8725</v>
      </c>
      <c r="C2289" t="s">
        <v>6649</v>
      </c>
      <c r="D2289" s="233">
        <v>0.08</v>
      </c>
    </row>
    <row r="2290" spans="1:4">
      <c r="A2290">
        <v>3146</v>
      </c>
      <c r="B2290" t="s">
        <v>885</v>
      </c>
      <c r="C2290" t="s">
        <v>6636</v>
      </c>
      <c r="D2290" s="233">
        <v>4.3</v>
      </c>
    </row>
    <row r="2291" spans="1:4">
      <c r="A2291">
        <v>3143</v>
      </c>
      <c r="B2291" t="s">
        <v>8726</v>
      </c>
      <c r="C2291" t="s">
        <v>6636</v>
      </c>
      <c r="D2291" s="233">
        <v>9.7799999999999994</v>
      </c>
    </row>
    <row r="2292" spans="1:4">
      <c r="A2292">
        <v>3148</v>
      </c>
      <c r="B2292" t="s">
        <v>880</v>
      </c>
      <c r="C2292" t="s">
        <v>6636</v>
      </c>
      <c r="D2292" s="233">
        <v>15.86</v>
      </c>
    </row>
    <row r="2293" spans="1:4">
      <c r="A2293">
        <v>4310</v>
      </c>
      <c r="B2293" t="s">
        <v>8727</v>
      </c>
      <c r="C2293" t="s">
        <v>6636</v>
      </c>
      <c r="D2293" s="233">
        <v>1.87</v>
      </c>
    </row>
    <row r="2294" spans="1:4">
      <c r="A2294">
        <v>4311</v>
      </c>
      <c r="B2294" t="s">
        <v>8728</v>
      </c>
      <c r="C2294" t="s">
        <v>6636</v>
      </c>
      <c r="D2294" s="233">
        <v>1.31</v>
      </c>
    </row>
    <row r="2295" spans="1:4">
      <c r="A2295">
        <v>4312</v>
      </c>
      <c r="B2295" t="s">
        <v>8729</v>
      </c>
      <c r="C2295" t="s">
        <v>6636</v>
      </c>
      <c r="D2295" s="233">
        <v>1.84</v>
      </c>
    </row>
    <row r="2296" spans="1:4">
      <c r="A2296">
        <v>11162</v>
      </c>
      <c r="B2296" t="s">
        <v>8730</v>
      </c>
      <c r="C2296" t="s">
        <v>6636</v>
      </c>
      <c r="D2296" s="233">
        <v>1.23</v>
      </c>
    </row>
    <row r="2297" spans="1:4">
      <c r="A2297">
        <v>13261</v>
      </c>
      <c r="B2297" t="s">
        <v>8731</v>
      </c>
      <c r="C2297" t="s">
        <v>6636</v>
      </c>
      <c r="D2297" s="233">
        <v>2.17</v>
      </c>
    </row>
    <row r="2298" spans="1:4">
      <c r="A2298">
        <v>3255</v>
      </c>
      <c r="B2298" t="s">
        <v>8732</v>
      </c>
      <c r="C2298" t="s">
        <v>6636</v>
      </c>
      <c r="D2298" s="233">
        <v>5.46</v>
      </c>
    </row>
    <row r="2299" spans="1:4">
      <c r="A2299">
        <v>3254</v>
      </c>
      <c r="B2299" t="s">
        <v>8733</v>
      </c>
      <c r="C2299" t="s">
        <v>6636</v>
      </c>
      <c r="D2299" s="233">
        <v>88.78</v>
      </c>
    </row>
    <row r="2300" spans="1:4">
      <c r="A2300">
        <v>3259</v>
      </c>
      <c r="B2300" t="s">
        <v>8734</v>
      </c>
      <c r="C2300" t="s">
        <v>6636</v>
      </c>
      <c r="D2300" s="233">
        <v>10.67</v>
      </c>
    </row>
    <row r="2301" spans="1:4">
      <c r="A2301">
        <v>3258</v>
      </c>
      <c r="B2301" t="s">
        <v>8735</v>
      </c>
      <c r="C2301" t="s">
        <v>6636</v>
      </c>
      <c r="D2301" s="233">
        <v>6.44</v>
      </c>
    </row>
    <row r="2302" spans="1:4">
      <c r="A2302">
        <v>3251</v>
      </c>
      <c r="B2302" t="s">
        <v>8736</v>
      </c>
      <c r="C2302" t="s">
        <v>6636</v>
      </c>
      <c r="D2302" s="233">
        <v>3.8</v>
      </c>
    </row>
    <row r="2303" spans="1:4">
      <c r="A2303">
        <v>3256</v>
      </c>
      <c r="B2303" t="s">
        <v>8737</v>
      </c>
      <c r="C2303" t="s">
        <v>6636</v>
      </c>
      <c r="D2303" s="233">
        <v>7.2</v>
      </c>
    </row>
    <row r="2304" spans="1:4">
      <c r="A2304">
        <v>3261</v>
      </c>
      <c r="B2304" t="s">
        <v>8738</v>
      </c>
      <c r="C2304" t="s">
        <v>6636</v>
      </c>
      <c r="D2304" s="233">
        <v>78.510000000000005</v>
      </c>
    </row>
    <row r="2305" spans="1:4">
      <c r="A2305">
        <v>3260</v>
      </c>
      <c r="B2305" t="s">
        <v>8739</v>
      </c>
      <c r="C2305" t="s">
        <v>6636</v>
      </c>
      <c r="D2305" s="233">
        <v>13.49</v>
      </c>
    </row>
    <row r="2306" spans="1:4">
      <c r="A2306">
        <v>3272</v>
      </c>
      <c r="B2306" t="s">
        <v>8740</v>
      </c>
      <c r="C2306" t="s">
        <v>6636</v>
      </c>
      <c r="D2306" s="233">
        <v>26.26</v>
      </c>
    </row>
    <row r="2307" spans="1:4">
      <c r="A2307">
        <v>3265</v>
      </c>
      <c r="B2307" t="s">
        <v>8741</v>
      </c>
      <c r="C2307" t="s">
        <v>6636</v>
      </c>
      <c r="D2307" s="233">
        <v>20.86</v>
      </c>
    </row>
    <row r="2308" spans="1:4">
      <c r="A2308">
        <v>3262</v>
      </c>
      <c r="B2308" t="s">
        <v>8742</v>
      </c>
      <c r="C2308" t="s">
        <v>6636</v>
      </c>
      <c r="D2308" s="233">
        <v>9.1300000000000008</v>
      </c>
    </row>
    <row r="2309" spans="1:4">
      <c r="A2309">
        <v>3264</v>
      </c>
      <c r="B2309" t="s">
        <v>8743</v>
      </c>
      <c r="C2309" t="s">
        <v>6636</v>
      </c>
      <c r="D2309" s="233">
        <v>15</v>
      </c>
    </row>
    <row r="2310" spans="1:4">
      <c r="A2310">
        <v>3267</v>
      </c>
      <c r="B2310" t="s">
        <v>8744</v>
      </c>
      <c r="C2310" t="s">
        <v>6636</v>
      </c>
      <c r="D2310" s="233">
        <v>49</v>
      </c>
    </row>
    <row r="2311" spans="1:4">
      <c r="A2311">
        <v>3266</v>
      </c>
      <c r="B2311" t="s">
        <v>8745</v>
      </c>
      <c r="C2311" t="s">
        <v>6636</v>
      </c>
      <c r="D2311" s="233">
        <v>31.17</v>
      </c>
    </row>
    <row r="2312" spans="1:4">
      <c r="A2312">
        <v>3263</v>
      </c>
      <c r="B2312" t="s">
        <v>8746</v>
      </c>
      <c r="C2312" t="s">
        <v>6636</v>
      </c>
      <c r="D2312" s="233">
        <v>12.47</v>
      </c>
    </row>
    <row r="2313" spans="1:4">
      <c r="A2313">
        <v>3268</v>
      </c>
      <c r="B2313" t="s">
        <v>8747</v>
      </c>
      <c r="C2313" t="s">
        <v>6636</v>
      </c>
      <c r="D2313" s="233">
        <v>66.25</v>
      </c>
    </row>
    <row r="2314" spans="1:4">
      <c r="A2314">
        <v>3271</v>
      </c>
      <c r="B2314" t="s">
        <v>8748</v>
      </c>
      <c r="C2314" t="s">
        <v>6636</v>
      </c>
      <c r="D2314" s="233">
        <v>97.95</v>
      </c>
    </row>
    <row r="2315" spans="1:4">
      <c r="A2315">
        <v>3270</v>
      </c>
      <c r="B2315" t="s">
        <v>8749</v>
      </c>
      <c r="C2315" t="s">
        <v>6636</v>
      </c>
      <c r="D2315" s="233">
        <v>164.56</v>
      </c>
    </row>
    <row r="2316" spans="1:4">
      <c r="A2316">
        <v>3275</v>
      </c>
      <c r="B2316" t="s">
        <v>8750</v>
      </c>
      <c r="C2316" t="s">
        <v>6638</v>
      </c>
      <c r="D2316" s="233">
        <v>65.569999999999993</v>
      </c>
    </row>
    <row r="2317" spans="1:4">
      <c r="A2317">
        <v>39512</v>
      </c>
      <c r="B2317" t="s">
        <v>8751</v>
      </c>
      <c r="C2317" t="s">
        <v>6638</v>
      </c>
      <c r="D2317" s="233">
        <v>70.09</v>
      </c>
    </row>
    <row r="2318" spans="1:4">
      <c r="A2318">
        <v>39511</v>
      </c>
      <c r="B2318" t="s">
        <v>8752</v>
      </c>
      <c r="C2318" t="s">
        <v>6638</v>
      </c>
      <c r="D2318" s="233">
        <v>76.45</v>
      </c>
    </row>
    <row r="2319" spans="1:4">
      <c r="A2319">
        <v>39513</v>
      </c>
      <c r="B2319" t="s">
        <v>8753</v>
      </c>
      <c r="C2319" t="s">
        <v>6638</v>
      </c>
      <c r="D2319" s="233">
        <v>82</v>
      </c>
    </row>
    <row r="2320" spans="1:4">
      <c r="A2320">
        <v>3286</v>
      </c>
      <c r="B2320" t="s">
        <v>8754</v>
      </c>
      <c r="C2320" t="s">
        <v>6638</v>
      </c>
      <c r="D2320" s="233">
        <v>52.94</v>
      </c>
    </row>
    <row r="2321" spans="1:4">
      <c r="A2321">
        <v>3287</v>
      </c>
      <c r="B2321" t="s">
        <v>8755</v>
      </c>
      <c r="C2321" t="s">
        <v>6638</v>
      </c>
      <c r="D2321" s="233">
        <v>80</v>
      </c>
    </row>
    <row r="2322" spans="1:4">
      <c r="A2322">
        <v>3283</v>
      </c>
      <c r="B2322" t="s">
        <v>8756</v>
      </c>
      <c r="C2322" t="s">
        <v>6638</v>
      </c>
      <c r="D2322" s="233">
        <v>16.8</v>
      </c>
    </row>
    <row r="2323" spans="1:4">
      <c r="A2323">
        <v>11587</v>
      </c>
      <c r="B2323" t="s">
        <v>8757</v>
      </c>
      <c r="C2323" t="s">
        <v>6638</v>
      </c>
      <c r="D2323" s="233">
        <v>44.96</v>
      </c>
    </row>
    <row r="2324" spans="1:4">
      <c r="A2324">
        <v>36225</v>
      </c>
      <c r="B2324" t="s">
        <v>8758</v>
      </c>
      <c r="C2324" t="s">
        <v>6638</v>
      </c>
      <c r="D2324" s="233">
        <v>18.260000000000002</v>
      </c>
    </row>
    <row r="2325" spans="1:4">
      <c r="A2325">
        <v>36230</v>
      </c>
      <c r="B2325" t="s">
        <v>8759</v>
      </c>
      <c r="C2325" t="s">
        <v>6638</v>
      </c>
      <c r="D2325" s="233">
        <v>13.42</v>
      </c>
    </row>
    <row r="2326" spans="1:4">
      <c r="A2326">
        <v>36238</v>
      </c>
      <c r="B2326" t="s">
        <v>8760</v>
      </c>
      <c r="C2326" t="s">
        <v>6638</v>
      </c>
      <c r="D2326" s="233">
        <v>13.11</v>
      </c>
    </row>
    <row r="2327" spans="1:4">
      <c r="A2327">
        <v>11887</v>
      </c>
      <c r="B2327" t="s">
        <v>8761</v>
      </c>
      <c r="C2327" t="s">
        <v>6636</v>
      </c>
      <c r="D2327" s="234">
        <v>3200.36</v>
      </c>
    </row>
    <row r="2328" spans="1:4">
      <c r="A2328">
        <v>11883</v>
      </c>
      <c r="B2328" t="s">
        <v>8762</v>
      </c>
      <c r="C2328" t="s">
        <v>6636</v>
      </c>
      <c r="D2328" s="234">
        <v>4705.1000000000004</v>
      </c>
    </row>
    <row r="2329" spans="1:4">
      <c r="A2329">
        <v>11884</v>
      </c>
      <c r="B2329" t="s">
        <v>8763</v>
      </c>
      <c r="C2329" t="s">
        <v>6636</v>
      </c>
      <c r="D2329" s="234">
        <v>5048.1499999999996</v>
      </c>
    </row>
    <row r="2330" spans="1:4">
      <c r="A2330">
        <v>11885</v>
      </c>
      <c r="B2330" t="s">
        <v>8764</v>
      </c>
      <c r="C2330" t="s">
        <v>6636</v>
      </c>
      <c r="D2330" s="234">
        <v>5630.4</v>
      </c>
    </row>
    <row r="2331" spans="1:4">
      <c r="A2331">
        <v>11886</v>
      </c>
      <c r="B2331" t="s">
        <v>8765</v>
      </c>
      <c r="C2331" t="s">
        <v>6636</v>
      </c>
      <c r="D2331" s="234">
        <v>1814.66</v>
      </c>
    </row>
    <row r="2332" spans="1:4">
      <c r="A2332">
        <v>11888</v>
      </c>
      <c r="B2332" t="s">
        <v>8766</v>
      </c>
      <c r="C2332" t="s">
        <v>6636</v>
      </c>
      <c r="D2332" s="234">
        <v>4261.54</v>
      </c>
    </row>
    <row r="2333" spans="1:4">
      <c r="A2333">
        <v>3277</v>
      </c>
      <c r="B2333" t="s">
        <v>8767</v>
      </c>
      <c r="C2333" t="s">
        <v>6636</v>
      </c>
      <c r="D2333" s="233">
        <v>718.67</v>
      </c>
    </row>
    <row r="2334" spans="1:4">
      <c r="A2334">
        <v>3281</v>
      </c>
      <c r="B2334" t="s">
        <v>8768</v>
      </c>
      <c r="C2334" t="s">
        <v>6636</v>
      </c>
      <c r="D2334" s="233">
        <v>595.15</v>
      </c>
    </row>
    <row r="2335" spans="1:4">
      <c r="A2335">
        <v>39363</v>
      </c>
      <c r="B2335" t="s">
        <v>8769</v>
      </c>
      <c r="C2335" t="s">
        <v>6636</v>
      </c>
      <c r="D2335" s="234">
        <v>3055.28</v>
      </c>
    </row>
    <row r="2336" spans="1:4">
      <c r="A2336">
        <v>39361</v>
      </c>
      <c r="B2336" t="s">
        <v>8770</v>
      </c>
      <c r="C2336" t="s">
        <v>6636</v>
      </c>
      <c r="D2336" s="233">
        <v>785.64</v>
      </c>
    </row>
    <row r="2337" spans="1:4">
      <c r="A2337">
        <v>39362</v>
      </c>
      <c r="B2337" t="s">
        <v>8771</v>
      </c>
      <c r="C2337" t="s">
        <v>6636</v>
      </c>
      <c r="D2337" s="234">
        <v>2417.63</v>
      </c>
    </row>
    <row r="2338" spans="1:4">
      <c r="A2338">
        <v>39364</v>
      </c>
      <c r="B2338" t="s">
        <v>8772</v>
      </c>
      <c r="C2338" t="s">
        <v>6636</v>
      </c>
      <c r="D2338" s="234">
        <v>6983.51</v>
      </c>
    </row>
    <row r="2339" spans="1:4">
      <c r="A2339">
        <v>14576</v>
      </c>
      <c r="B2339" t="s">
        <v>8773</v>
      </c>
      <c r="C2339" t="s">
        <v>6636</v>
      </c>
      <c r="D2339" s="234">
        <v>4521707.05</v>
      </c>
    </row>
    <row r="2340" spans="1:4">
      <c r="A2340">
        <v>13877</v>
      </c>
      <c r="B2340" t="s">
        <v>8774</v>
      </c>
      <c r="C2340" t="s">
        <v>6636</v>
      </c>
      <c r="D2340" s="234">
        <v>1935675.34</v>
      </c>
    </row>
    <row r="2341" spans="1:4">
      <c r="A2341">
        <v>7307</v>
      </c>
      <c r="B2341" t="s">
        <v>805</v>
      </c>
      <c r="C2341" t="s">
        <v>6700</v>
      </c>
      <c r="D2341" s="233">
        <v>22.48</v>
      </c>
    </row>
    <row r="2342" spans="1:4">
      <c r="A2342">
        <v>38122</v>
      </c>
      <c r="B2342" t="s">
        <v>8775</v>
      </c>
      <c r="C2342" t="s">
        <v>6700</v>
      </c>
      <c r="D2342" s="233">
        <v>6.76</v>
      </c>
    </row>
    <row r="2343" spans="1:4">
      <c r="A2343">
        <v>6086</v>
      </c>
      <c r="B2343" t="s">
        <v>12687</v>
      </c>
      <c r="C2343" t="s">
        <v>8776</v>
      </c>
      <c r="D2343" s="233">
        <v>73.040000000000006</v>
      </c>
    </row>
    <row r="2344" spans="1:4">
      <c r="A2344">
        <v>38633</v>
      </c>
      <c r="B2344" t="s">
        <v>8777</v>
      </c>
      <c r="C2344" t="s">
        <v>6636</v>
      </c>
      <c r="D2344" s="233">
        <v>14.79</v>
      </c>
    </row>
    <row r="2345" spans="1:4">
      <c r="A2345">
        <v>12344</v>
      </c>
      <c r="B2345" t="s">
        <v>8778</v>
      </c>
      <c r="C2345" t="s">
        <v>6636</v>
      </c>
      <c r="D2345" s="233">
        <v>1.65</v>
      </c>
    </row>
    <row r="2346" spans="1:4">
      <c r="A2346">
        <v>12343</v>
      </c>
      <c r="B2346" t="s">
        <v>8779</v>
      </c>
      <c r="C2346" t="s">
        <v>6636</v>
      </c>
      <c r="D2346" s="233">
        <v>2.56</v>
      </c>
    </row>
    <row r="2347" spans="1:4">
      <c r="A2347">
        <v>3295</v>
      </c>
      <c r="B2347" t="s">
        <v>8780</v>
      </c>
      <c r="C2347" t="s">
        <v>6636</v>
      </c>
      <c r="D2347" s="233">
        <v>8.94</v>
      </c>
    </row>
    <row r="2348" spans="1:4">
      <c r="A2348">
        <v>3302</v>
      </c>
      <c r="B2348" t="s">
        <v>8781</v>
      </c>
      <c r="C2348" t="s">
        <v>6636</v>
      </c>
      <c r="D2348" s="233">
        <v>9.35</v>
      </c>
    </row>
    <row r="2349" spans="1:4">
      <c r="A2349">
        <v>3297</v>
      </c>
      <c r="B2349" t="s">
        <v>8782</v>
      </c>
      <c r="C2349" t="s">
        <v>6636</v>
      </c>
      <c r="D2349" s="233">
        <v>9.98</v>
      </c>
    </row>
    <row r="2350" spans="1:4">
      <c r="A2350">
        <v>3294</v>
      </c>
      <c r="B2350" t="s">
        <v>8783</v>
      </c>
      <c r="C2350" t="s">
        <v>6636</v>
      </c>
      <c r="D2350" s="233">
        <v>10.130000000000001</v>
      </c>
    </row>
    <row r="2351" spans="1:4">
      <c r="A2351">
        <v>3292</v>
      </c>
      <c r="B2351" t="s">
        <v>8784</v>
      </c>
      <c r="C2351" t="s">
        <v>6636</v>
      </c>
      <c r="D2351" s="233">
        <v>9.52</v>
      </c>
    </row>
    <row r="2352" spans="1:4">
      <c r="A2352">
        <v>3298</v>
      </c>
      <c r="B2352" t="s">
        <v>8785</v>
      </c>
      <c r="C2352" t="s">
        <v>6636</v>
      </c>
      <c r="D2352" s="233">
        <v>22.31</v>
      </c>
    </row>
    <row r="2353" spans="1:4">
      <c r="A2353">
        <v>11596</v>
      </c>
      <c r="B2353" t="s">
        <v>8786</v>
      </c>
      <c r="C2353" t="s">
        <v>6636</v>
      </c>
      <c r="D2353" s="233">
        <v>427.37</v>
      </c>
    </row>
    <row r="2354" spans="1:4">
      <c r="A2354">
        <v>34802</v>
      </c>
      <c r="B2354" t="s">
        <v>8787</v>
      </c>
      <c r="C2354" t="s">
        <v>6636</v>
      </c>
      <c r="D2354" s="234">
        <v>1173.69</v>
      </c>
    </row>
    <row r="2355" spans="1:4">
      <c r="A2355">
        <v>11588</v>
      </c>
      <c r="B2355" t="s">
        <v>8788</v>
      </c>
      <c r="C2355" t="s">
        <v>6636</v>
      </c>
      <c r="D2355" s="234">
        <v>1266.23</v>
      </c>
    </row>
    <row r="2356" spans="1:4">
      <c r="A2356">
        <v>34383</v>
      </c>
      <c r="B2356" t="s">
        <v>8789</v>
      </c>
      <c r="C2356" t="s">
        <v>6636</v>
      </c>
      <c r="D2356" s="234">
        <v>1392.94</v>
      </c>
    </row>
    <row r="2357" spans="1:4">
      <c r="A2357">
        <v>40451</v>
      </c>
      <c r="B2357" t="s">
        <v>8790</v>
      </c>
      <c r="C2357" t="s">
        <v>6638</v>
      </c>
      <c r="D2357" s="233">
        <v>112.6</v>
      </c>
    </row>
    <row r="2358" spans="1:4">
      <c r="A2358">
        <v>40453</v>
      </c>
      <c r="B2358" t="s">
        <v>8791</v>
      </c>
      <c r="C2358" t="s">
        <v>6638</v>
      </c>
      <c r="D2358" s="233">
        <v>121.83</v>
      </c>
    </row>
    <row r="2359" spans="1:4">
      <c r="A2359">
        <v>40452</v>
      </c>
      <c r="B2359" t="s">
        <v>8792</v>
      </c>
      <c r="C2359" t="s">
        <v>6638</v>
      </c>
      <c r="D2359" s="233">
        <v>133.63</v>
      </c>
    </row>
    <row r="2360" spans="1:4">
      <c r="A2360">
        <v>11594</v>
      </c>
      <c r="B2360" t="s">
        <v>8793</v>
      </c>
      <c r="C2360" t="s">
        <v>6636</v>
      </c>
      <c r="D2360" s="233">
        <v>403.58</v>
      </c>
    </row>
    <row r="2361" spans="1:4">
      <c r="A2361">
        <v>3311</v>
      </c>
      <c r="B2361" t="s">
        <v>8794</v>
      </c>
      <c r="C2361" t="s">
        <v>6781</v>
      </c>
      <c r="D2361" s="233">
        <v>403.58</v>
      </c>
    </row>
    <row r="2362" spans="1:4">
      <c r="A2362">
        <v>11599</v>
      </c>
      <c r="B2362" t="s">
        <v>8795</v>
      </c>
      <c r="C2362" t="s">
        <v>6636</v>
      </c>
      <c r="D2362" s="233">
        <v>536.72</v>
      </c>
    </row>
    <row r="2363" spans="1:4">
      <c r="A2363">
        <v>11593</v>
      </c>
      <c r="B2363" t="s">
        <v>8796</v>
      </c>
      <c r="C2363" t="s">
        <v>6636</v>
      </c>
      <c r="D2363" s="233">
        <v>752.44</v>
      </c>
    </row>
    <row r="2364" spans="1:4">
      <c r="A2364">
        <v>3314</v>
      </c>
      <c r="B2364" t="s">
        <v>8797</v>
      </c>
      <c r="C2364" t="s">
        <v>6781</v>
      </c>
      <c r="D2364" s="233">
        <v>538.15</v>
      </c>
    </row>
    <row r="2365" spans="1:4">
      <c r="A2365">
        <v>11597</v>
      </c>
      <c r="B2365" t="s">
        <v>8798</v>
      </c>
      <c r="C2365" t="s">
        <v>6636</v>
      </c>
      <c r="D2365" s="233">
        <v>625.79999999999995</v>
      </c>
    </row>
    <row r="2366" spans="1:4">
      <c r="A2366">
        <v>3309</v>
      </c>
      <c r="B2366" t="s">
        <v>8799</v>
      </c>
      <c r="C2366" t="s">
        <v>6781</v>
      </c>
      <c r="D2366" s="233">
        <v>427.37</v>
      </c>
    </row>
    <row r="2367" spans="1:4">
      <c r="A2367">
        <v>34612</v>
      </c>
      <c r="B2367" t="s">
        <v>8800</v>
      </c>
      <c r="C2367" t="s">
        <v>6636</v>
      </c>
      <c r="D2367" s="233">
        <v>774.01</v>
      </c>
    </row>
    <row r="2368" spans="1:4">
      <c r="A2368">
        <v>34635</v>
      </c>
      <c r="B2368" t="s">
        <v>8801</v>
      </c>
      <c r="C2368" t="s">
        <v>6636</v>
      </c>
      <c r="D2368" s="233">
        <v>995.34</v>
      </c>
    </row>
    <row r="2369" spans="1:4">
      <c r="A2369">
        <v>34633</v>
      </c>
      <c r="B2369" t="s">
        <v>8802</v>
      </c>
      <c r="C2369" t="s">
        <v>6636</v>
      </c>
      <c r="D2369" s="234">
        <v>1097.1300000000001</v>
      </c>
    </row>
    <row r="2370" spans="1:4">
      <c r="A2370">
        <v>40440</v>
      </c>
      <c r="B2370" t="s">
        <v>8803</v>
      </c>
      <c r="C2370" t="s">
        <v>6781</v>
      </c>
      <c r="D2370" s="233">
        <v>560.54</v>
      </c>
    </row>
    <row r="2371" spans="1:4">
      <c r="A2371">
        <v>40441</v>
      </c>
      <c r="B2371" t="s">
        <v>8804</v>
      </c>
      <c r="C2371" t="s">
        <v>6781</v>
      </c>
      <c r="D2371" s="233">
        <v>357.87</v>
      </c>
    </row>
    <row r="2372" spans="1:4">
      <c r="A2372">
        <v>40449</v>
      </c>
      <c r="B2372" t="s">
        <v>8805</v>
      </c>
      <c r="C2372" t="s">
        <v>6781</v>
      </c>
      <c r="D2372" s="233">
        <v>300.85000000000002</v>
      </c>
    </row>
    <row r="2373" spans="1:4">
      <c r="A2373">
        <v>34800</v>
      </c>
      <c r="B2373" t="s">
        <v>8806</v>
      </c>
      <c r="C2373" t="s">
        <v>6781</v>
      </c>
      <c r="D2373" s="233">
        <v>376.22</v>
      </c>
    </row>
    <row r="2374" spans="1:4">
      <c r="A2374">
        <v>11592</v>
      </c>
      <c r="B2374" t="s">
        <v>8807</v>
      </c>
      <c r="C2374" t="s">
        <v>6636</v>
      </c>
      <c r="D2374" s="233">
        <v>538.15</v>
      </c>
    </row>
    <row r="2375" spans="1:4">
      <c r="A2375">
        <v>40438</v>
      </c>
      <c r="B2375" t="s">
        <v>8808</v>
      </c>
      <c r="C2375" t="s">
        <v>6781</v>
      </c>
      <c r="D2375" s="233">
        <v>250.64</v>
      </c>
    </row>
    <row r="2376" spans="1:4">
      <c r="A2376">
        <v>40436</v>
      </c>
      <c r="B2376" t="s">
        <v>8809</v>
      </c>
      <c r="C2376" t="s">
        <v>6781</v>
      </c>
      <c r="D2376" s="233">
        <v>312.52999999999997</v>
      </c>
    </row>
    <row r="2377" spans="1:4">
      <c r="A2377">
        <v>4315</v>
      </c>
      <c r="B2377" t="s">
        <v>8810</v>
      </c>
      <c r="C2377" t="s">
        <v>6636</v>
      </c>
      <c r="D2377" s="233">
        <v>1.35</v>
      </c>
    </row>
    <row r="2378" spans="1:4">
      <c r="A2378">
        <v>42482</v>
      </c>
      <c r="B2378" t="s">
        <v>8811</v>
      </c>
      <c r="C2378" t="s">
        <v>6636</v>
      </c>
      <c r="D2378" s="233">
        <v>1.8</v>
      </c>
    </row>
    <row r="2379" spans="1:4">
      <c r="A2379">
        <v>402</v>
      </c>
      <c r="B2379" t="s">
        <v>8812</v>
      </c>
      <c r="C2379" t="s">
        <v>6636</v>
      </c>
      <c r="D2379" s="233">
        <v>9.0399999999999991</v>
      </c>
    </row>
    <row r="2380" spans="1:4">
      <c r="A2380">
        <v>4226</v>
      </c>
      <c r="B2380" t="s">
        <v>8813</v>
      </c>
      <c r="C2380" t="s">
        <v>6698</v>
      </c>
      <c r="D2380" s="233">
        <v>7.37</v>
      </c>
    </row>
    <row r="2381" spans="1:4">
      <c r="A2381">
        <v>4222</v>
      </c>
      <c r="B2381" t="s">
        <v>8814</v>
      </c>
      <c r="C2381" t="s">
        <v>6700</v>
      </c>
      <c r="D2381" s="233">
        <v>4.76</v>
      </c>
    </row>
    <row r="2382" spans="1:4">
      <c r="A2382">
        <v>34804</v>
      </c>
      <c r="B2382" t="s">
        <v>8815</v>
      </c>
      <c r="C2382" t="s">
        <v>6638</v>
      </c>
      <c r="D2382" s="233">
        <v>45.43</v>
      </c>
    </row>
    <row r="2383" spans="1:4">
      <c r="A2383">
        <v>4013</v>
      </c>
      <c r="B2383" t="s">
        <v>8816</v>
      </c>
      <c r="C2383" t="s">
        <v>6638</v>
      </c>
      <c r="D2383" s="233">
        <v>5.01</v>
      </c>
    </row>
    <row r="2384" spans="1:4">
      <c r="A2384">
        <v>4011</v>
      </c>
      <c r="B2384" t="s">
        <v>8817</v>
      </c>
      <c r="C2384" t="s">
        <v>6638</v>
      </c>
      <c r="D2384" s="233">
        <v>5.6</v>
      </c>
    </row>
    <row r="2385" spans="1:4">
      <c r="A2385">
        <v>4021</v>
      </c>
      <c r="B2385" t="s">
        <v>8818</v>
      </c>
      <c r="C2385" t="s">
        <v>6638</v>
      </c>
      <c r="D2385" s="233">
        <v>6.99</v>
      </c>
    </row>
    <row r="2386" spans="1:4">
      <c r="A2386">
        <v>4019</v>
      </c>
      <c r="B2386" t="s">
        <v>8819</v>
      </c>
      <c r="C2386" t="s">
        <v>6638</v>
      </c>
      <c r="D2386" s="233">
        <v>8.39</v>
      </c>
    </row>
    <row r="2387" spans="1:4">
      <c r="A2387">
        <v>4012</v>
      </c>
      <c r="B2387" t="s">
        <v>8820</v>
      </c>
      <c r="C2387" t="s">
        <v>6638</v>
      </c>
      <c r="D2387" s="233">
        <v>11.24</v>
      </c>
    </row>
    <row r="2388" spans="1:4">
      <c r="A2388">
        <v>4020</v>
      </c>
      <c r="B2388" t="s">
        <v>8821</v>
      </c>
      <c r="C2388" t="s">
        <v>6638</v>
      </c>
      <c r="D2388" s="233">
        <v>14.07</v>
      </c>
    </row>
    <row r="2389" spans="1:4">
      <c r="A2389">
        <v>4018</v>
      </c>
      <c r="B2389" t="s">
        <v>8822</v>
      </c>
      <c r="C2389" t="s">
        <v>6638</v>
      </c>
      <c r="D2389" s="233">
        <v>16.86</v>
      </c>
    </row>
    <row r="2390" spans="1:4">
      <c r="A2390">
        <v>36498</v>
      </c>
      <c r="B2390" t="s">
        <v>8823</v>
      </c>
      <c r="C2390" t="s">
        <v>6636</v>
      </c>
      <c r="D2390" s="234">
        <v>5027.6000000000004</v>
      </c>
    </row>
    <row r="2391" spans="1:4">
      <c r="A2391">
        <v>12872</v>
      </c>
      <c r="B2391" t="s">
        <v>8824</v>
      </c>
      <c r="C2391" t="s">
        <v>6640</v>
      </c>
      <c r="D2391" s="233">
        <v>14.81</v>
      </c>
    </row>
    <row r="2392" spans="1:4">
      <c r="A2392">
        <v>41075</v>
      </c>
      <c r="B2392" t="s">
        <v>8825</v>
      </c>
      <c r="C2392" t="s">
        <v>6785</v>
      </c>
      <c r="D2392" s="234">
        <v>2626.51</v>
      </c>
    </row>
    <row r="2393" spans="1:4">
      <c r="A2393">
        <v>3315</v>
      </c>
      <c r="B2393" t="s">
        <v>8826</v>
      </c>
      <c r="C2393" t="s">
        <v>6698</v>
      </c>
      <c r="D2393" s="233">
        <v>0.59</v>
      </c>
    </row>
    <row r="2394" spans="1:4">
      <c r="A2394">
        <v>36870</v>
      </c>
      <c r="B2394" t="s">
        <v>8827</v>
      </c>
      <c r="C2394" t="s">
        <v>6698</v>
      </c>
      <c r="D2394" s="233">
        <v>0.59</v>
      </c>
    </row>
    <row r="2395" spans="1:4">
      <c r="A2395">
        <v>5092</v>
      </c>
      <c r="B2395" t="s">
        <v>8828</v>
      </c>
      <c r="C2395" t="s">
        <v>7024</v>
      </c>
      <c r="D2395" s="233">
        <v>14.55</v>
      </c>
    </row>
    <row r="2396" spans="1:4">
      <c r="A2396">
        <v>11462</v>
      </c>
      <c r="B2396" t="s">
        <v>8829</v>
      </c>
      <c r="C2396" t="s">
        <v>7024</v>
      </c>
      <c r="D2396" s="233">
        <v>14.87</v>
      </c>
    </row>
    <row r="2397" spans="1:4">
      <c r="A2397">
        <v>36529</v>
      </c>
      <c r="B2397" t="s">
        <v>8830</v>
      </c>
      <c r="C2397" t="s">
        <v>6636</v>
      </c>
      <c r="D2397" s="234">
        <v>33396.6</v>
      </c>
    </row>
    <row r="2398" spans="1:4">
      <c r="A2398">
        <v>3318</v>
      </c>
      <c r="B2398" t="s">
        <v>8831</v>
      </c>
      <c r="C2398" t="s">
        <v>6636</v>
      </c>
      <c r="D2398" s="234">
        <v>26182.94</v>
      </c>
    </row>
    <row r="2399" spans="1:4">
      <c r="A2399">
        <v>38968</v>
      </c>
      <c r="B2399" t="s">
        <v>12688</v>
      </c>
      <c r="C2399" t="s">
        <v>6638</v>
      </c>
      <c r="D2399" s="233">
        <v>325.33999999999997</v>
      </c>
    </row>
    <row r="2400" spans="1:4">
      <c r="A2400">
        <v>3324</v>
      </c>
      <c r="B2400" t="s">
        <v>8832</v>
      </c>
      <c r="C2400" t="s">
        <v>6638</v>
      </c>
      <c r="D2400" s="233">
        <v>5.71</v>
      </c>
    </row>
    <row r="2401" spans="1:4">
      <c r="A2401">
        <v>3322</v>
      </c>
      <c r="B2401" t="s">
        <v>8833</v>
      </c>
      <c r="C2401" t="s">
        <v>6638</v>
      </c>
      <c r="D2401" s="233">
        <v>8</v>
      </c>
    </row>
    <row r="2402" spans="1:4">
      <c r="A2402">
        <v>43390</v>
      </c>
      <c r="B2402" t="s">
        <v>8834</v>
      </c>
      <c r="C2402" t="s">
        <v>6638</v>
      </c>
      <c r="D2402" s="233">
        <v>75</v>
      </c>
    </row>
    <row r="2403" spans="1:4">
      <c r="A2403">
        <v>5076</v>
      </c>
      <c r="B2403" t="s">
        <v>8835</v>
      </c>
      <c r="C2403" t="s">
        <v>6698</v>
      </c>
      <c r="D2403" s="233">
        <v>11.29</v>
      </c>
    </row>
    <row r="2404" spans="1:4">
      <c r="A2404">
        <v>5077</v>
      </c>
      <c r="B2404" t="s">
        <v>8836</v>
      </c>
      <c r="C2404" t="s">
        <v>6698</v>
      </c>
      <c r="D2404" s="233">
        <v>12.48</v>
      </c>
    </row>
    <row r="2405" spans="1:4">
      <c r="A2405">
        <v>11837</v>
      </c>
      <c r="B2405" t="s">
        <v>8837</v>
      </c>
      <c r="C2405" t="s">
        <v>6636</v>
      </c>
      <c r="D2405" s="233">
        <v>33.299999999999997</v>
      </c>
    </row>
    <row r="2406" spans="1:4">
      <c r="A2406">
        <v>38055</v>
      </c>
      <c r="B2406" t="s">
        <v>8838</v>
      </c>
      <c r="C2406" t="s">
        <v>6636</v>
      </c>
      <c r="D2406" s="233">
        <v>3.02</v>
      </c>
    </row>
    <row r="2407" spans="1:4">
      <c r="A2407">
        <v>415</v>
      </c>
      <c r="B2407" t="s">
        <v>8839</v>
      </c>
      <c r="C2407" t="s">
        <v>6636</v>
      </c>
      <c r="D2407" s="233">
        <v>13.65</v>
      </c>
    </row>
    <row r="2408" spans="1:4">
      <c r="A2408">
        <v>416</v>
      </c>
      <c r="B2408" t="s">
        <v>8840</v>
      </c>
      <c r="C2408" t="s">
        <v>6636</v>
      </c>
      <c r="D2408" s="233">
        <v>5</v>
      </c>
    </row>
    <row r="2409" spans="1:4">
      <c r="A2409">
        <v>425</v>
      </c>
      <c r="B2409" t="s">
        <v>8841</v>
      </c>
      <c r="C2409" t="s">
        <v>6636</v>
      </c>
      <c r="D2409" s="233">
        <v>3.1</v>
      </c>
    </row>
    <row r="2410" spans="1:4">
      <c r="A2410">
        <v>426</v>
      </c>
      <c r="B2410" t="s">
        <v>8842</v>
      </c>
      <c r="C2410" t="s">
        <v>6636</v>
      </c>
      <c r="D2410" s="233">
        <v>17.07</v>
      </c>
    </row>
    <row r="2411" spans="1:4">
      <c r="A2411">
        <v>38056</v>
      </c>
      <c r="B2411" t="s">
        <v>8843</v>
      </c>
      <c r="C2411" t="s">
        <v>6636</v>
      </c>
      <c r="D2411" s="233">
        <v>16.66</v>
      </c>
    </row>
    <row r="2412" spans="1:4">
      <c r="A2412">
        <v>1564</v>
      </c>
      <c r="B2412" t="s">
        <v>8844</v>
      </c>
      <c r="C2412" t="s">
        <v>6636</v>
      </c>
      <c r="D2412" s="233">
        <v>6.36</v>
      </c>
    </row>
    <row r="2413" spans="1:4">
      <c r="A2413">
        <v>11032</v>
      </c>
      <c r="B2413" t="s">
        <v>8845</v>
      </c>
      <c r="C2413" t="s">
        <v>6636</v>
      </c>
      <c r="D2413" s="233">
        <v>7.64</v>
      </c>
    </row>
    <row r="2414" spans="1:4">
      <c r="A2414">
        <v>36786</v>
      </c>
      <c r="B2414" t="s">
        <v>8846</v>
      </c>
      <c r="C2414" t="s">
        <v>8847</v>
      </c>
      <c r="D2414" s="233">
        <v>128.38999999999999</v>
      </c>
    </row>
    <row r="2415" spans="1:4">
      <c r="A2415">
        <v>36785</v>
      </c>
      <c r="B2415" t="s">
        <v>8848</v>
      </c>
      <c r="C2415" t="s">
        <v>8847</v>
      </c>
      <c r="D2415" s="233">
        <v>111.57</v>
      </c>
    </row>
    <row r="2416" spans="1:4">
      <c r="A2416">
        <v>36782</v>
      </c>
      <c r="B2416" t="s">
        <v>8849</v>
      </c>
      <c r="C2416" t="s">
        <v>8847</v>
      </c>
      <c r="D2416" s="233">
        <v>133.16999999999999</v>
      </c>
    </row>
    <row r="2417" spans="1:4">
      <c r="A2417">
        <v>25930</v>
      </c>
      <c r="B2417" t="s">
        <v>8850</v>
      </c>
      <c r="C2417" t="s">
        <v>8847</v>
      </c>
      <c r="D2417" s="233">
        <v>150</v>
      </c>
    </row>
    <row r="2418" spans="1:4">
      <c r="A2418">
        <v>4824</v>
      </c>
      <c r="B2418" t="s">
        <v>8851</v>
      </c>
      <c r="C2418" t="s">
        <v>6698</v>
      </c>
      <c r="D2418" s="233">
        <v>0.39</v>
      </c>
    </row>
    <row r="2419" spans="1:4">
      <c r="A2419">
        <v>11795</v>
      </c>
      <c r="B2419" t="s">
        <v>833</v>
      </c>
      <c r="C2419" t="s">
        <v>6638</v>
      </c>
      <c r="D2419" s="233">
        <v>445.28</v>
      </c>
    </row>
    <row r="2420" spans="1:4">
      <c r="A2420">
        <v>134</v>
      </c>
      <c r="B2420" t="s">
        <v>8852</v>
      </c>
      <c r="C2420" t="s">
        <v>6698</v>
      </c>
      <c r="D2420" s="233">
        <v>1.1299999999999999</v>
      </c>
    </row>
    <row r="2421" spans="1:4">
      <c r="A2421">
        <v>4229</v>
      </c>
      <c r="B2421" t="s">
        <v>8853</v>
      </c>
      <c r="C2421" t="s">
        <v>6698</v>
      </c>
      <c r="D2421" s="233">
        <v>20.59</v>
      </c>
    </row>
    <row r="2422" spans="1:4">
      <c r="A2422">
        <v>11244</v>
      </c>
      <c r="B2422" t="s">
        <v>8854</v>
      </c>
      <c r="C2422" t="s">
        <v>6636</v>
      </c>
      <c r="D2422" s="233">
        <v>140.57</v>
      </c>
    </row>
    <row r="2423" spans="1:4">
      <c r="A2423">
        <v>11245</v>
      </c>
      <c r="B2423" t="s">
        <v>8855</v>
      </c>
      <c r="C2423" t="s">
        <v>6636</v>
      </c>
      <c r="D2423" s="233">
        <v>194.43</v>
      </c>
    </row>
    <row r="2424" spans="1:4">
      <c r="A2424">
        <v>11235</v>
      </c>
      <c r="B2424" t="s">
        <v>8856</v>
      </c>
      <c r="C2424" t="s">
        <v>6636</v>
      </c>
      <c r="D2424" s="233">
        <v>107.27</v>
      </c>
    </row>
    <row r="2425" spans="1:4">
      <c r="A2425">
        <v>11236</v>
      </c>
      <c r="B2425" t="s">
        <v>922</v>
      </c>
      <c r="C2425" t="s">
        <v>6636</v>
      </c>
      <c r="D2425" s="233">
        <v>136.32</v>
      </c>
    </row>
    <row r="2426" spans="1:4">
      <c r="A2426">
        <v>11731</v>
      </c>
      <c r="B2426" t="s">
        <v>8857</v>
      </c>
      <c r="C2426" t="s">
        <v>6636</v>
      </c>
      <c r="D2426" s="233">
        <v>4.3499999999999996</v>
      </c>
    </row>
    <row r="2427" spans="1:4">
      <c r="A2427">
        <v>11732</v>
      </c>
      <c r="B2427" t="s">
        <v>8858</v>
      </c>
      <c r="C2427" t="s">
        <v>6636</v>
      </c>
      <c r="D2427" s="233">
        <v>22.09</v>
      </c>
    </row>
    <row r="2428" spans="1:4">
      <c r="A2428">
        <v>36494</v>
      </c>
      <c r="B2428" t="s">
        <v>8859</v>
      </c>
      <c r="C2428" t="s">
        <v>6636</v>
      </c>
      <c r="D2428" s="234">
        <v>377809.08</v>
      </c>
    </row>
    <row r="2429" spans="1:4">
      <c r="A2429">
        <v>36493</v>
      </c>
      <c r="B2429" t="s">
        <v>8860</v>
      </c>
      <c r="C2429" t="s">
        <v>6636</v>
      </c>
      <c r="D2429" s="234">
        <v>428042.35</v>
      </c>
    </row>
    <row r="2430" spans="1:4">
      <c r="A2430">
        <v>36492</v>
      </c>
      <c r="B2430" t="s">
        <v>8861</v>
      </c>
      <c r="C2430" t="s">
        <v>6636</v>
      </c>
      <c r="D2430" s="234">
        <v>795140.35</v>
      </c>
    </row>
    <row r="2431" spans="1:4">
      <c r="A2431">
        <v>13333</v>
      </c>
      <c r="B2431" t="s">
        <v>8862</v>
      </c>
      <c r="C2431" t="s">
        <v>6636</v>
      </c>
      <c r="D2431" s="234">
        <v>139225.88</v>
      </c>
    </row>
    <row r="2432" spans="1:4">
      <c r="A2432">
        <v>13533</v>
      </c>
      <c r="B2432" t="s">
        <v>8863</v>
      </c>
      <c r="C2432" t="s">
        <v>6636</v>
      </c>
      <c r="D2432" s="234">
        <v>124452.47</v>
      </c>
    </row>
    <row r="2433" spans="1:4">
      <c r="A2433">
        <v>36499</v>
      </c>
      <c r="B2433" t="s">
        <v>8864</v>
      </c>
      <c r="C2433" t="s">
        <v>6636</v>
      </c>
      <c r="D2433" s="234">
        <v>2714.9</v>
      </c>
    </row>
    <row r="2434" spans="1:4">
      <c r="A2434">
        <v>39585</v>
      </c>
      <c r="B2434" t="s">
        <v>8865</v>
      </c>
      <c r="C2434" t="s">
        <v>6636</v>
      </c>
      <c r="D2434" s="234">
        <v>89898.14</v>
      </c>
    </row>
    <row r="2435" spans="1:4">
      <c r="A2435">
        <v>39586</v>
      </c>
      <c r="B2435" t="s">
        <v>8866</v>
      </c>
      <c r="C2435" t="s">
        <v>6636</v>
      </c>
      <c r="D2435" s="234">
        <v>105444.44</v>
      </c>
    </row>
    <row r="2436" spans="1:4">
      <c r="A2436">
        <v>39587</v>
      </c>
      <c r="B2436" t="s">
        <v>8867</v>
      </c>
      <c r="C2436" t="s">
        <v>6636</v>
      </c>
      <c r="D2436" s="234">
        <v>128425.92</v>
      </c>
    </row>
    <row r="2437" spans="1:4">
      <c r="A2437">
        <v>39588</v>
      </c>
      <c r="B2437" t="s">
        <v>8868</v>
      </c>
      <c r="C2437" t="s">
        <v>6636</v>
      </c>
      <c r="D2437" s="234">
        <v>148703.70000000001</v>
      </c>
    </row>
    <row r="2438" spans="1:4">
      <c r="A2438">
        <v>39584</v>
      </c>
      <c r="B2438" t="s">
        <v>8869</v>
      </c>
      <c r="C2438" t="s">
        <v>6636</v>
      </c>
      <c r="D2438" s="234">
        <v>80056.66</v>
      </c>
    </row>
    <row r="2439" spans="1:4">
      <c r="A2439">
        <v>39590</v>
      </c>
      <c r="B2439" t="s">
        <v>8870</v>
      </c>
      <c r="C2439" t="s">
        <v>6636</v>
      </c>
      <c r="D2439" s="234">
        <v>78137.03</v>
      </c>
    </row>
    <row r="2440" spans="1:4">
      <c r="A2440">
        <v>39592</v>
      </c>
      <c r="B2440" t="s">
        <v>8871</v>
      </c>
      <c r="C2440" t="s">
        <v>6636</v>
      </c>
      <c r="D2440" s="234">
        <v>112284.81</v>
      </c>
    </row>
    <row r="2441" spans="1:4">
      <c r="A2441">
        <v>39593</v>
      </c>
      <c r="B2441" t="s">
        <v>8872</v>
      </c>
      <c r="C2441" t="s">
        <v>6636</v>
      </c>
      <c r="D2441" s="234">
        <v>128425.92</v>
      </c>
    </row>
    <row r="2442" spans="1:4">
      <c r="A2442">
        <v>14254</v>
      </c>
      <c r="B2442" t="s">
        <v>8873</v>
      </c>
      <c r="C2442" t="s">
        <v>6636</v>
      </c>
      <c r="D2442" s="234">
        <v>73000</v>
      </c>
    </row>
    <row r="2443" spans="1:4">
      <c r="A2443">
        <v>25987</v>
      </c>
      <c r="B2443" t="s">
        <v>8874</v>
      </c>
      <c r="C2443" t="s">
        <v>6636</v>
      </c>
      <c r="D2443" s="234">
        <v>60960.82</v>
      </c>
    </row>
    <row r="2444" spans="1:4">
      <c r="A2444">
        <v>25019</v>
      </c>
      <c r="B2444" t="s">
        <v>8875</v>
      </c>
      <c r="C2444" t="s">
        <v>6636</v>
      </c>
      <c r="D2444" s="234">
        <v>104493.66</v>
      </c>
    </row>
    <row r="2445" spans="1:4">
      <c r="A2445">
        <v>36501</v>
      </c>
      <c r="B2445" t="s">
        <v>8876</v>
      </c>
      <c r="C2445" t="s">
        <v>6636</v>
      </c>
      <c r="D2445" s="234">
        <v>93035.37</v>
      </c>
    </row>
    <row r="2446" spans="1:4">
      <c r="A2446">
        <v>25986</v>
      </c>
      <c r="B2446" t="s">
        <v>8877</v>
      </c>
      <c r="C2446" t="s">
        <v>6636</v>
      </c>
      <c r="D2446" s="234">
        <v>111846.34</v>
      </c>
    </row>
    <row r="2447" spans="1:4">
      <c r="A2447">
        <v>36500</v>
      </c>
      <c r="B2447" t="s">
        <v>8878</v>
      </c>
      <c r="C2447" t="s">
        <v>6636</v>
      </c>
      <c r="D2447" s="234">
        <v>65745.55</v>
      </c>
    </row>
    <row r="2448" spans="1:4">
      <c r="A2448">
        <v>20017</v>
      </c>
      <c r="B2448" t="s">
        <v>8879</v>
      </c>
      <c r="C2448" t="s">
        <v>6649</v>
      </c>
      <c r="D2448" s="233">
        <v>3.37</v>
      </c>
    </row>
    <row r="2449" spans="1:4">
      <c r="A2449">
        <v>20007</v>
      </c>
      <c r="B2449" t="s">
        <v>8880</v>
      </c>
      <c r="C2449" t="s">
        <v>6649</v>
      </c>
      <c r="D2449" s="233">
        <v>2.59</v>
      </c>
    </row>
    <row r="2450" spans="1:4">
      <c r="A2450">
        <v>39836</v>
      </c>
      <c r="B2450" t="s">
        <v>8881</v>
      </c>
      <c r="C2450" t="s">
        <v>7057</v>
      </c>
      <c r="D2450" s="233">
        <v>142.44999999999999</v>
      </c>
    </row>
    <row r="2451" spans="1:4">
      <c r="A2451">
        <v>39830</v>
      </c>
      <c r="B2451" t="s">
        <v>8882</v>
      </c>
      <c r="C2451" t="s">
        <v>7057</v>
      </c>
      <c r="D2451" s="233">
        <v>162.46</v>
      </c>
    </row>
    <row r="2452" spans="1:4">
      <c r="A2452">
        <v>39831</v>
      </c>
      <c r="B2452" t="s">
        <v>8883</v>
      </c>
      <c r="C2452" t="s">
        <v>7057</v>
      </c>
      <c r="D2452" s="233">
        <v>162.11000000000001</v>
      </c>
    </row>
    <row r="2453" spans="1:4">
      <c r="A2453">
        <v>36888</v>
      </c>
      <c r="B2453" t="s">
        <v>8884</v>
      </c>
      <c r="C2453" t="s">
        <v>6649</v>
      </c>
      <c r="D2453" s="233">
        <v>7.85</v>
      </c>
    </row>
    <row r="2454" spans="1:4">
      <c r="A2454">
        <v>40527</v>
      </c>
      <c r="B2454" t="s">
        <v>8885</v>
      </c>
      <c r="C2454" t="s">
        <v>6636</v>
      </c>
      <c r="D2454" s="234">
        <v>2200.79</v>
      </c>
    </row>
    <row r="2455" spans="1:4">
      <c r="A2455">
        <v>36497</v>
      </c>
      <c r="B2455" t="s">
        <v>8886</v>
      </c>
      <c r="C2455" t="s">
        <v>6636</v>
      </c>
      <c r="D2455" s="234">
        <v>2512.44</v>
      </c>
    </row>
    <row r="2456" spans="1:4">
      <c r="A2456">
        <v>36487</v>
      </c>
      <c r="B2456" t="s">
        <v>8887</v>
      </c>
      <c r="C2456" t="s">
        <v>6636</v>
      </c>
      <c r="D2456" s="234">
        <v>4374.55</v>
      </c>
    </row>
    <row r="2457" spans="1:4">
      <c r="A2457">
        <v>25952</v>
      </c>
      <c r="B2457" t="s">
        <v>8888</v>
      </c>
      <c r="C2457" t="s">
        <v>6636</v>
      </c>
      <c r="D2457" s="234">
        <v>660657.27</v>
      </c>
    </row>
    <row r="2458" spans="1:4">
      <c r="A2458">
        <v>25954</v>
      </c>
      <c r="B2458" t="s">
        <v>8889</v>
      </c>
      <c r="C2458" t="s">
        <v>6636</v>
      </c>
      <c r="D2458" s="234">
        <v>1270494.75</v>
      </c>
    </row>
    <row r="2459" spans="1:4">
      <c r="A2459">
        <v>25953</v>
      </c>
      <c r="B2459" t="s">
        <v>8890</v>
      </c>
      <c r="C2459" t="s">
        <v>6636</v>
      </c>
      <c r="D2459" s="234">
        <v>2159841.08</v>
      </c>
    </row>
    <row r="2460" spans="1:4">
      <c r="A2460">
        <v>37776</v>
      </c>
      <c r="B2460" t="s">
        <v>8891</v>
      </c>
      <c r="C2460" t="s">
        <v>6636</v>
      </c>
      <c r="D2460" s="234">
        <v>132370.65</v>
      </c>
    </row>
    <row r="2461" spans="1:4">
      <c r="A2461">
        <v>37775</v>
      </c>
      <c r="B2461" t="s">
        <v>8892</v>
      </c>
      <c r="C2461" t="s">
        <v>6636</v>
      </c>
      <c r="D2461" s="234">
        <v>208493.79</v>
      </c>
    </row>
    <row r="2462" spans="1:4">
      <c r="A2462">
        <v>36491</v>
      </c>
      <c r="B2462" t="s">
        <v>8893</v>
      </c>
      <c r="C2462" t="s">
        <v>6636</v>
      </c>
      <c r="D2462" s="234">
        <v>772114.39</v>
      </c>
    </row>
    <row r="2463" spans="1:4">
      <c r="A2463">
        <v>10712</v>
      </c>
      <c r="B2463" t="s">
        <v>8894</v>
      </c>
      <c r="C2463" t="s">
        <v>6636</v>
      </c>
      <c r="D2463" s="234">
        <v>52123.44</v>
      </c>
    </row>
    <row r="2464" spans="1:4">
      <c r="A2464">
        <v>3363</v>
      </c>
      <c r="B2464" t="s">
        <v>8895</v>
      </c>
      <c r="C2464" t="s">
        <v>6636</v>
      </c>
      <c r="D2464" s="234">
        <v>73316.5</v>
      </c>
    </row>
    <row r="2465" spans="1:4">
      <c r="A2465">
        <v>3365</v>
      </c>
      <c r="B2465" t="s">
        <v>8896</v>
      </c>
      <c r="C2465" t="s">
        <v>6636</v>
      </c>
      <c r="D2465" s="234">
        <v>171377.31</v>
      </c>
    </row>
    <row r="2466" spans="1:4">
      <c r="A2466">
        <v>7569</v>
      </c>
      <c r="B2466" t="s">
        <v>8897</v>
      </c>
      <c r="C2466" t="s">
        <v>6636</v>
      </c>
      <c r="D2466" s="233">
        <v>42.25</v>
      </c>
    </row>
    <row r="2467" spans="1:4">
      <c r="A2467">
        <v>34349</v>
      </c>
      <c r="B2467" t="s">
        <v>8898</v>
      </c>
      <c r="C2467" t="s">
        <v>6636</v>
      </c>
      <c r="D2467" s="233">
        <v>15.95</v>
      </c>
    </row>
    <row r="2468" spans="1:4">
      <c r="A2468">
        <v>11991</v>
      </c>
      <c r="B2468" t="s">
        <v>8899</v>
      </c>
      <c r="C2468" t="s">
        <v>6636</v>
      </c>
      <c r="D2468" s="233">
        <v>37.93</v>
      </c>
    </row>
    <row r="2469" spans="1:4">
      <c r="A2469">
        <v>20062</v>
      </c>
      <c r="B2469" t="s">
        <v>8900</v>
      </c>
      <c r="C2469" t="s">
        <v>6636</v>
      </c>
      <c r="D2469" s="233">
        <v>11.16</v>
      </c>
    </row>
    <row r="2470" spans="1:4">
      <c r="A2470">
        <v>11029</v>
      </c>
      <c r="B2470" t="s">
        <v>825</v>
      </c>
      <c r="C2470" t="s">
        <v>7972</v>
      </c>
      <c r="D2470" s="233">
        <v>1.17</v>
      </c>
    </row>
    <row r="2471" spans="1:4">
      <c r="A2471">
        <v>4316</v>
      </c>
      <c r="B2471" t="s">
        <v>8901</v>
      </c>
      <c r="C2471" t="s">
        <v>6636</v>
      </c>
      <c r="D2471" s="233">
        <v>1.18</v>
      </c>
    </row>
    <row r="2472" spans="1:4">
      <c r="A2472">
        <v>4313</v>
      </c>
      <c r="B2472" t="s">
        <v>8902</v>
      </c>
      <c r="C2472" t="s">
        <v>7972</v>
      </c>
      <c r="D2472" s="233">
        <v>1.69</v>
      </c>
    </row>
    <row r="2473" spans="1:4">
      <c r="A2473">
        <v>4317</v>
      </c>
      <c r="B2473" t="s">
        <v>8903</v>
      </c>
      <c r="C2473" t="s">
        <v>6636</v>
      </c>
      <c r="D2473" s="233">
        <v>1.93</v>
      </c>
    </row>
    <row r="2474" spans="1:4">
      <c r="A2474">
        <v>4314</v>
      </c>
      <c r="B2474" t="s">
        <v>8904</v>
      </c>
      <c r="C2474" t="s">
        <v>7972</v>
      </c>
      <c r="D2474" s="233">
        <v>2.2599999999999998</v>
      </c>
    </row>
    <row r="2475" spans="1:4">
      <c r="A2475">
        <v>10561</v>
      </c>
      <c r="B2475" t="s">
        <v>8905</v>
      </c>
      <c r="C2475" t="s">
        <v>6698</v>
      </c>
      <c r="D2475" s="233">
        <v>0.45</v>
      </c>
    </row>
    <row r="2476" spans="1:4">
      <c r="A2476">
        <v>10921</v>
      </c>
      <c r="B2476" t="s">
        <v>8906</v>
      </c>
      <c r="C2476" t="s">
        <v>6636</v>
      </c>
      <c r="D2476" s="234">
        <v>3306.55</v>
      </c>
    </row>
    <row r="2477" spans="1:4">
      <c r="A2477">
        <v>10922</v>
      </c>
      <c r="B2477" t="s">
        <v>8907</v>
      </c>
      <c r="C2477" t="s">
        <v>6636</v>
      </c>
      <c r="D2477" s="234">
        <v>2994.99</v>
      </c>
    </row>
    <row r="2478" spans="1:4">
      <c r="A2478">
        <v>10923</v>
      </c>
      <c r="B2478" t="s">
        <v>8908</v>
      </c>
      <c r="C2478" t="s">
        <v>6636</v>
      </c>
      <c r="D2478" s="234">
        <v>1770.16</v>
      </c>
    </row>
    <row r="2479" spans="1:4">
      <c r="A2479">
        <v>10924</v>
      </c>
      <c r="B2479" t="s">
        <v>8909</v>
      </c>
      <c r="C2479" t="s">
        <v>6636</v>
      </c>
      <c r="D2479" s="234">
        <v>1864.33</v>
      </c>
    </row>
    <row r="2480" spans="1:4">
      <c r="A2480">
        <v>37772</v>
      </c>
      <c r="B2480" t="s">
        <v>8910</v>
      </c>
      <c r="C2480" t="s">
        <v>6636</v>
      </c>
      <c r="D2480" s="234">
        <v>114526.71</v>
      </c>
    </row>
    <row r="2481" spans="1:4">
      <c r="A2481">
        <v>37771</v>
      </c>
      <c r="B2481" t="s">
        <v>8911</v>
      </c>
      <c r="C2481" t="s">
        <v>6636</v>
      </c>
      <c r="D2481" s="234">
        <v>121838.18</v>
      </c>
    </row>
    <row r="2482" spans="1:4">
      <c r="A2482">
        <v>12770</v>
      </c>
      <c r="B2482" t="s">
        <v>8912</v>
      </c>
      <c r="C2482" t="s">
        <v>6636</v>
      </c>
      <c r="D2482" s="233">
        <v>450.69</v>
      </c>
    </row>
    <row r="2483" spans="1:4">
      <c r="A2483">
        <v>12772</v>
      </c>
      <c r="B2483" t="s">
        <v>8913</v>
      </c>
      <c r="C2483" t="s">
        <v>6636</v>
      </c>
      <c r="D2483" s="233">
        <v>749.03</v>
      </c>
    </row>
    <row r="2484" spans="1:4">
      <c r="A2484">
        <v>12768</v>
      </c>
      <c r="B2484" t="s">
        <v>8914</v>
      </c>
      <c r="C2484" t="s">
        <v>6636</v>
      </c>
      <c r="D2484" s="234">
        <v>1053.73</v>
      </c>
    </row>
    <row r="2485" spans="1:4">
      <c r="A2485">
        <v>12775</v>
      </c>
      <c r="B2485" t="s">
        <v>8915</v>
      </c>
      <c r="C2485" t="s">
        <v>6636</v>
      </c>
      <c r="D2485" s="233">
        <v>330.08</v>
      </c>
    </row>
    <row r="2486" spans="1:4">
      <c r="A2486">
        <v>12769</v>
      </c>
      <c r="B2486" t="s">
        <v>8916</v>
      </c>
      <c r="C2486" t="s">
        <v>6636</v>
      </c>
      <c r="D2486" s="233">
        <v>86.33</v>
      </c>
    </row>
    <row r="2487" spans="1:4">
      <c r="A2487">
        <v>12773</v>
      </c>
      <c r="B2487" t="s">
        <v>8917</v>
      </c>
      <c r="C2487" t="s">
        <v>6636</v>
      </c>
      <c r="D2487" s="233">
        <v>92.67</v>
      </c>
    </row>
    <row r="2488" spans="1:4">
      <c r="A2488">
        <v>12774</v>
      </c>
      <c r="B2488" t="s">
        <v>766</v>
      </c>
      <c r="C2488" t="s">
        <v>6636</v>
      </c>
      <c r="D2488" s="233">
        <v>114.26</v>
      </c>
    </row>
    <row r="2489" spans="1:4">
      <c r="A2489">
        <v>12776</v>
      </c>
      <c r="B2489" t="s">
        <v>8918</v>
      </c>
      <c r="C2489" t="s">
        <v>6636</v>
      </c>
      <c r="D2489" s="234">
        <v>1701.2</v>
      </c>
    </row>
    <row r="2490" spans="1:4">
      <c r="A2490">
        <v>12777</v>
      </c>
      <c r="B2490" t="s">
        <v>8919</v>
      </c>
      <c r="C2490" t="s">
        <v>6636</v>
      </c>
      <c r="D2490" s="234">
        <v>2221.7199999999998</v>
      </c>
    </row>
    <row r="2491" spans="1:4">
      <c r="A2491">
        <v>3391</v>
      </c>
      <c r="B2491" t="s">
        <v>8920</v>
      </c>
      <c r="C2491" t="s">
        <v>6636</v>
      </c>
      <c r="D2491" s="233">
        <v>44.87</v>
      </c>
    </row>
    <row r="2492" spans="1:4">
      <c r="A2492">
        <v>3389</v>
      </c>
      <c r="B2492" t="s">
        <v>8921</v>
      </c>
      <c r="C2492" t="s">
        <v>6636</v>
      </c>
      <c r="D2492" s="233">
        <v>23.28</v>
      </c>
    </row>
    <row r="2493" spans="1:4">
      <c r="A2493">
        <v>3390</v>
      </c>
      <c r="B2493" t="s">
        <v>8922</v>
      </c>
      <c r="C2493" t="s">
        <v>6636</v>
      </c>
      <c r="D2493" s="233">
        <v>26.2</v>
      </c>
    </row>
    <row r="2494" spans="1:4">
      <c r="A2494">
        <v>12873</v>
      </c>
      <c r="B2494" t="s">
        <v>8923</v>
      </c>
      <c r="C2494" t="s">
        <v>6640</v>
      </c>
      <c r="D2494" s="233">
        <v>15.69</v>
      </c>
    </row>
    <row r="2495" spans="1:4">
      <c r="A2495">
        <v>41076</v>
      </c>
      <c r="B2495" t="s">
        <v>8924</v>
      </c>
      <c r="C2495" t="s">
        <v>6785</v>
      </c>
      <c r="D2495" s="234">
        <v>2783.5</v>
      </c>
    </row>
    <row r="2496" spans="1:4">
      <c r="A2496">
        <v>140</v>
      </c>
      <c r="B2496" t="s">
        <v>8925</v>
      </c>
      <c r="C2496" t="s">
        <v>6698</v>
      </c>
      <c r="D2496" s="233">
        <v>12.62</v>
      </c>
    </row>
    <row r="2497" spans="1:4">
      <c r="A2497">
        <v>151</v>
      </c>
      <c r="B2497" t="s">
        <v>8926</v>
      </c>
      <c r="C2497" t="s">
        <v>6700</v>
      </c>
      <c r="D2497" s="233">
        <v>18.62</v>
      </c>
    </row>
    <row r="2498" spans="1:4">
      <c r="A2498">
        <v>7340</v>
      </c>
      <c r="B2498" t="s">
        <v>8927</v>
      </c>
      <c r="C2498" t="s">
        <v>6700</v>
      </c>
      <c r="D2498" s="233">
        <v>20.98</v>
      </c>
    </row>
    <row r="2499" spans="1:4">
      <c r="A2499">
        <v>2701</v>
      </c>
      <c r="B2499" t="s">
        <v>8928</v>
      </c>
      <c r="C2499" t="s">
        <v>6640</v>
      </c>
      <c r="D2499" s="233">
        <v>11</v>
      </c>
    </row>
    <row r="2500" spans="1:4">
      <c r="A2500">
        <v>40929</v>
      </c>
      <c r="B2500" t="s">
        <v>8929</v>
      </c>
      <c r="C2500" t="s">
        <v>6785</v>
      </c>
      <c r="D2500" s="234">
        <v>1951.18</v>
      </c>
    </row>
    <row r="2501" spans="1:4">
      <c r="A2501">
        <v>38114</v>
      </c>
      <c r="B2501" t="s">
        <v>8930</v>
      </c>
      <c r="C2501" t="s">
        <v>6636</v>
      </c>
      <c r="D2501" s="233">
        <v>11.62</v>
      </c>
    </row>
    <row r="2502" spans="1:4">
      <c r="A2502">
        <v>38064</v>
      </c>
      <c r="B2502" t="s">
        <v>8931</v>
      </c>
      <c r="C2502" t="s">
        <v>6636</v>
      </c>
      <c r="D2502" s="233">
        <v>13</v>
      </c>
    </row>
    <row r="2503" spans="1:4">
      <c r="A2503">
        <v>38115</v>
      </c>
      <c r="B2503" t="s">
        <v>8932</v>
      </c>
      <c r="C2503" t="s">
        <v>6636</v>
      </c>
      <c r="D2503" s="233">
        <v>12.41</v>
      </c>
    </row>
    <row r="2504" spans="1:4">
      <c r="A2504">
        <v>38065</v>
      </c>
      <c r="B2504" t="s">
        <v>8933</v>
      </c>
      <c r="C2504" t="s">
        <v>6636</v>
      </c>
      <c r="D2504" s="233">
        <v>18.440000000000001</v>
      </c>
    </row>
    <row r="2505" spans="1:4">
      <c r="A2505">
        <v>38078</v>
      </c>
      <c r="B2505" t="s">
        <v>8934</v>
      </c>
      <c r="C2505" t="s">
        <v>6636</v>
      </c>
      <c r="D2505" s="233">
        <v>10.76</v>
      </c>
    </row>
    <row r="2506" spans="1:4">
      <c r="A2506">
        <v>38113</v>
      </c>
      <c r="B2506" t="s">
        <v>8935</v>
      </c>
      <c r="C2506" t="s">
        <v>6636</v>
      </c>
      <c r="D2506" s="233">
        <v>5.84</v>
      </c>
    </row>
    <row r="2507" spans="1:4">
      <c r="A2507">
        <v>38063</v>
      </c>
      <c r="B2507" t="s">
        <v>8936</v>
      </c>
      <c r="C2507" t="s">
        <v>6636</v>
      </c>
      <c r="D2507" s="233">
        <v>6.27</v>
      </c>
    </row>
    <row r="2508" spans="1:4">
      <c r="A2508">
        <v>38080</v>
      </c>
      <c r="B2508" t="s">
        <v>8937</v>
      </c>
      <c r="C2508" t="s">
        <v>6636</v>
      </c>
      <c r="D2508" s="233">
        <v>18.68</v>
      </c>
    </row>
    <row r="2509" spans="1:4">
      <c r="A2509">
        <v>38069</v>
      </c>
      <c r="B2509" t="s">
        <v>8938</v>
      </c>
      <c r="C2509" t="s">
        <v>6636</v>
      </c>
      <c r="D2509" s="233">
        <v>10.220000000000001</v>
      </c>
    </row>
    <row r="2510" spans="1:4">
      <c r="A2510">
        <v>38077</v>
      </c>
      <c r="B2510" t="s">
        <v>8939</v>
      </c>
      <c r="C2510" t="s">
        <v>6636</v>
      </c>
      <c r="D2510" s="233">
        <v>9.98</v>
      </c>
    </row>
    <row r="2511" spans="1:4">
      <c r="A2511">
        <v>38073</v>
      </c>
      <c r="B2511" t="s">
        <v>8940</v>
      </c>
      <c r="C2511" t="s">
        <v>6636</v>
      </c>
      <c r="D2511" s="233">
        <v>15.21</v>
      </c>
    </row>
    <row r="2512" spans="1:4">
      <c r="A2512">
        <v>38112</v>
      </c>
      <c r="B2512" t="s">
        <v>8941</v>
      </c>
      <c r="C2512" t="s">
        <v>6636</v>
      </c>
      <c r="D2512" s="233">
        <v>4.4800000000000004</v>
      </c>
    </row>
    <row r="2513" spans="1:4">
      <c r="A2513">
        <v>38062</v>
      </c>
      <c r="B2513" t="s">
        <v>8942</v>
      </c>
      <c r="C2513" t="s">
        <v>6636</v>
      </c>
      <c r="D2513" s="233">
        <v>4.5999999999999996</v>
      </c>
    </row>
    <row r="2514" spans="1:4">
      <c r="A2514">
        <v>12128</v>
      </c>
      <c r="B2514" t="s">
        <v>8943</v>
      </c>
      <c r="C2514" t="s">
        <v>6636</v>
      </c>
      <c r="D2514" s="233">
        <v>6.15</v>
      </c>
    </row>
    <row r="2515" spans="1:4">
      <c r="A2515">
        <v>12129</v>
      </c>
      <c r="B2515" t="s">
        <v>8944</v>
      </c>
      <c r="C2515" t="s">
        <v>6636</v>
      </c>
      <c r="D2515" s="233">
        <v>8.1300000000000008</v>
      </c>
    </row>
    <row r="2516" spans="1:4">
      <c r="A2516">
        <v>38081</v>
      </c>
      <c r="B2516" t="s">
        <v>8945</v>
      </c>
      <c r="C2516" t="s">
        <v>6636</v>
      </c>
      <c r="D2516" s="233">
        <v>15.85</v>
      </c>
    </row>
    <row r="2517" spans="1:4">
      <c r="A2517">
        <v>38070</v>
      </c>
      <c r="B2517" t="s">
        <v>8946</v>
      </c>
      <c r="C2517" t="s">
        <v>6636</v>
      </c>
      <c r="D2517" s="233">
        <v>10.92</v>
      </c>
    </row>
    <row r="2518" spans="1:4">
      <c r="A2518">
        <v>38074</v>
      </c>
      <c r="B2518" t="s">
        <v>8947</v>
      </c>
      <c r="C2518" t="s">
        <v>6636</v>
      </c>
      <c r="D2518" s="233">
        <v>16.600000000000001</v>
      </c>
    </row>
    <row r="2519" spans="1:4">
      <c r="A2519">
        <v>38079</v>
      </c>
      <c r="B2519" t="s">
        <v>8948</v>
      </c>
      <c r="C2519" t="s">
        <v>6636</v>
      </c>
      <c r="D2519" s="233">
        <v>14.25</v>
      </c>
    </row>
    <row r="2520" spans="1:4">
      <c r="A2520">
        <v>38072</v>
      </c>
      <c r="B2520" t="s">
        <v>8949</v>
      </c>
      <c r="C2520" t="s">
        <v>6636</v>
      </c>
      <c r="D2520" s="233">
        <v>13.69</v>
      </c>
    </row>
    <row r="2521" spans="1:4">
      <c r="A2521">
        <v>38068</v>
      </c>
      <c r="B2521" t="s">
        <v>8950</v>
      </c>
      <c r="C2521" t="s">
        <v>6636</v>
      </c>
      <c r="D2521" s="233">
        <v>9.4499999999999993</v>
      </c>
    </row>
    <row r="2522" spans="1:4">
      <c r="A2522">
        <v>38071</v>
      </c>
      <c r="B2522" t="s">
        <v>8951</v>
      </c>
      <c r="C2522" t="s">
        <v>6636</v>
      </c>
      <c r="D2522" s="233">
        <v>11.3</v>
      </c>
    </row>
    <row r="2523" spans="1:4">
      <c r="A2523">
        <v>38412</v>
      </c>
      <c r="B2523" t="s">
        <v>8952</v>
      </c>
      <c r="C2523" t="s">
        <v>6636</v>
      </c>
      <c r="D2523" s="234">
        <v>1489.5</v>
      </c>
    </row>
    <row r="2524" spans="1:4">
      <c r="A2524">
        <v>3405</v>
      </c>
      <c r="B2524" t="s">
        <v>8953</v>
      </c>
      <c r="C2524" t="s">
        <v>6636</v>
      </c>
      <c r="D2524" s="233">
        <v>63.25</v>
      </c>
    </row>
    <row r="2525" spans="1:4">
      <c r="A2525">
        <v>3394</v>
      </c>
      <c r="B2525" t="s">
        <v>8954</v>
      </c>
      <c r="C2525" t="s">
        <v>6636</v>
      </c>
      <c r="D2525" s="233">
        <v>333.87</v>
      </c>
    </row>
    <row r="2526" spans="1:4">
      <c r="A2526">
        <v>3393</v>
      </c>
      <c r="B2526" t="s">
        <v>8955</v>
      </c>
      <c r="C2526" t="s">
        <v>6636</v>
      </c>
      <c r="D2526" s="233">
        <v>568.45000000000005</v>
      </c>
    </row>
    <row r="2527" spans="1:4">
      <c r="A2527">
        <v>3406</v>
      </c>
      <c r="B2527" t="s">
        <v>8956</v>
      </c>
      <c r="C2527" t="s">
        <v>6636</v>
      </c>
      <c r="D2527" s="233">
        <v>19.36</v>
      </c>
    </row>
    <row r="2528" spans="1:4">
      <c r="A2528">
        <v>3395</v>
      </c>
      <c r="B2528" t="s">
        <v>8957</v>
      </c>
      <c r="C2528" t="s">
        <v>6636</v>
      </c>
      <c r="D2528" s="233">
        <v>81.67</v>
      </c>
    </row>
    <row r="2529" spans="1:4">
      <c r="A2529">
        <v>3398</v>
      </c>
      <c r="B2529" t="s">
        <v>8958</v>
      </c>
      <c r="C2529" t="s">
        <v>6636</v>
      </c>
      <c r="D2529" s="233">
        <v>3.88</v>
      </c>
    </row>
    <row r="2530" spans="1:4">
      <c r="A2530">
        <v>34379</v>
      </c>
      <c r="B2530" t="s">
        <v>8959</v>
      </c>
      <c r="C2530" t="s">
        <v>6636</v>
      </c>
      <c r="D2530" s="233">
        <v>239.54</v>
      </c>
    </row>
    <row r="2531" spans="1:4">
      <c r="A2531">
        <v>34378</v>
      </c>
      <c r="B2531" t="s">
        <v>8960</v>
      </c>
      <c r="C2531" t="s">
        <v>6636</v>
      </c>
      <c r="D2531" s="233">
        <v>192.93</v>
      </c>
    </row>
    <row r="2532" spans="1:4">
      <c r="A2532">
        <v>34377</v>
      </c>
      <c r="B2532" t="s">
        <v>8961</v>
      </c>
      <c r="C2532" t="s">
        <v>6636</v>
      </c>
      <c r="D2532" s="233">
        <v>177.93</v>
      </c>
    </row>
    <row r="2533" spans="1:4">
      <c r="A2533">
        <v>581</v>
      </c>
      <c r="B2533" t="s">
        <v>8962</v>
      </c>
      <c r="C2533" t="s">
        <v>6638</v>
      </c>
      <c r="D2533" s="233">
        <v>337.94</v>
      </c>
    </row>
    <row r="2534" spans="1:4">
      <c r="A2534">
        <v>40662</v>
      </c>
      <c r="B2534" t="s">
        <v>8963</v>
      </c>
      <c r="C2534" t="s">
        <v>6636</v>
      </c>
      <c r="D2534" s="233">
        <v>201.19</v>
      </c>
    </row>
    <row r="2535" spans="1:4">
      <c r="A2535">
        <v>3437</v>
      </c>
      <c r="B2535" t="s">
        <v>8964</v>
      </c>
      <c r="C2535" t="s">
        <v>6638</v>
      </c>
      <c r="D2535" s="233">
        <v>558.88</v>
      </c>
    </row>
    <row r="2536" spans="1:4">
      <c r="A2536">
        <v>11183</v>
      </c>
      <c r="B2536" t="s">
        <v>12689</v>
      </c>
      <c r="C2536" t="s">
        <v>6636</v>
      </c>
      <c r="D2536" s="233">
        <v>338.44</v>
      </c>
    </row>
    <row r="2537" spans="1:4">
      <c r="A2537">
        <v>11190</v>
      </c>
      <c r="B2537" t="s">
        <v>8965</v>
      </c>
      <c r="C2537" t="s">
        <v>6636</v>
      </c>
      <c r="D2537" s="233">
        <v>157</v>
      </c>
    </row>
    <row r="2538" spans="1:4">
      <c r="A2538">
        <v>616</v>
      </c>
      <c r="B2538" t="s">
        <v>12690</v>
      </c>
      <c r="C2538" t="s">
        <v>6636</v>
      </c>
      <c r="D2538" s="233">
        <v>184.64</v>
      </c>
    </row>
    <row r="2539" spans="1:4">
      <c r="A2539">
        <v>615</v>
      </c>
      <c r="B2539" t="s">
        <v>12690</v>
      </c>
      <c r="C2539" t="s">
        <v>6638</v>
      </c>
      <c r="D2539" s="233">
        <v>384.67</v>
      </c>
    </row>
    <row r="2540" spans="1:4">
      <c r="A2540">
        <v>11231</v>
      </c>
      <c r="B2540" t="s">
        <v>12691</v>
      </c>
      <c r="C2540" t="s">
        <v>6638</v>
      </c>
      <c r="D2540" s="233">
        <v>451.36</v>
      </c>
    </row>
    <row r="2541" spans="1:4">
      <c r="A2541">
        <v>11192</v>
      </c>
      <c r="B2541" t="s">
        <v>12691</v>
      </c>
      <c r="C2541" t="s">
        <v>6636</v>
      </c>
      <c r="D2541" s="233">
        <v>288.87</v>
      </c>
    </row>
    <row r="2542" spans="1:4">
      <c r="A2542">
        <v>3428</v>
      </c>
      <c r="B2542" t="s">
        <v>8966</v>
      </c>
      <c r="C2542" t="s">
        <v>6638</v>
      </c>
      <c r="D2542" s="233">
        <v>829</v>
      </c>
    </row>
    <row r="2543" spans="1:4">
      <c r="A2543">
        <v>3429</v>
      </c>
      <c r="B2543" t="s">
        <v>8967</v>
      </c>
      <c r="C2543" t="s">
        <v>6638</v>
      </c>
      <c r="D2543" s="233">
        <v>473.64</v>
      </c>
    </row>
    <row r="2544" spans="1:4">
      <c r="A2544">
        <v>34371</v>
      </c>
      <c r="B2544" t="s">
        <v>8968</v>
      </c>
      <c r="C2544" t="s">
        <v>6636</v>
      </c>
      <c r="D2544" s="233">
        <v>651.27</v>
      </c>
    </row>
    <row r="2545" spans="1:4">
      <c r="A2545">
        <v>34370</v>
      </c>
      <c r="B2545" t="s">
        <v>8969</v>
      </c>
      <c r="C2545" t="s">
        <v>6636</v>
      </c>
      <c r="D2545" s="233">
        <v>540.1</v>
      </c>
    </row>
    <row r="2546" spans="1:4">
      <c r="A2546">
        <v>34372</v>
      </c>
      <c r="B2546" t="s">
        <v>8970</v>
      </c>
      <c r="C2546" t="s">
        <v>6636</v>
      </c>
      <c r="D2546" s="233">
        <v>751.35</v>
      </c>
    </row>
    <row r="2547" spans="1:4">
      <c r="A2547">
        <v>34373</v>
      </c>
      <c r="B2547" t="s">
        <v>8971</v>
      </c>
      <c r="C2547" t="s">
        <v>6636</v>
      </c>
      <c r="D2547" s="233">
        <v>930.07</v>
      </c>
    </row>
    <row r="2548" spans="1:4">
      <c r="A2548">
        <v>36896</v>
      </c>
      <c r="B2548" t="s">
        <v>8972</v>
      </c>
      <c r="C2548" t="s">
        <v>6636</v>
      </c>
      <c r="D2548" s="233">
        <v>309.89999999999998</v>
      </c>
    </row>
    <row r="2549" spans="1:4">
      <c r="A2549">
        <v>34367</v>
      </c>
      <c r="B2549" t="s">
        <v>8973</v>
      </c>
      <c r="C2549" t="s">
        <v>6636</v>
      </c>
      <c r="D2549" s="233">
        <v>364.02</v>
      </c>
    </row>
    <row r="2550" spans="1:4">
      <c r="A2550">
        <v>36897</v>
      </c>
      <c r="B2550" t="s">
        <v>8974</v>
      </c>
      <c r="C2550" t="s">
        <v>6636</v>
      </c>
      <c r="D2550" s="233">
        <v>429.26</v>
      </c>
    </row>
    <row r="2551" spans="1:4">
      <c r="A2551">
        <v>36884</v>
      </c>
      <c r="B2551" t="s">
        <v>8974</v>
      </c>
      <c r="C2551" t="s">
        <v>6638</v>
      </c>
      <c r="D2551" s="233">
        <v>301.49</v>
      </c>
    </row>
    <row r="2552" spans="1:4">
      <c r="A2552">
        <v>597</v>
      </c>
      <c r="B2552" t="s">
        <v>8975</v>
      </c>
      <c r="C2552" t="s">
        <v>6638</v>
      </c>
      <c r="D2552" s="233">
        <v>317.06</v>
      </c>
    </row>
    <row r="2553" spans="1:4">
      <c r="A2553">
        <v>34369</v>
      </c>
      <c r="B2553" t="s">
        <v>8976</v>
      </c>
      <c r="C2553" t="s">
        <v>6636</v>
      </c>
      <c r="D2553" s="233">
        <v>508.59</v>
      </c>
    </row>
    <row r="2554" spans="1:4">
      <c r="A2554">
        <v>34362</v>
      </c>
      <c r="B2554" t="s">
        <v>8977</v>
      </c>
      <c r="C2554" t="s">
        <v>6636</v>
      </c>
      <c r="D2554" s="233">
        <v>352.9</v>
      </c>
    </row>
    <row r="2555" spans="1:4">
      <c r="A2555">
        <v>34363</v>
      </c>
      <c r="B2555" t="s">
        <v>8978</v>
      </c>
      <c r="C2555" t="s">
        <v>6636</v>
      </c>
      <c r="D2555" s="233">
        <v>398.86</v>
      </c>
    </row>
    <row r="2556" spans="1:4">
      <c r="A2556">
        <v>34364</v>
      </c>
      <c r="B2556" t="s">
        <v>8979</v>
      </c>
      <c r="C2556" t="s">
        <v>6636</v>
      </c>
      <c r="D2556" s="233">
        <v>497.47</v>
      </c>
    </row>
    <row r="2557" spans="1:4">
      <c r="A2557">
        <v>34365</v>
      </c>
      <c r="B2557" t="s">
        <v>8980</v>
      </c>
      <c r="C2557" t="s">
        <v>6636</v>
      </c>
      <c r="D2557" s="233">
        <v>560.48</v>
      </c>
    </row>
    <row r="2558" spans="1:4">
      <c r="A2558">
        <v>11199</v>
      </c>
      <c r="B2558" t="s">
        <v>12692</v>
      </c>
      <c r="C2558" t="s">
        <v>6636</v>
      </c>
      <c r="D2558" s="233">
        <v>867.08</v>
      </c>
    </row>
    <row r="2559" spans="1:4">
      <c r="A2559">
        <v>34801</v>
      </c>
      <c r="B2559" t="s">
        <v>12693</v>
      </c>
      <c r="C2559" t="s">
        <v>6636</v>
      </c>
      <c r="D2559" s="234">
        <v>1087.69</v>
      </c>
    </row>
    <row r="2560" spans="1:4">
      <c r="A2560">
        <v>34799</v>
      </c>
      <c r="B2560" t="s">
        <v>12694</v>
      </c>
      <c r="C2560" t="s">
        <v>6636</v>
      </c>
      <c r="D2560" s="234">
        <v>1341.35</v>
      </c>
    </row>
    <row r="2561" spans="1:4">
      <c r="A2561">
        <v>622</v>
      </c>
      <c r="B2561" t="s">
        <v>12695</v>
      </c>
      <c r="C2561" t="s">
        <v>6636</v>
      </c>
      <c r="D2561" s="233">
        <v>603.88</v>
      </c>
    </row>
    <row r="2562" spans="1:4">
      <c r="A2562">
        <v>34805</v>
      </c>
      <c r="B2562" t="s">
        <v>12696</v>
      </c>
      <c r="C2562" t="s">
        <v>6638</v>
      </c>
      <c r="D2562" s="233">
        <v>451.96</v>
      </c>
    </row>
    <row r="2563" spans="1:4">
      <c r="A2563">
        <v>34803</v>
      </c>
      <c r="B2563" t="s">
        <v>12697</v>
      </c>
      <c r="C2563" t="s">
        <v>6636</v>
      </c>
      <c r="D2563" s="233">
        <v>546.52</v>
      </c>
    </row>
    <row r="2564" spans="1:4">
      <c r="A2564">
        <v>606</v>
      </c>
      <c r="B2564" t="s">
        <v>12698</v>
      </c>
      <c r="C2564" t="s">
        <v>6638</v>
      </c>
      <c r="D2564" s="233">
        <v>604.27</v>
      </c>
    </row>
    <row r="2565" spans="1:4">
      <c r="A2565">
        <v>11227</v>
      </c>
      <c r="B2565" t="s">
        <v>12699</v>
      </c>
      <c r="C2565" t="s">
        <v>6636</v>
      </c>
      <c r="D2565" s="233">
        <v>640.02</v>
      </c>
    </row>
    <row r="2566" spans="1:4">
      <c r="A2566">
        <v>11193</v>
      </c>
      <c r="B2566" t="s">
        <v>12700</v>
      </c>
      <c r="C2566" t="s">
        <v>6638</v>
      </c>
      <c r="D2566" s="233">
        <v>612.66999999999996</v>
      </c>
    </row>
    <row r="2567" spans="1:4">
      <c r="A2567">
        <v>11194</v>
      </c>
      <c r="B2567" t="s">
        <v>12701</v>
      </c>
      <c r="C2567" t="s">
        <v>6638</v>
      </c>
      <c r="D2567" s="233">
        <v>551.64</v>
      </c>
    </row>
    <row r="2568" spans="1:4">
      <c r="A2568">
        <v>605</v>
      </c>
      <c r="B2568" t="s">
        <v>12702</v>
      </c>
      <c r="C2568" t="s">
        <v>6638</v>
      </c>
      <c r="D2568" s="233">
        <v>692.8</v>
      </c>
    </row>
    <row r="2569" spans="1:4">
      <c r="A2569">
        <v>11197</v>
      </c>
      <c r="B2569" t="s">
        <v>12703</v>
      </c>
      <c r="C2569" t="s">
        <v>6636</v>
      </c>
      <c r="D2569" s="233">
        <v>839.06</v>
      </c>
    </row>
    <row r="2570" spans="1:4">
      <c r="A2570">
        <v>40659</v>
      </c>
      <c r="B2570" t="s">
        <v>8981</v>
      </c>
      <c r="C2570" t="s">
        <v>6638</v>
      </c>
      <c r="D2570" s="233">
        <v>790.73</v>
      </c>
    </row>
    <row r="2571" spans="1:4">
      <c r="A2571">
        <v>40660</v>
      </c>
      <c r="B2571" t="s">
        <v>8982</v>
      </c>
      <c r="C2571" t="s">
        <v>6638</v>
      </c>
      <c r="D2571" s="234">
        <v>1002.16</v>
      </c>
    </row>
    <row r="2572" spans="1:4">
      <c r="A2572">
        <v>40661</v>
      </c>
      <c r="B2572" t="s">
        <v>8983</v>
      </c>
      <c r="C2572" t="s">
        <v>6638</v>
      </c>
      <c r="D2572" s="233">
        <v>616.15</v>
      </c>
    </row>
    <row r="2573" spans="1:4">
      <c r="A2573">
        <v>3421</v>
      </c>
      <c r="B2573" t="s">
        <v>8984</v>
      </c>
      <c r="C2573" t="s">
        <v>6638</v>
      </c>
      <c r="D2573" s="233">
        <v>620.87</v>
      </c>
    </row>
    <row r="2574" spans="1:4">
      <c r="A2574">
        <v>599</v>
      </c>
      <c r="B2574" t="s">
        <v>8985</v>
      </c>
      <c r="C2574" t="s">
        <v>6638</v>
      </c>
      <c r="D2574" s="233">
        <v>268.75</v>
      </c>
    </row>
    <row r="2575" spans="1:4">
      <c r="A2575">
        <v>34380</v>
      </c>
      <c r="B2575" t="s">
        <v>8986</v>
      </c>
      <c r="C2575" t="s">
        <v>6636</v>
      </c>
      <c r="D2575" s="233">
        <v>139.38</v>
      </c>
    </row>
    <row r="2576" spans="1:4">
      <c r="A2576">
        <v>34381</v>
      </c>
      <c r="B2576" t="s">
        <v>8987</v>
      </c>
      <c r="C2576" t="s">
        <v>6636</v>
      </c>
      <c r="D2576" s="233">
        <v>181.63</v>
      </c>
    </row>
    <row r="2577" spans="1:4">
      <c r="A2577">
        <v>601</v>
      </c>
      <c r="B2577" t="s">
        <v>8987</v>
      </c>
      <c r="C2577" t="s">
        <v>6638</v>
      </c>
      <c r="D2577" s="233">
        <v>362.54</v>
      </c>
    </row>
    <row r="2578" spans="1:4">
      <c r="A2578">
        <v>3423</v>
      </c>
      <c r="B2578" t="s">
        <v>8988</v>
      </c>
      <c r="C2578" t="s">
        <v>6638</v>
      </c>
      <c r="D2578" s="233">
        <v>875.57</v>
      </c>
    </row>
    <row r="2579" spans="1:4">
      <c r="A2579">
        <v>34797</v>
      </c>
      <c r="B2579" t="s">
        <v>8989</v>
      </c>
      <c r="C2579" t="s">
        <v>6636</v>
      </c>
      <c r="D2579" s="233">
        <v>341.97</v>
      </c>
    </row>
    <row r="2580" spans="1:4">
      <c r="A2580">
        <v>624</v>
      </c>
      <c r="B2580" t="s">
        <v>12704</v>
      </c>
      <c r="C2580" t="s">
        <v>6638</v>
      </c>
      <c r="D2580" s="233">
        <v>712.44</v>
      </c>
    </row>
    <row r="2581" spans="1:4">
      <c r="A2581">
        <v>623</v>
      </c>
      <c r="B2581" t="s">
        <v>12705</v>
      </c>
      <c r="C2581" t="s">
        <v>6638</v>
      </c>
      <c r="D2581" s="233">
        <v>267.52</v>
      </c>
    </row>
    <row r="2582" spans="1:4">
      <c r="A2582">
        <v>25964</v>
      </c>
      <c r="B2582" t="s">
        <v>8990</v>
      </c>
      <c r="C2582" t="s">
        <v>6640</v>
      </c>
      <c r="D2582" s="233">
        <v>14.32</v>
      </c>
    </row>
    <row r="2583" spans="1:4">
      <c r="A2583">
        <v>41077</v>
      </c>
      <c r="B2583" t="s">
        <v>8991</v>
      </c>
      <c r="C2583" t="s">
        <v>6785</v>
      </c>
      <c r="D2583" s="234">
        <v>2542.1999999999998</v>
      </c>
    </row>
    <row r="2584" spans="1:4">
      <c r="A2584">
        <v>20159</v>
      </c>
      <c r="B2584" t="s">
        <v>8992</v>
      </c>
      <c r="C2584" t="s">
        <v>6636</v>
      </c>
      <c r="D2584" s="233">
        <v>36.42</v>
      </c>
    </row>
    <row r="2585" spans="1:4">
      <c r="A2585">
        <v>37963</v>
      </c>
      <c r="B2585" t="s">
        <v>8993</v>
      </c>
      <c r="C2585" t="s">
        <v>6636</v>
      </c>
      <c r="D2585" s="233">
        <v>4.47</v>
      </c>
    </row>
    <row r="2586" spans="1:4">
      <c r="A2586">
        <v>37964</v>
      </c>
      <c r="B2586" t="s">
        <v>8994</v>
      </c>
      <c r="C2586" t="s">
        <v>6636</v>
      </c>
      <c r="D2586" s="233">
        <v>7.46</v>
      </c>
    </row>
    <row r="2587" spans="1:4">
      <c r="A2587">
        <v>37965</v>
      </c>
      <c r="B2587" t="s">
        <v>8995</v>
      </c>
      <c r="C2587" t="s">
        <v>6636</v>
      </c>
      <c r="D2587" s="233">
        <v>10.8</v>
      </c>
    </row>
    <row r="2588" spans="1:4">
      <c r="A2588">
        <v>37966</v>
      </c>
      <c r="B2588" t="s">
        <v>8996</v>
      </c>
      <c r="C2588" t="s">
        <v>6636</v>
      </c>
      <c r="D2588" s="233">
        <v>19.57</v>
      </c>
    </row>
    <row r="2589" spans="1:4">
      <c r="A2589">
        <v>37967</v>
      </c>
      <c r="B2589" t="s">
        <v>8997</v>
      </c>
      <c r="C2589" t="s">
        <v>6636</v>
      </c>
      <c r="D2589" s="233">
        <v>31.39</v>
      </c>
    </row>
    <row r="2590" spans="1:4">
      <c r="A2590">
        <v>37968</v>
      </c>
      <c r="B2590" t="s">
        <v>8998</v>
      </c>
      <c r="C2590" t="s">
        <v>6636</v>
      </c>
      <c r="D2590" s="233">
        <v>68.84</v>
      </c>
    </row>
    <row r="2591" spans="1:4">
      <c r="A2591">
        <v>37969</v>
      </c>
      <c r="B2591" t="s">
        <v>8999</v>
      </c>
      <c r="C2591" t="s">
        <v>6636</v>
      </c>
      <c r="D2591" s="233">
        <v>183.92</v>
      </c>
    </row>
    <row r="2592" spans="1:4">
      <c r="A2592">
        <v>37970</v>
      </c>
      <c r="B2592" t="s">
        <v>9000</v>
      </c>
      <c r="C2592" t="s">
        <v>6636</v>
      </c>
      <c r="D2592" s="233">
        <v>214.55</v>
      </c>
    </row>
    <row r="2593" spans="1:4">
      <c r="A2593">
        <v>21118</v>
      </c>
      <c r="B2593" t="s">
        <v>9001</v>
      </c>
      <c r="C2593" t="s">
        <v>6636</v>
      </c>
      <c r="D2593" s="233">
        <v>3.38</v>
      </c>
    </row>
    <row r="2594" spans="1:4">
      <c r="A2594">
        <v>37956</v>
      </c>
      <c r="B2594" t="s">
        <v>9002</v>
      </c>
      <c r="C2594" t="s">
        <v>6636</v>
      </c>
      <c r="D2594" s="233">
        <v>5.35</v>
      </c>
    </row>
    <row r="2595" spans="1:4">
      <c r="A2595">
        <v>37957</v>
      </c>
      <c r="B2595" t="s">
        <v>9003</v>
      </c>
      <c r="C2595" t="s">
        <v>6636</v>
      </c>
      <c r="D2595" s="233">
        <v>11.29</v>
      </c>
    </row>
    <row r="2596" spans="1:4">
      <c r="A2596">
        <v>37958</v>
      </c>
      <c r="B2596" t="s">
        <v>9004</v>
      </c>
      <c r="C2596" t="s">
        <v>6636</v>
      </c>
      <c r="D2596" s="233">
        <v>19.57</v>
      </c>
    </row>
    <row r="2597" spans="1:4">
      <c r="A2597">
        <v>37959</v>
      </c>
      <c r="B2597" t="s">
        <v>9005</v>
      </c>
      <c r="C2597" t="s">
        <v>6636</v>
      </c>
      <c r="D2597" s="233">
        <v>31.39</v>
      </c>
    </row>
    <row r="2598" spans="1:4">
      <c r="A2598">
        <v>37960</v>
      </c>
      <c r="B2598" t="s">
        <v>9006</v>
      </c>
      <c r="C2598" t="s">
        <v>6636</v>
      </c>
      <c r="D2598" s="233">
        <v>67.599999999999994</v>
      </c>
    </row>
    <row r="2599" spans="1:4">
      <c r="A2599">
        <v>37961</v>
      </c>
      <c r="B2599" t="s">
        <v>9007</v>
      </c>
      <c r="C2599" t="s">
        <v>6636</v>
      </c>
      <c r="D2599" s="233">
        <v>179.35</v>
      </c>
    </row>
    <row r="2600" spans="1:4">
      <c r="A2600">
        <v>37962</v>
      </c>
      <c r="B2600" t="s">
        <v>9008</v>
      </c>
      <c r="C2600" t="s">
        <v>6636</v>
      </c>
      <c r="D2600" s="233">
        <v>208.4</v>
      </c>
    </row>
    <row r="2601" spans="1:4">
      <c r="A2601">
        <v>3533</v>
      </c>
      <c r="B2601" t="s">
        <v>9009</v>
      </c>
      <c r="C2601" t="s">
        <v>6636</v>
      </c>
      <c r="D2601" s="233">
        <v>1.63</v>
      </c>
    </row>
    <row r="2602" spans="1:4">
      <c r="A2602">
        <v>3538</v>
      </c>
      <c r="B2602" t="s">
        <v>9010</v>
      </c>
      <c r="C2602" t="s">
        <v>6636</v>
      </c>
      <c r="D2602" s="233">
        <v>2.82</v>
      </c>
    </row>
    <row r="2603" spans="1:4">
      <c r="A2603">
        <v>3497</v>
      </c>
      <c r="B2603" t="s">
        <v>9011</v>
      </c>
      <c r="C2603" t="s">
        <v>6636</v>
      </c>
      <c r="D2603" s="233">
        <v>10.55</v>
      </c>
    </row>
    <row r="2604" spans="1:4">
      <c r="A2604">
        <v>3498</v>
      </c>
      <c r="B2604" t="s">
        <v>9012</v>
      </c>
      <c r="C2604" t="s">
        <v>6636</v>
      </c>
      <c r="D2604" s="233">
        <v>3.35</v>
      </c>
    </row>
    <row r="2605" spans="1:4">
      <c r="A2605">
        <v>3496</v>
      </c>
      <c r="B2605" t="s">
        <v>9013</v>
      </c>
      <c r="C2605" t="s">
        <v>6636</v>
      </c>
      <c r="D2605" s="233">
        <v>2.7</v>
      </c>
    </row>
    <row r="2606" spans="1:4">
      <c r="A2606">
        <v>38429</v>
      </c>
      <c r="B2606" t="s">
        <v>9014</v>
      </c>
      <c r="C2606" t="s">
        <v>6636</v>
      </c>
      <c r="D2606" s="233">
        <v>11.41</v>
      </c>
    </row>
    <row r="2607" spans="1:4">
      <c r="A2607">
        <v>38431</v>
      </c>
      <c r="B2607" t="s">
        <v>9015</v>
      </c>
      <c r="C2607" t="s">
        <v>6636</v>
      </c>
      <c r="D2607" s="233">
        <v>18.079999999999998</v>
      </c>
    </row>
    <row r="2608" spans="1:4">
      <c r="A2608">
        <v>38430</v>
      </c>
      <c r="B2608" t="s">
        <v>9016</v>
      </c>
      <c r="C2608" t="s">
        <v>6636</v>
      </c>
      <c r="D2608" s="233">
        <v>23.11</v>
      </c>
    </row>
    <row r="2609" spans="1:4">
      <c r="A2609">
        <v>36348</v>
      </c>
      <c r="B2609" t="s">
        <v>9017</v>
      </c>
      <c r="C2609" t="s">
        <v>6636</v>
      </c>
      <c r="D2609" s="233">
        <v>1.1499999999999999</v>
      </c>
    </row>
    <row r="2610" spans="1:4">
      <c r="A2610">
        <v>36349</v>
      </c>
      <c r="B2610" t="s">
        <v>9018</v>
      </c>
      <c r="C2610" t="s">
        <v>6636</v>
      </c>
      <c r="D2610" s="233">
        <v>1.73</v>
      </c>
    </row>
    <row r="2611" spans="1:4">
      <c r="A2611">
        <v>38433</v>
      </c>
      <c r="B2611" t="s">
        <v>9019</v>
      </c>
      <c r="C2611" t="s">
        <v>6636</v>
      </c>
      <c r="D2611" s="233">
        <v>3.21</v>
      </c>
    </row>
    <row r="2612" spans="1:4">
      <c r="A2612">
        <v>38440</v>
      </c>
      <c r="B2612" t="s">
        <v>9020</v>
      </c>
      <c r="C2612" t="s">
        <v>6636</v>
      </c>
      <c r="D2612" s="233">
        <v>110.92</v>
      </c>
    </row>
    <row r="2613" spans="1:4">
      <c r="A2613">
        <v>36359</v>
      </c>
      <c r="B2613" t="s">
        <v>9021</v>
      </c>
      <c r="C2613" t="s">
        <v>6636</v>
      </c>
      <c r="D2613" s="233">
        <v>1.38</v>
      </c>
    </row>
    <row r="2614" spans="1:4">
      <c r="A2614">
        <v>36360</v>
      </c>
      <c r="B2614" t="s">
        <v>9022</v>
      </c>
      <c r="C2614" t="s">
        <v>6636</v>
      </c>
      <c r="D2614" s="233">
        <v>2.13</v>
      </c>
    </row>
    <row r="2615" spans="1:4">
      <c r="A2615">
        <v>38434</v>
      </c>
      <c r="B2615" t="s">
        <v>9023</v>
      </c>
      <c r="C2615" t="s">
        <v>6636</v>
      </c>
      <c r="D2615" s="233">
        <v>3.26</v>
      </c>
    </row>
    <row r="2616" spans="1:4">
      <c r="A2616">
        <v>38435</v>
      </c>
      <c r="B2616" t="s">
        <v>9024</v>
      </c>
      <c r="C2616" t="s">
        <v>6636</v>
      </c>
      <c r="D2616" s="233">
        <v>6.18</v>
      </c>
    </row>
    <row r="2617" spans="1:4">
      <c r="A2617">
        <v>38436</v>
      </c>
      <c r="B2617" t="s">
        <v>9025</v>
      </c>
      <c r="C2617" t="s">
        <v>6636</v>
      </c>
      <c r="D2617" s="233">
        <v>12.79</v>
      </c>
    </row>
    <row r="2618" spans="1:4">
      <c r="A2618">
        <v>38437</v>
      </c>
      <c r="B2618" t="s">
        <v>9026</v>
      </c>
      <c r="C2618" t="s">
        <v>6636</v>
      </c>
      <c r="D2618" s="233">
        <v>19.2</v>
      </c>
    </row>
    <row r="2619" spans="1:4">
      <c r="A2619">
        <v>38438</v>
      </c>
      <c r="B2619" t="s">
        <v>9027</v>
      </c>
      <c r="C2619" t="s">
        <v>6636</v>
      </c>
      <c r="D2619" s="233">
        <v>48.52</v>
      </c>
    </row>
    <row r="2620" spans="1:4">
      <c r="A2620">
        <v>38439</v>
      </c>
      <c r="B2620" t="s">
        <v>9028</v>
      </c>
      <c r="C2620" t="s">
        <v>6636</v>
      </c>
      <c r="D2620" s="233">
        <v>73.959999999999994</v>
      </c>
    </row>
    <row r="2621" spans="1:4">
      <c r="A2621">
        <v>10836</v>
      </c>
      <c r="B2621" t="s">
        <v>9029</v>
      </c>
      <c r="C2621" t="s">
        <v>6636</v>
      </c>
      <c r="D2621" s="233">
        <v>12.76</v>
      </c>
    </row>
    <row r="2622" spans="1:4">
      <c r="A2622">
        <v>20128</v>
      </c>
      <c r="B2622" t="s">
        <v>9030</v>
      </c>
      <c r="C2622" t="s">
        <v>6636</v>
      </c>
      <c r="D2622" s="233">
        <v>37.409999999999997</v>
      </c>
    </row>
    <row r="2623" spans="1:4">
      <c r="A2623">
        <v>20131</v>
      </c>
      <c r="B2623" t="s">
        <v>9031</v>
      </c>
      <c r="C2623" t="s">
        <v>6636</v>
      </c>
      <c r="D2623" s="233">
        <v>34.15</v>
      </c>
    </row>
    <row r="2624" spans="1:4">
      <c r="A2624">
        <v>3521</v>
      </c>
      <c r="B2624" t="s">
        <v>9032</v>
      </c>
      <c r="C2624" t="s">
        <v>6636</v>
      </c>
      <c r="D2624" s="233">
        <v>1.42</v>
      </c>
    </row>
    <row r="2625" spans="1:4">
      <c r="A2625">
        <v>3531</v>
      </c>
      <c r="B2625" t="s">
        <v>9033</v>
      </c>
      <c r="C2625" t="s">
        <v>6636</v>
      </c>
      <c r="D2625" s="233">
        <v>1.61</v>
      </c>
    </row>
    <row r="2626" spans="1:4">
      <c r="A2626">
        <v>3522</v>
      </c>
      <c r="B2626" t="s">
        <v>9034</v>
      </c>
      <c r="C2626" t="s">
        <v>6636</v>
      </c>
      <c r="D2626" s="233">
        <v>2.39</v>
      </c>
    </row>
    <row r="2627" spans="1:4">
      <c r="A2627">
        <v>3527</v>
      </c>
      <c r="B2627" t="s">
        <v>9035</v>
      </c>
      <c r="C2627" t="s">
        <v>6636</v>
      </c>
      <c r="D2627" s="233">
        <v>8.24</v>
      </c>
    </row>
    <row r="2628" spans="1:4">
      <c r="A2628">
        <v>10835</v>
      </c>
      <c r="B2628" t="s">
        <v>9036</v>
      </c>
      <c r="C2628" t="s">
        <v>6636</v>
      </c>
      <c r="D2628" s="233">
        <v>2.67</v>
      </c>
    </row>
    <row r="2629" spans="1:4">
      <c r="A2629">
        <v>3475</v>
      </c>
      <c r="B2629" t="s">
        <v>9037</v>
      </c>
      <c r="C2629" t="s">
        <v>6636</v>
      </c>
      <c r="D2629" s="233">
        <v>2.77</v>
      </c>
    </row>
    <row r="2630" spans="1:4">
      <c r="A2630">
        <v>3485</v>
      </c>
      <c r="B2630" t="s">
        <v>9038</v>
      </c>
      <c r="C2630" t="s">
        <v>6636</v>
      </c>
      <c r="D2630" s="233">
        <v>8.84</v>
      </c>
    </row>
    <row r="2631" spans="1:4">
      <c r="A2631">
        <v>3534</v>
      </c>
      <c r="B2631" t="s">
        <v>9039</v>
      </c>
      <c r="C2631" t="s">
        <v>6636</v>
      </c>
      <c r="D2631" s="233">
        <v>3.5</v>
      </c>
    </row>
    <row r="2632" spans="1:4">
      <c r="A2632">
        <v>3543</v>
      </c>
      <c r="B2632" t="s">
        <v>9040</v>
      </c>
      <c r="C2632" t="s">
        <v>6636</v>
      </c>
      <c r="D2632" s="233">
        <v>1.75</v>
      </c>
    </row>
    <row r="2633" spans="1:4">
      <c r="A2633">
        <v>3482</v>
      </c>
      <c r="B2633" t="s">
        <v>9041</v>
      </c>
      <c r="C2633" t="s">
        <v>6636</v>
      </c>
      <c r="D2633" s="233">
        <v>4.4400000000000004</v>
      </c>
    </row>
    <row r="2634" spans="1:4">
      <c r="A2634">
        <v>3505</v>
      </c>
      <c r="B2634" t="s">
        <v>9042</v>
      </c>
      <c r="C2634" t="s">
        <v>6636</v>
      </c>
      <c r="D2634" s="233">
        <v>2.52</v>
      </c>
    </row>
    <row r="2635" spans="1:4">
      <c r="A2635">
        <v>3516</v>
      </c>
      <c r="B2635" t="s">
        <v>9043</v>
      </c>
      <c r="C2635" t="s">
        <v>6636</v>
      </c>
      <c r="D2635" s="233">
        <v>0.7</v>
      </c>
    </row>
    <row r="2636" spans="1:4">
      <c r="A2636">
        <v>3517</v>
      </c>
      <c r="B2636" t="s">
        <v>9044</v>
      </c>
      <c r="C2636" t="s">
        <v>6636</v>
      </c>
      <c r="D2636" s="233">
        <v>2.44</v>
      </c>
    </row>
    <row r="2637" spans="1:4">
      <c r="A2637">
        <v>3515</v>
      </c>
      <c r="B2637" t="s">
        <v>881</v>
      </c>
      <c r="C2637" t="s">
        <v>6636</v>
      </c>
      <c r="D2637" s="233">
        <v>4.08</v>
      </c>
    </row>
    <row r="2638" spans="1:4">
      <c r="A2638">
        <v>20147</v>
      </c>
      <c r="B2638" t="s">
        <v>9045</v>
      </c>
      <c r="C2638" t="s">
        <v>6636</v>
      </c>
      <c r="D2638" s="233">
        <v>4.3899999999999997</v>
      </c>
    </row>
    <row r="2639" spans="1:4">
      <c r="A2639">
        <v>3524</v>
      </c>
      <c r="B2639" t="s">
        <v>9046</v>
      </c>
      <c r="C2639" t="s">
        <v>6636</v>
      </c>
      <c r="D2639" s="233">
        <v>5.21</v>
      </c>
    </row>
    <row r="2640" spans="1:4">
      <c r="A2640">
        <v>3532</v>
      </c>
      <c r="B2640" t="s">
        <v>9047</v>
      </c>
      <c r="C2640" t="s">
        <v>6636</v>
      </c>
      <c r="D2640" s="233">
        <v>9.5299999999999994</v>
      </c>
    </row>
    <row r="2641" spans="1:4">
      <c r="A2641">
        <v>3528</v>
      </c>
      <c r="B2641" t="s">
        <v>9048</v>
      </c>
      <c r="C2641" t="s">
        <v>6636</v>
      </c>
      <c r="D2641" s="233">
        <v>5.5</v>
      </c>
    </row>
    <row r="2642" spans="1:4">
      <c r="A2642">
        <v>37952</v>
      </c>
      <c r="B2642" t="s">
        <v>9049</v>
      </c>
      <c r="C2642" t="s">
        <v>6636</v>
      </c>
      <c r="D2642" s="233">
        <v>39.229999999999997</v>
      </c>
    </row>
    <row r="2643" spans="1:4">
      <c r="A2643">
        <v>37951</v>
      </c>
      <c r="B2643" t="s">
        <v>9050</v>
      </c>
      <c r="C2643" t="s">
        <v>6636</v>
      </c>
      <c r="D2643" s="233">
        <v>1.42</v>
      </c>
    </row>
    <row r="2644" spans="1:4">
      <c r="A2644">
        <v>3518</v>
      </c>
      <c r="B2644" t="s">
        <v>9051</v>
      </c>
      <c r="C2644" t="s">
        <v>6636</v>
      </c>
      <c r="D2644" s="233">
        <v>2.09</v>
      </c>
    </row>
    <row r="2645" spans="1:4">
      <c r="A2645">
        <v>3519</v>
      </c>
      <c r="B2645" t="s">
        <v>9052</v>
      </c>
      <c r="C2645" t="s">
        <v>6636</v>
      </c>
      <c r="D2645" s="233">
        <v>4.9400000000000004</v>
      </c>
    </row>
    <row r="2646" spans="1:4">
      <c r="A2646">
        <v>3520</v>
      </c>
      <c r="B2646" t="s">
        <v>9053</v>
      </c>
      <c r="C2646" t="s">
        <v>6636</v>
      </c>
      <c r="D2646" s="233">
        <v>5.54</v>
      </c>
    </row>
    <row r="2647" spans="1:4">
      <c r="A2647">
        <v>37950</v>
      </c>
      <c r="B2647" t="s">
        <v>9054</v>
      </c>
      <c r="C2647" t="s">
        <v>6636</v>
      </c>
      <c r="D2647" s="233">
        <v>34.15</v>
      </c>
    </row>
    <row r="2648" spans="1:4">
      <c r="A2648">
        <v>37949</v>
      </c>
      <c r="B2648" t="s">
        <v>9055</v>
      </c>
      <c r="C2648" t="s">
        <v>6636</v>
      </c>
      <c r="D2648" s="233">
        <v>1.25</v>
      </c>
    </row>
    <row r="2649" spans="1:4">
      <c r="A2649">
        <v>3526</v>
      </c>
      <c r="B2649" t="s">
        <v>9056</v>
      </c>
      <c r="C2649" t="s">
        <v>6636</v>
      </c>
      <c r="D2649" s="233">
        <v>1.67</v>
      </c>
    </row>
    <row r="2650" spans="1:4">
      <c r="A2650">
        <v>3509</v>
      </c>
      <c r="B2650" t="s">
        <v>9057</v>
      </c>
      <c r="C2650" t="s">
        <v>6636</v>
      </c>
      <c r="D2650" s="233">
        <v>4.3600000000000003</v>
      </c>
    </row>
    <row r="2651" spans="1:4">
      <c r="A2651">
        <v>3530</v>
      </c>
      <c r="B2651" t="s">
        <v>9058</v>
      </c>
      <c r="C2651" t="s">
        <v>6636</v>
      </c>
      <c r="D2651" s="233">
        <v>164.17</v>
      </c>
    </row>
    <row r="2652" spans="1:4">
      <c r="A2652">
        <v>3542</v>
      </c>
      <c r="B2652" t="s">
        <v>9059</v>
      </c>
      <c r="C2652" t="s">
        <v>6636</v>
      </c>
      <c r="D2652" s="233">
        <v>0.38</v>
      </c>
    </row>
    <row r="2653" spans="1:4">
      <c r="A2653">
        <v>3529</v>
      </c>
      <c r="B2653" t="s">
        <v>9060</v>
      </c>
      <c r="C2653" t="s">
        <v>6636</v>
      </c>
      <c r="D2653" s="233">
        <v>0.52</v>
      </c>
    </row>
    <row r="2654" spans="1:4">
      <c r="A2654">
        <v>3536</v>
      </c>
      <c r="B2654" t="s">
        <v>886</v>
      </c>
      <c r="C2654" t="s">
        <v>6636</v>
      </c>
      <c r="D2654" s="233">
        <v>1.57</v>
      </c>
    </row>
    <row r="2655" spans="1:4">
      <c r="A2655">
        <v>3535</v>
      </c>
      <c r="B2655" t="s">
        <v>9061</v>
      </c>
      <c r="C2655" t="s">
        <v>6636</v>
      </c>
      <c r="D2655" s="233">
        <v>3.73</v>
      </c>
    </row>
    <row r="2656" spans="1:4">
      <c r="A2656">
        <v>3540</v>
      </c>
      <c r="B2656" t="s">
        <v>9062</v>
      </c>
      <c r="C2656" t="s">
        <v>6636</v>
      </c>
      <c r="D2656" s="233">
        <v>4.03</v>
      </c>
    </row>
    <row r="2657" spans="1:4">
      <c r="A2657">
        <v>3539</v>
      </c>
      <c r="B2657" t="s">
        <v>9063</v>
      </c>
      <c r="C2657" t="s">
        <v>6636</v>
      </c>
      <c r="D2657" s="233">
        <v>17.510000000000002</v>
      </c>
    </row>
    <row r="2658" spans="1:4">
      <c r="A2658">
        <v>3513</v>
      </c>
      <c r="B2658" t="s">
        <v>9064</v>
      </c>
      <c r="C2658" t="s">
        <v>6636</v>
      </c>
      <c r="D2658" s="233">
        <v>77.819999999999993</v>
      </c>
    </row>
    <row r="2659" spans="1:4">
      <c r="A2659">
        <v>3492</v>
      </c>
      <c r="B2659" t="s">
        <v>9065</v>
      </c>
      <c r="C2659" t="s">
        <v>6636</v>
      </c>
      <c r="D2659" s="233">
        <v>14.98</v>
      </c>
    </row>
    <row r="2660" spans="1:4">
      <c r="A2660">
        <v>3491</v>
      </c>
      <c r="B2660" t="s">
        <v>9066</v>
      </c>
      <c r="C2660" t="s">
        <v>6636</v>
      </c>
      <c r="D2660" s="233">
        <v>8.5399999999999991</v>
      </c>
    </row>
    <row r="2661" spans="1:4">
      <c r="A2661">
        <v>3493</v>
      </c>
      <c r="B2661" t="s">
        <v>9067</v>
      </c>
      <c r="C2661" t="s">
        <v>6636</v>
      </c>
      <c r="D2661" s="233">
        <v>20.48</v>
      </c>
    </row>
    <row r="2662" spans="1:4">
      <c r="A2662">
        <v>12628</v>
      </c>
      <c r="B2662" t="s">
        <v>9068</v>
      </c>
      <c r="C2662" t="s">
        <v>6636</v>
      </c>
      <c r="D2662" s="233">
        <v>5.65</v>
      </c>
    </row>
    <row r="2663" spans="1:4">
      <c r="A2663">
        <v>12629</v>
      </c>
      <c r="B2663" t="s">
        <v>9069</v>
      </c>
      <c r="C2663" t="s">
        <v>6636</v>
      </c>
      <c r="D2663" s="233">
        <v>6.14</v>
      </c>
    </row>
    <row r="2664" spans="1:4">
      <c r="A2664">
        <v>3481</v>
      </c>
      <c r="B2664" t="s">
        <v>9070</v>
      </c>
      <c r="C2664" t="s">
        <v>6636</v>
      </c>
      <c r="D2664" s="233">
        <v>10.37</v>
      </c>
    </row>
    <row r="2665" spans="1:4">
      <c r="A2665">
        <v>3510</v>
      </c>
      <c r="B2665" t="s">
        <v>9071</v>
      </c>
      <c r="C2665" t="s">
        <v>6636</v>
      </c>
      <c r="D2665" s="233">
        <v>9.69</v>
      </c>
    </row>
    <row r="2666" spans="1:4">
      <c r="A2666">
        <v>3508</v>
      </c>
      <c r="B2666" t="s">
        <v>9072</v>
      </c>
      <c r="C2666" t="s">
        <v>6636</v>
      </c>
      <c r="D2666" s="233">
        <v>25.35</v>
      </c>
    </row>
    <row r="2667" spans="1:4">
      <c r="A2667">
        <v>38939</v>
      </c>
      <c r="B2667" t="s">
        <v>9073</v>
      </c>
      <c r="C2667" t="s">
        <v>6636</v>
      </c>
      <c r="D2667" s="233">
        <v>11.56</v>
      </c>
    </row>
    <row r="2668" spans="1:4">
      <c r="A2668">
        <v>38940</v>
      </c>
      <c r="B2668" t="s">
        <v>9074</v>
      </c>
      <c r="C2668" t="s">
        <v>6636</v>
      </c>
      <c r="D2668" s="233">
        <v>17.649999999999999</v>
      </c>
    </row>
    <row r="2669" spans="1:4">
      <c r="A2669">
        <v>38941</v>
      </c>
      <c r="B2669" t="s">
        <v>9075</v>
      </c>
      <c r="C2669" t="s">
        <v>6636</v>
      </c>
      <c r="D2669" s="233">
        <v>20.86</v>
      </c>
    </row>
    <row r="2670" spans="1:4">
      <c r="A2670">
        <v>38942</v>
      </c>
      <c r="B2670" t="s">
        <v>9076</v>
      </c>
      <c r="C2670" t="s">
        <v>6636</v>
      </c>
      <c r="D2670" s="233">
        <v>23.36</v>
      </c>
    </row>
    <row r="2671" spans="1:4">
      <c r="A2671">
        <v>38987</v>
      </c>
      <c r="B2671" t="s">
        <v>9077</v>
      </c>
      <c r="C2671" t="s">
        <v>6636</v>
      </c>
      <c r="D2671" s="233">
        <v>5.75</v>
      </c>
    </row>
    <row r="2672" spans="1:4">
      <c r="A2672">
        <v>38988</v>
      </c>
      <c r="B2672" t="s">
        <v>9078</v>
      </c>
      <c r="C2672" t="s">
        <v>6636</v>
      </c>
      <c r="D2672" s="233">
        <v>13.37</v>
      </c>
    </row>
    <row r="2673" spans="1:4">
      <c r="A2673">
        <v>38989</v>
      </c>
      <c r="B2673" t="s">
        <v>9079</v>
      </c>
      <c r="C2673" t="s">
        <v>6636</v>
      </c>
      <c r="D2673" s="233">
        <v>17.77</v>
      </c>
    </row>
    <row r="2674" spans="1:4">
      <c r="A2674">
        <v>38990</v>
      </c>
      <c r="B2674" t="s">
        <v>9080</v>
      </c>
      <c r="C2674" t="s">
        <v>6636</v>
      </c>
      <c r="D2674" s="233">
        <v>46.84</v>
      </c>
    </row>
    <row r="2675" spans="1:4">
      <c r="A2675">
        <v>38991</v>
      </c>
      <c r="B2675" t="s">
        <v>9081</v>
      </c>
      <c r="C2675" t="s">
        <v>6636</v>
      </c>
      <c r="D2675" s="233">
        <v>94.64</v>
      </c>
    </row>
    <row r="2676" spans="1:4">
      <c r="A2676">
        <v>38913</v>
      </c>
      <c r="B2676" t="s">
        <v>9082</v>
      </c>
      <c r="C2676" t="s">
        <v>6636</v>
      </c>
      <c r="D2676" s="233">
        <v>10.73</v>
      </c>
    </row>
    <row r="2677" spans="1:4">
      <c r="A2677">
        <v>38914</v>
      </c>
      <c r="B2677" t="s">
        <v>9083</v>
      </c>
      <c r="C2677" t="s">
        <v>6636</v>
      </c>
      <c r="D2677" s="233">
        <v>12.45</v>
      </c>
    </row>
    <row r="2678" spans="1:4">
      <c r="A2678">
        <v>38915</v>
      </c>
      <c r="B2678" t="s">
        <v>9084</v>
      </c>
      <c r="C2678" t="s">
        <v>6636</v>
      </c>
      <c r="D2678" s="233">
        <v>21.61</v>
      </c>
    </row>
    <row r="2679" spans="1:4">
      <c r="A2679">
        <v>38916</v>
      </c>
      <c r="B2679" t="s">
        <v>9085</v>
      </c>
      <c r="C2679" t="s">
        <v>6636</v>
      </c>
      <c r="D2679" s="233">
        <v>28.51</v>
      </c>
    </row>
    <row r="2680" spans="1:4">
      <c r="A2680">
        <v>39300</v>
      </c>
      <c r="B2680" t="s">
        <v>9086</v>
      </c>
      <c r="C2680" t="s">
        <v>6636</v>
      </c>
      <c r="D2680" s="233">
        <v>9.6999999999999993</v>
      </c>
    </row>
    <row r="2681" spans="1:4">
      <c r="A2681">
        <v>39301</v>
      </c>
      <c r="B2681" t="s">
        <v>9087</v>
      </c>
      <c r="C2681" t="s">
        <v>6636</v>
      </c>
      <c r="D2681" s="233">
        <v>13.45</v>
      </c>
    </row>
    <row r="2682" spans="1:4">
      <c r="A2682">
        <v>39302</v>
      </c>
      <c r="B2682" t="s">
        <v>9088</v>
      </c>
      <c r="C2682" t="s">
        <v>6636</v>
      </c>
      <c r="D2682" s="233">
        <v>16.899999999999999</v>
      </c>
    </row>
    <row r="2683" spans="1:4">
      <c r="A2683">
        <v>39303</v>
      </c>
      <c r="B2683" t="s">
        <v>9089</v>
      </c>
      <c r="C2683" t="s">
        <v>6636</v>
      </c>
      <c r="D2683" s="233">
        <v>29.72</v>
      </c>
    </row>
    <row r="2684" spans="1:4">
      <c r="A2684">
        <v>38923</v>
      </c>
      <c r="B2684" t="s">
        <v>9090</v>
      </c>
      <c r="C2684" t="s">
        <v>6636</v>
      </c>
      <c r="D2684" s="233">
        <v>9.4600000000000009</v>
      </c>
    </row>
    <row r="2685" spans="1:4">
      <c r="A2685">
        <v>38925</v>
      </c>
      <c r="B2685" t="s">
        <v>9091</v>
      </c>
      <c r="C2685" t="s">
        <v>6636</v>
      </c>
      <c r="D2685" s="233">
        <v>10.17</v>
      </c>
    </row>
    <row r="2686" spans="1:4">
      <c r="A2686">
        <v>38926</v>
      </c>
      <c r="B2686" t="s">
        <v>9092</v>
      </c>
      <c r="C2686" t="s">
        <v>6636</v>
      </c>
      <c r="D2686" s="233">
        <v>14.53</v>
      </c>
    </row>
    <row r="2687" spans="1:4">
      <c r="A2687">
        <v>38927</v>
      </c>
      <c r="B2687" t="s">
        <v>9093</v>
      </c>
      <c r="C2687" t="s">
        <v>6636</v>
      </c>
      <c r="D2687" s="233">
        <v>15.54</v>
      </c>
    </row>
    <row r="2688" spans="1:4">
      <c r="A2688">
        <v>39304</v>
      </c>
      <c r="B2688" t="s">
        <v>9094</v>
      </c>
      <c r="C2688" t="s">
        <v>6636</v>
      </c>
      <c r="D2688" s="233">
        <v>11.97</v>
      </c>
    </row>
    <row r="2689" spans="1:4">
      <c r="A2689">
        <v>38924</v>
      </c>
      <c r="B2689" t="s">
        <v>9095</v>
      </c>
      <c r="C2689" t="s">
        <v>6636</v>
      </c>
      <c r="D2689" s="233">
        <v>17.059999999999999</v>
      </c>
    </row>
    <row r="2690" spans="1:4">
      <c r="A2690">
        <v>39305</v>
      </c>
      <c r="B2690" t="s">
        <v>9096</v>
      </c>
      <c r="C2690" t="s">
        <v>6636</v>
      </c>
      <c r="D2690" s="233">
        <v>15.67</v>
      </c>
    </row>
    <row r="2691" spans="1:4">
      <c r="A2691">
        <v>39306</v>
      </c>
      <c r="B2691" t="s">
        <v>9097</v>
      </c>
      <c r="C2691" t="s">
        <v>6636</v>
      </c>
      <c r="D2691" s="233">
        <v>19.61</v>
      </c>
    </row>
    <row r="2692" spans="1:4">
      <c r="A2692">
        <v>38928</v>
      </c>
      <c r="B2692" t="s">
        <v>9098</v>
      </c>
      <c r="C2692" t="s">
        <v>6636</v>
      </c>
      <c r="D2692" s="233">
        <v>17.22</v>
      </c>
    </row>
    <row r="2693" spans="1:4">
      <c r="A2693">
        <v>38929</v>
      </c>
      <c r="B2693" t="s">
        <v>9099</v>
      </c>
      <c r="C2693" t="s">
        <v>6636</v>
      </c>
      <c r="D2693" s="233">
        <v>30.54</v>
      </c>
    </row>
    <row r="2694" spans="1:4">
      <c r="A2694">
        <v>39307</v>
      </c>
      <c r="B2694" t="s">
        <v>9100</v>
      </c>
      <c r="C2694" t="s">
        <v>6636</v>
      </c>
      <c r="D2694" s="233">
        <v>22.57</v>
      </c>
    </row>
    <row r="2695" spans="1:4">
      <c r="A2695">
        <v>38930</v>
      </c>
      <c r="B2695" t="s">
        <v>9101</v>
      </c>
      <c r="C2695" t="s">
        <v>6636</v>
      </c>
      <c r="D2695" s="233">
        <v>38.36</v>
      </c>
    </row>
    <row r="2696" spans="1:4">
      <c r="A2696">
        <v>38931</v>
      </c>
      <c r="B2696" t="s">
        <v>9102</v>
      </c>
      <c r="C2696" t="s">
        <v>6636</v>
      </c>
      <c r="D2696" s="233">
        <v>9.66</v>
      </c>
    </row>
    <row r="2697" spans="1:4">
      <c r="A2697">
        <v>38932</v>
      </c>
      <c r="B2697" t="s">
        <v>9103</v>
      </c>
      <c r="C2697" t="s">
        <v>6636</v>
      </c>
      <c r="D2697" s="233">
        <v>9.76</v>
      </c>
    </row>
    <row r="2698" spans="1:4">
      <c r="A2698">
        <v>38934</v>
      </c>
      <c r="B2698" t="s">
        <v>9104</v>
      </c>
      <c r="C2698" t="s">
        <v>6636</v>
      </c>
      <c r="D2698" s="233">
        <v>14.42</v>
      </c>
    </row>
    <row r="2699" spans="1:4">
      <c r="A2699">
        <v>38935</v>
      </c>
      <c r="B2699" t="s">
        <v>9105</v>
      </c>
      <c r="C2699" t="s">
        <v>6636</v>
      </c>
      <c r="D2699" s="233">
        <v>15.43</v>
      </c>
    </row>
    <row r="2700" spans="1:4">
      <c r="A2700">
        <v>38936</v>
      </c>
      <c r="B2700" t="s">
        <v>9106</v>
      </c>
      <c r="C2700" t="s">
        <v>6636</v>
      </c>
      <c r="D2700" s="233">
        <v>16.52</v>
      </c>
    </row>
    <row r="2701" spans="1:4">
      <c r="A2701">
        <v>38937</v>
      </c>
      <c r="B2701" t="s">
        <v>9107</v>
      </c>
      <c r="C2701" t="s">
        <v>6636</v>
      </c>
      <c r="D2701" s="233">
        <v>20.14</v>
      </c>
    </row>
    <row r="2702" spans="1:4">
      <c r="A2702">
        <v>38938</v>
      </c>
      <c r="B2702" t="s">
        <v>9108</v>
      </c>
      <c r="C2702" t="s">
        <v>6636</v>
      </c>
      <c r="D2702" s="233">
        <v>29.94</v>
      </c>
    </row>
    <row r="2703" spans="1:4">
      <c r="A2703">
        <v>3489</v>
      </c>
      <c r="B2703" t="s">
        <v>9109</v>
      </c>
      <c r="C2703" t="s">
        <v>6636</v>
      </c>
      <c r="D2703" s="233">
        <v>9.58</v>
      </c>
    </row>
    <row r="2704" spans="1:4">
      <c r="A2704">
        <v>20151</v>
      </c>
      <c r="B2704" t="s">
        <v>9110</v>
      </c>
      <c r="C2704" t="s">
        <v>6636</v>
      </c>
      <c r="D2704" s="233">
        <v>15.38</v>
      </c>
    </row>
    <row r="2705" spans="1:4">
      <c r="A2705">
        <v>20152</v>
      </c>
      <c r="B2705" t="s">
        <v>9111</v>
      </c>
      <c r="C2705" t="s">
        <v>6636</v>
      </c>
      <c r="D2705" s="233">
        <v>53.51</v>
      </c>
    </row>
    <row r="2706" spans="1:4">
      <c r="A2706">
        <v>20148</v>
      </c>
      <c r="B2706" t="s">
        <v>9112</v>
      </c>
      <c r="C2706" t="s">
        <v>6636</v>
      </c>
      <c r="D2706" s="233">
        <v>3.06</v>
      </c>
    </row>
    <row r="2707" spans="1:4">
      <c r="A2707">
        <v>20149</v>
      </c>
      <c r="B2707" t="s">
        <v>9113</v>
      </c>
      <c r="C2707" t="s">
        <v>6636</v>
      </c>
      <c r="D2707" s="233">
        <v>4.7300000000000004</v>
      </c>
    </row>
    <row r="2708" spans="1:4">
      <c r="A2708">
        <v>20150</v>
      </c>
      <c r="B2708" t="s">
        <v>9114</v>
      </c>
      <c r="C2708" t="s">
        <v>6636</v>
      </c>
      <c r="D2708" s="233">
        <v>11.04</v>
      </c>
    </row>
    <row r="2709" spans="1:4">
      <c r="A2709">
        <v>20157</v>
      </c>
      <c r="B2709" t="s">
        <v>9115</v>
      </c>
      <c r="C2709" t="s">
        <v>6636</v>
      </c>
      <c r="D2709" s="233">
        <v>20.75</v>
      </c>
    </row>
    <row r="2710" spans="1:4">
      <c r="A2710">
        <v>20158</v>
      </c>
      <c r="B2710" t="s">
        <v>9116</v>
      </c>
      <c r="C2710" t="s">
        <v>6636</v>
      </c>
      <c r="D2710" s="233">
        <v>68.94</v>
      </c>
    </row>
    <row r="2711" spans="1:4">
      <c r="A2711">
        <v>20154</v>
      </c>
      <c r="B2711" t="s">
        <v>9117</v>
      </c>
      <c r="C2711" t="s">
        <v>6636</v>
      </c>
      <c r="D2711" s="233">
        <v>3.93</v>
      </c>
    </row>
    <row r="2712" spans="1:4">
      <c r="A2712">
        <v>20155</v>
      </c>
      <c r="B2712" t="s">
        <v>9118</v>
      </c>
      <c r="C2712" t="s">
        <v>6636</v>
      </c>
      <c r="D2712" s="233">
        <v>5.89</v>
      </c>
    </row>
    <row r="2713" spans="1:4">
      <c r="A2713">
        <v>20156</v>
      </c>
      <c r="B2713" t="s">
        <v>9119</v>
      </c>
      <c r="C2713" t="s">
        <v>6636</v>
      </c>
      <c r="D2713" s="233">
        <v>13.25</v>
      </c>
    </row>
    <row r="2714" spans="1:4">
      <c r="A2714">
        <v>3512</v>
      </c>
      <c r="B2714" t="s">
        <v>9120</v>
      </c>
      <c r="C2714" t="s">
        <v>6636</v>
      </c>
      <c r="D2714" s="233">
        <v>150.13999999999999</v>
      </c>
    </row>
    <row r="2715" spans="1:4">
      <c r="A2715">
        <v>3499</v>
      </c>
      <c r="B2715" t="s">
        <v>9121</v>
      </c>
      <c r="C2715" t="s">
        <v>6636</v>
      </c>
      <c r="D2715" s="233">
        <v>0.64</v>
      </c>
    </row>
    <row r="2716" spans="1:4">
      <c r="A2716">
        <v>3500</v>
      </c>
      <c r="B2716" t="s">
        <v>9122</v>
      </c>
      <c r="C2716" t="s">
        <v>6636</v>
      </c>
      <c r="D2716" s="233">
        <v>1.07</v>
      </c>
    </row>
    <row r="2717" spans="1:4">
      <c r="A2717">
        <v>3501</v>
      </c>
      <c r="B2717" t="s">
        <v>9123</v>
      </c>
      <c r="C2717" t="s">
        <v>6636</v>
      </c>
      <c r="D2717" s="233">
        <v>3.11</v>
      </c>
    </row>
    <row r="2718" spans="1:4">
      <c r="A2718">
        <v>3502</v>
      </c>
      <c r="B2718" t="s">
        <v>9124</v>
      </c>
      <c r="C2718" t="s">
        <v>6636</v>
      </c>
      <c r="D2718" s="233">
        <v>4.43</v>
      </c>
    </row>
    <row r="2719" spans="1:4">
      <c r="A2719">
        <v>3503</v>
      </c>
      <c r="B2719" t="s">
        <v>9125</v>
      </c>
      <c r="C2719" t="s">
        <v>6636</v>
      </c>
      <c r="D2719" s="233">
        <v>5.3</v>
      </c>
    </row>
    <row r="2720" spans="1:4">
      <c r="A2720">
        <v>3477</v>
      </c>
      <c r="B2720" t="s">
        <v>9126</v>
      </c>
      <c r="C2720" t="s">
        <v>6636</v>
      </c>
      <c r="D2720" s="233">
        <v>20.55</v>
      </c>
    </row>
    <row r="2721" spans="1:4">
      <c r="A2721">
        <v>3478</v>
      </c>
      <c r="B2721" t="s">
        <v>9127</v>
      </c>
      <c r="C2721" t="s">
        <v>6636</v>
      </c>
      <c r="D2721" s="233">
        <v>47.22</v>
      </c>
    </row>
    <row r="2722" spans="1:4">
      <c r="A2722">
        <v>3525</v>
      </c>
      <c r="B2722" t="s">
        <v>9128</v>
      </c>
      <c r="C2722" t="s">
        <v>6636</v>
      </c>
      <c r="D2722" s="233">
        <v>56.02</v>
      </c>
    </row>
    <row r="2723" spans="1:4">
      <c r="A2723">
        <v>3511</v>
      </c>
      <c r="B2723" t="s">
        <v>9129</v>
      </c>
      <c r="C2723" t="s">
        <v>6636</v>
      </c>
      <c r="D2723" s="233">
        <v>65.739999999999995</v>
      </c>
    </row>
    <row r="2724" spans="1:4">
      <c r="A2724">
        <v>38917</v>
      </c>
      <c r="B2724" t="s">
        <v>9130</v>
      </c>
      <c r="C2724" t="s">
        <v>6636</v>
      </c>
      <c r="D2724" s="233">
        <v>9.24</v>
      </c>
    </row>
    <row r="2725" spans="1:4">
      <c r="A2725">
        <v>38919</v>
      </c>
      <c r="B2725" t="s">
        <v>9131</v>
      </c>
      <c r="C2725" t="s">
        <v>6636</v>
      </c>
      <c r="D2725" s="233">
        <v>13.75</v>
      </c>
    </row>
    <row r="2726" spans="1:4">
      <c r="A2726">
        <v>38922</v>
      </c>
      <c r="B2726" t="s">
        <v>9132</v>
      </c>
      <c r="C2726" t="s">
        <v>6636</v>
      </c>
      <c r="D2726" s="233">
        <v>17.760000000000002</v>
      </c>
    </row>
    <row r="2727" spans="1:4">
      <c r="A2727">
        <v>38921</v>
      </c>
      <c r="B2727" t="s">
        <v>9133</v>
      </c>
      <c r="C2727" t="s">
        <v>6636</v>
      </c>
      <c r="D2727" s="233">
        <v>21.96</v>
      </c>
    </row>
    <row r="2728" spans="1:4">
      <c r="A2728">
        <v>38918</v>
      </c>
      <c r="B2728" t="s">
        <v>9134</v>
      </c>
      <c r="C2728" t="s">
        <v>6636</v>
      </c>
      <c r="D2728" s="233">
        <v>20.87</v>
      </c>
    </row>
    <row r="2729" spans="1:4">
      <c r="A2729">
        <v>38920</v>
      </c>
      <c r="B2729" t="s">
        <v>9135</v>
      </c>
      <c r="C2729" t="s">
        <v>6636</v>
      </c>
      <c r="D2729" s="233">
        <v>26.1</v>
      </c>
    </row>
    <row r="2730" spans="1:4">
      <c r="A2730">
        <v>3104</v>
      </c>
      <c r="B2730" t="s">
        <v>9136</v>
      </c>
      <c r="C2730" t="s">
        <v>7972</v>
      </c>
      <c r="D2730" s="233">
        <v>378.76</v>
      </c>
    </row>
    <row r="2731" spans="1:4">
      <c r="A2731">
        <v>12032</v>
      </c>
      <c r="B2731" t="s">
        <v>9137</v>
      </c>
      <c r="C2731" t="s">
        <v>7057</v>
      </c>
      <c r="D2731" s="233">
        <v>45.27</v>
      </c>
    </row>
    <row r="2732" spans="1:4">
      <c r="A2732">
        <v>12030</v>
      </c>
      <c r="B2732" t="s">
        <v>9138</v>
      </c>
      <c r="C2732" t="s">
        <v>7057</v>
      </c>
      <c r="D2732" s="233">
        <v>42.54</v>
      </c>
    </row>
    <row r="2733" spans="1:4">
      <c r="A2733">
        <v>10908</v>
      </c>
      <c r="B2733" t="s">
        <v>907</v>
      </c>
      <c r="C2733" t="s">
        <v>6636</v>
      </c>
      <c r="D2733" s="233">
        <v>11.62</v>
      </c>
    </row>
    <row r="2734" spans="1:4">
      <c r="A2734">
        <v>10909</v>
      </c>
      <c r="B2734" t="s">
        <v>9139</v>
      </c>
      <c r="C2734" t="s">
        <v>6636</v>
      </c>
      <c r="D2734" s="233">
        <v>18.53</v>
      </c>
    </row>
    <row r="2735" spans="1:4">
      <c r="A2735">
        <v>3669</v>
      </c>
      <c r="B2735" t="s">
        <v>909</v>
      </c>
      <c r="C2735" t="s">
        <v>6636</v>
      </c>
      <c r="D2735" s="233">
        <v>7.94</v>
      </c>
    </row>
    <row r="2736" spans="1:4">
      <c r="A2736">
        <v>20138</v>
      </c>
      <c r="B2736" t="s">
        <v>9140</v>
      </c>
      <c r="C2736" t="s">
        <v>6636</v>
      </c>
      <c r="D2736" s="233">
        <v>39.44</v>
      </c>
    </row>
    <row r="2737" spans="1:4">
      <c r="A2737">
        <v>20139</v>
      </c>
      <c r="B2737" t="s">
        <v>9141</v>
      </c>
      <c r="C2737" t="s">
        <v>6636</v>
      </c>
      <c r="D2737" s="233">
        <v>66.260000000000005</v>
      </c>
    </row>
    <row r="2738" spans="1:4">
      <c r="A2738">
        <v>3668</v>
      </c>
      <c r="B2738" t="s">
        <v>9142</v>
      </c>
      <c r="C2738" t="s">
        <v>6636</v>
      </c>
      <c r="D2738" s="233">
        <v>26.27</v>
      </c>
    </row>
    <row r="2739" spans="1:4">
      <c r="A2739">
        <v>3656</v>
      </c>
      <c r="B2739" t="s">
        <v>9143</v>
      </c>
      <c r="C2739" t="s">
        <v>6636</v>
      </c>
      <c r="D2739" s="233">
        <v>13.02</v>
      </c>
    </row>
    <row r="2740" spans="1:4">
      <c r="A2740">
        <v>10911</v>
      </c>
      <c r="B2740" t="s">
        <v>9144</v>
      </c>
      <c r="C2740" t="s">
        <v>6636</v>
      </c>
      <c r="D2740" s="233">
        <v>14.45</v>
      </c>
    </row>
    <row r="2741" spans="1:4">
      <c r="A2741">
        <v>3654</v>
      </c>
      <c r="B2741" t="s">
        <v>9145</v>
      </c>
      <c r="C2741" t="s">
        <v>6636</v>
      </c>
      <c r="D2741" s="233">
        <v>3.33</v>
      </c>
    </row>
    <row r="2742" spans="1:4">
      <c r="A2742">
        <v>3664</v>
      </c>
      <c r="B2742" t="s">
        <v>9146</v>
      </c>
      <c r="C2742" t="s">
        <v>6636</v>
      </c>
      <c r="D2742" s="233">
        <v>4.1399999999999997</v>
      </c>
    </row>
    <row r="2743" spans="1:4">
      <c r="A2743">
        <v>3657</v>
      </c>
      <c r="B2743" t="s">
        <v>9147</v>
      </c>
      <c r="C2743" t="s">
        <v>6636</v>
      </c>
      <c r="D2743" s="233">
        <v>4.46</v>
      </c>
    </row>
    <row r="2744" spans="1:4">
      <c r="A2744">
        <v>12625</v>
      </c>
      <c r="B2744" t="s">
        <v>9148</v>
      </c>
      <c r="C2744" t="s">
        <v>6636</v>
      </c>
      <c r="D2744" s="233">
        <v>7.76</v>
      </c>
    </row>
    <row r="2745" spans="1:4">
      <c r="A2745">
        <v>20136</v>
      </c>
      <c r="B2745" t="s">
        <v>9149</v>
      </c>
      <c r="C2745" t="s">
        <v>6636</v>
      </c>
      <c r="D2745" s="233">
        <v>89.01</v>
      </c>
    </row>
    <row r="2746" spans="1:4">
      <c r="A2746">
        <v>20144</v>
      </c>
      <c r="B2746" t="s">
        <v>9150</v>
      </c>
      <c r="C2746" t="s">
        <v>6636</v>
      </c>
      <c r="D2746" s="233">
        <v>39.1</v>
      </c>
    </row>
    <row r="2747" spans="1:4">
      <c r="A2747">
        <v>20143</v>
      </c>
      <c r="B2747" t="s">
        <v>9151</v>
      </c>
      <c r="C2747" t="s">
        <v>6636</v>
      </c>
      <c r="D2747" s="233">
        <v>36.51</v>
      </c>
    </row>
    <row r="2748" spans="1:4">
      <c r="A2748">
        <v>20145</v>
      </c>
      <c r="B2748" t="s">
        <v>9152</v>
      </c>
      <c r="C2748" t="s">
        <v>6636</v>
      </c>
      <c r="D2748" s="233">
        <v>103.62</v>
      </c>
    </row>
    <row r="2749" spans="1:4">
      <c r="A2749">
        <v>20146</v>
      </c>
      <c r="B2749" t="s">
        <v>9153</v>
      </c>
      <c r="C2749" t="s">
        <v>6636</v>
      </c>
      <c r="D2749" s="233">
        <v>116.85</v>
      </c>
    </row>
    <row r="2750" spans="1:4">
      <c r="A2750">
        <v>20140</v>
      </c>
      <c r="B2750" t="s">
        <v>9154</v>
      </c>
      <c r="C2750" t="s">
        <v>6636</v>
      </c>
      <c r="D2750" s="233">
        <v>4.6500000000000004</v>
      </c>
    </row>
    <row r="2751" spans="1:4">
      <c r="A2751">
        <v>20141</v>
      </c>
      <c r="B2751" t="s">
        <v>9155</v>
      </c>
      <c r="C2751" t="s">
        <v>6636</v>
      </c>
      <c r="D2751" s="233">
        <v>8.16</v>
      </c>
    </row>
    <row r="2752" spans="1:4">
      <c r="A2752">
        <v>20142</v>
      </c>
      <c r="B2752" t="s">
        <v>9156</v>
      </c>
      <c r="C2752" t="s">
        <v>6636</v>
      </c>
      <c r="D2752" s="233">
        <v>24.99</v>
      </c>
    </row>
    <row r="2753" spans="1:4">
      <c r="A2753">
        <v>3659</v>
      </c>
      <c r="B2753" t="s">
        <v>9157</v>
      </c>
      <c r="C2753" t="s">
        <v>6636</v>
      </c>
      <c r="D2753" s="233">
        <v>10.84</v>
      </c>
    </row>
    <row r="2754" spans="1:4">
      <c r="A2754">
        <v>3660</v>
      </c>
      <c r="B2754" t="s">
        <v>9158</v>
      </c>
      <c r="C2754" t="s">
        <v>6636</v>
      </c>
      <c r="D2754" s="233">
        <v>15.62</v>
      </c>
    </row>
    <row r="2755" spans="1:4">
      <c r="A2755">
        <v>3662</v>
      </c>
      <c r="B2755" t="s">
        <v>9159</v>
      </c>
      <c r="C2755" t="s">
        <v>6636</v>
      </c>
      <c r="D2755" s="233">
        <v>5.9</v>
      </c>
    </row>
    <row r="2756" spans="1:4">
      <c r="A2756">
        <v>3661</v>
      </c>
      <c r="B2756" t="s">
        <v>9160</v>
      </c>
      <c r="C2756" t="s">
        <v>6636</v>
      </c>
      <c r="D2756" s="233">
        <v>8.68</v>
      </c>
    </row>
    <row r="2757" spans="1:4">
      <c r="A2757">
        <v>3658</v>
      </c>
      <c r="B2757" t="s">
        <v>9161</v>
      </c>
      <c r="C2757" t="s">
        <v>6636</v>
      </c>
      <c r="D2757" s="233">
        <v>11.05</v>
      </c>
    </row>
    <row r="2758" spans="1:4">
      <c r="A2758">
        <v>3670</v>
      </c>
      <c r="B2758" t="s">
        <v>9162</v>
      </c>
      <c r="C2758" t="s">
        <v>6636</v>
      </c>
      <c r="D2758" s="233">
        <v>14.42</v>
      </c>
    </row>
    <row r="2759" spans="1:4">
      <c r="A2759">
        <v>3666</v>
      </c>
      <c r="B2759" t="s">
        <v>9163</v>
      </c>
      <c r="C2759" t="s">
        <v>6636</v>
      </c>
      <c r="D2759" s="233">
        <v>2.44</v>
      </c>
    </row>
    <row r="2760" spans="1:4">
      <c r="A2760">
        <v>14157</v>
      </c>
      <c r="B2760" t="s">
        <v>9164</v>
      </c>
      <c r="C2760" t="s">
        <v>6636</v>
      </c>
      <c r="D2760" s="233">
        <v>0.88</v>
      </c>
    </row>
    <row r="2761" spans="1:4">
      <c r="A2761">
        <v>3653</v>
      </c>
      <c r="B2761" t="s">
        <v>9165</v>
      </c>
      <c r="C2761" t="s">
        <v>6636</v>
      </c>
      <c r="D2761" s="233">
        <v>57.25</v>
      </c>
    </row>
    <row r="2762" spans="1:4">
      <c r="A2762">
        <v>3649</v>
      </c>
      <c r="B2762" t="s">
        <v>9166</v>
      </c>
      <c r="C2762" t="s">
        <v>6636</v>
      </c>
      <c r="D2762" s="233">
        <v>118.59</v>
      </c>
    </row>
    <row r="2763" spans="1:4">
      <c r="A2763">
        <v>42696</v>
      </c>
      <c r="B2763" t="s">
        <v>9167</v>
      </c>
      <c r="C2763" t="s">
        <v>6636</v>
      </c>
      <c r="D2763" s="233">
        <v>331.8</v>
      </c>
    </row>
    <row r="2764" spans="1:4">
      <c r="A2764">
        <v>42697</v>
      </c>
      <c r="B2764" t="s">
        <v>9168</v>
      </c>
      <c r="C2764" t="s">
        <v>6636</v>
      </c>
      <c r="D2764" s="233">
        <v>499.7</v>
      </c>
    </row>
    <row r="2765" spans="1:4">
      <c r="A2765">
        <v>42698</v>
      </c>
      <c r="B2765" t="s">
        <v>9169</v>
      </c>
      <c r="C2765" t="s">
        <v>6636</v>
      </c>
      <c r="D2765" s="233">
        <v>696.06</v>
      </c>
    </row>
    <row r="2766" spans="1:4">
      <c r="A2766">
        <v>39875</v>
      </c>
      <c r="B2766" t="s">
        <v>9170</v>
      </c>
      <c r="C2766" t="s">
        <v>6636</v>
      </c>
      <c r="D2766" s="233">
        <v>369.58</v>
      </c>
    </row>
    <row r="2767" spans="1:4">
      <c r="A2767">
        <v>39876</v>
      </c>
      <c r="B2767" t="s">
        <v>9171</v>
      </c>
      <c r="C2767" t="s">
        <v>6636</v>
      </c>
      <c r="D2767" s="233">
        <v>462.72</v>
      </c>
    </row>
    <row r="2768" spans="1:4">
      <c r="A2768">
        <v>39877</v>
      </c>
      <c r="B2768" t="s">
        <v>9172</v>
      </c>
      <c r="C2768" t="s">
        <v>6636</v>
      </c>
      <c r="D2768" s="233">
        <v>641.77</v>
      </c>
    </row>
    <row r="2769" spans="1:4">
      <c r="A2769">
        <v>39878</v>
      </c>
      <c r="B2769" t="s">
        <v>9173</v>
      </c>
      <c r="C2769" t="s">
        <v>6636</v>
      </c>
      <c r="D2769" s="233">
        <v>847.68</v>
      </c>
    </row>
    <row r="2770" spans="1:4">
      <c r="A2770">
        <v>39872</v>
      </c>
      <c r="B2770" t="s">
        <v>9174</v>
      </c>
      <c r="C2770" t="s">
        <v>6636</v>
      </c>
      <c r="D2770" s="233">
        <v>253.45</v>
      </c>
    </row>
    <row r="2771" spans="1:4">
      <c r="A2771">
        <v>39873</v>
      </c>
      <c r="B2771" t="s">
        <v>9175</v>
      </c>
      <c r="C2771" t="s">
        <v>6636</v>
      </c>
      <c r="D2771" s="233">
        <v>293.99</v>
      </c>
    </row>
    <row r="2772" spans="1:4">
      <c r="A2772">
        <v>39874</v>
      </c>
      <c r="B2772" t="s">
        <v>9176</v>
      </c>
      <c r="C2772" t="s">
        <v>6636</v>
      </c>
      <c r="D2772" s="233">
        <v>322.91000000000003</v>
      </c>
    </row>
    <row r="2773" spans="1:4">
      <c r="A2773">
        <v>3674</v>
      </c>
      <c r="B2773" t="s">
        <v>9177</v>
      </c>
      <c r="C2773" t="s">
        <v>6649</v>
      </c>
      <c r="D2773" s="233">
        <v>59.04</v>
      </c>
    </row>
    <row r="2774" spans="1:4">
      <c r="A2774">
        <v>3681</v>
      </c>
      <c r="B2774" t="s">
        <v>9178</v>
      </c>
      <c r="C2774" t="s">
        <v>6649</v>
      </c>
      <c r="D2774" s="233">
        <v>87.85</v>
      </c>
    </row>
    <row r="2775" spans="1:4">
      <c r="A2775">
        <v>3676</v>
      </c>
      <c r="B2775" t="s">
        <v>9179</v>
      </c>
      <c r="C2775" t="s">
        <v>6649</v>
      </c>
      <c r="D2775" s="233">
        <v>330.62</v>
      </c>
    </row>
    <row r="2776" spans="1:4">
      <c r="A2776">
        <v>3679</v>
      </c>
      <c r="B2776" t="s">
        <v>9180</v>
      </c>
      <c r="C2776" t="s">
        <v>6649</v>
      </c>
      <c r="D2776" s="233">
        <v>273.52999999999997</v>
      </c>
    </row>
    <row r="2777" spans="1:4">
      <c r="A2777">
        <v>3672</v>
      </c>
      <c r="B2777" t="s">
        <v>9181</v>
      </c>
      <c r="C2777" t="s">
        <v>6649</v>
      </c>
      <c r="D2777" s="233">
        <v>0.93</v>
      </c>
    </row>
    <row r="2778" spans="1:4">
      <c r="A2778">
        <v>3671</v>
      </c>
      <c r="B2778" t="s">
        <v>9182</v>
      </c>
      <c r="C2778" t="s">
        <v>6649</v>
      </c>
      <c r="D2778" s="233">
        <v>0.88</v>
      </c>
    </row>
    <row r="2779" spans="1:4">
      <c r="A2779">
        <v>3673</v>
      </c>
      <c r="B2779" t="s">
        <v>9183</v>
      </c>
      <c r="C2779" t="s">
        <v>6649</v>
      </c>
      <c r="D2779" s="233">
        <v>1.38</v>
      </c>
    </row>
    <row r="2780" spans="1:4">
      <c r="A2780">
        <v>38394</v>
      </c>
      <c r="B2780" t="s">
        <v>9184</v>
      </c>
      <c r="C2780" t="s">
        <v>6636</v>
      </c>
      <c r="D2780" s="233">
        <v>270.81</v>
      </c>
    </row>
    <row r="2781" spans="1:4">
      <c r="A2781">
        <v>3729</v>
      </c>
      <c r="B2781" t="s">
        <v>9185</v>
      </c>
      <c r="C2781" t="s">
        <v>6636</v>
      </c>
      <c r="D2781" s="233">
        <v>55.74</v>
      </c>
    </row>
    <row r="2782" spans="1:4">
      <c r="A2782">
        <v>39357</v>
      </c>
      <c r="B2782" t="s">
        <v>9186</v>
      </c>
      <c r="C2782" t="s">
        <v>6636</v>
      </c>
      <c r="D2782" s="233">
        <v>83.96</v>
      </c>
    </row>
    <row r="2783" spans="1:4">
      <c r="A2783">
        <v>39358</v>
      </c>
      <c r="B2783" t="s">
        <v>9187</v>
      </c>
      <c r="C2783" t="s">
        <v>6636</v>
      </c>
      <c r="D2783" s="233">
        <v>92.07</v>
      </c>
    </row>
    <row r="2784" spans="1:4">
      <c r="A2784">
        <v>39356</v>
      </c>
      <c r="B2784" t="s">
        <v>9188</v>
      </c>
      <c r="C2784" t="s">
        <v>6636</v>
      </c>
      <c r="D2784" s="233">
        <v>157.07</v>
      </c>
    </row>
    <row r="2785" spans="1:4">
      <c r="A2785">
        <v>39355</v>
      </c>
      <c r="B2785" t="s">
        <v>9189</v>
      </c>
      <c r="C2785" t="s">
        <v>6636</v>
      </c>
      <c r="D2785" s="233">
        <v>135.16</v>
      </c>
    </row>
    <row r="2786" spans="1:4">
      <c r="A2786">
        <v>39353</v>
      </c>
      <c r="B2786" t="s">
        <v>9190</v>
      </c>
      <c r="C2786" t="s">
        <v>6636</v>
      </c>
      <c r="D2786" s="233">
        <v>185.36</v>
      </c>
    </row>
    <row r="2787" spans="1:4">
      <c r="A2787">
        <v>39354</v>
      </c>
      <c r="B2787" t="s">
        <v>9191</v>
      </c>
      <c r="C2787" t="s">
        <v>6636</v>
      </c>
      <c r="D2787" s="233">
        <v>184.74</v>
      </c>
    </row>
    <row r="2788" spans="1:4">
      <c r="A2788">
        <v>39398</v>
      </c>
      <c r="B2788" t="s">
        <v>9192</v>
      </c>
      <c r="C2788" t="s">
        <v>6636</v>
      </c>
      <c r="D2788" s="233">
        <v>68.41</v>
      </c>
    </row>
    <row r="2789" spans="1:4">
      <c r="A2789">
        <v>13343</v>
      </c>
      <c r="B2789" t="s">
        <v>9193</v>
      </c>
      <c r="C2789" t="s">
        <v>6636</v>
      </c>
      <c r="D2789" s="233">
        <v>30.91</v>
      </c>
    </row>
    <row r="2790" spans="1:4">
      <c r="A2790">
        <v>12118</v>
      </c>
      <c r="B2790" t="s">
        <v>9194</v>
      </c>
      <c r="C2790" t="s">
        <v>6636</v>
      </c>
      <c r="D2790" s="233">
        <v>14.77</v>
      </c>
    </row>
    <row r="2791" spans="1:4">
      <c r="A2791">
        <v>39482</v>
      </c>
      <c r="B2791" t="s">
        <v>9195</v>
      </c>
      <c r="C2791" t="s">
        <v>6636</v>
      </c>
      <c r="D2791" s="233">
        <v>472.22</v>
      </c>
    </row>
    <row r="2792" spans="1:4">
      <c r="A2792">
        <v>39486</v>
      </c>
      <c r="B2792" t="s">
        <v>9196</v>
      </c>
      <c r="C2792" t="s">
        <v>6636</v>
      </c>
      <c r="D2792" s="233">
        <v>416.04</v>
      </c>
    </row>
    <row r="2793" spans="1:4">
      <c r="A2793">
        <v>39483</v>
      </c>
      <c r="B2793" t="s">
        <v>9197</v>
      </c>
      <c r="C2793" t="s">
        <v>6636</v>
      </c>
      <c r="D2793" s="233">
        <v>450.38</v>
      </c>
    </row>
    <row r="2794" spans="1:4">
      <c r="A2794">
        <v>39487</v>
      </c>
      <c r="B2794" t="s">
        <v>9198</v>
      </c>
      <c r="C2794" t="s">
        <v>6636</v>
      </c>
      <c r="D2794" s="233">
        <v>420.33</v>
      </c>
    </row>
    <row r="2795" spans="1:4">
      <c r="A2795">
        <v>39484</v>
      </c>
      <c r="B2795" t="s">
        <v>9199</v>
      </c>
      <c r="C2795" t="s">
        <v>6636</v>
      </c>
      <c r="D2795" s="233">
        <v>454.68</v>
      </c>
    </row>
    <row r="2796" spans="1:4">
      <c r="A2796">
        <v>39488</v>
      </c>
      <c r="B2796" t="s">
        <v>9200</v>
      </c>
      <c r="C2796" t="s">
        <v>6636</v>
      </c>
      <c r="D2796" s="233">
        <v>424.63</v>
      </c>
    </row>
    <row r="2797" spans="1:4">
      <c r="A2797">
        <v>39485</v>
      </c>
      <c r="B2797" t="s">
        <v>9201</v>
      </c>
      <c r="C2797" t="s">
        <v>6636</v>
      </c>
      <c r="D2797" s="233">
        <v>476.17</v>
      </c>
    </row>
    <row r="2798" spans="1:4">
      <c r="A2798">
        <v>39489</v>
      </c>
      <c r="B2798" t="s">
        <v>9202</v>
      </c>
      <c r="C2798" t="s">
        <v>6636</v>
      </c>
      <c r="D2798" s="233">
        <v>446.12</v>
      </c>
    </row>
    <row r="2799" spans="1:4">
      <c r="A2799">
        <v>39494</v>
      </c>
      <c r="B2799" t="s">
        <v>9203</v>
      </c>
      <c r="C2799" t="s">
        <v>6636</v>
      </c>
      <c r="D2799" s="233">
        <v>455.05</v>
      </c>
    </row>
    <row r="2800" spans="1:4">
      <c r="A2800">
        <v>39490</v>
      </c>
      <c r="B2800" t="s">
        <v>9204</v>
      </c>
      <c r="C2800" t="s">
        <v>6636</v>
      </c>
      <c r="D2800" s="233">
        <v>515.83000000000004</v>
      </c>
    </row>
    <row r="2801" spans="1:4">
      <c r="A2801">
        <v>39495</v>
      </c>
      <c r="B2801" t="s">
        <v>9205</v>
      </c>
      <c r="C2801" t="s">
        <v>6636</v>
      </c>
      <c r="D2801" s="233">
        <v>472.22</v>
      </c>
    </row>
    <row r="2802" spans="1:4">
      <c r="A2802">
        <v>39491</v>
      </c>
      <c r="B2802" t="s">
        <v>9206</v>
      </c>
      <c r="C2802" t="s">
        <v>6636</v>
      </c>
      <c r="D2802" s="233">
        <v>532.32000000000005</v>
      </c>
    </row>
    <row r="2803" spans="1:4">
      <c r="A2803">
        <v>39496</v>
      </c>
      <c r="B2803" t="s">
        <v>9207</v>
      </c>
      <c r="C2803" t="s">
        <v>6636</v>
      </c>
      <c r="D2803" s="233">
        <v>489.22</v>
      </c>
    </row>
    <row r="2804" spans="1:4">
      <c r="A2804">
        <v>39492</v>
      </c>
      <c r="B2804" t="s">
        <v>9208</v>
      </c>
      <c r="C2804" t="s">
        <v>6636</v>
      </c>
      <c r="D2804" s="233">
        <v>535.58000000000004</v>
      </c>
    </row>
    <row r="2805" spans="1:4">
      <c r="A2805">
        <v>39497</v>
      </c>
      <c r="B2805" t="s">
        <v>9209</v>
      </c>
      <c r="C2805" t="s">
        <v>6636</v>
      </c>
      <c r="D2805" s="233">
        <v>506.39</v>
      </c>
    </row>
    <row r="2806" spans="1:4">
      <c r="A2806">
        <v>39493</v>
      </c>
      <c r="B2806" t="s">
        <v>9210</v>
      </c>
      <c r="C2806" t="s">
        <v>6636</v>
      </c>
      <c r="D2806" s="233">
        <v>566.66</v>
      </c>
    </row>
    <row r="2807" spans="1:4">
      <c r="A2807">
        <v>39500</v>
      </c>
      <c r="B2807" t="s">
        <v>9211</v>
      </c>
      <c r="C2807" t="s">
        <v>6636</v>
      </c>
      <c r="D2807" s="233">
        <v>568.52</v>
      </c>
    </row>
    <row r="2808" spans="1:4">
      <c r="A2808">
        <v>39498</v>
      </c>
      <c r="B2808" t="s">
        <v>9212</v>
      </c>
      <c r="C2808" t="s">
        <v>6636</v>
      </c>
      <c r="D2808" s="233">
        <v>632.16999999999996</v>
      </c>
    </row>
    <row r="2809" spans="1:4">
      <c r="A2809">
        <v>39501</v>
      </c>
      <c r="B2809" t="s">
        <v>9213</v>
      </c>
      <c r="C2809" t="s">
        <v>6636</v>
      </c>
      <c r="D2809" s="233">
        <v>583.32000000000005</v>
      </c>
    </row>
    <row r="2810" spans="1:4">
      <c r="A2810">
        <v>39499</v>
      </c>
      <c r="B2810" t="s">
        <v>9214</v>
      </c>
      <c r="C2810" t="s">
        <v>6636</v>
      </c>
      <c r="D2810" s="233">
        <v>685.79</v>
      </c>
    </row>
    <row r="2811" spans="1:4">
      <c r="A2811">
        <v>3733</v>
      </c>
      <c r="B2811" t="s">
        <v>9215</v>
      </c>
      <c r="C2811" t="s">
        <v>6638</v>
      </c>
      <c r="D2811" s="233">
        <v>48.21</v>
      </c>
    </row>
    <row r="2812" spans="1:4">
      <c r="A2812">
        <v>3731</v>
      </c>
      <c r="B2812" t="s">
        <v>9216</v>
      </c>
      <c r="C2812" t="s">
        <v>6638</v>
      </c>
      <c r="D2812" s="233">
        <v>44.75</v>
      </c>
    </row>
    <row r="2813" spans="1:4">
      <c r="A2813">
        <v>38137</v>
      </c>
      <c r="B2813" t="s">
        <v>9217</v>
      </c>
      <c r="C2813" t="s">
        <v>6638</v>
      </c>
      <c r="D2813" s="233">
        <v>45.01</v>
      </c>
    </row>
    <row r="2814" spans="1:4">
      <c r="A2814">
        <v>38135</v>
      </c>
      <c r="B2814" t="s">
        <v>9218</v>
      </c>
      <c r="C2814" t="s">
        <v>6638</v>
      </c>
      <c r="D2814" s="233">
        <v>57.06</v>
      </c>
    </row>
    <row r="2815" spans="1:4">
      <c r="A2815">
        <v>38138</v>
      </c>
      <c r="B2815" t="s">
        <v>9219</v>
      </c>
      <c r="C2815" t="s">
        <v>6638</v>
      </c>
      <c r="D2815" s="233">
        <v>44.2</v>
      </c>
    </row>
    <row r="2816" spans="1:4">
      <c r="A2816">
        <v>3736</v>
      </c>
      <c r="B2816" t="s">
        <v>9220</v>
      </c>
      <c r="C2816" t="s">
        <v>6638</v>
      </c>
      <c r="D2816" s="233">
        <v>44.5</v>
      </c>
    </row>
    <row r="2817" spans="1:4">
      <c r="A2817">
        <v>3741</v>
      </c>
      <c r="B2817" t="s">
        <v>9221</v>
      </c>
      <c r="C2817" t="s">
        <v>6638</v>
      </c>
      <c r="D2817" s="233">
        <v>46.38</v>
      </c>
    </row>
    <row r="2818" spans="1:4">
      <c r="A2818">
        <v>3745</v>
      </c>
      <c r="B2818" t="s">
        <v>9222</v>
      </c>
      <c r="C2818" t="s">
        <v>6638</v>
      </c>
      <c r="D2818" s="233">
        <v>50.01</v>
      </c>
    </row>
    <row r="2819" spans="1:4">
      <c r="A2819">
        <v>3743</v>
      </c>
      <c r="B2819" t="s">
        <v>9223</v>
      </c>
      <c r="C2819" t="s">
        <v>6638</v>
      </c>
      <c r="D2819" s="233">
        <v>46.22</v>
      </c>
    </row>
    <row r="2820" spans="1:4">
      <c r="A2820">
        <v>3744</v>
      </c>
      <c r="B2820" t="s">
        <v>9224</v>
      </c>
      <c r="C2820" t="s">
        <v>6638</v>
      </c>
      <c r="D2820" s="233">
        <v>50.88</v>
      </c>
    </row>
    <row r="2821" spans="1:4">
      <c r="A2821">
        <v>3739</v>
      </c>
      <c r="B2821" t="s">
        <v>9225</v>
      </c>
      <c r="C2821" t="s">
        <v>6638</v>
      </c>
      <c r="D2821" s="233">
        <v>53.46</v>
      </c>
    </row>
    <row r="2822" spans="1:4">
      <c r="A2822">
        <v>3737</v>
      </c>
      <c r="B2822" t="s">
        <v>9226</v>
      </c>
      <c r="C2822" t="s">
        <v>6638</v>
      </c>
      <c r="D2822" s="233">
        <v>56.05</v>
      </c>
    </row>
    <row r="2823" spans="1:4">
      <c r="A2823">
        <v>3738</v>
      </c>
      <c r="B2823" t="s">
        <v>9227</v>
      </c>
      <c r="C2823" t="s">
        <v>6638</v>
      </c>
      <c r="D2823" s="233">
        <v>64.680000000000007</v>
      </c>
    </row>
    <row r="2824" spans="1:4">
      <c r="A2824">
        <v>3747</v>
      </c>
      <c r="B2824" t="s">
        <v>9228</v>
      </c>
      <c r="C2824" t="s">
        <v>6638</v>
      </c>
      <c r="D2824" s="233">
        <v>50.88</v>
      </c>
    </row>
    <row r="2825" spans="1:4">
      <c r="A2825">
        <v>11649</v>
      </c>
      <c r="B2825" t="s">
        <v>9229</v>
      </c>
      <c r="C2825" t="s">
        <v>6636</v>
      </c>
      <c r="D2825" s="233">
        <v>369.1</v>
      </c>
    </row>
    <row r="2826" spans="1:4">
      <c r="A2826">
        <v>11650</v>
      </c>
      <c r="B2826" t="s">
        <v>9230</v>
      </c>
      <c r="C2826" t="s">
        <v>6636</v>
      </c>
      <c r="D2826" s="233">
        <v>629.12</v>
      </c>
    </row>
    <row r="2827" spans="1:4">
      <c r="A2827">
        <v>3742</v>
      </c>
      <c r="B2827" t="s">
        <v>9231</v>
      </c>
      <c r="C2827" t="s">
        <v>6638</v>
      </c>
      <c r="D2827" s="233">
        <v>67.09</v>
      </c>
    </row>
    <row r="2828" spans="1:4">
      <c r="A2828">
        <v>3746</v>
      </c>
      <c r="B2828" t="s">
        <v>9232</v>
      </c>
      <c r="C2828" t="s">
        <v>6638</v>
      </c>
      <c r="D2828" s="233">
        <v>78.34</v>
      </c>
    </row>
    <row r="2829" spans="1:4">
      <c r="A2829">
        <v>21106</v>
      </c>
      <c r="B2829" t="s">
        <v>12308</v>
      </c>
      <c r="C2829" t="s">
        <v>6698</v>
      </c>
      <c r="D2829" s="233">
        <v>236.7</v>
      </c>
    </row>
    <row r="2830" spans="1:4">
      <c r="A2830">
        <v>3755</v>
      </c>
      <c r="B2830" t="s">
        <v>9233</v>
      </c>
      <c r="C2830" t="s">
        <v>6636</v>
      </c>
      <c r="D2830" s="233">
        <v>14.32</v>
      </c>
    </row>
    <row r="2831" spans="1:4">
      <c r="A2831">
        <v>3750</v>
      </c>
      <c r="B2831" t="s">
        <v>9234</v>
      </c>
      <c r="C2831" t="s">
        <v>6636</v>
      </c>
      <c r="D2831" s="233">
        <v>19.260000000000002</v>
      </c>
    </row>
    <row r="2832" spans="1:4">
      <c r="A2832">
        <v>3756</v>
      </c>
      <c r="B2832" t="s">
        <v>9235</v>
      </c>
      <c r="C2832" t="s">
        <v>6636</v>
      </c>
      <c r="D2832" s="233">
        <v>35.99</v>
      </c>
    </row>
    <row r="2833" spans="1:4">
      <c r="A2833">
        <v>39377</v>
      </c>
      <c r="B2833" t="s">
        <v>9236</v>
      </c>
      <c r="C2833" t="s">
        <v>6636</v>
      </c>
      <c r="D2833" s="233">
        <v>106.62</v>
      </c>
    </row>
    <row r="2834" spans="1:4">
      <c r="A2834">
        <v>38191</v>
      </c>
      <c r="B2834" t="s">
        <v>9237</v>
      </c>
      <c r="C2834" t="s">
        <v>6636</v>
      </c>
      <c r="D2834" s="233">
        <v>7.94</v>
      </c>
    </row>
    <row r="2835" spans="1:4">
      <c r="A2835">
        <v>39381</v>
      </c>
      <c r="B2835" t="s">
        <v>9238</v>
      </c>
      <c r="C2835" t="s">
        <v>6636</v>
      </c>
      <c r="D2835" s="233">
        <v>7.4</v>
      </c>
    </row>
    <row r="2836" spans="1:4">
      <c r="A2836">
        <v>38780</v>
      </c>
      <c r="B2836" t="s">
        <v>9239</v>
      </c>
      <c r="C2836" t="s">
        <v>6636</v>
      </c>
      <c r="D2836" s="233">
        <v>9.06</v>
      </c>
    </row>
    <row r="2837" spans="1:4">
      <c r="A2837">
        <v>38781</v>
      </c>
      <c r="B2837" t="s">
        <v>9240</v>
      </c>
      <c r="C2837" t="s">
        <v>6636</v>
      </c>
      <c r="D2837" s="233">
        <v>30.58</v>
      </c>
    </row>
    <row r="2838" spans="1:4">
      <c r="A2838">
        <v>38192</v>
      </c>
      <c r="B2838" t="s">
        <v>9241</v>
      </c>
      <c r="C2838" t="s">
        <v>6636</v>
      </c>
      <c r="D2838" s="233">
        <v>55.33</v>
      </c>
    </row>
    <row r="2839" spans="1:4">
      <c r="A2839">
        <v>3753</v>
      </c>
      <c r="B2839" t="s">
        <v>9242</v>
      </c>
      <c r="C2839" t="s">
        <v>6636</v>
      </c>
      <c r="D2839" s="233">
        <v>4.84</v>
      </c>
    </row>
    <row r="2840" spans="1:4">
      <c r="A2840">
        <v>38782</v>
      </c>
      <c r="B2840" t="s">
        <v>9243</v>
      </c>
      <c r="C2840" t="s">
        <v>6636</v>
      </c>
      <c r="D2840" s="233">
        <v>6.3</v>
      </c>
    </row>
    <row r="2841" spans="1:4">
      <c r="A2841">
        <v>38778</v>
      </c>
      <c r="B2841" t="s">
        <v>9244</v>
      </c>
      <c r="C2841" t="s">
        <v>6636</v>
      </c>
      <c r="D2841" s="233">
        <v>4.7300000000000004</v>
      </c>
    </row>
    <row r="2842" spans="1:4">
      <c r="A2842">
        <v>38779</v>
      </c>
      <c r="B2842" t="s">
        <v>9245</v>
      </c>
      <c r="C2842" t="s">
        <v>6636</v>
      </c>
      <c r="D2842" s="233">
        <v>5.01</v>
      </c>
    </row>
    <row r="2843" spans="1:4">
      <c r="A2843">
        <v>39388</v>
      </c>
      <c r="B2843" t="s">
        <v>9246</v>
      </c>
      <c r="C2843" t="s">
        <v>6636</v>
      </c>
      <c r="D2843" s="233">
        <v>24.44</v>
      </c>
    </row>
    <row r="2844" spans="1:4">
      <c r="A2844">
        <v>39387</v>
      </c>
      <c r="B2844" t="s">
        <v>938</v>
      </c>
      <c r="C2844" t="s">
        <v>6636</v>
      </c>
      <c r="D2844" s="233">
        <v>41.23</v>
      </c>
    </row>
    <row r="2845" spans="1:4">
      <c r="A2845">
        <v>39386</v>
      </c>
      <c r="B2845" t="s">
        <v>9247</v>
      </c>
      <c r="C2845" t="s">
        <v>6636</v>
      </c>
      <c r="D2845" s="233">
        <v>27.27</v>
      </c>
    </row>
    <row r="2846" spans="1:4">
      <c r="A2846">
        <v>38194</v>
      </c>
      <c r="B2846" t="s">
        <v>9248</v>
      </c>
      <c r="C2846" t="s">
        <v>6636</v>
      </c>
      <c r="D2846" s="233">
        <v>23.24</v>
      </c>
    </row>
    <row r="2847" spans="1:4">
      <c r="A2847">
        <v>38193</v>
      </c>
      <c r="B2847" t="s">
        <v>9249</v>
      </c>
      <c r="C2847" t="s">
        <v>6636</v>
      </c>
      <c r="D2847" s="233">
        <v>17.190000000000001</v>
      </c>
    </row>
    <row r="2848" spans="1:4">
      <c r="A2848">
        <v>12216</v>
      </c>
      <c r="B2848" t="s">
        <v>9250</v>
      </c>
      <c r="C2848" t="s">
        <v>6636</v>
      </c>
      <c r="D2848" s="233">
        <v>27.67</v>
      </c>
    </row>
    <row r="2849" spans="1:4">
      <c r="A2849">
        <v>3757</v>
      </c>
      <c r="B2849" t="s">
        <v>9251</v>
      </c>
      <c r="C2849" t="s">
        <v>6636</v>
      </c>
      <c r="D2849" s="233">
        <v>31.99</v>
      </c>
    </row>
    <row r="2850" spans="1:4">
      <c r="A2850">
        <v>3758</v>
      </c>
      <c r="B2850" t="s">
        <v>9252</v>
      </c>
      <c r="C2850" t="s">
        <v>6636</v>
      </c>
      <c r="D2850" s="233">
        <v>37.31</v>
      </c>
    </row>
    <row r="2851" spans="1:4">
      <c r="A2851">
        <v>12214</v>
      </c>
      <c r="B2851" t="s">
        <v>9253</v>
      </c>
      <c r="C2851" t="s">
        <v>6636</v>
      </c>
      <c r="D2851" s="233">
        <v>12.77</v>
      </c>
    </row>
    <row r="2852" spans="1:4">
      <c r="A2852">
        <v>3749</v>
      </c>
      <c r="B2852" t="s">
        <v>9254</v>
      </c>
      <c r="C2852" t="s">
        <v>6636</v>
      </c>
      <c r="D2852" s="233">
        <v>22.77</v>
      </c>
    </row>
    <row r="2853" spans="1:4">
      <c r="A2853">
        <v>3751</v>
      </c>
      <c r="B2853" t="s">
        <v>9255</v>
      </c>
      <c r="C2853" t="s">
        <v>6636</v>
      </c>
      <c r="D2853" s="233">
        <v>31.07</v>
      </c>
    </row>
    <row r="2854" spans="1:4">
      <c r="A2854">
        <v>39376</v>
      </c>
      <c r="B2854" t="s">
        <v>9256</v>
      </c>
      <c r="C2854" t="s">
        <v>6636</v>
      </c>
      <c r="D2854" s="233">
        <v>26.19</v>
      </c>
    </row>
    <row r="2855" spans="1:4">
      <c r="A2855">
        <v>3752</v>
      </c>
      <c r="B2855" t="s">
        <v>9257</v>
      </c>
      <c r="C2855" t="s">
        <v>6636</v>
      </c>
      <c r="D2855" s="233">
        <v>51.26</v>
      </c>
    </row>
    <row r="2856" spans="1:4">
      <c r="A2856">
        <v>746</v>
      </c>
      <c r="B2856" t="s">
        <v>9258</v>
      </c>
      <c r="C2856" t="s">
        <v>6636</v>
      </c>
      <c r="D2856" s="234">
        <v>4350.1899999999996</v>
      </c>
    </row>
    <row r="2857" spans="1:4">
      <c r="A2857">
        <v>36521</v>
      </c>
      <c r="B2857" t="s">
        <v>9259</v>
      </c>
      <c r="C2857" t="s">
        <v>6636</v>
      </c>
      <c r="D2857" s="233">
        <v>99.78</v>
      </c>
    </row>
    <row r="2858" spans="1:4">
      <c r="A2858">
        <v>36794</v>
      </c>
      <c r="B2858" t="s">
        <v>9260</v>
      </c>
      <c r="C2858" t="s">
        <v>6636</v>
      </c>
      <c r="D2858" s="233">
        <v>101.72</v>
      </c>
    </row>
    <row r="2859" spans="1:4">
      <c r="A2859">
        <v>10426</v>
      </c>
      <c r="B2859" t="s">
        <v>9261</v>
      </c>
      <c r="C2859" t="s">
        <v>6636</v>
      </c>
      <c r="D2859" s="233">
        <v>146.5</v>
      </c>
    </row>
    <row r="2860" spans="1:4">
      <c r="A2860">
        <v>10425</v>
      </c>
      <c r="B2860" t="s">
        <v>9262</v>
      </c>
      <c r="C2860" t="s">
        <v>6636</v>
      </c>
      <c r="D2860" s="233">
        <v>64.599999999999994</v>
      </c>
    </row>
    <row r="2861" spans="1:4">
      <c r="A2861">
        <v>10431</v>
      </c>
      <c r="B2861" t="s">
        <v>9263</v>
      </c>
      <c r="C2861" t="s">
        <v>6636</v>
      </c>
      <c r="D2861" s="233">
        <v>160.72</v>
      </c>
    </row>
    <row r="2862" spans="1:4">
      <c r="A2862">
        <v>10429</v>
      </c>
      <c r="B2862" t="s">
        <v>9264</v>
      </c>
      <c r="C2862" t="s">
        <v>6636</v>
      </c>
      <c r="D2862" s="233">
        <v>77.05</v>
      </c>
    </row>
    <row r="2863" spans="1:4">
      <c r="A2863">
        <v>20269</v>
      </c>
      <c r="B2863" t="s">
        <v>9265</v>
      </c>
      <c r="C2863" t="s">
        <v>6636</v>
      </c>
      <c r="D2863" s="233">
        <v>63.5</v>
      </c>
    </row>
    <row r="2864" spans="1:4">
      <c r="A2864">
        <v>20270</v>
      </c>
      <c r="B2864" t="s">
        <v>9266</v>
      </c>
      <c r="C2864" t="s">
        <v>6636</v>
      </c>
      <c r="D2864" s="233">
        <v>69.150000000000006</v>
      </c>
    </row>
    <row r="2865" spans="1:4">
      <c r="A2865">
        <v>11696</v>
      </c>
      <c r="B2865" t="s">
        <v>9267</v>
      </c>
      <c r="C2865" t="s">
        <v>6636</v>
      </c>
      <c r="D2865" s="233">
        <v>101.03</v>
      </c>
    </row>
    <row r="2866" spans="1:4">
      <c r="A2866">
        <v>10427</v>
      </c>
      <c r="B2866" t="s">
        <v>9268</v>
      </c>
      <c r="C2866" t="s">
        <v>6636</v>
      </c>
      <c r="D2866" s="233">
        <v>181.14</v>
      </c>
    </row>
    <row r="2867" spans="1:4">
      <c r="A2867">
        <v>10428</v>
      </c>
      <c r="B2867" t="s">
        <v>9269</v>
      </c>
      <c r="C2867" t="s">
        <v>6636</v>
      </c>
      <c r="D2867" s="233">
        <v>183.85</v>
      </c>
    </row>
    <row r="2868" spans="1:4">
      <c r="A2868">
        <v>2354</v>
      </c>
      <c r="B2868" t="s">
        <v>9270</v>
      </c>
      <c r="C2868" t="s">
        <v>6640</v>
      </c>
      <c r="D2868" s="233">
        <v>9.8000000000000007</v>
      </c>
    </row>
    <row r="2869" spans="1:4">
      <c r="A2869">
        <v>40932</v>
      </c>
      <c r="B2869" t="s">
        <v>9271</v>
      </c>
      <c r="C2869" t="s">
        <v>6785</v>
      </c>
      <c r="D2869" s="234">
        <v>1740.16</v>
      </c>
    </row>
    <row r="2870" spans="1:4">
      <c r="A2870">
        <v>10853</v>
      </c>
      <c r="B2870" t="s">
        <v>9272</v>
      </c>
      <c r="C2870" t="s">
        <v>6636</v>
      </c>
      <c r="D2870" s="233">
        <v>71.08</v>
      </c>
    </row>
    <row r="2871" spans="1:4">
      <c r="A2871">
        <v>5093</v>
      </c>
      <c r="B2871" t="s">
        <v>9273</v>
      </c>
      <c r="C2871" t="s">
        <v>7024</v>
      </c>
      <c r="D2871" s="233">
        <v>14.39</v>
      </c>
    </row>
    <row r="2872" spans="1:4">
      <c r="A2872">
        <v>37768</v>
      </c>
      <c r="B2872" t="s">
        <v>9274</v>
      </c>
      <c r="C2872" t="s">
        <v>6636</v>
      </c>
      <c r="D2872" s="234">
        <v>98500</v>
      </c>
    </row>
    <row r="2873" spans="1:4">
      <c r="A2873">
        <v>37773</v>
      </c>
      <c r="B2873" t="s">
        <v>9275</v>
      </c>
      <c r="C2873" t="s">
        <v>6636</v>
      </c>
      <c r="D2873" s="234">
        <v>83643.100000000006</v>
      </c>
    </row>
    <row r="2874" spans="1:4">
      <c r="A2874">
        <v>37769</v>
      </c>
      <c r="B2874" t="s">
        <v>9276</v>
      </c>
      <c r="C2874" t="s">
        <v>6636</v>
      </c>
      <c r="D2874" s="234">
        <v>140029.09</v>
      </c>
    </row>
    <row r="2875" spans="1:4">
      <c r="A2875">
        <v>37770</v>
      </c>
      <c r="B2875" t="s">
        <v>9277</v>
      </c>
      <c r="C2875" t="s">
        <v>6636</v>
      </c>
      <c r="D2875" s="234">
        <v>237651.71</v>
      </c>
    </row>
    <row r="2876" spans="1:4">
      <c r="A2876">
        <v>38382</v>
      </c>
      <c r="B2876" t="s">
        <v>9278</v>
      </c>
      <c r="C2876" t="s">
        <v>6636</v>
      </c>
      <c r="D2876" s="233">
        <v>9.85</v>
      </c>
    </row>
    <row r="2877" spans="1:4">
      <c r="A2877">
        <v>6091</v>
      </c>
      <c r="B2877" t="s">
        <v>836</v>
      </c>
      <c r="C2877" t="s">
        <v>6700</v>
      </c>
      <c r="D2877" s="233">
        <v>10.87</v>
      </c>
    </row>
    <row r="2878" spans="1:4">
      <c r="A2878">
        <v>38383</v>
      </c>
      <c r="B2878" t="s">
        <v>879</v>
      </c>
      <c r="C2878" t="s">
        <v>6636</v>
      </c>
      <c r="D2878" s="233">
        <v>1.84</v>
      </c>
    </row>
    <row r="2879" spans="1:4">
      <c r="A2879">
        <v>3768</v>
      </c>
      <c r="B2879" t="s">
        <v>831</v>
      </c>
      <c r="C2879" t="s">
        <v>6636</v>
      </c>
      <c r="D2879" s="233">
        <v>2.71</v>
      </c>
    </row>
    <row r="2880" spans="1:4">
      <c r="A2880">
        <v>3767</v>
      </c>
      <c r="B2880" t="s">
        <v>835</v>
      </c>
      <c r="C2880" t="s">
        <v>6636</v>
      </c>
      <c r="D2880" s="233">
        <v>0.64</v>
      </c>
    </row>
    <row r="2881" spans="1:4">
      <c r="A2881">
        <v>13192</v>
      </c>
      <c r="B2881" t="s">
        <v>9279</v>
      </c>
      <c r="C2881" t="s">
        <v>6636</v>
      </c>
      <c r="D2881" s="234">
        <v>5765.02</v>
      </c>
    </row>
    <row r="2882" spans="1:4">
      <c r="A2882">
        <v>38413</v>
      </c>
      <c r="B2882" t="s">
        <v>9280</v>
      </c>
      <c r="C2882" t="s">
        <v>6636</v>
      </c>
      <c r="D2882" s="233">
        <v>953.45</v>
      </c>
    </row>
    <row r="2883" spans="1:4">
      <c r="A2883">
        <v>42440</v>
      </c>
      <c r="B2883" t="s">
        <v>9281</v>
      </c>
      <c r="C2883" t="s">
        <v>6636</v>
      </c>
      <c r="D2883" s="233">
        <v>702.04</v>
      </c>
    </row>
    <row r="2884" spans="1:4">
      <c r="A2884">
        <v>20193</v>
      </c>
      <c r="B2884" t="s">
        <v>9282</v>
      </c>
      <c r="C2884" t="s">
        <v>9283</v>
      </c>
      <c r="D2884" s="233">
        <v>4.83</v>
      </c>
    </row>
    <row r="2885" spans="1:4">
      <c r="A2885">
        <v>10527</v>
      </c>
      <c r="B2885" t="s">
        <v>9284</v>
      </c>
      <c r="C2885" t="s">
        <v>9285</v>
      </c>
      <c r="D2885" s="233">
        <v>14.5</v>
      </c>
    </row>
    <row r="2886" spans="1:4">
      <c r="A2886">
        <v>41805</v>
      </c>
      <c r="B2886" t="s">
        <v>9286</v>
      </c>
      <c r="C2886" t="s">
        <v>6785</v>
      </c>
      <c r="D2886" s="233">
        <v>530</v>
      </c>
    </row>
    <row r="2887" spans="1:4">
      <c r="A2887">
        <v>40271</v>
      </c>
      <c r="B2887" t="s">
        <v>9287</v>
      </c>
      <c r="C2887" t="s">
        <v>6785</v>
      </c>
      <c r="D2887" s="233">
        <v>9.42</v>
      </c>
    </row>
    <row r="2888" spans="1:4">
      <c r="A2888">
        <v>40287</v>
      </c>
      <c r="B2888" t="s">
        <v>9288</v>
      </c>
      <c r="C2888" t="s">
        <v>6785</v>
      </c>
      <c r="D2888" s="233">
        <v>3.62</v>
      </c>
    </row>
    <row r="2889" spans="1:4">
      <c r="A2889">
        <v>40295</v>
      </c>
      <c r="B2889" t="s">
        <v>9289</v>
      </c>
      <c r="C2889" t="s">
        <v>6640</v>
      </c>
      <c r="D2889" s="233">
        <v>1.97</v>
      </c>
    </row>
    <row r="2890" spans="1:4">
      <c r="A2890">
        <v>745</v>
      </c>
      <c r="B2890" t="s">
        <v>9290</v>
      </c>
      <c r="C2890" t="s">
        <v>6640</v>
      </c>
      <c r="D2890" s="233">
        <v>2.09</v>
      </c>
    </row>
    <row r="2891" spans="1:4">
      <c r="A2891">
        <v>4084</v>
      </c>
      <c r="B2891" t="s">
        <v>9291</v>
      </c>
      <c r="C2891" t="s">
        <v>6640</v>
      </c>
      <c r="D2891" s="233">
        <v>2.0699999999999998</v>
      </c>
    </row>
    <row r="2892" spans="1:4">
      <c r="A2892">
        <v>743</v>
      </c>
      <c r="B2892" t="s">
        <v>9292</v>
      </c>
      <c r="C2892" t="s">
        <v>6640</v>
      </c>
      <c r="D2892" s="233">
        <v>2.0699999999999998</v>
      </c>
    </row>
    <row r="2893" spans="1:4">
      <c r="A2893">
        <v>40293</v>
      </c>
      <c r="B2893" t="s">
        <v>9293</v>
      </c>
      <c r="C2893" t="s">
        <v>6640</v>
      </c>
      <c r="D2893" s="233">
        <v>2.48</v>
      </c>
    </row>
    <row r="2894" spans="1:4">
      <c r="A2894">
        <v>40294</v>
      </c>
      <c r="B2894" t="s">
        <v>9294</v>
      </c>
      <c r="C2894" t="s">
        <v>6640</v>
      </c>
      <c r="D2894" s="233">
        <v>2.0699999999999998</v>
      </c>
    </row>
    <row r="2895" spans="1:4">
      <c r="A2895">
        <v>4085</v>
      </c>
      <c r="B2895" t="s">
        <v>9295</v>
      </c>
      <c r="C2895" t="s">
        <v>6640</v>
      </c>
      <c r="D2895" s="233">
        <v>2.89</v>
      </c>
    </row>
    <row r="2896" spans="1:4">
      <c r="A2896">
        <v>10775</v>
      </c>
      <c r="B2896" t="s">
        <v>9296</v>
      </c>
      <c r="C2896" t="s">
        <v>6785</v>
      </c>
      <c r="D2896" s="233">
        <v>515</v>
      </c>
    </row>
    <row r="2897" spans="1:4">
      <c r="A2897">
        <v>10776</v>
      </c>
      <c r="B2897" t="s">
        <v>9297</v>
      </c>
      <c r="C2897" t="s">
        <v>6785</v>
      </c>
      <c r="D2897" s="233">
        <v>402.34</v>
      </c>
    </row>
    <row r="2898" spans="1:4">
      <c r="A2898">
        <v>10779</v>
      </c>
      <c r="B2898" t="s">
        <v>9298</v>
      </c>
      <c r="C2898" t="s">
        <v>6785</v>
      </c>
      <c r="D2898" s="233">
        <v>643.75</v>
      </c>
    </row>
    <row r="2899" spans="1:4">
      <c r="A2899">
        <v>10777</v>
      </c>
      <c r="B2899" t="s">
        <v>9299</v>
      </c>
      <c r="C2899" t="s">
        <v>6785</v>
      </c>
      <c r="D2899" s="233">
        <v>584.73</v>
      </c>
    </row>
    <row r="2900" spans="1:4">
      <c r="A2900">
        <v>10778</v>
      </c>
      <c r="B2900" t="s">
        <v>9300</v>
      </c>
      <c r="C2900" t="s">
        <v>6785</v>
      </c>
      <c r="D2900" s="233">
        <v>643.75</v>
      </c>
    </row>
    <row r="2901" spans="1:4">
      <c r="A2901">
        <v>40339</v>
      </c>
      <c r="B2901" t="s">
        <v>9301</v>
      </c>
      <c r="C2901" t="s">
        <v>6785</v>
      </c>
      <c r="D2901" s="233">
        <v>3.62</v>
      </c>
    </row>
    <row r="2902" spans="1:4">
      <c r="A2902">
        <v>3355</v>
      </c>
      <c r="B2902" t="s">
        <v>9302</v>
      </c>
      <c r="C2902" t="s">
        <v>6640</v>
      </c>
      <c r="D2902" s="233">
        <v>20.25</v>
      </c>
    </row>
    <row r="2903" spans="1:4">
      <c r="A2903">
        <v>39814</v>
      </c>
      <c r="B2903" t="s">
        <v>9303</v>
      </c>
      <c r="C2903" t="s">
        <v>6640</v>
      </c>
      <c r="D2903" s="233">
        <v>37.96</v>
      </c>
    </row>
    <row r="2904" spans="1:4">
      <c r="A2904">
        <v>10749</v>
      </c>
      <c r="B2904" t="s">
        <v>9304</v>
      </c>
      <c r="C2904" t="s">
        <v>6785</v>
      </c>
      <c r="D2904" s="233">
        <v>6.64</v>
      </c>
    </row>
    <row r="2905" spans="1:4">
      <c r="A2905">
        <v>40290</v>
      </c>
      <c r="B2905" t="s">
        <v>9305</v>
      </c>
      <c r="C2905" t="s">
        <v>6785</v>
      </c>
      <c r="D2905" s="233">
        <v>9.57</v>
      </c>
    </row>
    <row r="2906" spans="1:4">
      <c r="A2906">
        <v>7252</v>
      </c>
      <c r="B2906" t="s">
        <v>9306</v>
      </c>
      <c r="C2906" t="s">
        <v>6640</v>
      </c>
      <c r="D2906" s="233">
        <v>2.29</v>
      </c>
    </row>
    <row r="2907" spans="1:4">
      <c r="A2907">
        <v>4778</v>
      </c>
      <c r="B2907" t="s">
        <v>9307</v>
      </c>
      <c r="C2907" t="s">
        <v>6640</v>
      </c>
      <c r="D2907" s="233">
        <v>2.7</v>
      </c>
    </row>
    <row r="2908" spans="1:4">
      <c r="A2908">
        <v>4780</v>
      </c>
      <c r="B2908" t="s">
        <v>9308</v>
      </c>
      <c r="C2908" t="s">
        <v>6640</v>
      </c>
      <c r="D2908" s="233">
        <v>2.92</v>
      </c>
    </row>
    <row r="2909" spans="1:4">
      <c r="A2909">
        <v>10809</v>
      </c>
      <c r="B2909" t="s">
        <v>9309</v>
      </c>
      <c r="C2909" t="s">
        <v>6640</v>
      </c>
      <c r="D2909" s="233">
        <v>1</v>
      </c>
    </row>
    <row r="2910" spans="1:4">
      <c r="A2910">
        <v>10811</v>
      </c>
      <c r="B2910" t="s">
        <v>9310</v>
      </c>
      <c r="C2910" t="s">
        <v>6640</v>
      </c>
      <c r="D2910" s="233">
        <v>0.86</v>
      </c>
    </row>
    <row r="2911" spans="1:4">
      <c r="A2911">
        <v>7247</v>
      </c>
      <c r="B2911" t="s">
        <v>9311</v>
      </c>
      <c r="C2911" t="s">
        <v>6640</v>
      </c>
      <c r="D2911" s="233">
        <v>2.29</v>
      </c>
    </row>
    <row r="2912" spans="1:4">
      <c r="A2912">
        <v>40291</v>
      </c>
      <c r="B2912" t="s">
        <v>9312</v>
      </c>
      <c r="C2912" t="s">
        <v>6785</v>
      </c>
      <c r="D2912" s="233">
        <v>505.82</v>
      </c>
    </row>
    <row r="2913" spans="1:4">
      <c r="A2913">
        <v>40275</v>
      </c>
      <c r="B2913" t="s">
        <v>9313</v>
      </c>
      <c r="C2913" t="s">
        <v>6785</v>
      </c>
      <c r="D2913" s="233">
        <v>14.5</v>
      </c>
    </row>
    <row r="2914" spans="1:4">
      <c r="A2914">
        <v>3777</v>
      </c>
      <c r="B2914" t="s">
        <v>9314</v>
      </c>
      <c r="C2914" t="s">
        <v>6638</v>
      </c>
      <c r="D2914" s="233">
        <v>0.9</v>
      </c>
    </row>
    <row r="2915" spans="1:4">
      <c r="A2915">
        <v>43067</v>
      </c>
      <c r="B2915" t="s">
        <v>12706</v>
      </c>
      <c r="C2915" t="s">
        <v>6638</v>
      </c>
      <c r="D2915" s="233">
        <v>0.93</v>
      </c>
    </row>
    <row r="2916" spans="1:4">
      <c r="A2916">
        <v>3779</v>
      </c>
      <c r="B2916" t="s">
        <v>12707</v>
      </c>
      <c r="C2916" t="s">
        <v>6649</v>
      </c>
      <c r="D2916" s="233">
        <v>7.49</v>
      </c>
    </row>
    <row r="2917" spans="1:4">
      <c r="A2917">
        <v>3798</v>
      </c>
      <c r="B2917" t="s">
        <v>9315</v>
      </c>
      <c r="C2917" t="s">
        <v>6636</v>
      </c>
      <c r="D2917" s="233">
        <v>40.47</v>
      </c>
    </row>
    <row r="2918" spans="1:4">
      <c r="A2918">
        <v>38769</v>
      </c>
      <c r="B2918" t="s">
        <v>9316</v>
      </c>
      <c r="C2918" t="s">
        <v>6636</v>
      </c>
      <c r="D2918" s="233">
        <v>31.6</v>
      </c>
    </row>
    <row r="2919" spans="1:4">
      <c r="A2919">
        <v>39510</v>
      </c>
      <c r="B2919" t="s">
        <v>9317</v>
      </c>
      <c r="C2919" t="s">
        <v>6636</v>
      </c>
      <c r="D2919" s="233">
        <v>127.91</v>
      </c>
    </row>
    <row r="2920" spans="1:4">
      <c r="A2920">
        <v>38776</v>
      </c>
      <c r="B2920" t="s">
        <v>9318</v>
      </c>
      <c r="C2920" t="s">
        <v>6636</v>
      </c>
      <c r="D2920" s="233">
        <v>135.75</v>
      </c>
    </row>
    <row r="2921" spans="1:4">
      <c r="A2921">
        <v>38774</v>
      </c>
      <c r="B2921" t="s">
        <v>936</v>
      </c>
      <c r="C2921" t="s">
        <v>6636</v>
      </c>
      <c r="D2921" s="233">
        <v>32.04</v>
      </c>
    </row>
    <row r="2922" spans="1:4">
      <c r="A2922">
        <v>42977</v>
      </c>
      <c r="B2922" t="s">
        <v>9319</v>
      </c>
      <c r="C2922" t="s">
        <v>6636</v>
      </c>
      <c r="D2922" s="233">
        <v>752.6</v>
      </c>
    </row>
    <row r="2923" spans="1:4">
      <c r="A2923">
        <v>38889</v>
      </c>
      <c r="B2923" t="s">
        <v>9320</v>
      </c>
      <c r="C2923" t="s">
        <v>6636</v>
      </c>
      <c r="D2923" s="233">
        <v>24.22</v>
      </c>
    </row>
    <row r="2924" spans="1:4">
      <c r="A2924">
        <v>38784</v>
      </c>
      <c r="B2924" t="s">
        <v>9321</v>
      </c>
      <c r="C2924" t="s">
        <v>6636</v>
      </c>
      <c r="D2924" s="233">
        <v>32.409999999999997</v>
      </c>
    </row>
    <row r="2925" spans="1:4">
      <c r="A2925">
        <v>3788</v>
      </c>
      <c r="B2925" t="s">
        <v>9322</v>
      </c>
      <c r="C2925" t="s">
        <v>6636</v>
      </c>
      <c r="D2925" s="233">
        <v>33.770000000000003</v>
      </c>
    </row>
    <row r="2926" spans="1:4">
      <c r="A2926">
        <v>12230</v>
      </c>
      <c r="B2926" t="s">
        <v>9323</v>
      </c>
      <c r="C2926" t="s">
        <v>6636</v>
      </c>
      <c r="D2926" s="233">
        <v>8.68</v>
      </c>
    </row>
    <row r="2927" spans="1:4">
      <c r="A2927">
        <v>3780</v>
      </c>
      <c r="B2927" t="s">
        <v>9324</v>
      </c>
      <c r="C2927" t="s">
        <v>6636</v>
      </c>
      <c r="D2927" s="233">
        <v>49.83</v>
      </c>
    </row>
    <row r="2928" spans="1:4">
      <c r="A2928">
        <v>12231</v>
      </c>
      <c r="B2928" t="s">
        <v>9325</v>
      </c>
      <c r="C2928" t="s">
        <v>6636</v>
      </c>
      <c r="D2928" s="233">
        <v>14.44</v>
      </c>
    </row>
    <row r="2929" spans="1:4">
      <c r="A2929">
        <v>3811</v>
      </c>
      <c r="B2929" t="s">
        <v>9326</v>
      </c>
      <c r="C2929" t="s">
        <v>6636</v>
      </c>
      <c r="D2929" s="233">
        <v>46.8</v>
      </c>
    </row>
    <row r="2930" spans="1:4">
      <c r="A2930">
        <v>12232</v>
      </c>
      <c r="B2930" t="s">
        <v>937</v>
      </c>
      <c r="C2930" t="s">
        <v>6636</v>
      </c>
      <c r="D2930" s="233">
        <v>15.13</v>
      </c>
    </row>
    <row r="2931" spans="1:4">
      <c r="A2931">
        <v>3799</v>
      </c>
      <c r="B2931" t="s">
        <v>9327</v>
      </c>
      <c r="C2931" t="s">
        <v>6636</v>
      </c>
      <c r="D2931" s="233">
        <v>66.19</v>
      </c>
    </row>
    <row r="2932" spans="1:4">
      <c r="A2932">
        <v>12239</v>
      </c>
      <c r="B2932" t="s">
        <v>9328</v>
      </c>
      <c r="C2932" t="s">
        <v>6636</v>
      </c>
      <c r="D2932" s="233">
        <v>19.809999999999999</v>
      </c>
    </row>
    <row r="2933" spans="1:4">
      <c r="A2933">
        <v>38773</v>
      </c>
      <c r="B2933" t="s">
        <v>9329</v>
      </c>
      <c r="C2933" t="s">
        <v>6636</v>
      </c>
      <c r="D2933" s="233">
        <v>3.17</v>
      </c>
    </row>
    <row r="2934" spans="1:4">
      <c r="A2934">
        <v>12271</v>
      </c>
      <c r="B2934" t="s">
        <v>9330</v>
      </c>
      <c r="C2934" t="s">
        <v>6636</v>
      </c>
      <c r="D2934" s="233">
        <v>177.23</v>
      </c>
    </row>
    <row r="2935" spans="1:4">
      <c r="A2935">
        <v>38785</v>
      </c>
      <c r="B2935" t="s">
        <v>9331</v>
      </c>
      <c r="C2935" t="s">
        <v>6636</v>
      </c>
      <c r="D2935" s="233">
        <v>83.91</v>
      </c>
    </row>
    <row r="2936" spans="1:4">
      <c r="A2936">
        <v>38786</v>
      </c>
      <c r="B2936" t="s">
        <v>9332</v>
      </c>
      <c r="C2936" t="s">
        <v>6636</v>
      </c>
      <c r="D2936" s="233">
        <v>103.36</v>
      </c>
    </row>
    <row r="2937" spans="1:4">
      <c r="A2937">
        <v>39385</v>
      </c>
      <c r="B2937" t="s">
        <v>9333</v>
      </c>
      <c r="C2937" t="s">
        <v>6636</v>
      </c>
      <c r="D2937" s="233">
        <v>78.180000000000007</v>
      </c>
    </row>
    <row r="2938" spans="1:4">
      <c r="A2938">
        <v>39389</v>
      </c>
      <c r="B2938" t="s">
        <v>9334</v>
      </c>
      <c r="C2938" t="s">
        <v>6636</v>
      </c>
      <c r="D2938" s="233">
        <v>64.849999999999994</v>
      </c>
    </row>
    <row r="2939" spans="1:4">
      <c r="A2939">
        <v>39390</v>
      </c>
      <c r="B2939" t="s">
        <v>9335</v>
      </c>
      <c r="C2939" t="s">
        <v>6636</v>
      </c>
      <c r="D2939" s="233">
        <v>125.6</v>
      </c>
    </row>
    <row r="2940" spans="1:4">
      <c r="A2940">
        <v>39391</v>
      </c>
      <c r="B2940" t="s">
        <v>9336</v>
      </c>
      <c r="C2940" t="s">
        <v>6636</v>
      </c>
      <c r="D2940" s="233">
        <v>232.46</v>
      </c>
    </row>
    <row r="2941" spans="1:4">
      <c r="A2941">
        <v>3803</v>
      </c>
      <c r="B2941" t="s">
        <v>9337</v>
      </c>
      <c r="C2941" t="s">
        <v>6636</v>
      </c>
      <c r="D2941" s="233">
        <v>29.97</v>
      </c>
    </row>
    <row r="2942" spans="1:4">
      <c r="A2942">
        <v>38770</v>
      </c>
      <c r="B2942" t="s">
        <v>9338</v>
      </c>
      <c r="C2942" t="s">
        <v>6636</v>
      </c>
      <c r="D2942" s="233">
        <v>34.700000000000003</v>
      </c>
    </row>
    <row r="2943" spans="1:4">
      <c r="A2943">
        <v>12267</v>
      </c>
      <c r="B2943" t="s">
        <v>9339</v>
      </c>
      <c r="C2943" t="s">
        <v>6636</v>
      </c>
      <c r="D2943" s="233">
        <v>101.69</v>
      </c>
    </row>
    <row r="2944" spans="1:4">
      <c r="A2944">
        <v>43068</v>
      </c>
      <c r="B2944" t="s">
        <v>9340</v>
      </c>
      <c r="C2944" t="s">
        <v>6636</v>
      </c>
      <c r="D2944" s="233">
        <v>52.2</v>
      </c>
    </row>
    <row r="2945" spans="1:4">
      <c r="A2945">
        <v>12266</v>
      </c>
      <c r="B2945" t="s">
        <v>9341</v>
      </c>
      <c r="C2945" t="s">
        <v>6636</v>
      </c>
      <c r="D2945" s="233">
        <v>52.05</v>
      </c>
    </row>
    <row r="2946" spans="1:4">
      <c r="A2946">
        <v>39378</v>
      </c>
      <c r="B2946" t="s">
        <v>9342</v>
      </c>
      <c r="C2946" t="s">
        <v>6636</v>
      </c>
      <c r="D2946" s="233">
        <v>36.9</v>
      </c>
    </row>
    <row r="2947" spans="1:4">
      <c r="A2947">
        <v>43543</v>
      </c>
      <c r="B2947" t="s">
        <v>11680</v>
      </c>
      <c r="C2947" t="s">
        <v>6636</v>
      </c>
      <c r="D2947" s="233">
        <v>76.88</v>
      </c>
    </row>
    <row r="2948" spans="1:4">
      <c r="A2948">
        <v>38775</v>
      </c>
      <c r="B2948" t="s">
        <v>9343</v>
      </c>
      <c r="C2948" t="s">
        <v>6636</v>
      </c>
      <c r="D2948" s="233">
        <v>39.119999999999997</v>
      </c>
    </row>
    <row r="2949" spans="1:4">
      <c r="A2949">
        <v>21119</v>
      </c>
      <c r="B2949" t="s">
        <v>9344</v>
      </c>
      <c r="C2949" t="s">
        <v>6636</v>
      </c>
      <c r="D2949" s="233">
        <v>2</v>
      </c>
    </row>
    <row r="2950" spans="1:4">
      <c r="A2950">
        <v>37974</v>
      </c>
      <c r="B2950" t="s">
        <v>9345</v>
      </c>
      <c r="C2950" t="s">
        <v>6636</v>
      </c>
      <c r="D2950" s="233">
        <v>2.98</v>
      </c>
    </row>
    <row r="2951" spans="1:4">
      <c r="A2951">
        <v>37975</v>
      </c>
      <c r="B2951" t="s">
        <v>9346</v>
      </c>
      <c r="C2951" t="s">
        <v>6636</v>
      </c>
      <c r="D2951" s="233">
        <v>6.05</v>
      </c>
    </row>
    <row r="2952" spans="1:4">
      <c r="A2952">
        <v>37976</v>
      </c>
      <c r="B2952" t="s">
        <v>9347</v>
      </c>
      <c r="C2952" t="s">
        <v>6636</v>
      </c>
      <c r="D2952" s="233">
        <v>12.42</v>
      </c>
    </row>
    <row r="2953" spans="1:4">
      <c r="A2953">
        <v>37977</v>
      </c>
      <c r="B2953" t="s">
        <v>9348</v>
      </c>
      <c r="C2953" t="s">
        <v>6636</v>
      </c>
      <c r="D2953" s="233">
        <v>17.079999999999998</v>
      </c>
    </row>
    <row r="2954" spans="1:4">
      <c r="A2954">
        <v>37978</v>
      </c>
      <c r="B2954" t="s">
        <v>9349</v>
      </c>
      <c r="C2954" t="s">
        <v>6636</v>
      </c>
      <c r="D2954" s="233">
        <v>34.619999999999997</v>
      </c>
    </row>
    <row r="2955" spans="1:4">
      <c r="A2955">
        <v>37979</v>
      </c>
      <c r="B2955" t="s">
        <v>9350</v>
      </c>
      <c r="C2955" t="s">
        <v>6636</v>
      </c>
      <c r="D2955" s="233">
        <v>148.72</v>
      </c>
    </row>
    <row r="2956" spans="1:4">
      <c r="A2956">
        <v>37980</v>
      </c>
      <c r="B2956" t="s">
        <v>9351</v>
      </c>
      <c r="C2956" t="s">
        <v>6636</v>
      </c>
      <c r="D2956" s="233">
        <v>167.14</v>
      </c>
    </row>
    <row r="2957" spans="1:4">
      <c r="A2957">
        <v>36147</v>
      </c>
      <c r="B2957" t="s">
        <v>9352</v>
      </c>
      <c r="C2957" t="s">
        <v>7024</v>
      </c>
      <c r="D2957" s="233">
        <v>309.22000000000003</v>
      </c>
    </row>
    <row r="2958" spans="1:4">
      <c r="A2958">
        <v>12731</v>
      </c>
      <c r="B2958" t="s">
        <v>9353</v>
      </c>
      <c r="C2958" t="s">
        <v>6636</v>
      </c>
      <c r="D2958" s="233">
        <v>210.92</v>
      </c>
    </row>
    <row r="2959" spans="1:4">
      <c r="A2959">
        <v>12723</v>
      </c>
      <c r="B2959" t="s">
        <v>9354</v>
      </c>
      <c r="C2959" t="s">
        <v>6636</v>
      </c>
      <c r="D2959" s="233">
        <v>1.63</v>
      </c>
    </row>
    <row r="2960" spans="1:4">
      <c r="A2960">
        <v>12724</v>
      </c>
      <c r="B2960" t="s">
        <v>9355</v>
      </c>
      <c r="C2960" t="s">
        <v>6636</v>
      </c>
      <c r="D2960" s="233">
        <v>3.14</v>
      </c>
    </row>
    <row r="2961" spans="1:4">
      <c r="A2961">
        <v>12725</v>
      </c>
      <c r="B2961" t="s">
        <v>9356</v>
      </c>
      <c r="C2961" t="s">
        <v>6636</v>
      </c>
      <c r="D2961" s="233">
        <v>6.3</v>
      </c>
    </row>
    <row r="2962" spans="1:4">
      <c r="A2962">
        <v>12726</v>
      </c>
      <c r="B2962" t="s">
        <v>9357</v>
      </c>
      <c r="C2962" t="s">
        <v>6636</v>
      </c>
      <c r="D2962" s="233">
        <v>13.91</v>
      </c>
    </row>
    <row r="2963" spans="1:4">
      <c r="A2963">
        <v>12727</v>
      </c>
      <c r="B2963" t="s">
        <v>9358</v>
      </c>
      <c r="C2963" t="s">
        <v>6636</v>
      </c>
      <c r="D2963" s="233">
        <v>17.64</v>
      </c>
    </row>
    <row r="2964" spans="1:4">
      <c r="A2964">
        <v>12728</v>
      </c>
      <c r="B2964" t="s">
        <v>9359</v>
      </c>
      <c r="C2964" t="s">
        <v>6636</v>
      </c>
      <c r="D2964" s="233">
        <v>28.82</v>
      </c>
    </row>
    <row r="2965" spans="1:4">
      <c r="A2965">
        <v>12729</v>
      </c>
      <c r="B2965" t="s">
        <v>9360</v>
      </c>
      <c r="C2965" t="s">
        <v>6636</v>
      </c>
      <c r="D2965" s="233">
        <v>94.47</v>
      </c>
    </row>
    <row r="2966" spans="1:4">
      <c r="A2966">
        <v>12730</v>
      </c>
      <c r="B2966" t="s">
        <v>9361</v>
      </c>
      <c r="C2966" t="s">
        <v>6636</v>
      </c>
      <c r="D2966" s="233">
        <v>144.63999999999999</v>
      </c>
    </row>
    <row r="2967" spans="1:4">
      <c r="A2967">
        <v>3840</v>
      </c>
      <c r="B2967" t="s">
        <v>9362</v>
      </c>
      <c r="C2967" t="s">
        <v>6636</v>
      </c>
      <c r="D2967" s="233">
        <v>36.200000000000003</v>
      </c>
    </row>
    <row r="2968" spans="1:4">
      <c r="A2968">
        <v>3838</v>
      </c>
      <c r="B2968" t="s">
        <v>9363</v>
      </c>
      <c r="C2968" t="s">
        <v>6636</v>
      </c>
      <c r="D2968" s="233">
        <v>79.900000000000006</v>
      </c>
    </row>
    <row r="2969" spans="1:4">
      <c r="A2969">
        <v>3844</v>
      </c>
      <c r="B2969" t="s">
        <v>9364</v>
      </c>
      <c r="C2969" t="s">
        <v>6636</v>
      </c>
      <c r="D2969" s="233">
        <v>142.52000000000001</v>
      </c>
    </row>
    <row r="2970" spans="1:4">
      <c r="A2970">
        <v>3839</v>
      </c>
      <c r="B2970" t="s">
        <v>9365</v>
      </c>
      <c r="C2970" t="s">
        <v>6636</v>
      </c>
      <c r="D2970" s="233">
        <v>259.60000000000002</v>
      </c>
    </row>
    <row r="2971" spans="1:4">
      <c r="A2971">
        <v>3843</v>
      </c>
      <c r="B2971" t="s">
        <v>9366</v>
      </c>
      <c r="C2971" t="s">
        <v>6636</v>
      </c>
      <c r="D2971" s="233">
        <v>356.3</v>
      </c>
    </row>
    <row r="2972" spans="1:4">
      <c r="A2972">
        <v>3900</v>
      </c>
      <c r="B2972" t="s">
        <v>9367</v>
      </c>
      <c r="C2972" t="s">
        <v>6636</v>
      </c>
      <c r="D2972" s="233">
        <v>30.07</v>
      </c>
    </row>
    <row r="2973" spans="1:4">
      <c r="A2973">
        <v>3846</v>
      </c>
      <c r="B2973" t="s">
        <v>9368</v>
      </c>
      <c r="C2973" t="s">
        <v>6636</v>
      </c>
      <c r="D2973" s="233">
        <v>9.48</v>
      </c>
    </row>
    <row r="2974" spans="1:4">
      <c r="A2974">
        <v>3886</v>
      </c>
      <c r="B2974" t="s">
        <v>9369</v>
      </c>
      <c r="C2974" t="s">
        <v>6636</v>
      </c>
      <c r="D2974" s="233">
        <v>9.98</v>
      </c>
    </row>
    <row r="2975" spans="1:4">
      <c r="A2975">
        <v>3854</v>
      </c>
      <c r="B2975" t="s">
        <v>9370</v>
      </c>
      <c r="C2975" t="s">
        <v>6636</v>
      </c>
      <c r="D2975" s="233">
        <v>5.54</v>
      </c>
    </row>
    <row r="2976" spans="1:4">
      <c r="A2976">
        <v>3873</v>
      </c>
      <c r="B2976" t="s">
        <v>9371</v>
      </c>
      <c r="C2976" t="s">
        <v>6636</v>
      </c>
      <c r="D2976" s="233">
        <v>7.34</v>
      </c>
    </row>
    <row r="2977" spans="1:4">
      <c r="A2977">
        <v>38021</v>
      </c>
      <c r="B2977" t="s">
        <v>9372</v>
      </c>
      <c r="C2977" t="s">
        <v>6636</v>
      </c>
      <c r="D2977" s="233">
        <v>17.559999999999999</v>
      </c>
    </row>
    <row r="2978" spans="1:4">
      <c r="A2978">
        <v>3847</v>
      </c>
      <c r="B2978" t="s">
        <v>9373</v>
      </c>
      <c r="C2978" t="s">
        <v>6636</v>
      </c>
      <c r="D2978" s="233">
        <v>19.93</v>
      </c>
    </row>
    <row r="2979" spans="1:4">
      <c r="A2979">
        <v>38022</v>
      </c>
      <c r="B2979" t="s">
        <v>9374</v>
      </c>
      <c r="C2979" t="s">
        <v>6636</v>
      </c>
      <c r="D2979" s="233">
        <v>31.13</v>
      </c>
    </row>
    <row r="2980" spans="1:4">
      <c r="A2980">
        <v>3833</v>
      </c>
      <c r="B2980" t="s">
        <v>9375</v>
      </c>
      <c r="C2980" t="s">
        <v>6636</v>
      </c>
      <c r="D2980" s="233">
        <v>12.01</v>
      </c>
    </row>
    <row r="2981" spans="1:4">
      <c r="A2981">
        <v>3835</v>
      </c>
      <c r="B2981" t="s">
        <v>9376</v>
      </c>
      <c r="C2981" t="s">
        <v>6636</v>
      </c>
      <c r="D2981" s="233">
        <v>39.119999999999997</v>
      </c>
    </row>
    <row r="2982" spans="1:4">
      <c r="A2982">
        <v>3836</v>
      </c>
      <c r="B2982" t="s">
        <v>9377</v>
      </c>
      <c r="C2982" t="s">
        <v>6636</v>
      </c>
      <c r="D2982" s="233">
        <v>84.19</v>
      </c>
    </row>
    <row r="2983" spans="1:4">
      <c r="A2983">
        <v>3830</v>
      </c>
      <c r="B2983" t="s">
        <v>9378</v>
      </c>
      <c r="C2983" t="s">
        <v>6636</v>
      </c>
      <c r="D2983" s="233">
        <v>137.66</v>
      </c>
    </row>
    <row r="2984" spans="1:4">
      <c r="A2984">
        <v>3831</v>
      </c>
      <c r="B2984" t="s">
        <v>9379</v>
      </c>
      <c r="C2984" t="s">
        <v>6636</v>
      </c>
      <c r="D2984" s="233">
        <v>230.12</v>
      </c>
    </row>
    <row r="2985" spans="1:4">
      <c r="A2985">
        <v>37981</v>
      </c>
      <c r="B2985" t="s">
        <v>9380</v>
      </c>
      <c r="C2985" t="s">
        <v>6636</v>
      </c>
      <c r="D2985" s="233">
        <v>6.82</v>
      </c>
    </row>
    <row r="2986" spans="1:4">
      <c r="A2986">
        <v>37982</v>
      </c>
      <c r="B2986" t="s">
        <v>9381</v>
      </c>
      <c r="C2986" t="s">
        <v>6636</v>
      </c>
      <c r="D2986" s="233">
        <v>10.35</v>
      </c>
    </row>
    <row r="2987" spans="1:4">
      <c r="A2987">
        <v>37983</v>
      </c>
      <c r="B2987" t="s">
        <v>9382</v>
      </c>
      <c r="C2987" t="s">
        <v>6636</v>
      </c>
      <c r="D2987" s="233">
        <v>14.49</v>
      </c>
    </row>
    <row r="2988" spans="1:4">
      <c r="A2988">
        <v>37984</v>
      </c>
      <c r="B2988" t="s">
        <v>9383</v>
      </c>
      <c r="C2988" t="s">
        <v>6636</v>
      </c>
      <c r="D2988" s="233">
        <v>25.03</v>
      </c>
    </row>
    <row r="2989" spans="1:4">
      <c r="A2989">
        <v>37985</v>
      </c>
      <c r="B2989" t="s">
        <v>9384</v>
      </c>
      <c r="C2989" t="s">
        <v>6636</v>
      </c>
      <c r="D2989" s="233">
        <v>35.04</v>
      </c>
    </row>
    <row r="2990" spans="1:4">
      <c r="A2990">
        <v>3826</v>
      </c>
      <c r="B2990" t="s">
        <v>9385</v>
      </c>
      <c r="C2990" t="s">
        <v>6636</v>
      </c>
      <c r="D2990" s="233">
        <v>35.92</v>
      </c>
    </row>
    <row r="2991" spans="1:4">
      <c r="A2991">
        <v>3825</v>
      </c>
      <c r="B2991" t="s">
        <v>9386</v>
      </c>
      <c r="C2991" t="s">
        <v>6636</v>
      </c>
      <c r="D2991" s="233">
        <v>10.33</v>
      </c>
    </row>
    <row r="2992" spans="1:4">
      <c r="A2992">
        <v>3827</v>
      </c>
      <c r="B2992" t="s">
        <v>9387</v>
      </c>
      <c r="C2992" t="s">
        <v>6636</v>
      </c>
      <c r="D2992" s="233">
        <v>22.57</v>
      </c>
    </row>
    <row r="2993" spans="1:4">
      <c r="A2993">
        <v>20165</v>
      </c>
      <c r="B2993" t="s">
        <v>9388</v>
      </c>
      <c r="C2993" t="s">
        <v>6636</v>
      </c>
      <c r="D2993" s="233">
        <v>17.190000000000001</v>
      </c>
    </row>
    <row r="2994" spans="1:4">
      <c r="A2994">
        <v>20166</v>
      </c>
      <c r="B2994" t="s">
        <v>9389</v>
      </c>
      <c r="C2994" t="s">
        <v>6636</v>
      </c>
      <c r="D2994" s="233">
        <v>55.56</v>
      </c>
    </row>
    <row r="2995" spans="1:4">
      <c r="A2995">
        <v>20164</v>
      </c>
      <c r="B2995" t="s">
        <v>9390</v>
      </c>
      <c r="C2995" t="s">
        <v>6636</v>
      </c>
      <c r="D2995" s="233">
        <v>9.08</v>
      </c>
    </row>
    <row r="2996" spans="1:4">
      <c r="A2996">
        <v>3893</v>
      </c>
      <c r="B2996" t="s">
        <v>9391</v>
      </c>
      <c r="C2996" t="s">
        <v>6636</v>
      </c>
      <c r="D2996" s="233">
        <v>11.27</v>
      </c>
    </row>
    <row r="2997" spans="1:4">
      <c r="A2997">
        <v>3848</v>
      </c>
      <c r="B2997" t="s">
        <v>9392</v>
      </c>
      <c r="C2997" t="s">
        <v>6636</v>
      </c>
      <c r="D2997" s="233">
        <v>6.84</v>
      </c>
    </row>
    <row r="2998" spans="1:4">
      <c r="A2998">
        <v>3895</v>
      </c>
      <c r="B2998" t="s">
        <v>9393</v>
      </c>
      <c r="C2998" t="s">
        <v>6636</v>
      </c>
      <c r="D2998" s="233">
        <v>7.44</v>
      </c>
    </row>
    <row r="2999" spans="1:4">
      <c r="A2999">
        <v>12404</v>
      </c>
      <c r="B2999" t="s">
        <v>9394</v>
      </c>
      <c r="C2999" t="s">
        <v>6636</v>
      </c>
      <c r="D2999" s="233">
        <v>5.53</v>
      </c>
    </row>
    <row r="3000" spans="1:4">
      <c r="A3000">
        <v>3939</v>
      </c>
      <c r="B3000" t="s">
        <v>9395</v>
      </c>
      <c r="C3000" t="s">
        <v>6636</v>
      </c>
      <c r="D3000" s="233">
        <v>11.39</v>
      </c>
    </row>
    <row r="3001" spans="1:4">
      <c r="A3001">
        <v>3911</v>
      </c>
      <c r="B3001" t="s">
        <v>9396</v>
      </c>
      <c r="C3001" t="s">
        <v>6636</v>
      </c>
      <c r="D3001" s="233">
        <v>9.3000000000000007</v>
      </c>
    </row>
    <row r="3002" spans="1:4">
      <c r="A3002">
        <v>3908</v>
      </c>
      <c r="B3002" t="s">
        <v>9397</v>
      </c>
      <c r="C3002" t="s">
        <v>6636</v>
      </c>
      <c r="D3002" s="233">
        <v>3.01</v>
      </c>
    </row>
    <row r="3003" spans="1:4">
      <c r="A3003">
        <v>3910</v>
      </c>
      <c r="B3003" t="s">
        <v>9398</v>
      </c>
      <c r="C3003" t="s">
        <v>6636</v>
      </c>
      <c r="D3003" s="233">
        <v>6.66</v>
      </c>
    </row>
    <row r="3004" spans="1:4">
      <c r="A3004">
        <v>3913</v>
      </c>
      <c r="B3004" t="s">
        <v>9399</v>
      </c>
      <c r="C3004" t="s">
        <v>6636</v>
      </c>
      <c r="D3004" s="233">
        <v>31.82</v>
      </c>
    </row>
    <row r="3005" spans="1:4">
      <c r="A3005">
        <v>3912</v>
      </c>
      <c r="B3005" t="s">
        <v>9400</v>
      </c>
      <c r="C3005" t="s">
        <v>6636</v>
      </c>
      <c r="D3005" s="233">
        <v>17.440000000000001</v>
      </c>
    </row>
    <row r="3006" spans="1:4">
      <c r="A3006">
        <v>3909</v>
      </c>
      <c r="B3006" t="s">
        <v>9401</v>
      </c>
      <c r="C3006" t="s">
        <v>6636</v>
      </c>
      <c r="D3006" s="233">
        <v>4.09</v>
      </c>
    </row>
    <row r="3007" spans="1:4">
      <c r="A3007">
        <v>3914</v>
      </c>
      <c r="B3007" t="s">
        <v>9402</v>
      </c>
      <c r="C3007" t="s">
        <v>6636</v>
      </c>
      <c r="D3007" s="233">
        <v>48.01</v>
      </c>
    </row>
    <row r="3008" spans="1:4">
      <c r="A3008">
        <v>3915</v>
      </c>
      <c r="B3008" t="s">
        <v>9403</v>
      </c>
      <c r="C3008" t="s">
        <v>6636</v>
      </c>
      <c r="D3008" s="233">
        <v>75.709999999999994</v>
      </c>
    </row>
    <row r="3009" spans="1:4">
      <c r="A3009">
        <v>3916</v>
      </c>
      <c r="B3009" t="s">
        <v>9404</v>
      </c>
      <c r="C3009" t="s">
        <v>6636</v>
      </c>
      <c r="D3009" s="233">
        <v>137.94</v>
      </c>
    </row>
    <row r="3010" spans="1:4">
      <c r="A3010">
        <v>3917</v>
      </c>
      <c r="B3010" t="s">
        <v>9405</v>
      </c>
      <c r="C3010" t="s">
        <v>6636</v>
      </c>
      <c r="D3010" s="233">
        <v>227.51</v>
      </c>
    </row>
    <row r="3011" spans="1:4">
      <c r="A3011">
        <v>1904</v>
      </c>
      <c r="B3011" t="s">
        <v>9406</v>
      </c>
      <c r="C3011" t="s">
        <v>6636</v>
      </c>
      <c r="D3011" s="233">
        <v>0.66</v>
      </c>
    </row>
    <row r="3012" spans="1:4">
      <c r="A3012">
        <v>1899</v>
      </c>
      <c r="B3012" t="s">
        <v>9407</v>
      </c>
      <c r="C3012" t="s">
        <v>6636</v>
      </c>
      <c r="D3012" s="233">
        <v>0.74</v>
      </c>
    </row>
    <row r="3013" spans="1:4">
      <c r="A3013">
        <v>1900</v>
      </c>
      <c r="B3013" t="s">
        <v>9408</v>
      </c>
      <c r="C3013" t="s">
        <v>6636</v>
      </c>
      <c r="D3013" s="233">
        <v>1.21</v>
      </c>
    </row>
    <row r="3014" spans="1:4">
      <c r="A3014">
        <v>12407</v>
      </c>
      <c r="B3014" t="s">
        <v>9409</v>
      </c>
      <c r="C3014" t="s">
        <v>6636</v>
      </c>
      <c r="D3014" s="233">
        <v>17.22</v>
      </c>
    </row>
    <row r="3015" spans="1:4">
      <c r="A3015">
        <v>12408</v>
      </c>
      <c r="B3015" t="s">
        <v>9410</v>
      </c>
      <c r="C3015" t="s">
        <v>6636</v>
      </c>
      <c r="D3015" s="233">
        <v>9.7200000000000006</v>
      </c>
    </row>
    <row r="3016" spans="1:4">
      <c r="A3016">
        <v>12409</v>
      </c>
      <c r="B3016" t="s">
        <v>9411</v>
      </c>
      <c r="C3016" t="s">
        <v>6636</v>
      </c>
      <c r="D3016" s="233">
        <v>9.7200000000000006</v>
      </c>
    </row>
    <row r="3017" spans="1:4">
      <c r="A3017">
        <v>12410</v>
      </c>
      <c r="B3017" t="s">
        <v>9412</v>
      </c>
      <c r="C3017" t="s">
        <v>6636</v>
      </c>
      <c r="D3017" s="233">
        <v>6.69</v>
      </c>
    </row>
    <row r="3018" spans="1:4">
      <c r="A3018">
        <v>3936</v>
      </c>
      <c r="B3018" t="s">
        <v>9413</v>
      </c>
      <c r="C3018" t="s">
        <v>6636</v>
      </c>
      <c r="D3018" s="233">
        <v>12.1</v>
      </c>
    </row>
    <row r="3019" spans="1:4">
      <c r="A3019">
        <v>3922</v>
      </c>
      <c r="B3019" t="s">
        <v>9414</v>
      </c>
      <c r="C3019" t="s">
        <v>6636</v>
      </c>
      <c r="D3019" s="233">
        <v>11.13</v>
      </c>
    </row>
    <row r="3020" spans="1:4">
      <c r="A3020">
        <v>3924</v>
      </c>
      <c r="B3020" t="s">
        <v>9415</v>
      </c>
      <c r="C3020" t="s">
        <v>6636</v>
      </c>
      <c r="D3020" s="233">
        <v>12.1</v>
      </c>
    </row>
    <row r="3021" spans="1:4">
      <c r="A3021">
        <v>3923</v>
      </c>
      <c r="B3021" t="s">
        <v>9416</v>
      </c>
      <c r="C3021" t="s">
        <v>6636</v>
      </c>
      <c r="D3021" s="233">
        <v>12.1</v>
      </c>
    </row>
    <row r="3022" spans="1:4">
      <c r="A3022">
        <v>3937</v>
      </c>
      <c r="B3022" t="s">
        <v>9417</v>
      </c>
      <c r="C3022" t="s">
        <v>6636</v>
      </c>
      <c r="D3022" s="233">
        <v>9.98</v>
      </c>
    </row>
    <row r="3023" spans="1:4">
      <c r="A3023">
        <v>3921</v>
      </c>
      <c r="B3023" t="s">
        <v>9418</v>
      </c>
      <c r="C3023" t="s">
        <v>6636</v>
      </c>
      <c r="D3023" s="233">
        <v>9.99</v>
      </c>
    </row>
    <row r="3024" spans="1:4">
      <c r="A3024">
        <v>3920</v>
      </c>
      <c r="B3024" t="s">
        <v>9419</v>
      </c>
      <c r="C3024" t="s">
        <v>6636</v>
      </c>
      <c r="D3024" s="233">
        <v>9.98</v>
      </c>
    </row>
    <row r="3025" spans="1:4">
      <c r="A3025">
        <v>3938</v>
      </c>
      <c r="B3025" t="s">
        <v>9420</v>
      </c>
      <c r="C3025" t="s">
        <v>6636</v>
      </c>
      <c r="D3025" s="233">
        <v>6.58</v>
      </c>
    </row>
    <row r="3026" spans="1:4">
      <c r="A3026">
        <v>3919</v>
      </c>
      <c r="B3026" t="s">
        <v>9421</v>
      </c>
      <c r="C3026" t="s">
        <v>6636</v>
      </c>
      <c r="D3026" s="233">
        <v>6.71</v>
      </c>
    </row>
    <row r="3027" spans="1:4">
      <c r="A3027">
        <v>3927</v>
      </c>
      <c r="B3027" t="s">
        <v>9422</v>
      </c>
      <c r="C3027" t="s">
        <v>6636</v>
      </c>
      <c r="D3027" s="233">
        <v>33.979999999999997</v>
      </c>
    </row>
    <row r="3028" spans="1:4">
      <c r="A3028">
        <v>3928</v>
      </c>
      <c r="B3028" t="s">
        <v>9423</v>
      </c>
      <c r="C3028" t="s">
        <v>6636</v>
      </c>
      <c r="D3028" s="233">
        <v>33.979999999999997</v>
      </c>
    </row>
    <row r="3029" spans="1:4">
      <c r="A3029">
        <v>3926</v>
      </c>
      <c r="B3029" t="s">
        <v>9424</v>
      </c>
      <c r="C3029" t="s">
        <v>6636</v>
      </c>
      <c r="D3029" s="233">
        <v>19.37</v>
      </c>
    </row>
    <row r="3030" spans="1:4">
      <c r="A3030">
        <v>3935</v>
      </c>
      <c r="B3030" t="s">
        <v>9425</v>
      </c>
      <c r="C3030" t="s">
        <v>6636</v>
      </c>
      <c r="D3030" s="233">
        <v>19.37</v>
      </c>
    </row>
    <row r="3031" spans="1:4">
      <c r="A3031">
        <v>3925</v>
      </c>
      <c r="B3031" t="s">
        <v>9426</v>
      </c>
      <c r="C3031" t="s">
        <v>6636</v>
      </c>
      <c r="D3031" s="233">
        <v>19.37</v>
      </c>
    </row>
    <row r="3032" spans="1:4">
      <c r="A3032">
        <v>12406</v>
      </c>
      <c r="B3032" t="s">
        <v>9427</v>
      </c>
      <c r="C3032" t="s">
        <v>6636</v>
      </c>
      <c r="D3032" s="233">
        <v>4.75</v>
      </c>
    </row>
    <row r="3033" spans="1:4">
      <c r="A3033">
        <v>3929</v>
      </c>
      <c r="B3033" t="s">
        <v>9428</v>
      </c>
      <c r="C3033" t="s">
        <v>6636</v>
      </c>
      <c r="D3033" s="233">
        <v>51.77</v>
      </c>
    </row>
    <row r="3034" spans="1:4">
      <c r="A3034">
        <v>3931</v>
      </c>
      <c r="B3034" t="s">
        <v>9429</v>
      </c>
      <c r="C3034" t="s">
        <v>6636</v>
      </c>
      <c r="D3034" s="233">
        <v>51.77</v>
      </c>
    </row>
    <row r="3035" spans="1:4">
      <c r="A3035">
        <v>3930</v>
      </c>
      <c r="B3035" t="s">
        <v>9430</v>
      </c>
      <c r="C3035" t="s">
        <v>6636</v>
      </c>
      <c r="D3035" s="233">
        <v>51.77</v>
      </c>
    </row>
    <row r="3036" spans="1:4">
      <c r="A3036">
        <v>3932</v>
      </c>
      <c r="B3036" t="s">
        <v>9431</v>
      </c>
      <c r="C3036" t="s">
        <v>6636</v>
      </c>
      <c r="D3036" s="233">
        <v>89.4</v>
      </c>
    </row>
    <row r="3037" spans="1:4">
      <c r="A3037">
        <v>3933</v>
      </c>
      <c r="B3037" t="s">
        <v>9432</v>
      </c>
      <c r="C3037" t="s">
        <v>6636</v>
      </c>
      <c r="D3037" s="233">
        <v>89.4</v>
      </c>
    </row>
    <row r="3038" spans="1:4">
      <c r="A3038">
        <v>3934</v>
      </c>
      <c r="B3038" t="s">
        <v>9433</v>
      </c>
      <c r="C3038" t="s">
        <v>6636</v>
      </c>
      <c r="D3038" s="233">
        <v>89.4</v>
      </c>
    </row>
    <row r="3039" spans="1:4">
      <c r="A3039">
        <v>40355</v>
      </c>
      <c r="B3039" t="s">
        <v>9434</v>
      </c>
      <c r="C3039" t="s">
        <v>6636</v>
      </c>
      <c r="D3039" s="233">
        <v>6.84</v>
      </c>
    </row>
    <row r="3040" spans="1:4">
      <c r="A3040">
        <v>40364</v>
      </c>
      <c r="B3040" t="s">
        <v>9435</v>
      </c>
      <c r="C3040" t="s">
        <v>6636</v>
      </c>
      <c r="D3040" s="233">
        <v>32.07</v>
      </c>
    </row>
    <row r="3041" spans="1:4">
      <c r="A3041">
        <v>40361</v>
      </c>
      <c r="B3041" t="s">
        <v>9436</v>
      </c>
      <c r="C3041" t="s">
        <v>6636</v>
      </c>
      <c r="D3041" s="233">
        <v>25.08</v>
      </c>
    </row>
    <row r="3042" spans="1:4">
      <c r="A3042">
        <v>40358</v>
      </c>
      <c r="B3042" t="s">
        <v>9437</v>
      </c>
      <c r="C3042" t="s">
        <v>6636</v>
      </c>
      <c r="D3042" s="233">
        <v>9.56</v>
      </c>
    </row>
    <row r="3043" spans="1:4">
      <c r="A3043">
        <v>40370</v>
      </c>
      <c r="B3043" t="s">
        <v>9438</v>
      </c>
      <c r="C3043" t="s">
        <v>6636</v>
      </c>
      <c r="D3043" s="233">
        <v>101.78</v>
      </c>
    </row>
    <row r="3044" spans="1:4">
      <c r="A3044">
        <v>40367</v>
      </c>
      <c r="B3044" t="s">
        <v>9439</v>
      </c>
      <c r="C3044" t="s">
        <v>6636</v>
      </c>
      <c r="D3044" s="233">
        <v>50.58</v>
      </c>
    </row>
    <row r="3045" spans="1:4">
      <c r="A3045">
        <v>40373</v>
      </c>
      <c r="B3045" t="s">
        <v>9440</v>
      </c>
      <c r="C3045" t="s">
        <v>6636</v>
      </c>
      <c r="D3045" s="233">
        <v>137.63</v>
      </c>
    </row>
    <row r="3046" spans="1:4">
      <c r="A3046">
        <v>38947</v>
      </c>
      <c r="B3046" t="s">
        <v>9441</v>
      </c>
      <c r="C3046" t="s">
        <v>6636</v>
      </c>
      <c r="D3046" s="233">
        <v>5.44</v>
      </c>
    </row>
    <row r="3047" spans="1:4">
      <c r="A3047">
        <v>38948</v>
      </c>
      <c r="B3047" t="s">
        <v>9442</v>
      </c>
      <c r="C3047" t="s">
        <v>6636</v>
      </c>
      <c r="D3047" s="233">
        <v>8.67</v>
      </c>
    </row>
    <row r="3048" spans="1:4">
      <c r="A3048">
        <v>38949</v>
      </c>
      <c r="B3048" t="s">
        <v>9443</v>
      </c>
      <c r="C3048" t="s">
        <v>6636</v>
      </c>
      <c r="D3048" s="233">
        <v>9.6199999999999992</v>
      </c>
    </row>
    <row r="3049" spans="1:4">
      <c r="A3049">
        <v>38951</v>
      </c>
      <c r="B3049" t="s">
        <v>9444</v>
      </c>
      <c r="C3049" t="s">
        <v>6636</v>
      </c>
      <c r="D3049" s="233">
        <v>15.22</v>
      </c>
    </row>
    <row r="3050" spans="1:4">
      <c r="A3050">
        <v>39312</v>
      </c>
      <c r="B3050" t="s">
        <v>9445</v>
      </c>
      <c r="C3050" t="s">
        <v>6636</v>
      </c>
      <c r="D3050" s="233">
        <v>11.81</v>
      </c>
    </row>
    <row r="3051" spans="1:4">
      <c r="A3051">
        <v>39313</v>
      </c>
      <c r="B3051" t="s">
        <v>9446</v>
      </c>
      <c r="C3051" t="s">
        <v>6636</v>
      </c>
      <c r="D3051" s="233">
        <v>15.41</v>
      </c>
    </row>
    <row r="3052" spans="1:4">
      <c r="A3052">
        <v>38950</v>
      </c>
      <c r="B3052" t="s">
        <v>9447</v>
      </c>
      <c r="C3052" t="s">
        <v>6636</v>
      </c>
      <c r="D3052" s="233">
        <v>23.19</v>
      </c>
    </row>
    <row r="3053" spans="1:4">
      <c r="A3053">
        <v>39314</v>
      </c>
      <c r="B3053" t="s">
        <v>9448</v>
      </c>
      <c r="C3053" t="s">
        <v>6636</v>
      </c>
      <c r="D3053" s="233">
        <v>24.47</v>
      </c>
    </row>
    <row r="3054" spans="1:4">
      <c r="A3054">
        <v>3907</v>
      </c>
      <c r="B3054" t="s">
        <v>9449</v>
      </c>
      <c r="C3054" t="s">
        <v>6636</v>
      </c>
      <c r="D3054" s="233">
        <v>3.11</v>
      </c>
    </row>
    <row r="3055" spans="1:4">
      <c r="A3055">
        <v>3889</v>
      </c>
      <c r="B3055" t="s">
        <v>9450</v>
      </c>
      <c r="C3055" t="s">
        <v>6636</v>
      </c>
      <c r="D3055" s="233">
        <v>2.38</v>
      </c>
    </row>
    <row r="3056" spans="1:4">
      <c r="A3056">
        <v>3868</v>
      </c>
      <c r="B3056" t="s">
        <v>9451</v>
      </c>
      <c r="C3056" t="s">
        <v>6636</v>
      </c>
      <c r="D3056" s="233">
        <v>0.92</v>
      </c>
    </row>
    <row r="3057" spans="1:4">
      <c r="A3057">
        <v>3869</v>
      </c>
      <c r="B3057" t="s">
        <v>9452</v>
      </c>
      <c r="C3057" t="s">
        <v>6636</v>
      </c>
      <c r="D3057" s="233">
        <v>2.64</v>
      </c>
    </row>
    <row r="3058" spans="1:4">
      <c r="A3058">
        <v>3872</v>
      </c>
      <c r="B3058" t="s">
        <v>9453</v>
      </c>
      <c r="C3058" t="s">
        <v>6636</v>
      </c>
      <c r="D3058" s="233">
        <v>3.21</v>
      </c>
    </row>
    <row r="3059" spans="1:4">
      <c r="A3059">
        <v>3850</v>
      </c>
      <c r="B3059" t="s">
        <v>9454</v>
      </c>
      <c r="C3059" t="s">
        <v>6636</v>
      </c>
      <c r="D3059" s="233">
        <v>8.2799999999999994</v>
      </c>
    </row>
    <row r="3060" spans="1:4">
      <c r="A3060">
        <v>38023</v>
      </c>
      <c r="B3060" t="s">
        <v>9455</v>
      </c>
      <c r="C3060" t="s">
        <v>6636</v>
      </c>
      <c r="D3060" s="233">
        <v>3.49</v>
      </c>
    </row>
    <row r="3061" spans="1:4">
      <c r="A3061">
        <v>37986</v>
      </c>
      <c r="B3061" t="s">
        <v>9456</v>
      </c>
      <c r="C3061" t="s">
        <v>6636</v>
      </c>
      <c r="D3061" s="233">
        <v>2.34</v>
      </c>
    </row>
    <row r="3062" spans="1:4">
      <c r="A3062">
        <v>37987</v>
      </c>
      <c r="B3062" t="s">
        <v>9457</v>
      </c>
      <c r="C3062" t="s">
        <v>6636</v>
      </c>
      <c r="D3062" s="233">
        <v>174.9</v>
      </c>
    </row>
    <row r="3063" spans="1:4">
      <c r="A3063">
        <v>37988</v>
      </c>
      <c r="B3063" t="s">
        <v>9458</v>
      </c>
      <c r="C3063" t="s">
        <v>6636</v>
      </c>
      <c r="D3063" s="233">
        <v>285.29000000000002</v>
      </c>
    </row>
    <row r="3064" spans="1:4">
      <c r="A3064">
        <v>21120</v>
      </c>
      <c r="B3064" t="s">
        <v>9459</v>
      </c>
      <c r="C3064" t="s">
        <v>6636</v>
      </c>
      <c r="D3064" s="233">
        <v>14.22</v>
      </c>
    </row>
    <row r="3065" spans="1:4">
      <c r="A3065">
        <v>39318</v>
      </c>
      <c r="B3065" t="s">
        <v>9460</v>
      </c>
      <c r="C3065" t="s">
        <v>6636</v>
      </c>
      <c r="D3065" s="233">
        <v>11.72</v>
      </c>
    </row>
    <row r="3066" spans="1:4">
      <c r="A3066">
        <v>20162</v>
      </c>
      <c r="B3066" t="s">
        <v>9461</v>
      </c>
      <c r="C3066" t="s">
        <v>6636</v>
      </c>
      <c r="D3066" s="233">
        <v>11.94</v>
      </c>
    </row>
    <row r="3067" spans="1:4">
      <c r="A3067">
        <v>40366</v>
      </c>
      <c r="B3067" t="s">
        <v>9462</v>
      </c>
      <c r="C3067" t="s">
        <v>6636</v>
      </c>
      <c r="D3067" s="233">
        <v>25.02</v>
      </c>
    </row>
    <row r="3068" spans="1:4">
      <c r="A3068">
        <v>40363</v>
      </c>
      <c r="B3068" t="s">
        <v>9463</v>
      </c>
      <c r="C3068" t="s">
        <v>6636</v>
      </c>
      <c r="D3068" s="233">
        <v>19.57</v>
      </c>
    </row>
    <row r="3069" spans="1:4">
      <c r="A3069">
        <v>40354</v>
      </c>
      <c r="B3069" t="s">
        <v>9464</v>
      </c>
      <c r="C3069" t="s">
        <v>6636</v>
      </c>
      <c r="D3069" s="233">
        <v>8.52</v>
      </c>
    </row>
    <row r="3070" spans="1:4">
      <c r="A3070">
        <v>40360</v>
      </c>
      <c r="B3070" t="s">
        <v>9465</v>
      </c>
      <c r="C3070" t="s">
        <v>6636</v>
      </c>
      <c r="D3070" s="233">
        <v>12.83</v>
      </c>
    </row>
    <row r="3071" spans="1:4">
      <c r="A3071">
        <v>40372</v>
      </c>
      <c r="B3071" t="s">
        <v>9466</v>
      </c>
      <c r="C3071" t="s">
        <v>6636</v>
      </c>
      <c r="D3071" s="233">
        <v>79.23</v>
      </c>
    </row>
    <row r="3072" spans="1:4">
      <c r="A3072">
        <v>40369</v>
      </c>
      <c r="B3072" t="s">
        <v>9467</v>
      </c>
      <c r="C3072" t="s">
        <v>6636</v>
      </c>
      <c r="D3072" s="233">
        <v>39.43</v>
      </c>
    </row>
    <row r="3073" spans="1:4">
      <c r="A3073">
        <v>40357</v>
      </c>
      <c r="B3073" t="s">
        <v>9468</v>
      </c>
      <c r="C3073" t="s">
        <v>6636</v>
      </c>
      <c r="D3073" s="233">
        <v>9.56</v>
      </c>
    </row>
    <row r="3074" spans="1:4">
      <c r="A3074">
        <v>40375</v>
      </c>
      <c r="B3074" t="s">
        <v>9469</v>
      </c>
      <c r="C3074" t="s">
        <v>6636</v>
      </c>
      <c r="D3074" s="233">
        <v>107.25</v>
      </c>
    </row>
    <row r="3075" spans="1:4">
      <c r="A3075">
        <v>1893</v>
      </c>
      <c r="B3075" t="s">
        <v>9470</v>
      </c>
      <c r="C3075" t="s">
        <v>6636</v>
      </c>
      <c r="D3075" s="233">
        <v>2.48</v>
      </c>
    </row>
    <row r="3076" spans="1:4">
      <c r="A3076">
        <v>1902</v>
      </c>
      <c r="B3076" t="s">
        <v>9471</v>
      </c>
      <c r="C3076" t="s">
        <v>6636</v>
      </c>
      <c r="D3076" s="233">
        <v>1.81</v>
      </c>
    </row>
    <row r="3077" spans="1:4">
      <c r="A3077">
        <v>1901</v>
      </c>
      <c r="B3077" t="s">
        <v>9472</v>
      </c>
      <c r="C3077" t="s">
        <v>6636</v>
      </c>
      <c r="D3077" s="233">
        <v>0.56000000000000005</v>
      </c>
    </row>
    <row r="3078" spans="1:4">
      <c r="A3078">
        <v>1892</v>
      </c>
      <c r="B3078" t="s">
        <v>778</v>
      </c>
      <c r="C3078" t="s">
        <v>6636</v>
      </c>
      <c r="D3078" s="233">
        <v>1.1599999999999999</v>
      </c>
    </row>
    <row r="3079" spans="1:4">
      <c r="A3079">
        <v>1907</v>
      </c>
      <c r="B3079" t="s">
        <v>9473</v>
      </c>
      <c r="C3079" t="s">
        <v>6636</v>
      </c>
      <c r="D3079" s="233">
        <v>8</v>
      </c>
    </row>
    <row r="3080" spans="1:4">
      <c r="A3080">
        <v>1894</v>
      </c>
      <c r="B3080" t="s">
        <v>9474</v>
      </c>
      <c r="C3080" t="s">
        <v>6636</v>
      </c>
      <c r="D3080" s="233">
        <v>3.6</v>
      </c>
    </row>
    <row r="3081" spans="1:4">
      <c r="A3081">
        <v>1891</v>
      </c>
      <c r="B3081" t="s">
        <v>9475</v>
      </c>
      <c r="C3081" t="s">
        <v>6636</v>
      </c>
      <c r="D3081" s="233">
        <v>0.83</v>
      </c>
    </row>
    <row r="3082" spans="1:4">
      <c r="A3082">
        <v>1896</v>
      </c>
      <c r="B3082" t="s">
        <v>9476</v>
      </c>
      <c r="C3082" t="s">
        <v>6636</v>
      </c>
      <c r="D3082" s="233">
        <v>10.75</v>
      </c>
    </row>
    <row r="3083" spans="1:4">
      <c r="A3083">
        <v>1895</v>
      </c>
      <c r="B3083" t="s">
        <v>9477</v>
      </c>
      <c r="C3083" t="s">
        <v>6636</v>
      </c>
      <c r="D3083" s="233">
        <v>18.88</v>
      </c>
    </row>
    <row r="3084" spans="1:4">
      <c r="A3084">
        <v>2641</v>
      </c>
      <c r="B3084" t="s">
        <v>9478</v>
      </c>
      <c r="C3084" t="s">
        <v>6636</v>
      </c>
      <c r="D3084" s="233">
        <v>24.27</v>
      </c>
    </row>
    <row r="3085" spans="1:4">
      <c r="A3085">
        <v>2636</v>
      </c>
      <c r="B3085" t="s">
        <v>9479</v>
      </c>
      <c r="C3085" t="s">
        <v>6636</v>
      </c>
      <c r="D3085" s="233">
        <v>1.56</v>
      </c>
    </row>
    <row r="3086" spans="1:4">
      <c r="A3086">
        <v>2637</v>
      </c>
      <c r="B3086" t="s">
        <v>9480</v>
      </c>
      <c r="C3086" t="s">
        <v>6636</v>
      </c>
      <c r="D3086" s="233">
        <v>1.66</v>
      </c>
    </row>
    <row r="3087" spans="1:4">
      <c r="A3087">
        <v>2638</v>
      </c>
      <c r="B3087" t="s">
        <v>9481</v>
      </c>
      <c r="C3087" t="s">
        <v>6636</v>
      </c>
      <c r="D3087" s="233">
        <v>1.93</v>
      </c>
    </row>
    <row r="3088" spans="1:4">
      <c r="A3088">
        <v>2639</v>
      </c>
      <c r="B3088" t="s">
        <v>9482</v>
      </c>
      <c r="C3088" t="s">
        <v>6636</v>
      </c>
      <c r="D3088" s="233">
        <v>3.43</v>
      </c>
    </row>
    <row r="3089" spans="1:4">
      <c r="A3089">
        <v>2644</v>
      </c>
      <c r="B3089" t="s">
        <v>9483</v>
      </c>
      <c r="C3089" t="s">
        <v>6636</v>
      </c>
      <c r="D3089" s="233">
        <v>4.96</v>
      </c>
    </row>
    <row r="3090" spans="1:4">
      <c r="A3090">
        <v>2643</v>
      </c>
      <c r="B3090" t="s">
        <v>9484</v>
      </c>
      <c r="C3090" t="s">
        <v>6636</v>
      </c>
      <c r="D3090" s="233">
        <v>6.92</v>
      </c>
    </row>
    <row r="3091" spans="1:4">
      <c r="A3091">
        <v>2640</v>
      </c>
      <c r="B3091" t="s">
        <v>9485</v>
      </c>
      <c r="C3091" t="s">
        <v>6636</v>
      </c>
      <c r="D3091" s="233">
        <v>10.1</v>
      </c>
    </row>
    <row r="3092" spans="1:4">
      <c r="A3092">
        <v>2642</v>
      </c>
      <c r="B3092" t="s">
        <v>9486</v>
      </c>
      <c r="C3092" t="s">
        <v>6636</v>
      </c>
      <c r="D3092" s="233">
        <v>15.38</v>
      </c>
    </row>
    <row r="3093" spans="1:4">
      <c r="A3093">
        <v>38943</v>
      </c>
      <c r="B3093" t="s">
        <v>9487</v>
      </c>
      <c r="C3093" t="s">
        <v>6636</v>
      </c>
      <c r="D3093" s="233">
        <v>4.01</v>
      </c>
    </row>
    <row r="3094" spans="1:4">
      <c r="A3094">
        <v>38944</v>
      </c>
      <c r="B3094" t="s">
        <v>9488</v>
      </c>
      <c r="C3094" t="s">
        <v>6636</v>
      </c>
      <c r="D3094" s="233">
        <v>6.2</v>
      </c>
    </row>
    <row r="3095" spans="1:4">
      <c r="A3095">
        <v>38945</v>
      </c>
      <c r="B3095" t="s">
        <v>9489</v>
      </c>
      <c r="C3095" t="s">
        <v>6636</v>
      </c>
      <c r="D3095" s="233">
        <v>12.58</v>
      </c>
    </row>
    <row r="3096" spans="1:4">
      <c r="A3096">
        <v>38946</v>
      </c>
      <c r="B3096" t="s">
        <v>9490</v>
      </c>
      <c r="C3096" t="s">
        <v>6636</v>
      </c>
      <c r="D3096" s="233">
        <v>18.760000000000002</v>
      </c>
    </row>
    <row r="3097" spans="1:4">
      <c r="A3097">
        <v>39308</v>
      </c>
      <c r="B3097" t="s">
        <v>9491</v>
      </c>
      <c r="C3097" t="s">
        <v>6636</v>
      </c>
      <c r="D3097" s="233">
        <v>8.18</v>
      </c>
    </row>
    <row r="3098" spans="1:4">
      <c r="A3098">
        <v>39309</v>
      </c>
      <c r="B3098" t="s">
        <v>9492</v>
      </c>
      <c r="C3098" t="s">
        <v>6636</v>
      </c>
      <c r="D3098" s="233">
        <v>11.83</v>
      </c>
    </row>
    <row r="3099" spans="1:4">
      <c r="A3099">
        <v>39310</v>
      </c>
      <c r="B3099" t="s">
        <v>9493</v>
      </c>
      <c r="C3099" t="s">
        <v>6636</v>
      </c>
      <c r="D3099" s="233">
        <v>17.93</v>
      </c>
    </row>
    <row r="3100" spans="1:4">
      <c r="A3100">
        <v>39311</v>
      </c>
      <c r="B3100" t="s">
        <v>9494</v>
      </c>
      <c r="C3100" t="s">
        <v>6636</v>
      </c>
      <c r="D3100" s="233">
        <v>26.95</v>
      </c>
    </row>
    <row r="3101" spans="1:4">
      <c r="A3101">
        <v>39855</v>
      </c>
      <c r="B3101" t="s">
        <v>9495</v>
      </c>
      <c r="C3101" t="s">
        <v>6636</v>
      </c>
      <c r="D3101" s="233">
        <v>1.65</v>
      </c>
    </row>
    <row r="3102" spans="1:4">
      <c r="A3102">
        <v>39856</v>
      </c>
      <c r="B3102" t="s">
        <v>9496</v>
      </c>
      <c r="C3102" t="s">
        <v>6636</v>
      </c>
      <c r="D3102" s="233">
        <v>3.89</v>
      </c>
    </row>
    <row r="3103" spans="1:4">
      <c r="A3103">
        <v>39857</v>
      </c>
      <c r="B3103" t="s">
        <v>9497</v>
      </c>
      <c r="C3103" t="s">
        <v>6636</v>
      </c>
      <c r="D3103" s="233">
        <v>6.3</v>
      </c>
    </row>
    <row r="3104" spans="1:4">
      <c r="A3104">
        <v>39858</v>
      </c>
      <c r="B3104" t="s">
        <v>9498</v>
      </c>
      <c r="C3104" t="s">
        <v>6636</v>
      </c>
      <c r="D3104" s="233">
        <v>13.99</v>
      </c>
    </row>
    <row r="3105" spans="1:4">
      <c r="A3105">
        <v>39859</v>
      </c>
      <c r="B3105" t="s">
        <v>9499</v>
      </c>
      <c r="C3105" t="s">
        <v>6636</v>
      </c>
      <c r="D3105" s="233">
        <v>21.56</v>
      </c>
    </row>
    <row r="3106" spans="1:4">
      <c r="A3106">
        <v>39860</v>
      </c>
      <c r="B3106" t="s">
        <v>9500</v>
      </c>
      <c r="C3106" t="s">
        <v>6636</v>
      </c>
      <c r="D3106" s="233">
        <v>33.090000000000003</v>
      </c>
    </row>
    <row r="3107" spans="1:4">
      <c r="A3107">
        <v>39861</v>
      </c>
      <c r="B3107" t="s">
        <v>9501</v>
      </c>
      <c r="C3107" t="s">
        <v>6636</v>
      </c>
      <c r="D3107" s="233">
        <v>94.47</v>
      </c>
    </row>
    <row r="3108" spans="1:4">
      <c r="A3108">
        <v>38447</v>
      </c>
      <c r="B3108" t="s">
        <v>9502</v>
      </c>
      <c r="C3108" t="s">
        <v>6636</v>
      </c>
      <c r="D3108" s="233">
        <v>79.84</v>
      </c>
    </row>
    <row r="3109" spans="1:4">
      <c r="A3109">
        <v>36320</v>
      </c>
      <c r="B3109" t="s">
        <v>9503</v>
      </c>
      <c r="C3109" t="s">
        <v>6636</v>
      </c>
      <c r="D3109" s="233">
        <v>1.1499999999999999</v>
      </c>
    </row>
    <row r="3110" spans="1:4">
      <c r="A3110">
        <v>36324</v>
      </c>
      <c r="B3110" t="s">
        <v>9504</v>
      </c>
      <c r="C3110" t="s">
        <v>6636</v>
      </c>
      <c r="D3110" s="233">
        <v>1.75</v>
      </c>
    </row>
    <row r="3111" spans="1:4">
      <c r="A3111">
        <v>38441</v>
      </c>
      <c r="B3111" t="s">
        <v>9505</v>
      </c>
      <c r="C3111" t="s">
        <v>6636</v>
      </c>
      <c r="D3111" s="233">
        <v>2.2999999999999998</v>
      </c>
    </row>
    <row r="3112" spans="1:4">
      <c r="A3112">
        <v>38442</v>
      </c>
      <c r="B3112" t="s">
        <v>9506</v>
      </c>
      <c r="C3112" t="s">
        <v>6636</v>
      </c>
      <c r="D3112" s="233">
        <v>5.85</v>
      </c>
    </row>
    <row r="3113" spans="1:4">
      <c r="A3113">
        <v>38443</v>
      </c>
      <c r="B3113" t="s">
        <v>9507</v>
      </c>
      <c r="C3113" t="s">
        <v>6636</v>
      </c>
      <c r="D3113" s="233">
        <v>8.84</v>
      </c>
    </row>
    <row r="3114" spans="1:4">
      <c r="A3114">
        <v>38444</v>
      </c>
      <c r="B3114" t="s">
        <v>9508</v>
      </c>
      <c r="C3114" t="s">
        <v>6636</v>
      </c>
      <c r="D3114" s="233">
        <v>13.16</v>
      </c>
    </row>
    <row r="3115" spans="1:4">
      <c r="A3115">
        <v>38445</v>
      </c>
      <c r="B3115" t="s">
        <v>9509</v>
      </c>
      <c r="C3115" t="s">
        <v>6636</v>
      </c>
      <c r="D3115" s="233">
        <v>30.91</v>
      </c>
    </row>
    <row r="3116" spans="1:4">
      <c r="A3116">
        <v>38446</v>
      </c>
      <c r="B3116" t="s">
        <v>9510</v>
      </c>
      <c r="C3116" t="s">
        <v>6636</v>
      </c>
      <c r="D3116" s="233">
        <v>49.89</v>
      </c>
    </row>
    <row r="3117" spans="1:4">
      <c r="A3117">
        <v>3867</v>
      </c>
      <c r="B3117" t="s">
        <v>9511</v>
      </c>
      <c r="C3117" t="s">
        <v>6636</v>
      </c>
      <c r="D3117" s="233">
        <v>55.62</v>
      </c>
    </row>
    <row r="3118" spans="1:4">
      <c r="A3118">
        <v>3861</v>
      </c>
      <c r="B3118" t="s">
        <v>9512</v>
      </c>
      <c r="C3118" t="s">
        <v>6636</v>
      </c>
      <c r="D3118" s="233">
        <v>0.46</v>
      </c>
    </row>
    <row r="3119" spans="1:4">
      <c r="A3119">
        <v>3904</v>
      </c>
      <c r="B3119" t="s">
        <v>9513</v>
      </c>
      <c r="C3119" t="s">
        <v>6636</v>
      </c>
      <c r="D3119" s="233">
        <v>0.56000000000000005</v>
      </c>
    </row>
    <row r="3120" spans="1:4">
      <c r="A3120">
        <v>3903</v>
      </c>
      <c r="B3120" t="s">
        <v>9514</v>
      </c>
      <c r="C3120" t="s">
        <v>6636</v>
      </c>
      <c r="D3120" s="233">
        <v>1.38</v>
      </c>
    </row>
    <row r="3121" spans="1:4">
      <c r="A3121">
        <v>3862</v>
      </c>
      <c r="B3121" t="s">
        <v>9515</v>
      </c>
      <c r="C3121" t="s">
        <v>6636</v>
      </c>
      <c r="D3121" s="233">
        <v>2.82</v>
      </c>
    </row>
    <row r="3122" spans="1:4">
      <c r="A3122">
        <v>3863</v>
      </c>
      <c r="B3122" t="s">
        <v>9516</v>
      </c>
      <c r="C3122" t="s">
        <v>6636</v>
      </c>
      <c r="D3122" s="233">
        <v>3.3</v>
      </c>
    </row>
    <row r="3123" spans="1:4">
      <c r="A3123">
        <v>3864</v>
      </c>
      <c r="B3123" t="s">
        <v>9517</v>
      </c>
      <c r="C3123" t="s">
        <v>6636</v>
      </c>
      <c r="D3123" s="233">
        <v>8.61</v>
      </c>
    </row>
    <row r="3124" spans="1:4">
      <c r="A3124">
        <v>3865</v>
      </c>
      <c r="B3124" t="s">
        <v>9518</v>
      </c>
      <c r="C3124" t="s">
        <v>6636</v>
      </c>
      <c r="D3124" s="233">
        <v>14.98</v>
      </c>
    </row>
    <row r="3125" spans="1:4">
      <c r="A3125">
        <v>3866</v>
      </c>
      <c r="B3125" t="s">
        <v>9519</v>
      </c>
      <c r="C3125" t="s">
        <v>6636</v>
      </c>
      <c r="D3125" s="233">
        <v>34.28</v>
      </c>
    </row>
    <row r="3126" spans="1:4">
      <c r="A3126">
        <v>3902</v>
      </c>
      <c r="B3126" t="s">
        <v>9520</v>
      </c>
      <c r="C3126" t="s">
        <v>6636</v>
      </c>
      <c r="D3126" s="233">
        <v>16.670000000000002</v>
      </c>
    </row>
    <row r="3127" spans="1:4">
      <c r="A3127">
        <v>3878</v>
      </c>
      <c r="B3127" t="s">
        <v>9521</v>
      </c>
      <c r="C3127" t="s">
        <v>6636</v>
      </c>
      <c r="D3127" s="233">
        <v>5.26</v>
      </c>
    </row>
    <row r="3128" spans="1:4">
      <c r="A3128">
        <v>3877</v>
      </c>
      <c r="B3128" t="s">
        <v>9522</v>
      </c>
      <c r="C3128" t="s">
        <v>6636</v>
      </c>
      <c r="D3128" s="233">
        <v>4.8099999999999996</v>
      </c>
    </row>
    <row r="3129" spans="1:4">
      <c r="A3129">
        <v>3879</v>
      </c>
      <c r="B3129" t="s">
        <v>9523</v>
      </c>
      <c r="C3129" t="s">
        <v>6636</v>
      </c>
      <c r="D3129" s="233">
        <v>10.62</v>
      </c>
    </row>
    <row r="3130" spans="1:4">
      <c r="A3130">
        <v>3880</v>
      </c>
      <c r="B3130" t="s">
        <v>9524</v>
      </c>
      <c r="C3130" t="s">
        <v>6636</v>
      </c>
      <c r="D3130" s="233">
        <v>23.97</v>
      </c>
    </row>
    <row r="3131" spans="1:4">
      <c r="A3131">
        <v>12892</v>
      </c>
      <c r="B3131" t="s">
        <v>9525</v>
      </c>
      <c r="C3131" t="s">
        <v>7024</v>
      </c>
      <c r="D3131" s="233">
        <v>10.75</v>
      </c>
    </row>
    <row r="3132" spans="1:4">
      <c r="A3132">
        <v>3883</v>
      </c>
      <c r="B3132" t="s">
        <v>9526</v>
      </c>
      <c r="C3132" t="s">
        <v>6636</v>
      </c>
      <c r="D3132" s="233">
        <v>1.1100000000000001</v>
      </c>
    </row>
    <row r="3133" spans="1:4">
      <c r="A3133">
        <v>3876</v>
      </c>
      <c r="B3133" t="s">
        <v>9527</v>
      </c>
      <c r="C3133" t="s">
        <v>6636</v>
      </c>
      <c r="D3133" s="233">
        <v>2.77</v>
      </c>
    </row>
    <row r="3134" spans="1:4">
      <c r="A3134">
        <v>3884</v>
      </c>
      <c r="B3134" t="s">
        <v>9528</v>
      </c>
      <c r="C3134" t="s">
        <v>6636</v>
      </c>
      <c r="D3134" s="233">
        <v>1.66</v>
      </c>
    </row>
    <row r="3135" spans="1:4">
      <c r="A3135">
        <v>3837</v>
      </c>
      <c r="B3135" t="s">
        <v>9529</v>
      </c>
      <c r="C3135" t="s">
        <v>6636</v>
      </c>
      <c r="D3135" s="233">
        <v>31.18</v>
      </c>
    </row>
    <row r="3136" spans="1:4">
      <c r="A3136">
        <v>3845</v>
      </c>
      <c r="B3136" t="s">
        <v>9530</v>
      </c>
      <c r="C3136" t="s">
        <v>6636</v>
      </c>
      <c r="D3136" s="233">
        <v>11.39</v>
      </c>
    </row>
    <row r="3137" spans="1:4">
      <c r="A3137">
        <v>11045</v>
      </c>
      <c r="B3137" t="s">
        <v>9531</v>
      </c>
      <c r="C3137" t="s">
        <v>6636</v>
      </c>
      <c r="D3137" s="233">
        <v>21.97</v>
      </c>
    </row>
    <row r="3138" spans="1:4">
      <c r="A3138">
        <v>20170</v>
      </c>
      <c r="B3138" t="s">
        <v>9532</v>
      </c>
      <c r="C3138" t="s">
        <v>6636</v>
      </c>
      <c r="D3138" s="233">
        <v>9.67</v>
      </c>
    </row>
    <row r="3139" spans="1:4">
      <c r="A3139">
        <v>20171</v>
      </c>
      <c r="B3139" t="s">
        <v>9533</v>
      </c>
      <c r="C3139" t="s">
        <v>6636</v>
      </c>
      <c r="D3139" s="233">
        <v>28.75</v>
      </c>
    </row>
    <row r="3140" spans="1:4">
      <c r="A3140">
        <v>20167</v>
      </c>
      <c r="B3140" t="s">
        <v>9534</v>
      </c>
      <c r="C3140" t="s">
        <v>6636</v>
      </c>
      <c r="D3140" s="233">
        <v>3.59</v>
      </c>
    </row>
    <row r="3141" spans="1:4">
      <c r="A3141">
        <v>20168</v>
      </c>
      <c r="B3141" t="s">
        <v>9535</v>
      </c>
      <c r="C3141" t="s">
        <v>6636</v>
      </c>
      <c r="D3141" s="233">
        <v>5.63</v>
      </c>
    </row>
    <row r="3142" spans="1:4">
      <c r="A3142">
        <v>20169</v>
      </c>
      <c r="B3142" t="s">
        <v>9536</v>
      </c>
      <c r="C3142" t="s">
        <v>6636</v>
      </c>
      <c r="D3142" s="233">
        <v>7.98</v>
      </c>
    </row>
    <row r="3143" spans="1:4">
      <c r="A3143">
        <v>3899</v>
      </c>
      <c r="B3143" t="s">
        <v>9537</v>
      </c>
      <c r="C3143" t="s">
        <v>6636</v>
      </c>
      <c r="D3143" s="233">
        <v>4.22</v>
      </c>
    </row>
    <row r="3144" spans="1:4">
      <c r="A3144">
        <v>38676</v>
      </c>
      <c r="B3144" t="s">
        <v>9538</v>
      </c>
      <c r="C3144" t="s">
        <v>6636</v>
      </c>
      <c r="D3144" s="233">
        <v>20.45</v>
      </c>
    </row>
    <row r="3145" spans="1:4">
      <c r="A3145">
        <v>3897</v>
      </c>
      <c r="B3145" t="s">
        <v>9539</v>
      </c>
      <c r="C3145" t="s">
        <v>6636</v>
      </c>
      <c r="D3145" s="233">
        <v>0.89</v>
      </c>
    </row>
    <row r="3146" spans="1:4">
      <c r="A3146">
        <v>3875</v>
      </c>
      <c r="B3146" t="s">
        <v>9540</v>
      </c>
      <c r="C3146" t="s">
        <v>6636</v>
      </c>
      <c r="D3146" s="233">
        <v>1.92</v>
      </c>
    </row>
    <row r="3147" spans="1:4">
      <c r="A3147">
        <v>3898</v>
      </c>
      <c r="B3147" t="s">
        <v>9541</v>
      </c>
      <c r="C3147" t="s">
        <v>6636</v>
      </c>
      <c r="D3147" s="233">
        <v>3.64</v>
      </c>
    </row>
    <row r="3148" spans="1:4">
      <c r="A3148">
        <v>3855</v>
      </c>
      <c r="B3148" t="s">
        <v>9542</v>
      </c>
      <c r="C3148" t="s">
        <v>6636</v>
      </c>
      <c r="D3148" s="233">
        <v>3.68</v>
      </c>
    </row>
    <row r="3149" spans="1:4">
      <c r="A3149">
        <v>3874</v>
      </c>
      <c r="B3149" t="s">
        <v>1134</v>
      </c>
      <c r="C3149" t="s">
        <v>6636</v>
      </c>
      <c r="D3149" s="233">
        <v>3.9</v>
      </c>
    </row>
    <row r="3150" spans="1:4">
      <c r="A3150">
        <v>3870</v>
      </c>
      <c r="B3150" t="s">
        <v>9543</v>
      </c>
      <c r="C3150" t="s">
        <v>6636</v>
      </c>
      <c r="D3150" s="233">
        <v>4.8499999999999996</v>
      </c>
    </row>
    <row r="3151" spans="1:4">
      <c r="A3151">
        <v>38678</v>
      </c>
      <c r="B3151" t="s">
        <v>9544</v>
      </c>
      <c r="C3151" t="s">
        <v>6636</v>
      </c>
      <c r="D3151" s="233">
        <v>13.2</v>
      </c>
    </row>
    <row r="3152" spans="1:4">
      <c r="A3152">
        <v>3859</v>
      </c>
      <c r="B3152" t="s">
        <v>9545</v>
      </c>
      <c r="C3152" t="s">
        <v>6636</v>
      </c>
      <c r="D3152" s="233">
        <v>0.97</v>
      </c>
    </row>
    <row r="3153" spans="1:4">
      <c r="A3153">
        <v>3856</v>
      </c>
      <c r="B3153" t="s">
        <v>9546</v>
      </c>
      <c r="C3153" t="s">
        <v>6636</v>
      </c>
      <c r="D3153" s="233">
        <v>1.24</v>
      </c>
    </row>
    <row r="3154" spans="1:4">
      <c r="A3154">
        <v>3906</v>
      </c>
      <c r="B3154" t="s">
        <v>9547</v>
      </c>
      <c r="C3154" t="s">
        <v>6636</v>
      </c>
      <c r="D3154" s="233">
        <v>1.17</v>
      </c>
    </row>
    <row r="3155" spans="1:4">
      <c r="A3155">
        <v>3860</v>
      </c>
      <c r="B3155" t="s">
        <v>9548</v>
      </c>
      <c r="C3155" t="s">
        <v>6636</v>
      </c>
      <c r="D3155" s="233">
        <v>3.84</v>
      </c>
    </row>
    <row r="3156" spans="1:4">
      <c r="A3156">
        <v>3905</v>
      </c>
      <c r="B3156" t="s">
        <v>9549</v>
      </c>
      <c r="C3156" t="s">
        <v>6636</v>
      </c>
      <c r="D3156" s="233">
        <v>8.49</v>
      </c>
    </row>
    <row r="3157" spans="1:4">
      <c r="A3157">
        <v>3871</v>
      </c>
      <c r="B3157" t="s">
        <v>9550</v>
      </c>
      <c r="C3157" t="s">
        <v>6636</v>
      </c>
      <c r="D3157" s="233">
        <v>17.63</v>
      </c>
    </row>
    <row r="3158" spans="1:4">
      <c r="A3158">
        <v>37429</v>
      </c>
      <c r="B3158" t="s">
        <v>9551</v>
      </c>
      <c r="C3158" t="s">
        <v>6636</v>
      </c>
      <c r="D3158" s="234">
        <v>1845.66</v>
      </c>
    </row>
    <row r="3159" spans="1:4">
      <c r="A3159">
        <v>37426</v>
      </c>
      <c r="B3159" t="s">
        <v>9552</v>
      </c>
      <c r="C3159" t="s">
        <v>6636</v>
      </c>
      <c r="D3159" s="233">
        <v>17.75</v>
      </c>
    </row>
    <row r="3160" spans="1:4">
      <c r="A3160">
        <v>37427</v>
      </c>
      <c r="B3160" t="s">
        <v>9553</v>
      </c>
      <c r="C3160" t="s">
        <v>6636</v>
      </c>
      <c r="D3160" s="233">
        <v>42.35</v>
      </c>
    </row>
    <row r="3161" spans="1:4">
      <c r="A3161">
        <v>37424</v>
      </c>
      <c r="B3161" t="s">
        <v>9554</v>
      </c>
      <c r="C3161" t="s">
        <v>6636</v>
      </c>
      <c r="D3161" s="233">
        <v>8.16</v>
      </c>
    </row>
    <row r="3162" spans="1:4">
      <c r="A3162">
        <v>37428</v>
      </c>
      <c r="B3162" t="s">
        <v>9555</v>
      </c>
      <c r="C3162" t="s">
        <v>6636</v>
      </c>
      <c r="D3162" s="233">
        <v>145.94999999999999</v>
      </c>
    </row>
    <row r="3163" spans="1:4">
      <c r="A3163">
        <v>37425</v>
      </c>
      <c r="B3163" t="s">
        <v>9556</v>
      </c>
      <c r="C3163" t="s">
        <v>6636</v>
      </c>
      <c r="D3163" s="233">
        <v>8.7899999999999991</v>
      </c>
    </row>
    <row r="3164" spans="1:4">
      <c r="A3164">
        <v>11519</v>
      </c>
      <c r="B3164" t="s">
        <v>9557</v>
      </c>
      <c r="C3164" t="s">
        <v>7024</v>
      </c>
      <c r="D3164" s="233">
        <v>28.41</v>
      </c>
    </row>
    <row r="3165" spans="1:4">
      <c r="A3165">
        <v>11520</v>
      </c>
      <c r="B3165" t="s">
        <v>9558</v>
      </c>
      <c r="C3165" t="s">
        <v>7024</v>
      </c>
      <c r="D3165" s="233">
        <v>11.26</v>
      </c>
    </row>
    <row r="3166" spans="1:4">
      <c r="A3166">
        <v>11518</v>
      </c>
      <c r="B3166" t="s">
        <v>9559</v>
      </c>
      <c r="C3166" t="s">
        <v>7024</v>
      </c>
      <c r="D3166" s="233">
        <v>32.78</v>
      </c>
    </row>
    <row r="3167" spans="1:4">
      <c r="A3167">
        <v>38473</v>
      </c>
      <c r="B3167" t="s">
        <v>9560</v>
      </c>
      <c r="C3167" t="s">
        <v>6636</v>
      </c>
      <c r="D3167" s="233">
        <v>132.82</v>
      </c>
    </row>
    <row r="3168" spans="1:4">
      <c r="A3168">
        <v>4244</v>
      </c>
      <c r="B3168" t="s">
        <v>9561</v>
      </c>
      <c r="C3168" t="s">
        <v>6640</v>
      </c>
      <c r="D3168" s="233">
        <v>14.49</v>
      </c>
    </row>
    <row r="3169" spans="1:4">
      <c r="A3169">
        <v>40977</v>
      </c>
      <c r="B3169" t="s">
        <v>9562</v>
      </c>
      <c r="C3169" t="s">
        <v>6785</v>
      </c>
      <c r="D3169" s="234">
        <v>2570.06</v>
      </c>
    </row>
    <row r="3170" spans="1:4">
      <c r="A3170">
        <v>2742</v>
      </c>
      <c r="B3170" t="s">
        <v>9563</v>
      </c>
      <c r="C3170" t="s">
        <v>6649</v>
      </c>
      <c r="D3170" s="233">
        <v>2.27</v>
      </c>
    </row>
    <row r="3171" spans="1:4">
      <c r="A3171">
        <v>2748</v>
      </c>
      <c r="B3171" t="s">
        <v>9564</v>
      </c>
      <c r="C3171" t="s">
        <v>6649</v>
      </c>
      <c r="D3171" s="233">
        <v>6.67</v>
      </c>
    </row>
    <row r="3172" spans="1:4">
      <c r="A3172">
        <v>2736</v>
      </c>
      <c r="B3172" t="s">
        <v>9565</v>
      </c>
      <c r="C3172" t="s">
        <v>6649</v>
      </c>
      <c r="D3172" s="233">
        <v>9.32</v>
      </c>
    </row>
    <row r="3173" spans="1:4">
      <c r="A3173">
        <v>2745</v>
      </c>
      <c r="B3173" t="s">
        <v>9566</v>
      </c>
      <c r="C3173" t="s">
        <v>6649</v>
      </c>
      <c r="D3173" s="233">
        <v>1.88</v>
      </c>
    </row>
    <row r="3174" spans="1:4">
      <c r="A3174">
        <v>2751</v>
      </c>
      <c r="B3174" t="s">
        <v>9567</v>
      </c>
      <c r="C3174" t="s">
        <v>6649</v>
      </c>
      <c r="D3174" s="233">
        <v>2.41</v>
      </c>
    </row>
    <row r="3175" spans="1:4">
      <c r="A3175">
        <v>14439</v>
      </c>
      <c r="B3175" t="s">
        <v>9568</v>
      </c>
      <c r="C3175" t="s">
        <v>6649</v>
      </c>
      <c r="D3175" s="233">
        <v>2.13</v>
      </c>
    </row>
    <row r="3176" spans="1:4">
      <c r="A3176">
        <v>2731</v>
      </c>
      <c r="B3176" t="s">
        <v>9569</v>
      </c>
      <c r="C3176" t="s">
        <v>6649</v>
      </c>
      <c r="D3176" s="233">
        <v>56.59</v>
      </c>
    </row>
    <row r="3177" spans="1:4">
      <c r="A3177">
        <v>21138</v>
      </c>
      <c r="B3177" t="s">
        <v>9570</v>
      </c>
      <c r="C3177" t="s">
        <v>6649</v>
      </c>
      <c r="D3177" s="233">
        <v>6.14</v>
      </c>
    </row>
    <row r="3178" spans="1:4">
      <c r="A3178">
        <v>2747</v>
      </c>
      <c r="B3178" t="s">
        <v>9571</v>
      </c>
      <c r="C3178" t="s">
        <v>6649</v>
      </c>
      <c r="D3178" s="233">
        <v>15.17</v>
      </c>
    </row>
    <row r="3179" spans="1:4">
      <c r="A3179">
        <v>4115</v>
      </c>
      <c r="B3179" t="s">
        <v>9572</v>
      </c>
      <c r="C3179" t="s">
        <v>6649</v>
      </c>
      <c r="D3179" s="233">
        <v>11.88</v>
      </c>
    </row>
    <row r="3180" spans="1:4">
      <c r="A3180">
        <v>2729</v>
      </c>
      <c r="B3180" t="s">
        <v>9573</v>
      </c>
      <c r="C3180" t="s">
        <v>6636</v>
      </c>
      <c r="D3180" s="233">
        <v>14.3</v>
      </c>
    </row>
    <row r="3181" spans="1:4">
      <c r="A3181">
        <v>4119</v>
      </c>
      <c r="B3181" t="s">
        <v>9574</v>
      </c>
      <c r="C3181" t="s">
        <v>6649</v>
      </c>
      <c r="D3181" s="233">
        <v>23.9</v>
      </c>
    </row>
    <row r="3182" spans="1:4">
      <c r="A3182">
        <v>2794</v>
      </c>
      <c r="B3182" t="s">
        <v>9575</v>
      </c>
      <c r="C3182" t="s">
        <v>6649</v>
      </c>
      <c r="D3182" s="233">
        <v>59.01</v>
      </c>
    </row>
    <row r="3183" spans="1:4">
      <c r="A3183">
        <v>2788</v>
      </c>
      <c r="B3183" t="s">
        <v>9576</v>
      </c>
      <c r="C3183" t="s">
        <v>6649</v>
      </c>
      <c r="D3183" s="233">
        <v>119.31</v>
      </c>
    </row>
    <row r="3184" spans="1:4">
      <c r="A3184">
        <v>4006</v>
      </c>
      <c r="B3184" t="s">
        <v>9577</v>
      </c>
      <c r="C3184" t="s">
        <v>6781</v>
      </c>
      <c r="D3184" s="234">
        <v>1682.44</v>
      </c>
    </row>
    <row r="3185" spans="1:4">
      <c r="A3185">
        <v>36151</v>
      </c>
      <c r="B3185" t="s">
        <v>9578</v>
      </c>
      <c r="C3185" t="s">
        <v>6636</v>
      </c>
      <c r="D3185" s="233">
        <v>23.9</v>
      </c>
    </row>
    <row r="3186" spans="1:4">
      <c r="A3186">
        <v>37457</v>
      </c>
      <c r="B3186" t="s">
        <v>9579</v>
      </c>
      <c r="C3186" t="s">
        <v>6649</v>
      </c>
      <c r="D3186" s="233">
        <v>1.93</v>
      </c>
    </row>
    <row r="3187" spans="1:4">
      <c r="A3187">
        <v>37456</v>
      </c>
      <c r="B3187" t="s">
        <v>9580</v>
      </c>
      <c r="C3187" t="s">
        <v>6649</v>
      </c>
      <c r="D3187" s="233">
        <v>1.02</v>
      </c>
    </row>
    <row r="3188" spans="1:4">
      <c r="A3188">
        <v>37461</v>
      </c>
      <c r="B3188" t="s">
        <v>1148</v>
      </c>
      <c r="C3188" t="s">
        <v>6649</v>
      </c>
      <c r="D3188" s="233">
        <v>7.19</v>
      </c>
    </row>
    <row r="3189" spans="1:4">
      <c r="A3189">
        <v>37460</v>
      </c>
      <c r="B3189" t="s">
        <v>9581</v>
      </c>
      <c r="C3189" t="s">
        <v>6649</v>
      </c>
      <c r="D3189" s="233">
        <v>9.82</v>
      </c>
    </row>
    <row r="3190" spans="1:4">
      <c r="A3190">
        <v>37458</v>
      </c>
      <c r="B3190" t="s">
        <v>9582</v>
      </c>
      <c r="C3190" t="s">
        <v>6649</v>
      </c>
      <c r="D3190" s="233">
        <v>2.88</v>
      </c>
    </row>
    <row r="3191" spans="1:4">
      <c r="A3191">
        <v>37454</v>
      </c>
      <c r="B3191" t="s">
        <v>9583</v>
      </c>
      <c r="C3191" t="s">
        <v>6649</v>
      </c>
      <c r="D3191" s="233">
        <v>0.75</v>
      </c>
    </row>
    <row r="3192" spans="1:4">
      <c r="A3192">
        <v>37455</v>
      </c>
      <c r="B3192" t="s">
        <v>9584</v>
      </c>
      <c r="C3192" t="s">
        <v>6649</v>
      </c>
      <c r="D3192" s="233">
        <v>1.27</v>
      </c>
    </row>
    <row r="3193" spans="1:4">
      <c r="A3193">
        <v>37459</v>
      </c>
      <c r="B3193" t="s">
        <v>9585</v>
      </c>
      <c r="C3193" t="s">
        <v>6649</v>
      </c>
      <c r="D3193" s="233">
        <v>4.04</v>
      </c>
    </row>
    <row r="3194" spans="1:4">
      <c r="A3194">
        <v>21029</v>
      </c>
      <c r="B3194" t="s">
        <v>9586</v>
      </c>
      <c r="C3194" t="s">
        <v>6636</v>
      </c>
      <c r="D3194" s="233">
        <v>257.75</v>
      </c>
    </row>
    <row r="3195" spans="1:4">
      <c r="A3195">
        <v>21030</v>
      </c>
      <c r="B3195" t="s">
        <v>9587</v>
      </c>
      <c r="C3195" t="s">
        <v>6636</v>
      </c>
      <c r="D3195" s="233">
        <v>317.72000000000003</v>
      </c>
    </row>
    <row r="3196" spans="1:4">
      <c r="A3196">
        <v>21031</v>
      </c>
      <c r="B3196" t="s">
        <v>9588</v>
      </c>
      <c r="C3196" t="s">
        <v>6636</v>
      </c>
      <c r="D3196" s="233">
        <v>395.55</v>
      </c>
    </row>
    <row r="3197" spans="1:4">
      <c r="A3197">
        <v>21032</v>
      </c>
      <c r="B3197" t="s">
        <v>9589</v>
      </c>
      <c r="C3197" t="s">
        <v>6636</v>
      </c>
      <c r="D3197" s="233">
        <v>422.35</v>
      </c>
    </row>
    <row r="3198" spans="1:4">
      <c r="A3198">
        <v>37527</v>
      </c>
      <c r="B3198" t="s">
        <v>9590</v>
      </c>
      <c r="C3198" t="s">
        <v>6636</v>
      </c>
      <c r="D3198" s="233">
        <v>381.52</v>
      </c>
    </row>
    <row r="3199" spans="1:4">
      <c r="A3199">
        <v>37528</v>
      </c>
      <c r="B3199" t="s">
        <v>9591</v>
      </c>
      <c r="C3199" t="s">
        <v>6636</v>
      </c>
      <c r="D3199" s="233">
        <v>454.89</v>
      </c>
    </row>
    <row r="3200" spans="1:4">
      <c r="A3200">
        <v>37529</v>
      </c>
      <c r="B3200" t="s">
        <v>9592</v>
      </c>
      <c r="C3200" t="s">
        <v>6636</v>
      </c>
      <c r="D3200" s="233">
        <v>459.35</v>
      </c>
    </row>
    <row r="3201" spans="1:4">
      <c r="A3201">
        <v>37530</v>
      </c>
      <c r="B3201" t="s">
        <v>926</v>
      </c>
      <c r="C3201" t="s">
        <v>6636</v>
      </c>
      <c r="D3201" s="233">
        <v>599.71</v>
      </c>
    </row>
    <row r="3202" spans="1:4">
      <c r="A3202">
        <v>21034</v>
      </c>
      <c r="B3202" t="s">
        <v>9593</v>
      </c>
      <c r="C3202" t="s">
        <v>6636</v>
      </c>
      <c r="D3202" s="233">
        <v>511.67</v>
      </c>
    </row>
    <row r="3203" spans="1:4">
      <c r="A3203">
        <v>37531</v>
      </c>
      <c r="B3203" t="s">
        <v>9594</v>
      </c>
      <c r="C3203" t="s">
        <v>6636</v>
      </c>
      <c r="D3203" s="233">
        <v>644.37</v>
      </c>
    </row>
    <row r="3204" spans="1:4">
      <c r="A3204">
        <v>21036</v>
      </c>
      <c r="B3204" t="s">
        <v>9595</v>
      </c>
      <c r="C3204" t="s">
        <v>6636</v>
      </c>
      <c r="D3204" s="233">
        <v>783.45</v>
      </c>
    </row>
    <row r="3205" spans="1:4">
      <c r="A3205">
        <v>21037</v>
      </c>
      <c r="B3205" t="s">
        <v>9596</v>
      </c>
      <c r="C3205" t="s">
        <v>6636</v>
      </c>
      <c r="D3205" s="233">
        <v>893.19</v>
      </c>
    </row>
    <row r="3206" spans="1:4">
      <c r="A3206">
        <v>20185</v>
      </c>
      <c r="B3206" t="s">
        <v>9597</v>
      </c>
      <c r="C3206" t="s">
        <v>6649</v>
      </c>
      <c r="D3206" s="233">
        <v>11.69</v>
      </c>
    </row>
    <row r="3207" spans="1:4">
      <c r="A3207">
        <v>20260</v>
      </c>
      <c r="B3207" t="s">
        <v>9598</v>
      </c>
      <c r="C3207" t="s">
        <v>6636</v>
      </c>
      <c r="D3207" s="233">
        <v>9.4</v>
      </c>
    </row>
    <row r="3208" spans="1:4">
      <c r="A3208">
        <v>37523</v>
      </c>
      <c r="B3208" t="s">
        <v>9599</v>
      </c>
      <c r="C3208" t="s">
        <v>6636</v>
      </c>
      <c r="D3208" s="234">
        <v>367288.77</v>
      </c>
    </row>
    <row r="3209" spans="1:4">
      <c r="A3209">
        <v>37515</v>
      </c>
      <c r="B3209" t="s">
        <v>9600</v>
      </c>
      <c r="C3209" t="s">
        <v>6636</v>
      </c>
      <c r="D3209" s="234">
        <v>326538.5</v>
      </c>
    </row>
    <row r="3210" spans="1:4">
      <c r="A3210">
        <v>12899</v>
      </c>
      <c r="B3210" t="s">
        <v>9601</v>
      </c>
      <c r="C3210" t="s">
        <v>6636</v>
      </c>
      <c r="D3210" s="233">
        <v>97.71</v>
      </c>
    </row>
    <row r="3211" spans="1:4">
      <c r="A3211">
        <v>12898</v>
      </c>
      <c r="B3211" t="s">
        <v>9602</v>
      </c>
      <c r="C3211" t="s">
        <v>6636</v>
      </c>
      <c r="D3211" s="233">
        <v>155</v>
      </c>
    </row>
    <row r="3212" spans="1:4">
      <c r="A3212">
        <v>42528</v>
      </c>
      <c r="B3212" t="s">
        <v>9603</v>
      </c>
      <c r="C3212" t="s">
        <v>6638</v>
      </c>
      <c r="D3212" s="233">
        <v>6.38</v>
      </c>
    </row>
    <row r="3213" spans="1:4">
      <c r="A3213">
        <v>39696</v>
      </c>
      <c r="B3213" t="s">
        <v>9604</v>
      </c>
      <c r="C3213" t="s">
        <v>6638</v>
      </c>
      <c r="D3213" s="233">
        <v>4.49</v>
      </c>
    </row>
    <row r="3214" spans="1:4">
      <c r="A3214">
        <v>39700</v>
      </c>
      <c r="B3214" t="s">
        <v>9605</v>
      </c>
      <c r="C3214" t="s">
        <v>6638</v>
      </c>
      <c r="D3214" s="233">
        <v>19.27</v>
      </c>
    </row>
    <row r="3215" spans="1:4">
      <c r="A3215">
        <v>11621</v>
      </c>
      <c r="B3215" t="s">
        <v>9606</v>
      </c>
      <c r="C3215" t="s">
        <v>6638</v>
      </c>
      <c r="D3215" s="233">
        <v>38.340000000000003</v>
      </c>
    </row>
    <row r="3216" spans="1:4">
      <c r="A3216">
        <v>4014</v>
      </c>
      <c r="B3216" t="s">
        <v>9607</v>
      </c>
      <c r="C3216" t="s">
        <v>6638</v>
      </c>
      <c r="D3216" s="233">
        <v>39.67</v>
      </c>
    </row>
    <row r="3217" spans="1:4">
      <c r="A3217">
        <v>4015</v>
      </c>
      <c r="B3217" t="s">
        <v>9608</v>
      </c>
      <c r="C3217" t="s">
        <v>6638</v>
      </c>
      <c r="D3217" s="233">
        <v>48.72</v>
      </c>
    </row>
    <row r="3218" spans="1:4">
      <c r="A3218">
        <v>4017</v>
      </c>
      <c r="B3218" t="s">
        <v>9609</v>
      </c>
      <c r="C3218" t="s">
        <v>6638</v>
      </c>
      <c r="D3218" s="233">
        <v>70.89</v>
      </c>
    </row>
    <row r="3219" spans="1:4">
      <c r="A3219">
        <v>4016</v>
      </c>
      <c r="B3219" t="s">
        <v>9610</v>
      </c>
      <c r="C3219" t="s">
        <v>6638</v>
      </c>
      <c r="D3219" s="233">
        <v>28</v>
      </c>
    </row>
    <row r="3220" spans="1:4">
      <c r="A3220">
        <v>39699</v>
      </c>
      <c r="B3220" t="s">
        <v>9611</v>
      </c>
      <c r="C3220" t="s">
        <v>6638</v>
      </c>
      <c r="D3220" s="233">
        <v>11.1</v>
      </c>
    </row>
    <row r="3221" spans="1:4">
      <c r="A3221">
        <v>38544</v>
      </c>
      <c r="B3221" t="s">
        <v>9612</v>
      </c>
      <c r="C3221" t="s">
        <v>6638</v>
      </c>
      <c r="D3221" s="233">
        <v>7.18</v>
      </c>
    </row>
    <row r="3222" spans="1:4">
      <c r="A3222">
        <v>38545</v>
      </c>
      <c r="B3222" t="s">
        <v>9613</v>
      </c>
      <c r="C3222" t="s">
        <v>6638</v>
      </c>
      <c r="D3222" s="233">
        <v>4.6100000000000003</v>
      </c>
    </row>
    <row r="3223" spans="1:4">
      <c r="A3223">
        <v>42527</v>
      </c>
      <c r="B3223" t="s">
        <v>9614</v>
      </c>
      <c r="C3223" t="s">
        <v>6638</v>
      </c>
      <c r="D3223" s="233">
        <v>16.87</v>
      </c>
    </row>
    <row r="3224" spans="1:4">
      <c r="A3224">
        <v>39323</v>
      </c>
      <c r="B3224" t="s">
        <v>9615</v>
      </c>
      <c r="C3224" t="s">
        <v>6638</v>
      </c>
      <c r="D3224" s="233">
        <v>17.61</v>
      </c>
    </row>
    <row r="3225" spans="1:4">
      <c r="A3225">
        <v>626</v>
      </c>
      <c r="B3225" t="s">
        <v>9616</v>
      </c>
      <c r="C3225" t="s">
        <v>6698</v>
      </c>
      <c r="D3225" s="233">
        <v>13.88</v>
      </c>
    </row>
    <row r="3226" spans="1:4">
      <c r="A3226">
        <v>25860</v>
      </c>
      <c r="B3226" t="s">
        <v>9617</v>
      </c>
      <c r="C3226" t="s">
        <v>6638</v>
      </c>
      <c r="D3226" s="233">
        <v>9.31</v>
      </c>
    </row>
    <row r="3227" spans="1:4">
      <c r="A3227">
        <v>25861</v>
      </c>
      <c r="B3227" t="s">
        <v>9618</v>
      </c>
      <c r="C3227" t="s">
        <v>6638</v>
      </c>
      <c r="D3227" s="233">
        <v>14.05</v>
      </c>
    </row>
    <row r="3228" spans="1:4">
      <c r="A3228">
        <v>25862</v>
      </c>
      <c r="B3228" t="s">
        <v>9619</v>
      </c>
      <c r="C3228" t="s">
        <v>6638</v>
      </c>
      <c r="D3228" s="233">
        <v>14.92</v>
      </c>
    </row>
    <row r="3229" spans="1:4">
      <c r="A3229">
        <v>25863</v>
      </c>
      <c r="B3229" t="s">
        <v>9620</v>
      </c>
      <c r="C3229" t="s">
        <v>6638</v>
      </c>
      <c r="D3229" s="233">
        <v>18.649999999999999</v>
      </c>
    </row>
    <row r="3230" spans="1:4">
      <c r="A3230">
        <v>25864</v>
      </c>
      <c r="B3230" t="s">
        <v>9621</v>
      </c>
      <c r="C3230" t="s">
        <v>6638</v>
      </c>
      <c r="D3230" s="233">
        <v>27.96</v>
      </c>
    </row>
    <row r="3231" spans="1:4">
      <c r="A3231">
        <v>25865</v>
      </c>
      <c r="B3231" t="s">
        <v>9622</v>
      </c>
      <c r="C3231" t="s">
        <v>6638</v>
      </c>
      <c r="D3231" s="233">
        <v>37.46</v>
      </c>
    </row>
    <row r="3232" spans="1:4">
      <c r="A3232">
        <v>25866</v>
      </c>
      <c r="B3232" t="s">
        <v>9623</v>
      </c>
      <c r="C3232" t="s">
        <v>6638</v>
      </c>
      <c r="D3232" s="233">
        <v>46.52</v>
      </c>
    </row>
    <row r="3233" spans="1:4">
      <c r="A3233">
        <v>25868</v>
      </c>
      <c r="B3233" t="s">
        <v>9624</v>
      </c>
      <c r="C3233" t="s">
        <v>6638</v>
      </c>
      <c r="D3233" s="233">
        <v>10.38</v>
      </c>
    </row>
    <row r="3234" spans="1:4">
      <c r="A3234">
        <v>25869</v>
      </c>
      <c r="B3234" t="s">
        <v>9625</v>
      </c>
      <c r="C3234" t="s">
        <v>6638</v>
      </c>
      <c r="D3234" s="233">
        <v>14.66</v>
      </c>
    </row>
    <row r="3235" spans="1:4">
      <c r="A3235">
        <v>25870</v>
      </c>
      <c r="B3235" t="s">
        <v>9626</v>
      </c>
      <c r="C3235" t="s">
        <v>6638</v>
      </c>
      <c r="D3235" s="233">
        <v>16.61</v>
      </c>
    </row>
    <row r="3236" spans="1:4">
      <c r="A3236">
        <v>25871</v>
      </c>
      <c r="B3236" t="s">
        <v>9627</v>
      </c>
      <c r="C3236" t="s">
        <v>6638</v>
      </c>
      <c r="D3236" s="233">
        <v>20.399999999999999</v>
      </c>
    </row>
    <row r="3237" spans="1:4">
      <c r="A3237">
        <v>25867</v>
      </c>
      <c r="B3237" t="s">
        <v>9628</v>
      </c>
      <c r="C3237" t="s">
        <v>6638</v>
      </c>
      <c r="D3237" s="233">
        <v>30.2</v>
      </c>
    </row>
    <row r="3238" spans="1:4">
      <c r="A3238">
        <v>25872</v>
      </c>
      <c r="B3238" t="s">
        <v>9629</v>
      </c>
      <c r="C3238" t="s">
        <v>6638</v>
      </c>
      <c r="D3238" s="233">
        <v>40.81</v>
      </c>
    </row>
    <row r="3239" spans="1:4">
      <c r="A3239">
        <v>25873</v>
      </c>
      <c r="B3239" t="s">
        <v>9630</v>
      </c>
      <c r="C3239" t="s">
        <v>6638</v>
      </c>
      <c r="D3239" s="233">
        <v>50.9</v>
      </c>
    </row>
    <row r="3240" spans="1:4">
      <c r="A3240">
        <v>40637</v>
      </c>
      <c r="B3240" t="s">
        <v>9631</v>
      </c>
      <c r="C3240" t="s">
        <v>6636</v>
      </c>
      <c r="D3240" s="234">
        <v>505925.24</v>
      </c>
    </row>
    <row r="3241" spans="1:4">
      <c r="A3241">
        <v>13836</v>
      </c>
      <c r="B3241" t="s">
        <v>9632</v>
      </c>
      <c r="C3241" t="s">
        <v>6636</v>
      </c>
      <c r="D3241" s="234">
        <v>78291.97</v>
      </c>
    </row>
    <row r="3242" spans="1:4">
      <c r="A3242">
        <v>14534</v>
      </c>
      <c r="B3242" t="s">
        <v>9633</v>
      </c>
      <c r="C3242" t="s">
        <v>6636</v>
      </c>
      <c r="D3242" s="234">
        <v>32775.089999999997</v>
      </c>
    </row>
    <row r="3243" spans="1:4">
      <c r="A3243">
        <v>14619</v>
      </c>
      <c r="B3243" t="s">
        <v>9634</v>
      </c>
      <c r="C3243" t="s">
        <v>6636</v>
      </c>
      <c r="D3243" s="234">
        <v>16296.14</v>
      </c>
    </row>
    <row r="3244" spans="1:4">
      <c r="A3244">
        <v>14535</v>
      </c>
      <c r="B3244" t="s">
        <v>9635</v>
      </c>
      <c r="C3244" t="s">
        <v>6636</v>
      </c>
      <c r="D3244" s="234">
        <v>325295.92</v>
      </c>
    </row>
    <row r="3245" spans="1:4">
      <c r="A3245">
        <v>39813</v>
      </c>
      <c r="B3245" t="s">
        <v>9636</v>
      </c>
      <c r="C3245" t="s">
        <v>6636</v>
      </c>
      <c r="D3245" s="234">
        <v>17291.87</v>
      </c>
    </row>
    <row r="3246" spans="1:4">
      <c r="A3246">
        <v>40403</v>
      </c>
      <c r="B3246" t="s">
        <v>9637</v>
      </c>
      <c r="C3246" t="s">
        <v>6636</v>
      </c>
      <c r="D3246" s="233">
        <v>722.91</v>
      </c>
    </row>
    <row r="3247" spans="1:4">
      <c r="A3247">
        <v>12868</v>
      </c>
      <c r="B3247" t="s">
        <v>9638</v>
      </c>
      <c r="C3247" t="s">
        <v>6640</v>
      </c>
      <c r="D3247" s="233">
        <v>15.13</v>
      </c>
    </row>
    <row r="3248" spans="1:4">
      <c r="A3248">
        <v>40916</v>
      </c>
      <c r="B3248" t="s">
        <v>9639</v>
      </c>
      <c r="C3248" t="s">
        <v>6785</v>
      </c>
      <c r="D3248" s="234">
        <v>2684.66</v>
      </c>
    </row>
    <row r="3249" spans="1:4">
      <c r="A3249">
        <v>4755</v>
      </c>
      <c r="B3249" t="s">
        <v>9640</v>
      </c>
      <c r="C3249" t="s">
        <v>6640</v>
      </c>
      <c r="D3249" s="233">
        <v>15.13</v>
      </c>
    </row>
    <row r="3250" spans="1:4">
      <c r="A3250">
        <v>41067</v>
      </c>
      <c r="B3250" t="s">
        <v>9641</v>
      </c>
      <c r="C3250" t="s">
        <v>6785</v>
      </c>
      <c r="D3250" s="234">
        <v>2685.45</v>
      </c>
    </row>
    <row r="3251" spans="1:4">
      <c r="A3251">
        <v>38463</v>
      </c>
      <c r="B3251" t="s">
        <v>9642</v>
      </c>
      <c r="C3251" t="s">
        <v>6636</v>
      </c>
      <c r="D3251" s="233">
        <v>32.26</v>
      </c>
    </row>
    <row r="3252" spans="1:4">
      <c r="A3252">
        <v>40703</v>
      </c>
      <c r="B3252" t="s">
        <v>9643</v>
      </c>
      <c r="C3252" t="s">
        <v>6636</v>
      </c>
      <c r="D3252" s="234">
        <v>8433</v>
      </c>
    </row>
    <row r="3253" spans="1:4">
      <c r="A3253">
        <v>14531</v>
      </c>
      <c r="B3253" t="s">
        <v>9644</v>
      </c>
      <c r="C3253" t="s">
        <v>6636</v>
      </c>
      <c r="D3253" s="234">
        <v>15722.29</v>
      </c>
    </row>
    <row r="3254" spans="1:4">
      <c r="A3254">
        <v>36533</v>
      </c>
      <c r="B3254" t="s">
        <v>9645</v>
      </c>
      <c r="C3254" t="s">
        <v>6636</v>
      </c>
      <c r="D3254" s="234">
        <v>18092.330000000002</v>
      </c>
    </row>
    <row r="3255" spans="1:4">
      <c r="A3255">
        <v>11616</v>
      </c>
      <c r="B3255" t="s">
        <v>9646</v>
      </c>
      <c r="C3255" t="s">
        <v>6636</v>
      </c>
      <c r="D3255" s="234">
        <v>17087.939999999999</v>
      </c>
    </row>
    <row r="3256" spans="1:4">
      <c r="A3256">
        <v>41898</v>
      </c>
      <c r="B3256" t="s">
        <v>9647</v>
      </c>
      <c r="C3256" t="s">
        <v>6636</v>
      </c>
      <c r="D3256" s="234">
        <v>19226.259999999998</v>
      </c>
    </row>
    <row r="3257" spans="1:4">
      <c r="A3257">
        <v>13447</v>
      </c>
      <c r="B3257" t="s">
        <v>9648</v>
      </c>
      <c r="C3257" t="s">
        <v>6636</v>
      </c>
      <c r="D3257" s="234">
        <v>35377.64</v>
      </c>
    </row>
    <row r="3258" spans="1:4">
      <c r="A3258">
        <v>14529</v>
      </c>
      <c r="B3258" t="s">
        <v>9649</v>
      </c>
      <c r="C3258" t="s">
        <v>6636</v>
      </c>
      <c r="D3258" s="234">
        <v>19785.810000000001</v>
      </c>
    </row>
    <row r="3259" spans="1:4">
      <c r="A3259">
        <v>10747</v>
      </c>
      <c r="B3259" t="s">
        <v>9650</v>
      </c>
      <c r="C3259" t="s">
        <v>6636</v>
      </c>
      <c r="D3259" s="234">
        <v>19412.91</v>
      </c>
    </row>
    <row r="3260" spans="1:4">
      <c r="A3260">
        <v>36141</v>
      </c>
      <c r="B3260" t="s">
        <v>9651</v>
      </c>
      <c r="C3260" t="s">
        <v>6636</v>
      </c>
      <c r="D3260" s="233">
        <v>32.26</v>
      </c>
    </row>
    <row r="3261" spans="1:4">
      <c r="A3261">
        <v>4053</v>
      </c>
      <c r="B3261" t="s">
        <v>12708</v>
      </c>
      <c r="C3261" t="s">
        <v>8776</v>
      </c>
      <c r="D3261" s="233">
        <v>56.3</v>
      </c>
    </row>
    <row r="3262" spans="1:4">
      <c r="A3262">
        <v>4052</v>
      </c>
      <c r="B3262" t="s">
        <v>12709</v>
      </c>
      <c r="C3262" t="s">
        <v>6774</v>
      </c>
      <c r="D3262" s="233">
        <v>114.83</v>
      </c>
    </row>
    <row r="3263" spans="1:4">
      <c r="A3263">
        <v>4056</v>
      </c>
      <c r="B3263" t="s">
        <v>12710</v>
      </c>
      <c r="C3263" t="s">
        <v>8776</v>
      </c>
      <c r="D3263" s="233">
        <v>29.6</v>
      </c>
    </row>
    <row r="3264" spans="1:4">
      <c r="A3264">
        <v>4051</v>
      </c>
      <c r="B3264" t="s">
        <v>12711</v>
      </c>
      <c r="C3264" t="s">
        <v>6774</v>
      </c>
      <c r="D3264" s="233">
        <v>73.900000000000006</v>
      </c>
    </row>
    <row r="3265" spans="1:4">
      <c r="A3265">
        <v>4048</v>
      </c>
      <c r="B3265" t="s">
        <v>12711</v>
      </c>
      <c r="C3265" t="s">
        <v>6700</v>
      </c>
      <c r="D3265" s="233">
        <v>4.0999999999999996</v>
      </c>
    </row>
    <row r="3266" spans="1:4">
      <c r="A3266">
        <v>4047</v>
      </c>
      <c r="B3266" t="s">
        <v>12711</v>
      </c>
      <c r="C3266" t="s">
        <v>8776</v>
      </c>
      <c r="D3266" s="233">
        <v>14.78</v>
      </c>
    </row>
    <row r="3267" spans="1:4">
      <c r="A3267">
        <v>39434</v>
      </c>
      <c r="B3267" t="s">
        <v>9652</v>
      </c>
      <c r="C3267" t="s">
        <v>6698</v>
      </c>
      <c r="D3267" s="233">
        <v>4.08</v>
      </c>
    </row>
    <row r="3268" spans="1:4">
      <c r="A3268">
        <v>39433</v>
      </c>
      <c r="B3268" t="s">
        <v>9653</v>
      </c>
      <c r="C3268" t="s">
        <v>6698</v>
      </c>
      <c r="D3268" s="233">
        <v>2.92</v>
      </c>
    </row>
    <row r="3269" spans="1:4">
      <c r="A3269">
        <v>4049</v>
      </c>
      <c r="B3269" t="s">
        <v>9654</v>
      </c>
      <c r="C3269" t="s">
        <v>6700</v>
      </c>
      <c r="D3269" s="233">
        <v>46.3</v>
      </c>
    </row>
    <row r="3270" spans="1:4">
      <c r="A3270">
        <v>38120</v>
      </c>
      <c r="B3270" t="s">
        <v>9655</v>
      </c>
      <c r="C3270" t="s">
        <v>6698</v>
      </c>
      <c r="D3270" s="233">
        <v>98.78</v>
      </c>
    </row>
    <row r="3271" spans="1:4">
      <c r="A3271">
        <v>38877</v>
      </c>
      <c r="B3271" t="s">
        <v>9656</v>
      </c>
      <c r="C3271" t="s">
        <v>6698</v>
      </c>
      <c r="D3271" s="233">
        <v>6.23</v>
      </c>
    </row>
    <row r="3272" spans="1:4">
      <c r="A3272">
        <v>34546</v>
      </c>
      <c r="B3272" t="s">
        <v>9657</v>
      </c>
      <c r="C3272" t="s">
        <v>6698</v>
      </c>
      <c r="D3272" s="233">
        <v>6.28</v>
      </c>
    </row>
    <row r="3273" spans="1:4">
      <c r="A3273">
        <v>10498</v>
      </c>
      <c r="B3273" t="s">
        <v>9658</v>
      </c>
      <c r="C3273" t="s">
        <v>6698</v>
      </c>
      <c r="D3273" s="233">
        <v>6.61</v>
      </c>
    </row>
    <row r="3274" spans="1:4">
      <c r="A3274">
        <v>4823</v>
      </c>
      <c r="B3274" t="s">
        <v>9659</v>
      </c>
      <c r="C3274" t="s">
        <v>6698</v>
      </c>
      <c r="D3274" s="233">
        <v>30.58</v>
      </c>
    </row>
    <row r="3275" spans="1:4">
      <c r="A3275">
        <v>12357</v>
      </c>
      <c r="B3275" t="s">
        <v>9660</v>
      </c>
      <c r="C3275" t="s">
        <v>6636</v>
      </c>
      <c r="D3275" s="233">
        <v>152.06</v>
      </c>
    </row>
    <row r="3276" spans="1:4">
      <c r="A3276">
        <v>12358</v>
      </c>
      <c r="B3276" t="s">
        <v>9661</v>
      </c>
      <c r="C3276" t="s">
        <v>6636</v>
      </c>
      <c r="D3276" s="233">
        <v>171.04</v>
      </c>
    </row>
    <row r="3277" spans="1:4">
      <c r="A3277">
        <v>11079</v>
      </c>
      <c r="B3277" t="s">
        <v>9662</v>
      </c>
      <c r="C3277" t="s">
        <v>6781</v>
      </c>
      <c r="D3277" s="233">
        <v>998.08</v>
      </c>
    </row>
    <row r="3278" spans="1:4">
      <c r="A3278">
        <v>11082</v>
      </c>
      <c r="B3278" t="s">
        <v>9663</v>
      </c>
      <c r="C3278" t="s">
        <v>6781</v>
      </c>
      <c r="D3278" s="234">
        <v>1018.28</v>
      </c>
    </row>
    <row r="3279" spans="1:4">
      <c r="A3279">
        <v>4058</v>
      </c>
      <c r="B3279" t="s">
        <v>9664</v>
      </c>
      <c r="C3279" t="s">
        <v>6640</v>
      </c>
      <c r="D3279" s="233">
        <v>16.22</v>
      </c>
    </row>
    <row r="3280" spans="1:4">
      <c r="A3280">
        <v>40974</v>
      </c>
      <c r="B3280" t="s">
        <v>9665</v>
      </c>
      <c r="C3280" t="s">
        <v>6785</v>
      </c>
      <c r="D3280" s="234">
        <v>2878.1</v>
      </c>
    </row>
    <row r="3281" spans="1:4">
      <c r="A3281">
        <v>34794</v>
      </c>
      <c r="B3281" t="s">
        <v>9666</v>
      </c>
      <c r="C3281" t="s">
        <v>6640</v>
      </c>
      <c r="D3281" s="233">
        <v>16.86</v>
      </c>
    </row>
    <row r="3282" spans="1:4">
      <c r="A3282">
        <v>40925</v>
      </c>
      <c r="B3282" t="s">
        <v>9667</v>
      </c>
      <c r="C3282" t="s">
        <v>6785</v>
      </c>
      <c r="D3282" s="234">
        <v>2991.35</v>
      </c>
    </row>
    <row r="3283" spans="1:4">
      <c r="A3283">
        <v>13741</v>
      </c>
      <c r="B3283" t="s">
        <v>9668</v>
      </c>
      <c r="C3283" t="s">
        <v>6636</v>
      </c>
      <c r="D3283" s="234">
        <v>1625.5</v>
      </c>
    </row>
    <row r="3284" spans="1:4">
      <c r="A3284">
        <v>3288</v>
      </c>
      <c r="B3284" t="s">
        <v>9669</v>
      </c>
      <c r="C3284" t="s">
        <v>6649</v>
      </c>
      <c r="D3284" s="233">
        <v>4</v>
      </c>
    </row>
    <row r="3285" spans="1:4">
      <c r="A3285">
        <v>13587</v>
      </c>
      <c r="B3285" t="s">
        <v>9670</v>
      </c>
      <c r="C3285" t="s">
        <v>6649</v>
      </c>
      <c r="D3285" s="233">
        <v>2.41</v>
      </c>
    </row>
    <row r="3286" spans="1:4">
      <c r="A3286">
        <v>38598</v>
      </c>
      <c r="B3286" t="s">
        <v>9671</v>
      </c>
      <c r="C3286" t="s">
        <v>6636</v>
      </c>
      <c r="D3286" s="233">
        <v>2.41</v>
      </c>
    </row>
    <row r="3287" spans="1:4">
      <c r="A3287">
        <v>38595</v>
      </c>
      <c r="B3287" t="s">
        <v>9672</v>
      </c>
      <c r="C3287" t="s">
        <v>6636</v>
      </c>
      <c r="D3287" s="233">
        <v>1.66</v>
      </c>
    </row>
    <row r="3288" spans="1:4">
      <c r="A3288">
        <v>38592</v>
      </c>
      <c r="B3288" t="s">
        <v>9673</v>
      </c>
      <c r="C3288" t="s">
        <v>6636</v>
      </c>
      <c r="D3288" s="233">
        <v>2.1800000000000002</v>
      </c>
    </row>
    <row r="3289" spans="1:4">
      <c r="A3289">
        <v>38588</v>
      </c>
      <c r="B3289" t="s">
        <v>9674</v>
      </c>
      <c r="C3289" t="s">
        <v>6636</v>
      </c>
      <c r="D3289" s="233">
        <v>1.37</v>
      </c>
    </row>
    <row r="3290" spans="1:4">
      <c r="A3290">
        <v>38593</v>
      </c>
      <c r="B3290" t="s">
        <v>9675</v>
      </c>
      <c r="C3290" t="s">
        <v>6636</v>
      </c>
      <c r="D3290" s="233">
        <v>2.34</v>
      </c>
    </row>
    <row r="3291" spans="1:4">
      <c r="A3291">
        <v>38589</v>
      </c>
      <c r="B3291" t="s">
        <v>9676</v>
      </c>
      <c r="C3291" t="s">
        <v>6636</v>
      </c>
      <c r="D3291" s="233">
        <v>1.67</v>
      </c>
    </row>
    <row r="3292" spans="1:4">
      <c r="A3292">
        <v>38594</v>
      </c>
      <c r="B3292" t="s">
        <v>9677</v>
      </c>
      <c r="C3292" t="s">
        <v>6636</v>
      </c>
      <c r="D3292" s="233">
        <v>3.47</v>
      </c>
    </row>
    <row r="3293" spans="1:4">
      <c r="A3293">
        <v>34787</v>
      </c>
      <c r="B3293" t="s">
        <v>9678</v>
      </c>
      <c r="C3293" t="s">
        <v>6636</v>
      </c>
      <c r="D3293" s="233">
        <v>1.01</v>
      </c>
    </row>
    <row r="3294" spans="1:4">
      <c r="A3294">
        <v>34788</v>
      </c>
      <c r="B3294" t="s">
        <v>9679</v>
      </c>
      <c r="C3294" t="s">
        <v>6636</v>
      </c>
      <c r="D3294" s="233">
        <v>1.02</v>
      </c>
    </row>
    <row r="3295" spans="1:4">
      <c r="A3295">
        <v>34784</v>
      </c>
      <c r="B3295" t="s">
        <v>9680</v>
      </c>
      <c r="C3295" t="s">
        <v>6636</v>
      </c>
      <c r="D3295" s="233">
        <v>1.1200000000000001</v>
      </c>
    </row>
    <row r="3296" spans="1:4">
      <c r="A3296">
        <v>34781</v>
      </c>
      <c r="B3296" t="s">
        <v>9681</v>
      </c>
      <c r="C3296" t="s">
        <v>6636</v>
      </c>
      <c r="D3296" s="233">
        <v>1.27</v>
      </c>
    </row>
    <row r="3297" spans="1:4">
      <c r="A3297">
        <v>34773</v>
      </c>
      <c r="B3297" t="s">
        <v>9682</v>
      </c>
      <c r="C3297" t="s">
        <v>6636</v>
      </c>
      <c r="D3297" s="233">
        <v>1.73</v>
      </c>
    </row>
    <row r="3298" spans="1:4">
      <c r="A3298">
        <v>34769</v>
      </c>
      <c r="B3298" t="s">
        <v>9683</v>
      </c>
      <c r="C3298" t="s">
        <v>6636</v>
      </c>
      <c r="D3298" s="233">
        <v>2.0099999999999998</v>
      </c>
    </row>
    <row r="3299" spans="1:4">
      <c r="A3299">
        <v>34763</v>
      </c>
      <c r="B3299" t="s">
        <v>9684</v>
      </c>
      <c r="C3299" t="s">
        <v>6636</v>
      </c>
      <c r="D3299" s="233">
        <v>1.1599999999999999</v>
      </c>
    </row>
    <row r="3300" spans="1:4">
      <c r="A3300">
        <v>34774</v>
      </c>
      <c r="B3300" t="s">
        <v>9685</v>
      </c>
      <c r="C3300" t="s">
        <v>6636</v>
      </c>
      <c r="D3300" s="233">
        <v>1.55</v>
      </c>
    </row>
    <row r="3301" spans="1:4">
      <c r="A3301">
        <v>34771</v>
      </c>
      <c r="B3301" t="s">
        <v>9686</v>
      </c>
      <c r="C3301" t="s">
        <v>6636</v>
      </c>
      <c r="D3301" s="233">
        <v>1.78</v>
      </c>
    </row>
    <row r="3302" spans="1:4">
      <c r="A3302">
        <v>34764</v>
      </c>
      <c r="B3302" t="s">
        <v>9687</v>
      </c>
      <c r="C3302" t="s">
        <v>6636</v>
      </c>
      <c r="D3302" s="233">
        <v>1.0900000000000001</v>
      </c>
    </row>
    <row r="3303" spans="1:4">
      <c r="A3303">
        <v>4062</v>
      </c>
      <c r="B3303" t="s">
        <v>9688</v>
      </c>
      <c r="C3303" t="s">
        <v>6636</v>
      </c>
      <c r="D3303" s="233">
        <v>20.62</v>
      </c>
    </row>
    <row r="3304" spans="1:4">
      <c r="A3304">
        <v>4059</v>
      </c>
      <c r="B3304" t="s">
        <v>9689</v>
      </c>
      <c r="C3304" t="s">
        <v>6649</v>
      </c>
      <c r="D3304" s="233">
        <v>25</v>
      </c>
    </row>
    <row r="3305" spans="1:4">
      <c r="A3305">
        <v>4061</v>
      </c>
      <c r="B3305" t="s">
        <v>9690</v>
      </c>
      <c r="C3305" t="s">
        <v>6636</v>
      </c>
      <c r="D3305" s="233">
        <v>20</v>
      </c>
    </row>
    <row r="3306" spans="1:4">
      <c r="A3306">
        <v>41315</v>
      </c>
      <c r="B3306" t="s">
        <v>12309</v>
      </c>
      <c r="C3306" t="s">
        <v>6698</v>
      </c>
      <c r="D3306" s="233">
        <v>58.82</v>
      </c>
    </row>
    <row r="3307" spans="1:4">
      <c r="A3307">
        <v>43148</v>
      </c>
      <c r="B3307" t="s">
        <v>12310</v>
      </c>
      <c r="C3307" t="s">
        <v>6698</v>
      </c>
      <c r="D3307" s="233">
        <v>39.92</v>
      </c>
    </row>
    <row r="3308" spans="1:4">
      <c r="A3308">
        <v>43147</v>
      </c>
      <c r="B3308" t="s">
        <v>12311</v>
      </c>
      <c r="C3308" t="s">
        <v>6698</v>
      </c>
      <c r="D3308" s="233">
        <v>15.46</v>
      </c>
    </row>
    <row r="3309" spans="1:4">
      <c r="A3309">
        <v>10608</v>
      </c>
      <c r="B3309" t="s">
        <v>9691</v>
      </c>
      <c r="C3309" t="s">
        <v>6636</v>
      </c>
      <c r="D3309" s="234">
        <v>11200</v>
      </c>
    </row>
    <row r="3310" spans="1:4">
      <c r="A3310">
        <v>4069</v>
      </c>
      <c r="B3310" t="s">
        <v>9692</v>
      </c>
      <c r="C3310" t="s">
        <v>6640</v>
      </c>
      <c r="D3310" s="233">
        <v>30.12</v>
      </c>
    </row>
    <row r="3311" spans="1:4">
      <c r="A3311">
        <v>40819</v>
      </c>
      <c r="B3311" t="s">
        <v>9693</v>
      </c>
      <c r="C3311" t="s">
        <v>6785</v>
      </c>
      <c r="D3311" s="234">
        <v>5340.03</v>
      </c>
    </row>
    <row r="3312" spans="1:4">
      <c r="A3312">
        <v>34361</v>
      </c>
      <c r="B3312" t="s">
        <v>9694</v>
      </c>
      <c r="C3312" t="s">
        <v>6698</v>
      </c>
      <c r="D3312" s="233">
        <v>11.25</v>
      </c>
    </row>
    <row r="3313" spans="1:4">
      <c r="A3313">
        <v>36512</v>
      </c>
      <c r="B3313" t="s">
        <v>9695</v>
      </c>
      <c r="C3313" t="s">
        <v>6636</v>
      </c>
      <c r="D3313" s="234">
        <v>10535.03</v>
      </c>
    </row>
    <row r="3314" spans="1:4">
      <c r="A3314">
        <v>25972</v>
      </c>
      <c r="B3314" t="s">
        <v>9696</v>
      </c>
      <c r="C3314" t="s">
        <v>6698</v>
      </c>
      <c r="D3314" s="233">
        <v>8.66</v>
      </c>
    </row>
    <row r="3315" spans="1:4">
      <c r="A3315">
        <v>25973</v>
      </c>
      <c r="B3315" t="s">
        <v>9697</v>
      </c>
      <c r="C3315" t="s">
        <v>6698</v>
      </c>
      <c r="D3315" s="233">
        <v>8.66</v>
      </c>
    </row>
    <row r="3316" spans="1:4">
      <c r="A3316">
        <v>11697</v>
      </c>
      <c r="B3316" t="s">
        <v>9698</v>
      </c>
      <c r="C3316" t="s">
        <v>6636</v>
      </c>
      <c r="D3316" s="233">
        <v>486.37</v>
      </c>
    </row>
    <row r="3317" spans="1:4">
      <c r="A3317">
        <v>11698</v>
      </c>
      <c r="B3317" t="s">
        <v>9699</v>
      </c>
      <c r="C3317" t="s">
        <v>6636</v>
      </c>
      <c r="D3317" s="233">
        <v>580.21</v>
      </c>
    </row>
    <row r="3318" spans="1:4">
      <c r="A3318">
        <v>11699</v>
      </c>
      <c r="B3318" t="s">
        <v>9700</v>
      </c>
      <c r="C3318" t="s">
        <v>6636</v>
      </c>
      <c r="D3318" s="233">
        <v>641.26</v>
      </c>
    </row>
    <row r="3319" spans="1:4">
      <c r="A3319">
        <v>10432</v>
      </c>
      <c r="B3319" t="s">
        <v>9701</v>
      </c>
      <c r="C3319" t="s">
        <v>6636</v>
      </c>
      <c r="D3319" s="233">
        <v>225.06</v>
      </c>
    </row>
    <row r="3320" spans="1:4">
      <c r="A3320">
        <v>10430</v>
      </c>
      <c r="B3320" t="s">
        <v>9702</v>
      </c>
      <c r="C3320" t="s">
        <v>6636</v>
      </c>
      <c r="D3320" s="233">
        <v>242.38</v>
      </c>
    </row>
    <row r="3321" spans="1:4">
      <c r="A3321">
        <v>37514</v>
      </c>
      <c r="B3321" t="s">
        <v>9703</v>
      </c>
      <c r="C3321" t="s">
        <v>6636</v>
      </c>
      <c r="D3321" s="234">
        <v>144877.5</v>
      </c>
    </row>
    <row r="3322" spans="1:4">
      <c r="A3322">
        <v>37519</v>
      </c>
      <c r="B3322" t="s">
        <v>9704</v>
      </c>
      <c r="C3322" t="s">
        <v>6636</v>
      </c>
      <c r="D3322" s="234">
        <v>223588.48000000001</v>
      </c>
    </row>
    <row r="3323" spans="1:4">
      <c r="A3323">
        <v>37520</v>
      </c>
      <c r="B3323" t="s">
        <v>9705</v>
      </c>
      <c r="C3323" t="s">
        <v>6636</v>
      </c>
      <c r="D3323" s="234">
        <v>219923.1</v>
      </c>
    </row>
    <row r="3324" spans="1:4">
      <c r="A3324">
        <v>37521</v>
      </c>
      <c r="B3324" t="s">
        <v>9706</v>
      </c>
      <c r="C3324" t="s">
        <v>6636</v>
      </c>
      <c r="D3324" s="234">
        <v>268306.19</v>
      </c>
    </row>
    <row r="3325" spans="1:4">
      <c r="A3325">
        <v>37522</v>
      </c>
      <c r="B3325" t="s">
        <v>9707</v>
      </c>
      <c r="C3325" t="s">
        <v>6636</v>
      </c>
      <c r="D3325" s="234">
        <v>276378.38</v>
      </c>
    </row>
    <row r="3326" spans="1:4">
      <c r="A3326">
        <v>21109</v>
      </c>
      <c r="B3326" t="s">
        <v>9708</v>
      </c>
      <c r="C3326" t="s">
        <v>6636</v>
      </c>
      <c r="D3326" s="233">
        <v>60.51</v>
      </c>
    </row>
    <row r="3327" spans="1:4">
      <c r="A3327">
        <v>36800</v>
      </c>
      <c r="B3327" t="s">
        <v>9709</v>
      </c>
      <c r="C3327" t="s">
        <v>6636</v>
      </c>
      <c r="D3327" s="233">
        <v>77.319999999999993</v>
      </c>
    </row>
    <row r="3328" spans="1:4">
      <c r="A3328">
        <v>11769</v>
      </c>
      <c r="B3328" t="s">
        <v>9710</v>
      </c>
      <c r="C3328" t="s">
        <v>6636</v>
      </c>
      <c r="D3328" s="233">
        <v>189.5</v>
      </c>
    </row>
    <row r="3329" spans="1:4">
      <c r="A3329">
        <v>36793</v>
      </c>
      <c r="B3329" t="s">
        <v>9711</v>
      </c>
      <c r="C3329" t="s">
        <v>6636</v>
      </c>
      <c r="D3329" s="233">
        <v>306.81</v>
      </c>
    </row>
    <row r="3330" spans="1:4">
      <c r="A3330">
        <v>37546</v>
      </c>
      <c r="B3330" t="s">
        <v>9712</v>
      </c>
      <c r="C3330" t="s">
        <v>6636</v>
      </c>
      <c r="D3330" s="234">
        <v>9706.0499999999993</v>
      </c>
    </row>
    <row r="3331" spans="1:4">
      <c r="A3331">
        <v>37544</v>
      </c>
      <c r="B3331" t="s">
        <v>9713</v>
      </c>
      <c r="C3331" t="s">
        <v>6636</v>
      </c>
      <c r="D3331" s="234">
        <v>10265.780000000001</v>
      </c>
    </row>
    <row r="3332" spans="1:4">
      <c r="A3332">
        <v>37545</v>
      </c>
      <c r="B3332" t="s">
        <v>9714</v>
      </c>
      <c r="C3332" t="s">
        <v>6636</v>
      </c>
      <c r="D3332" s="234">
        <v>12214.89</v>
      </c>
    </row>
    <row r="3333" spans="1:4">
      <c r="A3333">
        <v>11771</v>
      </c>
      <c r="B3333" t="s">
        <v>9715</v>
      </c>
      <c r="C3333" t="s">
        <v>6636</v>
      </c>
      <c r="D3333" s="233">
        <v>235.05</v>
      </c>
    </row>
    <row r="3334" spans="1:4">
      <c r="A3334">
        <v>39919</v>
      </c>
      <c r="B3334" t="s">
        <v>9716</v>
      </c>
      <c r="C3334" t="s">
        <v>6636</v>
      </c>
      <c r="D3334" s="234">
        <v>48584.14</v>
      </c>
    </row>
    <row r="3335" spans="1:4">
      <c r="A3335">
        <v>38385</v>
      </c>
      <c r="B3335" t="s">
        <v>9717</v>
      </c>
      <c r="C3335" t="s">
        <v>6636</v>
      </c>
      <c r="D3335" s="233">
        <v>40.39</v>
      </c>
    </row>
    <row r="3336" spans="1:4">
      <c r="A3336">
        <v>37587</v>
      </c>
      <c r="B3336" t="s">
        <v>9718</v>
      </c>
      <c r="C3336" t="s">
        <v>6636</v>
      </c>
      <c r="D3336" s="233">
        <v>213.79</v>
      </c>
    </row>
    <row r="3337" spans="1:4">
      <c r="A3337">
        <v>11571</v>
      </c>
      <c r="B3337" t="s">
        <v>12712</v>
      </c>
      <c r="C3337" t="s">
        <v>6636</v>
      </c>
      <c r="D3337" s="233">
        <v>193.88</v>
      </c>
    </row>
    <row r="3338" spans="1:4">
      <c r="A3338">
        <v>11561</v>
      </c>
      <c r="B3338" t="s">
        <v>9719</v>
      </c>
      <c r="C3338" t="s">
        <v>6636</v>
      </c>
      <c r="D3338" s="233">
        <v>149.94999999999999</v>
      </c>
    </row>
    <row r="3339" spans="1:4">
      <c r="A3339">
        <v>11560</v>
      </c>
      <c r="B3339" t="s">
        <v>9720</v>
      </c>
      <c r="C3339" t="s">
        <v>6636</v>
      </c>
      <c r="D3339" s="233">
        <v>127.63</v>
      </c>
    </row>
    <row r="3340" spans="1:4">
      <c r="A3340">
        <v>11499</v>
      </c>
      <c r="B3340" t="s">
        <v>9721</v>
      </c>
      <c r="C3340" t="s">
        <v>6636</v>
      </c>
      <c r="D3340" s="234">
        <v>1130.28</v>
      </c>
    </row>
    <row r="3341" spans="1:4">
      <c r="A3341">
        <v>34761</v>
      </c>
      <c r="B3341" t="s">
        <v>9722</v>
      </c>
      <c r="C3341" t="s">
        <v>6640</v>
      </c>
      <c r="D3341" s="233">
        <v>14.96</v>
      </c>
    </row>
    <row r="3342" spans="1:4">
      <c r="A3342">
        <v>40924</v>
      </c>
      <c r="B3342" t="s">
        <v>9723</v>
      </c>
      <c r="C3342" t="s">
        <v>6785</v>
      </c>
      <c r="D3342" s="234">
        <v>2653.94</v>
      </c>
    </row>
    <row r="3343" spans="1:4">
      <c r="A3343">
        <v>25957</v>
      </c>
      <c r="B3343" t="s">
        <v>9724</v>
      </c>
      <c r="C3343" t="s">
        <v>6640</v>
      </c>
      <c r="D3343" s="233">
        <v>10.14</v>
      </c>
    </row>
    <row r="3344" spans="1:4">
      <c r="A3344">
        <v>40983</v>
      </c>
      <c r="B3344" t="s">
        <v>9725</v>
      </c>
      <c r="C3344" t="s">
        <v>6785</v>
      </c>
      <c r="D3344" s="234">
        <v>1799.49</v>
      </c>
    </row>
    <row r="3345" spans="1:4">
      <c r="A3345">
        <v>2437</v>
      </c>
      <c r="B3345" t="s">
        <v>9726</v>
      </c>
      <c r="C3345" t="s">
        <v>6640</v>
      </c>
      <c r="D3345" s="233">
        <v>16.670000000000002</v>
      </c>
    </row>
    <row r="3346" spans="1:4">
      <c r="A3346">
        <v>40921</v>
      </c>
      <c r="B3346" t="s">
        <v>9727</v>
      </c>
      <c r="C3346" t="s">
        <v>6785</v>
      </c>
      <c r="D3346" s="234">
        <v>2958.3</v>
      </c>
    </row>
    <row r="3347" spans="1:4">
      <c r="A3347">
        <v>40534</v>
      </c>
      <c r="B3347" t="s">
        <v>12713</v>
      </c>
      <c r="C3347" t="s">
        <v>6636</v>
      </c>
      <c r="D3347" s="233">
        <v>216.05</v>
      </c>
    </row>
    <row r="3348" spans="1:4">
      <c r="A3348">
        <v>14252</v>
      </c>
      <c r="B3348" t="s">
        <v>9728</v>
      </c>
      <c r="C3348" t="s">
        <v>6636</v>
      </c>
      <c r="D3348" s="234">
        <v>1902.71</v>
      </c>
    </row>
    <row r="3349" spans="1:4">
      <c r="A3349">
        <v>730</v>
      </c>
      <c r="B3349" t="s">
        <v>9729</v>
      </c>
      <c r="C3349" t="s">
        <v>6636</v>
      </c>
      <c r="D3349" s="234">
        <v>5083.7</v>
      </c>
    </row>
    <row r="3350" spans="1:4">
      <c r="A3350">
        <v>723</v>
      </c>
      <c r="B3350" t="s">
        <v>9730</v>
      </c>
      <c r="C3350" t="s">
        <v>6636</v>
      </c>
      <c r="D3350" s="234">
        <v>2526.77</v>
      </c>
    </row>
    <row r="3351" spans="1:4">
      <c r="A3351">
        <v>36502</v>
      </c>
      <c r="B3351" t="s">
        <v>9731</v>
      </c>
      <c r="C3351" t="s">
        <v>6636</v>
      </c>
      <c r="D3351" s="234">
        <v>2374.87</v>
      </c>
    </row>
    <row r="3352" spans="1:4">
      <c r="A3352">
        <v>36503</v>
      </c>
      <c r="B3352" t="s">
        <v>9732</v>
      </c>
      <c r="C3352" t="s">
        <v>6636</v>
      </c>
      <c r="D3352" s="234">
        <v>2928.49</v>
      </c>
    </row>
    <row r="3353" spans="1:4">
      <c r="A3353">
        <v>4090</v>
      </c>
      <c r="B3353" t="s">
        <v>9733</v>
      </c>
      <c r="C3353" t="s">
        <v>6636</v>
      </c>
      <c r="D3353" s="234">
        <v>547000</v>
      </c>
    </row>
    <row r="3354" spans="1:4">
      <c r="A3354">
        <v>13227</v>
      </c>
      <c r="B3354" t="s">
        <v>9734</v>
      </c>
      <c r="C3354" t="s">
        <v>6636</v>
      </c>
      <c r="D3354" s="234">
        <v>679715.71</v>
      </c>
    </row>
    <row r="3355" spans="1:4">
      <c r="A3355">
        <v>10597</v>
      </c>
      <c r="B3355" t="s">
        <v>9735</v>
      </c>
      <c r="C3355" t="s">
        <v>6636</v>
      </c>
      <c r="D3355" s="234">
        <v>715488.47</v>
      </c>
    </row>
    <row r="3356" spans="1:4">
      <c r="A3356">
        <v>39628</v>
      </c>
      <c r="B3356" t="s">
        <v>9736</v>
      </c>
      <c r="C3356" t="s">
        <v>6636</v>
      </c>
      <c r="D3356" s="234">
        <v>2807.73</v>
      </c>
    </row>
    <row r="3357" spans="1:4">
      <c r="A3357">
        <v>39404</v>
      </c>
      <c r="B3357" t="s">
        <v>9737</v>
      </c>
      <c r="C3357" t="s">
        <v>6636</v>
      </c>
      <c r="D3357" s="234">
        <v>1392.26</v>
      </c>
    </row>
    <row r="3358" spans="1:4">
      <c r="A3358">
        <v>39402</v>
      </c>
      <c r="B3358" t="s">
        <v>9738</v>
      </c>
      <c r="C3358" t="s">
        <v>6636</v>
      </c>
      <c r="D3358" s="234">
        <v>1146.96</v>
      </c>
    </row>
    <row r="3359" spans="1:4">
      <c r="A3359">
        <v>39403</v>
      </c>
      <c r="B3359" t="s">
        <v>9739</v>
      </c>
      <c r="C3359" t="s">
        <v>6636</v>
      </c>
      <c r="D3359" s="234">
        <v>1122.01</v>
      </c>
    </row>
    <row r="3360" spans="1:4">
      <c r="A3360">
        <v>4093</v>
      </c>
      <c r="B3360" t="s">
        <v>9740</v>
      </c>
      <c r="C3360" t="s">
        <v>6640</v>
      </c>
      <c r="D3360" s="233">
        <v>11.76</v>
      </c>
    </row>
    <row r="3361" spans="1:4">
      <c r="A3361">
        <v>10512</v>
      </c>
      <c r="B3361" t="s">
        <v>9741</v>
      </c>
      <c r="C3361" t="s">
        <v>6785</v>
      </c>
      <c r="D3361" s="234">
        <v>2539.59</v>
      </c>
    </row>
    <row r="3362" spans="1:4">
      <c r="A3362">
        <v>20020</v>
      </c>
      <c r="B3362" t="s">
        <v>9742</v>
      </c>
      <c r="C3362" t="s">
        <v>6640</v>
      </c>
      <c r="D3362" s="233">
        <v>11.1</v>
      </c>
    </row>
    <row r="3363" spans="1:4">
      <c r="A3363">
        <v>41038</v>
      </c>
      <c r="B3363" t="s">
        <v>9743</v>
      </c>
      <c r="C3363" t="s">
        <v>6785</v>
      </c>
      <c r="D3363" s="234">
        <v>2395.4699999999998</v>
      </c>
    </row>
    <row r="3364" spans="1:4">
      <c r="A3364">
        <v>4094</v>
      </c>
      <c r="B3364" t="s">
        <v>9744</v>
      </c>
      <c r="C3364" t="s">
        <v>6640</v>
      </c>
      <c r="D3364" s="233">
        <v>15.73</v>
      </c>
    </row>
    <row r="3365" spans="1:4">
      <c r="A3365">
        <v>40988</v>
      </c>
      <c r="B3365" t="s">
        <v>9745</v>
      </c>
      <c r="C3365" t="s">
        <v>6785</v>
      </c>
      <c r="D3365" s="234">
        <v>3391.45</v>
      </c>
    </row>
    <row r="3366" spans="1:4">
      <c r="A3366">
        <v>4095</v>
      </c>
      <c r="B3366" t="s">
        <v>9746</v>
      </c>
      <c r="C3366" t="s">
        <v>6640</v>
      </c>
      <c r="D3366" s="233">
        <v>10.91</v>
      </c>
    </row>
    <row r="3367" spans="1:4">
      <c r="A3367">
        <v>40990</v>
      </c>
      <c r="B3367" t="s">
        <v>9747</v>
      </c>
      <c r="C3367" t="s">
        <v>6785</v>
      </c>
      <c r="D3367" s="234">
        <v>2487.39</v>
      </c>
    </row>
    <row r="3368" spans="1:4">
      <c r="A3368">
        <v>4097</v>
      </c>
      <c r="B3368" t="s">
        <v>9748</v>
      </c>
      <c r="C3368" t="s">
        <v>6640</v>
      </c>
      <c r="D3368" s="233">
        <v>12.85</v>
      </c>
    </row>
    <row r="3369" spans="1:4">
      <c r="A3369">
        <v>40994</v>
      </c>
      <c r="B3369" t="s">
        <v>9749</v>
      </c>
      <c r="C3369" t="s">
        <v>6785</v>
      </c>
      <c r="D3369" s="234">
        <v>2928.41</v>
      </c>
    </row>
    <row r="3370" spans="1:4">
      <c r="A3370">
        <v>4096</v>
      </c>
      <c r="B3370" t="s">
        <v>9750</v>
      </c>
      <c r="C3370" t="s">
        <v>6640</v>
      </c>
      <c r="D3370" s="233">
        <v>13.79</v>
      </c>
    </row>
    <row r="3371" spans="1:4">
      <c r="A3371">
        <v>40992</v>
      </c>
      <c r="B3371" t="s">
        <v>9751</v>
      </c>
      <c r="C3371" t="s">
        <v>6785</v>
      </c>
      <c r="D3371" s="234">
        <v>3142.68</v>
      </c>
    </row>
    <row r="3372" spans="1:4">
      <c r="A3372">
        <v>13955</v>
      </c>
      <c r="B3372" t="s">
        <v>9752</v>
      </c>
      <c r="C3372" t="s">
        <v>6636</v>
      </c>
      <c r="D3372" s="234">
        <v>2383.0100000000002</v>
      </c>
    </row>
    <row r="3373" spans="1:4">
      <c r="A3373">
        <v>4114</v>
      </c>
      <c r="B3373" t="s">
        <v>9753</v>
      </c>
      <c r="C3373" t="s">
        <v>6636</v>
      </c>
      <c r="D3373" s="233">
        <v>45.8</v>
      </c>
    </row>
    <row r="3374" spans="1:4">
      <c r="A3374">
        <v>36797</v>
      </c>
      <c r="B3374" t="s">
        <v>9754</v>
      </c>
      <c r="C3374" t="s">
        <v>6636</v>
      </c>
      <c r="D3374" s="233">
        <v>40.049999999999997</v>
      </c>
    </row>
    <row r="3375" spans="1:4">
      <c r="A3375">
        <v>4107</v>
      </c>
      <c r="B3375" t="s">
        <v>9755</v>
      </c>
      <c r="C3375" t="s">
        <v>6636</v>
      </c>
      <c r="D3375" s="233">
        <v>38.57</v>
      </c>
    </row>
    <row r="3376" spans="1:4">
      <c r="A3376">
        <v>36799</v>
      </c>
      <c r="B3376" t="s">
        <v>9756</v>
      </c>
      <c r="C3376" t="s">
        <v>6636</v>
      </c>
      <c r="D3376" s="233">
        <v>36.82</v>
      </c>
    </row>
    <row r="3377" spans="1:4">
      <c r="A3377">
        <v>4108</v>
      </c>
      <c r="B3377" t="s">
        <v>9757</v>
      </c>
      <c r="C3377" t="s">
        <v>6636</v>
      </c>
      <c r="D3377" s="233">
        <v>31.01</v>
      </c>
    </row>
    <row r="3378" spans="1:4">
      <c r="A3378">
        <v>4102</v>
      </c>
      <c r="B3378" t="s">
        <v>9758</v>
      </c>
      <c r="C3378" t="s">
        <v>6636</v>
      </c>
      <c r="D3378" s="233">
        <v>46.13</v>
      </c>
    </row>
    <row r="3379" spans="1:4">
      <c r="A3379">
        <v>10826</v>
      </c>
      <c r="B3379" t="s">
        <v>9759</v>
      </c>
      <c r="C3379" t="s">
        <v>6636</v>
      </c>
      <c r="D3379" s="233">
        <v>86.2</v>
      </c>
    </row>
    <row r="3380" spans="1:4">
      <c r="A3380">
        <v>365</v>
      </c>
      <c r="B3380" t="s">
        <v>9760</v>
      </c>
      <c r="C3380" t="s">
        <v>6636</v>
      </c>
      <c r="D3380" s="233">
        <v>53.44</v>
      </c>
    </row>
    <row r="3381" spans="1:4">
      <c r="A3381">
        <v>38639</v>
      </c>
      <c r="B3381" t="s">
        <v>9761</v>
      </c>
      <c r="C3381" t="s">
        <v>6636</v>
      </c>
      <c r="D3381" s="233">
        <v>206.89</v>
      </c>
    </row>
    <row r="3382" spans="1:4">
      <c r="A3382">
        <v>38640</v>
      </c>
      <c r="B3382" t="s">
        <v>9762</v>
      </c>
      <c r="C3382" t="s">
        <v>6636</v>
      </c>
      <c r="D3382" s="233">
        <v>3.1</v>
      </c>
    </row>
    <row r="3383" spans="1:4">
      <c r="A3383">
        <v>358</v>
      </c>
      <c r="B3383" t="s">
        <v>9763</v>
      </c>
      <c r="C3383" t="s">
        <v>6636</v>
      </c>
      <c r="D3383" s="233">
        <v>63.79</v>
      </c>
    </row>
    <row r="3384" spans="1:4">
      <c r="A3384">
        <v>359</v>
      </c>
      <c r="B3384" t="s">
        <v>9764</v>
      </c>
      <c r="C3384" t="s">
        <v>6636</v>
      </c>
      <c r="D3384" s="233">
        <v>131.03</v>
      </c>
    </row>
    <row r="3385" spans="1:4">
      <c r="A3385">
        <v>38641</v>
      </c>
      <c r="B3385" t="s">
        <v>9765</v>
      </c>
      <c r="C3385" t="s">
        <v>6636</v>
      </c>
      <c r="D3385" s="233">
        <v>129.31</v>
      </c>
    </row>
    <row r="3386" spans="1:4">
      <c r="A3386">
        <v>360</v>
      </c>
      <c r="B3386" t="s">
        <v>9766</v>
      </c>
      <c r="C3386" t="s">
        <v>6636</v>
      </c>
      <c r="D3386" s="233">
        <v>3</v>
      </c>
    </row>
    <row r="3387" spans="1:4">
      <c r="A3387">
        <v>4127</v>
      </c>
      <c r="B3387" t="s">
        <v>9767</v>
      </c>
      <c r="C3387" t="s">
        <v>6636</v>
      </c>
      <c r="D3387" s="233">
        <v>202.03</v>
      </c>
    </row>
    <row r="3388" spans="1:4">
      <c r="A3388">
        <v>4154</v>
      </c>
      <c r="B3388" t="s">
        <v>9768</v>
      </c>
      <c r="C3388" t="s">
        <v>6636</v>
      </c>
      <c r="D3388" s="233">
        <v>246.84</v>
      </c>
    </row>
    <row r="3389" spans="1:4">
      <c r="A3389">
        <v>4168</v>
      </c>
      <c r="B3389" t="s">
        <v>9769</v>
      </c>
      <c r="C3389" t="s">
        <v>6636</v>
      </c>
      <c r="D3389" s="233">
        <v>260.69</v>
      </c>
    </row>
    <row r="3390" spans="1:4">
      <c r="A3390">
        <v>4161</v>
      </c>
      <c r="B3390" t="s">
        <v>9770</v>
      </c>
      <c r="C3390" t="s">
        <v>6636</v>
      </c>
      <c r="D3390" s="233">
        <v>250.91</v>
      </c>
    </row>
    <row r="3391" spans="1:4">
      <c r="A3391">
        <v>42430</v>
      </c>
      <c r="B3391" t="s">
        <v>9771</v>
      </c>
      <c r="C3391" t="s">
        <v>6636</v>
      </c>
      <c r="D3391" s="234">
        <v>3654.84</v>
      </c>
    </row>
    <row r="3392" spans="1:4">
      <c r="A3392">
        <v>4214</v>
      </c>
      <c r="B3392" t="s">
        <v>9772</v>
      </c>
      <c r="C3392" t="s">
        <v>6636</v>
      </c>
      <c r="D3392" s="233">
        <v>6.59</v>
      </c>
    </row>
    <row r="3393" spans="1:4">
      <c r="A3393">
        <v>4215</v>
      </c>
      <c r="B3393" t="s">
        <v>9773</v>
      </c>
      <c r="C3393" t="s">
        <v>6636</v>
      </c>
      <c r="D3393" s="233">
        <v>4.34</v>
      </c>
    </row>
    <row r="3394" spans="1:4">
      <c r="A3394">
        <v>4210</v>
      </c>
      <c r="B3394" t="s">
        <v>9774</v>
      </c>
      <c r="C3394" t="s">
        <v>6636</v>
      </c>
      <c r="D3394" s="233">
        <v>0.73</v>
      </c>
    </row>
    <row r="3395" spans="1:4">
      <c r="A3395">
        <v>4212</v>
      </c>
      <c r="B3395" t="s">
        <v>9775</v>
      </c>
      <c r="C3395" t="s">
        <v>6636</v>
      </c>
      <c r="D3395" s="233">
        <v>2.09</v>
      </c>
    </row>
    <row r="3396" spans="1:4">
      <c r="A3396">
        <v>4213</v>
      </c>
      <c r="B3396" t="s">
        <v>9776</v>
      </c>
      <c r="C3396" t="s">
        <v>6636</v>
      </c>
      <c r="D3396" s="233">
        <v>9.3699999999999992</v>
      </c>
    </row>
    <row r="3397" spans="1:4">
      <c r="A3397">
        <v>4211</v>
      </c>
      <c r="B3397" t="s">
        <v>9777</v>
      </c>
      <c r="C3397" t="s">
        <v>6636</v>
      </c>
      <c r="D3397" s="233">
        <v>1.05</v>
      </c>
    </row>
    <row r="3398" spans="1:4">
      <c r="A3398">
        <v>4209</v>
      </c>
      <c r="B3398" t="s">
        <v>9778</v>
      </c>
      <c r="C3398" t="s">
        <v>6636</v>
      </c>
      <c r="D3398" s="233">
        <v>11.22</v>
      </c>
    </row>
    <row r="3399" spans="1:4">
      <c r="A3399">
        <v>4180</v>
      </c>
      <c r="B3399" t="s">
        <v>9779</v>
      </c>
      <c r="C3399" t="s">
        <v>6636</v>
      </c>
      <c r="D3399" s="233">
        <v>8.4499999999999993</v>
      </c>
    </row>
    <row r="3400" spans="1:4">
      <c r="A3400">
        <v>4177</v>
      </c>
      <c r="B3400" t="s">
        <v>9780</v>
      </c>
      <c r="C3400" t="s">
        <v>6636</v>
      </c>
      <c r="D3400" s="233">
        <v>2.8</v>
      </c>
    </row>
    <row r="3401" spans="1:4">
      <c r="A3401">
        <v>4179</v>
      </c>
      <c r="B3401" t="s">
        <v>9781</v>
      </c>
      <c r="C3401" t="s">
        <v>6636</v>
      </c>
      <c r="D3401" s="233">
        <v>5.74</v>
      </c>
    </row>
    <row r="3402" spans="1:4">
      <c r="A3402">
        <v>4208</v>
      </c>
      <c r="B3402" t="s">
        <v>9782</v>
      </c>
      <c r="C3402" t="s">
        <v>6636</v>
      </c>
      <c r="D3402" s="233">
        <v>26.72</v>
      </c>
    </row>
    <row r="3403" spans="1:4">
      <c r="A3403">
        <v>4181</v>
      </c>
      <c r="B3403" t="s">
        <v>9783</v>
      </c>
      <c r="C3403" t="s">
        <v>6636</v>
      </c>
      <c r="D3403" s="233">
        <v>17.46</v>
      </c>
    </row>
    <row r="3404" spans="1:4">
      <c r="A3404">
        <v>4178</v>
      </c>
      <c r="B3404" t="s">
        <v>9784</v>
      </c>
      <c r="C3404" t="s">
        <v>6636</v>
      </c>
      <c r="D3404" s="233">
        <v>3.89</v>
      </c>
    </row>
    <row r="3405" spans="1:4">
      <c r="A3405">
        <v>4182</v>
      </c>
      <c r="B3405" t="s">
        <v>9785</v>
      </c>
      <c r="C3405" t="s">
        <v>6636</v>
      </c>
      <c r="D3405" s="233">
        <v>43.47</v>
      </c>
    </row>
    <row r="3406" spans="1:4">
      <c r="A3406">
        <v>4183</v>
      </c>
      <c r="B3406" t="s">
        <v>9786</v>
      </c>
      <c r="C3406" t="s">
        <v>6636</v>
      </c>
      <c r="D3406" s="233">
        <v>69.98</v>
      </c>
    </row>
    <row r="3407" spans="1:4">
      <c r="A3407">
        <v>4184</v>
      </c>
      <c r="B3407" t="s">
        <v>9787</v>
      </c>
      <c r="C3407" t="s">
        <v>6636</v>
      </c>
      <c r="D3407" s="233">
        <v>154.49</v>
      </c>
    </row>
    <row r="3408" spans="1:4">
      <c r="A3408">
        <v>4185</v>
      </c>
      <c r="B3408" t="s">
        <v>9788</v>
      </c>
      <c r="C3408" t="s">
        <v>6636</v>
      </c>
      <c r="D3408" s="233">
        <v>256.69</v>
      </c>
    </row>
    <row r="3409" spans="1:4">
      <c r="A3409">
        <v>4205</v>
      </c>
      <c r="B3409" t="s">
        <v>9789</v>
      </c>
      <c r="C3409" t="s">
        <v>6636</v>
      </c>
      <c r="D3409" s="233">
        <v>14.82</v>
      </c>
    </row>
    <row r="3410" spans="1:4">
      <c r="A3410">
        <v>4192</v>
      </c>
      <c r="B3410" t="s">
        <v>9790</v>
      </c>
      <c r="C3410" t="s">
        <v>6636</v>
      </c>
      <c r="D3410" s="233">
        <v>14.82</v>
      </c>
    </row>
    <row r="3411" spans="1:4">
      <c r="A3411">
        <v>4191</v>
      </c>
      <c r="B3411" t="s">
        <v>9791</v>
      </c>
      <c r="C3411" t="s">
        <v>6636</v>
      </c>
      <c r="D3411" s="233">
        <v>14.82</v>
      </c>
    </row>
    <row r="3412" spans="1:4">
      <c r="A3412">
        <v>4207</v>
      </c>
      <c r="B3412" t="s">
        <v>9792</v>
      </c>
      <c r="C3412" t="s">
        <v>6636</v>
      </c>
      <c r="D3412" s="233">
        <v>11.93</v>
      </c>
    </row>
    <row r="3413" spans="1:4">
      <c r="A3413">
        <v>4206</v>
      </c>
      <c r="B3413" t="s">
        <v>9793</v>
      </c>
      <c r="C3413" t="s">
        <v>6636</v>
      </c>
      <c r="D3413" s="233">
        <v>11.58</v>
      </c>
    </row>
    <row r="3414" spans="1:4">
      <c r="A3414">
        <v>4190</v>
      </c>
      <c r="B3414" t="s">
        <v>9794</v>
      </c>
      <c r="C3414" t="s">
        <v>6636</v>
      </c>
      <c r="D3414" s="233">
        <v>11.58</v>
      </c>
    </row>
    <row r="3415" spans="1:4">
      <c r="A3415">
        <v>4186</v>
      </c>
      <c r="B3415" t="s">
        <v>9795</v>
      </c>
      <c r="C3415" t="s">
        <v>6636</v>
      </c>
      <c r="D3415" s="233">
        <v>3.42</v>
      </c>
    </row>
    <row r="3416" spans="1:4">
      <c r="A3416">
        <v>4188</v>
      </c>
      <c r="B3416" t="s">
        <v>9796</v>
      </c>
      <c r="C3416" t="s">
        <v>6636</v>
      </c>
      <c r="D3416" s="233">
        <v>6.99</v>
      </c>
    </row>
    <row r="3417" spans="1:4">
      <c r="A3417">
        <v>4189</v>
      </c>
      <c r="B3417" t="s">
        <v>9797</v>
      </c>
      <c r="C3417" t="s">
        <v>6636</v>
      </c>
      <c r="D3417" s="233">
        <v>6.99</v>
      </c>
    </row>
    <row r="3418" spans="1:4">
      <c r="A3418">
        <v>4197</v>
      </c>
      <c r="B3418" t="s">
        <v>9798</v>
      </c>
      <c r="C3418" t="s">
        <v>6636</v>
      </c>
      <c r="D3418" s="233">
        <v>37.01</v>
      </c>
    </row>
    <row r="3419" spans="1:4">
      <c r="A3419">
        <v>4194</v>
      </c>
      <c r="B3419" t="s">
        <v>9799</v>
      </c>
      <c r="C3419" t="s">
        <v>6636</v>
      </c>
      <c r="D3419" s="233">
        <v>22.36</v>
      </c>
    </row>
    <row r="3420" spans="1:4">
      <c r="A3420">
        <v>4193</v>
      </c>
      <c r="B3420" t="s">
        <v>9800</v>
      </c>
      <c r="C3420" t="s">
        <v>6636</v>
      </c>
      <c r="D3420" s="233">
        <v>22.36</v>
      </c>
    </row>
    <row r="3421" spans="1:4">
      <c r="A3421">
        <v>4204</v>
      </c>
      <c r="B3421" t="s">
        <v>9801</v>
      </c>
      <c r="C3421" t="s">
        <v>6636</v>
      </c>
      <c r="D3421" s="233">
        <v>22.36</v>
      </c>
    </row>
    <row r="3422" spans="1:4">
      <c r="A3422">
        <v>4187</v>
      </c>
      <c r="B3422" t="s">
        <v>9802</v>
      </c>
      <c r="C3422" t="s">
        <v>6636</v>
      </c>
      <c r="D3422" s="233">
        <v>4.45</v>
      </c>
    </row>
    <row r="3423" spans="1:4">
      <c r="A3423">
        <v>4202</v>
      </c>
      <c r="B3423" t="s">
        <v>9803</v>
      </c>
      <c r="C3423" t="s">
        <v>6636</v>
      </c>
      <c r="D3423" s="233">
        <v>67.599999999999994</v>
      </c>
    </row>
    <row r="3424" spans="1:4">
      <c r="A3424">
        <v>4203</v>
      </c>
      <c r="B3424" t="s">
        <v>9804</v>
      </c>
      <c r="C3424" t="s">
        <v>6636</v>
      </c>
      <c r="D3424" s="233">
        <v>59.7</v>
      </c>
    </row>
    <row r="3425" spans="1:4">
      <c r="A3425">
        <v>40368</v>
      </c>
      <c r="B3425" t="s">
        <v>9805</v>
      </c>
      <c r="C3425" t="s">
        <v>6636</v>
      </c>
      <c r="D3425" s="233">
        <v>30.65</v>
      </c>
    </row>
    <row r="3426" spans="1:4">
      <c r="A3426">
        <v>40365</v>
      </c>
      <c r="B3426" t="s">
        <v>9806</v>
      </c>
      <c r="C3426" t="s">
        <v>6636</v>
      </c>
      <c r="D3426" s="233">
        <v>20.68</v>
      </c>
    </row>
    <row r="3427" spans="1:4">
      <c r="A3427">
        <v>40356</v>
      </c>
      <c r="B3427" t="s">
        <v>9807</v>
      </c>
      <c r="C3427" t="s">
        <v>6636</v>
      </c>
      <c r="D3427" s="233">
        <v>7.06</v>
      </c>
    </row>
    <row r="3428" spans="1:4">
      <c r="A3428">
        <v>40362</v>
      </c>
      <c r="B3428" t="s">
        <v>9808</v>
      </c>
      <c r="C3428" t="s">
        <v>6636</v>
      </c>
      <c r="D3428" s="233">
        <v>13.69</v>
      </c>
    </row>
    <row r="3429" spans="1:4">
      <c r="A3429">
        <v>40374</v>
      </c>
      <c r="B3429" t="s">
        <v>9809</v>
      </c>
      <c r="C3429" t="s">
        <v>6636</v>
      </c>
      <c r="D3429" s="233">
        <v>80.11</v>
      </c>
    </row>
    <row r="3430" spans="1:4">
      <c r="A3430">
        <v>40371</v>
      </c>
      <c r="B3430" t="s">
        <v>9810</v>
      </c>
      <c r="C3430" t="s">
        <v>6636</v>
      </c>
      <c r="D3430" s="233">
        <v>50.43</v>
      </c>
    </row>
    <row r="3431" spans="1:4">
      <c r="A3431">
        <v>40359</v>
      </c>
      <c r="B3431" t="s">
        <v>9811</v>
      </c>
      <c r="C3431" t="s">
        <v>6636</v>
      </c>
      <c r="D3431" s="233">
        <v>9.1199999999999992</v>
      </c>
    </row>
    <row r="3432" spans="1:4">
      <c r="A3432">
        <v>7595</v>
      </c>
      <c r="B3432" t="s">
        <v>9812</v>
      </c>
      <c r="C3432" t="s">
        <v>6640</v>
      </c>
      <c r="D3432" s="233">
        <v>7.35</v>
      </c>
    </row>
    <row r="3433" spans="1:4">
      <c r="A3433">
        <v>41094</v>
      </c>
      <c r="B3433" t="s">
        <v>9813</v>
      </c>
      <c r="C3433" t="s">
        <v>6785</v>
      </c>
      <c r="D3433" s="234">
        <v>1369.97</v>
      </c>
    </row>
    <row r="3434" spans="1:4">
      <c r="A3434">
        <v>38175</v>
      </c>
      <c r="B3434" t="s">
        <v>9814</v>
      </c>
      <c r="C3434" t="s">
        <v>6636</v>
      </c>
      <c r="D3434" s="233">
        <v>2.58</v>
      </c>
    </row>
    <row r="3435" spans="1:4">
      <c r="A3435">
        <v>38176</v>
      </c>
      <c r="B3435" t="s">
        <v>9815</v>
      </c>
      <c r="C3435" t="s">
        <v>6636</v>
      </c>
      <c r="D3435" s="233">
        <v>7.01</v>
      </c>
    </row>
    <row r="3436" spans="1:4">
      <c r="A3436">
        <v>36152</v>
      </c>
      <c r="B3436" t="s">
        <v>9816</v>
      </c>
      <c r="C3436" t="s">
        <v>6636</v>
      </c>
      <c r="D3436" s="233">
        <v>4.66</v>
      </c>
    </row>
    <row r="3437" spans="1:4">
      <c r="A3437">
        <v>11138</v>
      </c>
      <c r="B3437" t="s">
        <v>9817</v>
      </c>
      <c r="C3437" t="s">
        <v>6700</v>
      </c>
      <c r="D3437" s="233">
        <v>2.62</v>
      </c>
    </row>
    <row r="3438" spans="1:4">
      <c r="A3438">
        <v>5333</v>
      </c>
      <c r="B3438" t="s">
        <v>9818</v>
      </c>
      <c r="C3438" t="s">
        <v>6700</v>
      </c>
      <c r="D3438" s="233">
        <v>17.88</v>
      </c>
    </row>
    <row r="3439" spans="1:4">
      <c r="A3439">
        <v>4221</v>
      </c>
      <c r="B3439" t="s">
        <v>9819</v>
      </c>
      <c r="C3439" t="s">
        <v>6700</v>
      </c>
      <c r="D3439" s="233">
        <v>4.08</v>
      </c>
    </row>
    <row r="3440" spans="1:4">
      <c r="A3440">
        <v>4227</v>
      </c>
      <c r="B3440" t="s">
        <v>9820</v>
      </c>
      <c r="C3440" t="s">
        <v>6700</v>
      </c>
      <c r="D3440" s="233">
        <v>14.03</v>
      </c>
    </row>
    <row r="3441" spans="1:4">
      <c r="A3441">
        <v>38170</v>
      </c>
      <c r="B3441" t="s">
        <v>9821</v>
      </c>
      <c r="C3441" t="s">
        <v>6636</v>
      </c>
      <c r="D3441" s="233">
        <v>11.81</v>
      </c>
    </row>
    <row r="3442" spans="1:4">
      <c r="A3442">
        <v>4252</v>
      </c>
      <c r="B3442" t="s">
        <v>9822</v>
      </c>
      <c r="C3442" t="s">
        <v>6640</v>
      </c>
      <c r="D3442" s="233">
        <v>12.38</v>
      </c>
    </row>
    <row r="3443" spans="1:4">
      <c r="A3443">
        <v>40980</v>
      </c>
      <c r="B3443" t="s">
        <v>9823</v>
      </c>
      <c r="C3443" t="s">
        <v>6785</v>
      </c>
      <c r="D3443" s="234">
        <v>2196.34</v>
      </c>
    </row>
    <row r="3444" spans="1:4">
      <c r="A3444">
        <v>4243</v>
      </c>
      <c r="B3444" t="s">
        <v>9824</v>
      </c>
      <c r="C3444" t="s">
        <v>6640</v>
      </c>
      <c r="D3444" s="233">
        <v>10.61</v>
      </c>
    </row>
    <row r="3445" spans="1:4">
      <c r="A3445">
        <v>41031</v>
      </c>
      <c r="B3445" t="s">
        <v>9825</v>
      </c>
      <c r="C3445" t="s">
        <v>6785</v>
      </c>
      <c r="D3445" s="234">
        <v>1883.61</v>
      </c>
    </row>
    <row r="3446" spans="1:4">
      <c r="A3446">
        <v>37666</v>
      </c>
      <c r="B3446" t="s">
        <v>12312</v>
      </c>
      <c r="C3446" t="s">
        <v>6640</v>
      </c>
      <c r="D3446" s="233">
        <v>10.23</v>
      </c>
    </row>
    <row r="3447" spans="1:4">
      <c r="A3447">
        <v>40986</v>
      </c>
      <c r="B3447" t="s">
        <v>9826</v>
      </c>
      <c r="C3447" t="s">
        <v>6785</v>
      </c>
      <c r="D3447" s="234">
        <v>1817.75</v>
      </c>
    </row>
    <row r="3448" spans="1:4">
      <c r="A3448">
        <v>4250</v>
      </c>
      <c r="B3448" t="s">
        <v>9827</v>
      </c>
      <c r="C3448" t="s">
        <v>6640</v>
      </c>
      <c r="D3448" s="233">
        <v>11.17</v>
      </c>
    </row>
    <row r="3449" spans="1:4">
      <c r="A3449">
        <v>40978</v>
      </c>
      <c r="B3449" t="s">
        <v>9828</v>
      </c>
      <c r="C3449" t="s">
        <v>6785</v>
      </c>
      <c r="D3449" s="234">
        <v>1981.1</v>
      </c>
    </row>
    <row r="3450" spans="1:4">
      <c r="A3450">
        <v>25960</v>
      </c>
      <c r="B3450" t="s">
        <v>9829</v>
      </c>
      <c r="C3450" t="s">
        <v>6640</v>
      </c>
      <c r="D3450" s="233">
        <v>13.06</v>
      </c>
    </row>
    <row r="3451" spans="1:4">
      <c r="A3451">
        <v>41043</v>
      </c>
      <c r="B3451" t="s">
        <v>9830</v>
      </c>
      <c r="C3451" t="s">
        <v>6785</v>
      </c>
      <c r="D3451" s="234">
        <v>2318.29</v>
      </c>
    </row>
    <row r="3452" spans="1:4">
      <c r="A3452">
        <v>4234</v>
      </c>
      <c r="B3452" t="s">
        <v>9831</v>
      </c>
      <c r="C3452" t="s">
        <v>6640</v>
      </c>
      <c r="D3452" s="233">
        <v>14.32</v>
      </c>
    </row>
    <row r="3453" spans="1:4">
      <c r="A3453">
        <v>40987</v>
      </c>
      <c r="B3453" t="s">
        <v>9832</v>
      </c>
      <c r="C3453" t="s">
        <v>6785</v>
      </c>
      <c r="D3453" s="234">
        <v>2539.59</v>
      </c>
    </row>
    <row r="3454" spans="1:4">
      <c r="A3454">
        <v>4253</v>
      </c>
      <c r="B3454" t="s">
        <v>12313</v>
      </c>
      <c r="C3454" t="s">
        <v>6640</v>
      </c>
      <c r="D3454" s="233">
        <v>10.29</v>
      </c>
    </row>
    <row r="3455" spans="1:4">
      <c r="A3455">
        <v>40981</v>
      </c>
      <c r="B3455" t="s">
        <v>9833</v>
      </c>
      <c r="C3455" t="s">
        <v>6785</v>
      </c>
      <c r="D3455" s="234">
        <v>1826.74</v>
      </c>
    </row>
    <row r="3456" spans="1:4">
      <c r="A3456">
        <v>4254</v>
      </c>
      <c r="B3456" t="s">
        <v>9834</v>
      </c>
      <c r="C3456" t="s">
        <v>6640</v>
      </c>
      <c r="D3456" s="233">
        <v>10.36</v>
      </c>
    </row>
    <row r="3457" spans="1:4">
      <c r="A3457">
        <v>41036</v>
      </c>
      <c r="B3457" t="s">
        <v>9835</v>
      </c>
      <c r="C3457" t="s">
        <v>6785</v>
      </c>
      <c r="D3457" s="234">
        <v>1836.77</v>
      </c>
    </row>
    <row r="3458" spans="1:4">
      <c r="A3458">
        <v>4251</v>
      </c>
      <c r="B3458" t="s">
        <v>9836</v>
      </c>
      <c r="C3458" t="s">
        <v>6640</v>
      </c>
      <c r="D3458" s="233">
        <v>15.69</v>
      </c>
    </row>
    <row r="3459" spans="1:4">
      <c r="A3459">
        <v>40979</v>
      </c>
      <c r="B3459" t="s">
        <v>9837</v>
      </c>
      <c r="C3459" t="s">
        <v>6785</v>
      </c>
      <c r="D3459" s="234">
        <v>2783.95</v>
      </c>
    </row>
    <row r="3460" spans="1:4">
      <c r="A3460">
        <v>4230</v>
      </c>
      <c r="B3460" t="s">
        <v>9838</v>
      </c>
      <c r="C3460" t="s">
        <v>6640</v>
      </c>
      <c r="D3460" s="233">
        <v>10.91</v>
      </c>
    </row>
    <row r="3461" spans="1:4">
      <c r="A3461">
        <v>40998</v>
      </c>
      <c r="B3461" t="s">
        <v>9839</v>
      </c>
      <c r="C3461" t="s">
        <v>6785</v>
      </c>
      <c r="D3461" s="234">
        <v>1935.94</v>
      </c>
    </row>
    <row r="3462" spans="1:4">
      <c r="A3462">
        <v>4257</v>
      </c>
      <c r="B3462" t="s">
        <v>9840</v>
      </c>
      <c r="C3462" t="s">
        <v>6640</v>
      </c>
      <c r="D3462" s="233">
        <v>8.59</v>
      </c>
    </row>
    <row r="3463" spans="1:4">
      <c r="A3463">
        <v>40982</v>
      </c>
      <c r="B3463" t="s">
        <v>9841</v>
      </c>
      <c r="C3463" t="s">
        <v>6785</v>
      </c>
      <c r="D3463" s="234">
        <v>1526.17</v>
      </c>
    </row>
    <row r="3464" spans="1:4">
      <c r="A3464">
        <v>4240</v>
      </c>
      <c r="B3464" t="s">
        <v>9842</v>
      </c>
      <c r="C3464" t="s">
        <v>6640</v>
      </c>
      <c r="D3464" s="233">
        <v>13.28</v>
      </c>
    </row>
    <row r="3465" spans="1:4">
      <c r="A3465">
        <v>41026</v>
      </c>
      <c r="B3465" t="s">
        <v>9843</v>
      </c>
      <c r="C3465" t="s">
        <v>6785</v>
      </c>
      <c r="D3465" s="234">
        <v>2357.81</v>
      </c>
    </row>
    <row r="3466" spans="1:4">
      <c r="A3466">
        <v>4239</v>
      </c>
      <c r="B3466" t="s">
        <v>9844</v>
      </c>
      <c r="C3466" t="s">
        <v>6640</v>
      </c>
      <c r="D3466" s="233">
        <v>16.3</v>
      </c>
    </row>
    <row r="3467" spans="1:4">
      <c r="A3467">
        <v>41024</v>
      </c>
      <c r="B3467" t="s">
        <v>9845</v>
      </c>
      <c r="C3467" t="s">
        <v>6785</v>
      </c>
      <c r="D3467" s="234">
        <v>2892.6</v>
      </c>
    </row>
    <row r="3468" spans="1:4">
      <c r="A3468">
        <v>4248</v>
      </c>
      <c r="B3468" t="s">
        <v>9846</v>
      </c>
      <c r="C3468" t="s">
        <v>6640</v>
      </c>
      <c r="D3468" s="233">
        <v>11.89</v>
      </c>
    </row>
    <row r="3469" spans="1:4">
      <c r="A3469">
        <v>41033</v>
      </c>
      <c r="B3469" t="s">
        <v>9847</v>
      </c>
      <c r="C3469" t="s">
        <v>6785</v>
      </c>
      <c r="D3469" s="234">
        <v>2112.36</v>
      </c>
    </row>
    <row r="3470" spans="1:4">
      <c r="A3470">
        <v>25959</v>
      </c>
      <c r="B3470" t="s">
        <v>12314</v>
      </c>
      <c r="C3470" t="s">
        <v>6640</v>
      </c>
      <c r="D3470" s="233">
        <v>13.72</v>
      </c>
    </row>
    <row r="3471" spans="1:4">
      <c r="A3471">
        <v>41040</v>
      </c>
      <c r="B3471" t="s">
        <v>12315</v>
      </c>
      <c r="C3471" t="s">
        <v>6785</v>
      </c>
      <c r="D3471" s="234">
        <v>2434.1999999999998</v>
      </c>
    </row>
    <row r="3472" spans="1:4">
      <c r="A3472">
        <v>4238</v>
      </c>
      <c r="B3472" t="s">
        <v>9848</v>
      </c>
      <c r="C3472" t="s">
        <v>6640</v>
      </c>
      <c r="D3472" s="233">
        <v>10.91</v>
      </c>
    </row>
    <row r="3473" spans="1:4">
      <c r="A3473">
        <v>41012</v>
      </c>
      <c r="B3473" t="s">
        <v>9849</v>
      </c>
      <c r="C3473" t="s">
        <v>6785</v>
      </c>
      <c r="D3473" s="234">
        <v>1935.94</v>
      </c>
    </row>
    <row r="3474" spans="1:4">
      <c r="A3474">
        <v>4237</v>
      </c>
      <c r="B3474" t="s">
        <v>9850</v>
      </c>
      <c r="C3474" t="s">
        <v>6640</v>
      </c>
      <c r="D3474" s="233">
        <v>11</v>
      </c>
    </row>
    <row r="3475" spans="1:4">
      <c r="A3475">
        <v>41002</v>
      </c>
      <c r="B3475" t="s">
        <v>9851</v>
      </c>
      <c r="C3475" t="s">
        <v>6785</v>
      </c>
      <c r="D3475" s="234">
        <v>1951.18</v>
      </c>
    </row>
    <row r="3476" spans="1:4">
      <c r="A3476">
        <v>4233</v>
      </c>
      <c r="B3476" t="s">
        <v>9852</v>
      </c>
      <c r="C3476" t="s">
        <v>6640</v>
      </c>
      <c r="D3476" s="233">
        <v>11.78</v>
      </c>
    </row>
    <row r="3477" spans="1:4">
      <c r="A3477">
        <v>41001</v>
      </c>
      <c r="B3477" t="s">
        <v>9853</v>
      </c>
      <c r="C3477" t="s">
        <v>6785</v>
      </c>
      <c r="D3477" s="234">
        <v>2090.4</v>
      </c>
    </row>
    <row r="3478" spans="1:4">
      <c r="A3478">
        <v>2</v>
      </c>
      <c r="B3478" t="s">
        <v>9854</v>
      </c>
      <c r="C3478" t="s">
        <v>6781</v>
      </c>
      <c r="D3478" s="233">
        <v>14.36</v>
      </c>
    </row>
    <row r="3479" spans="1:4">
      <c r="A3479">
        <v>36517</v>
      </c>
      <c r="B3479" t="s">
        <v>12316</v>
      </c>
      <c r="C3479" t="s">
        <v>6636</v>
      </c>
      <c r="D3479" s="234">
        <v>325565.65999999997</v>
      </c>
    </row>
    <row r="3480" spans="1:4">
      <c r="A3480">
        <v>4262</v>
      </c>
      <c r="B3480" t="s">
        <v>12317</v>
      </c>
      <c r="C3480" t="s">
        <v>6636</v>
      </c>
      <c r="D3480" s="234">
        <v>366628</v>
      </c>
    </row>
    <row r="3481" spans="1:4">
      <c r="A3481">
        <v>4263</v>
      </c>
      <c r="B3481" t="s">
        <v>12318</v>
      </c>
      <c r="C3481" t="s">
        <v>6636</v>
      </c>
      <c r="D3481" s="234">
        <v>508390.8</v>
      </c>
    </row>
    <row r="3482" spans="1:4">
      <c r="A3482">
        <v>36518</v>
      </c>
      <c r="B3482" t="s">
        <v>12319</v>
      </c>
      <c r="C3482" t="s">
        <v>6636</v>
      </c>
      <c r="D3482" s="234">
        <v>578783.37</v>
      </c>
    </row>
    <row r="3483" spans="1:4">
      <c r="A3483">
        <v>14221</v>
      </c>
      <c r="B3483" t="s">
        <v>12320</v>
      </c>
      <c r="C3483" t="s">
        <v>6636</v>
      </c>
      <c r="D3483" s="234">
        <v>337786.58</v>
      </c>
    </row>
    <row r="3484" spans="1:4">
      <c r="A3484">
        <v>38402</v>
      </c>
      <c r="B3484" t="s">
        <v>9855</v>
      </c>
      <c r="C3484" t="s">
        <v>6636</v>
      </c>
      <c r="D3484" s="233">
        <v>8.8800000000000008</v>
      </c>
    </row>
    <row r="3485" spans="1:4">
      <c r="A3485">
        <v>3412</v>
      </c>
      <c r="B3485" t="s">
        <v>9856</v>
      </c>
      <c r="C3485" t="s">
        <v>6638</v>
      </c>
      <c r="D3485" s="233">
        <v>13.69</v>
      </c>
    </row>
    <row r="3486" spans="1:4">
      <c r="A3486">
        <v>3413</v>
      </c>
      <c r="B3486" t="s">
        <v>9857</v>
      </c>
      <c r="C3486" t="s">
        <v>6638</v>
      </c>
      <c r="D3486" s="233">
        <v>30.82</v>
      </c>
    </row>
    <row r="3487" spans="1:4">
      <c r="A3487">
        <v>39744</v>
      </c>
      <c r="B3487" t="s">
        <v>9858</v>
      </c>
      <c r="C3487" t="s">
        <v>6638</v>
      </c>
      <c r="D3487" s="233">
        <v>23.93</v>
      </c>
    </row>
    <row r="3488" spans="1:4">
      <c r="A3488">
        <v>39745</v>
      </c>
      <c r="B3488" t="s">
        <v>9859</v>
      </c>
      <c r="C3488" t="s">
        <v>6638</v>
      </c>
      <c r="D3488" s="233">
        <v>50.51</v>
      </c>
    </row>
    <row r="3489" spans="1:4">
      <c r="A3489">
        <v>39637</v>
      </c>
      <c r="B3489" t="s">
        <v>9860</v>
      </c>
      <c r="C3489" t="s">
        <v>6638</v>
      </c>
      <c r="D3489" s="233">
        <v>66.55</v>
      </c>
    </row>
    <row r="3490" spans="1:4">
      <c r="A3490">
        <v>39638</v>
      </c>
      <c r="B3490" t="s">
        <v>9861</v>
      </c>
      <c r="C3490" t="s">
        <v>6638</v>
      </c>
      <c r="D3490" s="233">
        <v>123.93</v>
      </c>
    </row>
    <row r="3491" spans="1:4">
      <c r="A3491">
        <v>39639</v>
      </c>
      <c r="B3491" t="s">
        <v>9862</v>
      </c>
      <c r="C3491" t="s">
        <v>6638</v>
      </c>
      <c r="D3491" s="233">
        <v>163.38999999999999</v>
      </c>
    </row>
    <row r="3492" spans="1:4">
      <c r="A3492">
        <v>39517</v>
      </c>
      <c r="B3492" t="s">
        <v>12321</v>
      </c>
      <c r="C3492" t="s">
        <v>6638</v>
      </c>
      <c r="D3492" s="233">
        <v>134.13</v>
      </c>
    </row>
    <row r="3493" spans="1:4">
      <c r="A3493">
        <v>39518</v>
      </c>
      <c r="B3493" t="s">
        <v>12322</v>
      </c>
      <c r="C3493" t="s">
        <v>6638</v>
      </c>
      <c r="D3493" s="233">
        <v>159.01</v>
      </c>
    </row>
    <row r="3494" spans="1:4">
      <c r="A3494">
        <v>38366</v>
      </c>
      <c r="B3494" t="s">
        <v>9863</v>
      </c>
      <c r="C3494" t="s">
        <v>6638</v>
      </c>
      <c r="D3494" s="233">
        <v>4.07</v>
      </c>
    </row>
    <row r="3495" spans="1:4">
      <c r="A3495">
        <v>11703</v>
      </c>
      <c r="B3495" t="s">
        <v>9864</v>
      </c>
      <c r="C3495" t="s">
        <v>6636</v>
      </c>
      <c r="D3495" s="233">
        <v>26.62</v>
      </c>
    </row>
    <row r="3496" spans="1:4">
      <c r="A3496">
        <v>37400</v>
      </c>
      <c r="B3496" t="s">
        <v>9865</v>
      </c>
      <c r="C3496" t="s">
        <v>6636</v>
      </c>
      <c r="D3496" s="233">
        <v>41.05</v>
      </c>
    </row>
    <row r="3497" spans="1:4">
      <c r="A3497">
        <v>25400</v>
      </c>
      <c r="B3497" t="s">
        <v>72</v>
      </c>
      <c r="C3497" t="s">
        <v>6636</v>
      </c>
      <c r="D3497" s="234">
        <v>1151.6400000000001</v>
      </c>
    </row>
    <row r="3498" spans="1:4">
      <c r="A3498">
        <v>4272</v>
      </c>
      <c r="B3498" t="s">
        <v>9866</v>
      </c>
      <c r="C3498" t="s">
        <v>6636</v>
      </c>
      <c r="D3498" s="233">
        <v>87.3</v>
      </c>
    </row>
    <row r="3499" spans="1:4">
      <c r="A3499">
        <v>4276</v>
      </c>
      <c r="B3499" t="s">
        <v>9867</v>
      </c>
      <c r="C3499" t="s">
        <v>6636</v>
      </c>
      <c r="D3499" s="233">
        <v>257.68</v>
      </c>
    </row>
    <row r="3500" spans="1:4">
      <c r="A3500">
        <v>4273</v>
      </c>
      <c r="B3500" t="s">
        <v>9868</v>
      </c>
      <c r="C3500" t="s">
        <v>6636</v>
      </c>
      <c r="D3500" s="233">
        <v>428.06</v>
      </c>
    </row>
    <row r="3501" spans="1:4">
      <c r="A3501">
        <v>4274</v>
      </c>
      <c r="B3501" t="s">
        <v>9869</v>
      </c>
      <c r="C3501" t="s">
        <v>6636</v>
      </c>
      <c r="D3501" s="233">
        <v>99.26</v>
      </c>
    </row>
    <row r="3502" spans="1:4">
      <c r="A3502">
        <v>39438</v>
      </c>
      <c r="B3502" t="s">
        <v>9870</v>
      </c>
      <c r="C3502" t="s">
        <v>6636</v>
      </c>
      <c r="D3502" s="233">
        <v>0.18</v>
      </c>
    </row>
    <row r="3503" spans="1:4">
      <c r="A3503">
        <v>11963</v>
      </c>
      <c r="B3503" t="s">
        <v>9871</v>
      </c>
      <c r="C3503" t="s">
        <v>6636</v>
      </c>
      <c r="D3503" s="233">
        <v>6.56</v>
      </c>
    </row>
    <row r="3504" spans="1:4">
      <c r="A3504">
        <v>11964</v>
      </c>
      <c r="B3504" t="s">
        <v>305</v>
      </c>
      <c r="C3504" t="s">
        <v>6636</v>
      </c>
      <c r="D3504" s="233">
        <v>1.65</v>
      </c>
    </row>
    <row r="3505" spans="1:4">
      <c r="A3505">
        <v>4379</v>
      </c>
      <c r="B3505" t="s">
        <v>9872</v>
      </c>
      <c r="C3505" t="s">
        <v>6636</v>
      </c>
      <c r="D3505" s="233">
        <v>0.03</v>
      </c>
    </row>
    <row r="3506" spans="1:4">
      <c r="A3506">
        <v>4377</v>
      </c>
      <c r="B3506" t="s">
        <v>9873</v>
      </c>
      <c r="C3506" t="s">
        <v>6636</v>
      </c>
      <c r="D3506" s="233">
        <v>0.13</v>
      </c>
    </row>
    <row r="3507" spans="1:4">
      <c r="A3507">
        <v>4356</v>
      </c>
      <c r="B3507" t="s">
        <v>9874</v>
      </c>
      <c r="C3507" t="s">
        <v>6636</v>
      </c>
      <c r="D3507" s="233">
        <v>0.18</v>
      </c>
    </row>
    <row r="3508" spans="1:4">
      <c r="A3508">
        <v>13246</v>
      </c>
      <c r="B3508" t="s">
        <v>9875</v>
      </c>
      <c r="C3508" t="s">
        <v>6636</v>
      </c>
      <c r="D3508" s="233">
        <v>0.31</v>
      </c>
    </row>
    <row r="3509" spans="1:4">
      <c r="A3509">
        <v>4346</v>
      </c>
      <c r="B3509" t="s">
        <v>781</v>
      </c>
      <c r="C3509" t="s">
        <v>6636</v>
      </c>
      <c r="D3509" s="233">
        <v>7.03</v>
      </c>
    </row>
    <row r="3510" spans="1:4">
      <c r="A3510">
        <v>11955</v>
      </c>
      <c r="B3510" t="s">
        <v>9876</v>
      </c>
      <c r="C3510" t="s">
        <v>6636</v>
      </c>
      <c r="D3510" s="233">
        <v>3.07</v>
      </c>
    </row>
    <row r="3511" spans="1:4">
      <c r="A3511">
        <v>11960</v>
      </c>
      <c r="B3511" t="s">
        <v>9877</v>
      </c>
      <c r="C3511" t="s">
        <v>6636</v>
      </c>
      <c r="D3511" s="233">
        <v>0.1</v>
      </c>
    </row>
    <row r="3512" spans="1:4">
      <c r="A3512">
        <v>4333</v>
      </c>
      <c r="B3512" t="s">
        <v>9878</v>
      </c>
      <c r="C3512" t="s">
        <v>6636</v>
      </c>
      <c r="D3512" s="233">
        <v>0.18</v>
      </c>
    </row>
    <row r="3513" spans="1:4">
      <c r="A3513">
        <v>4358</v>
      </c>
      <c r="B3513" t="s">
        <v>9879</v>
      </c>
      <c r="C3513" t="s">
        <v>6636</v>
      </c>
      <c r="D3513" s="233">
        <v>1.4</v>
      </c>
    </row>
    <row r="3514" spans="1:4">
      <c r="A3514">
        <v>39435</v>
      </c>
      <c r="B3514" t="s">
        <v>9880</v>
      </c>
      <c r="C3514" t="s">
        <v>6636</v>
      </c>
      <c r="D3514" s="233">
        <v>7.0000000000000007E-2</v>
      </c>
    </row>
    <row r="3515" spans="1:4">
      <c r="A3515">
        <v>39436</v>
      </c>
      <c r="B3515" t="s">
        <v>9881</v>
      </c>
      <c r="C3515" t="s">
        <v>6636</v>
      </c>
      <c r="D3515" s="233">
        <v>0.12</v>
      </c>
    </row>
    <row r="3516" spans="1:4">
      <c r="A3516">
        <v>39437</v>
      </c>
      <c r="B3516" t="s">
        <v>9882</v>
      </c>
      <c r="C3516" t="s">
        <v>6636</v>
      </c>
      <c r="D3516" s="233">
        <v>0.16</v>
      </c>
    </row>
    <row r="3517" spans="1:4">
      <c r="A3517">
        <v>39439</v>
      </c>
      <c r="B3517" t="s">
        <v>9883</v>
      </c>
      <c r="C3517" t="s">
        <v>6636</v>
      </c>
      <c r="D3517" s="233">
        <v>0.1</v>
      </c>
    </row>
    <row r="3518" spans="1:4">
      <c r="A3518">
        <v>39440</v>
      </c>
      <c r="B3518" t="s">
        <v>9884</v>
      </c>
      <c r="C3518" t="s">
        <v>6636</v>
      </c>
      <c r="D3518" s="233">
        <v>0.14000000000000001</v>
      </c>
    </row>
    <row r="3519" spans="1:4">
      <c r="A3519">
        <v>39441</v>
      </c>
      <c r="B3519" t="s">
        <v>9885</v>
      </c>
      <c r="C3519" t="s">
        <v>6636</v>
      </c>
      <c r="D3519" s="233">
        <v>0.17</v>
      </c>
    </row>
    <row r="3520" spans="1:4">
      <c r="A3520">
        <v>39442</v>
      </c>
      <c r="B3520" t="s">
        <v>9886</v>
      </c>
      <c r="C3520" t="s">
        <v>6636</v>
      </c>
      <c r="D3520" s="233">
        <v>0.12</v>
      </c>
    </row>
    <row r="3521" spans="1:4">
      <c r="A3521">
        <v>39443</v>
      </c>
      <c r="B3521" t="s">
        <v>9887</v>
      </c>
      <c r="C3521" t="s">
        <v>6636</v>
      </c>
      <c r="D3521" s="233">
        <v>0.16</v>
      </c>
    </row>
    <row r="3522" spans="1:4">
      <c r="A3522">
        <v>4329</v>
      </c>
      <c r="B3522" t="s">
        <v>9888</v>
      </c>
      <c r="C3522" t="s">
        <v>6636</v>
      </c>
      <c r="D3522" s="233">
        <v>1.5</v>
      </c>
    </row>
    <row r="3523" spans="1:4">
      <c r="A3523">
        <v>4383</v>
      </c>
      <c r="B3523" t="s">
        <v>9889</v>
      </c>
      <c r="C3523" t="s">
        <v>6636</v>
      </c>
      <c r="D3523" s="233">
        <v>13.56</v>
      </c>
    </row>
    <row r="3524" spans="1:4">
      <c r="A3524">
        <v>4344</v>
      </c>
      <c r="B3524" t="s">
        <v>9890</v>
      </c>
      <c r="C3524" t="s">
        <v>6636</v>
      </c>
      <c r="D3524" s="233">
        <v>14.21</v>
      </c>
    </row>
    <row r="3525" spans="1:4">
      <c r="A3525">
        <v>436</v>
      </c>
      <c r="B3525" t="s">
        <v>9891</v>
      </c>
      <c r="C3525" t="s">
        <v>6636</v>
      </c>
      <c r="D3525" s="233">
        <v>3.67</v>
      </c>
    </row>
    <row r="3526" spans="1:4">
      <c r="A3526">
        <v>442</v>
      </c>
      <c r="B3526" t="s">
        <v>9892</v>
      </c>
      <c r="C3526" t="s">
        <v>6636</v>
      </c>
      <c r="D3526" s="233">
        <v>2.17</v>
      </c>
    </row>
    <row r="3527" spans="1:4">
      <c r="A3527">
        <v>11953</v>
      </c>
      <c r="B3527" t="s">
        <v>9893</v>
      </c>
      <c r="C3527" t="s">
        <v>6636</v>
      </c>
      <c r="D3527" s="233">
        <v>2.25</v>
      </c>
    </row>
    <row r="3528" spans="1:4">
      <c r="A3528">
        <v>4335</v>
      </c>
      <c r="B3528" t="s">
        <v>9894</v>
      </c>
      <c r="C3528" t="s">
        <v>6636</v>
      </c>
      <c r="D3528" s="233">
        <v>9.5399999999999991</v>
      </c>
    </row>
    <row r="3529" spans="1:4">
      <c r="A3529">
        <v>4334</v>
      </c>
      <c r="B3529" t="s">
        <v>9895</v>
      </c>
      <c r="C3529" t="s">
        <v>6636</v>
      </c>
      <c r="D3529" s="233">
        <v>13.09</v>
      </c>
    </row>
    <row r="3530" spans="1:4">
      <c r="A3530">
        <v>4343</v>
      </c>
      <c r="B3530" t="s">
        <v>9896</v>
      </c>
      <c r="C3530" t="s">
        <v>6636</v>
      </c>
      <c r="D3530" s="233">
        <v>3.22</v>
      </c>
    </row>
    <row r="3531" spans="1:4">
      <c r="A3531">
        <v>430</v>
      </c>
      <c r="B3531" t="s">
        <v>941</v>
      </c>
      <c r="C3531" t="s">
        <v>6636</v>
      </c>
      <c r="D3531" s="233">
        <v>3.29</v>
      </c>
    </row>
    <row r="3532" spans="1:4">
      <c r="A3532">
        <v>441</v>
      </c>
      <c r="B3532" t="s">
        <v>9897</v>
      </c>
      <c r="C3532" t="s">
        <v>6636</v>
      </c>
      <c r="D3532" s="233">
        <v>3.62</v>
      </c>
    </row>
    <row r="3533" spans="1:4">
      <c r="A3533">
        <v>431</v>
      </c>
      <c r="B3533" t="s">
        <v>9898</v>
      </c>
      <c r="C3533" t="s">
        <v>6636</v>
      </c>
      <c r="D3533" s="233">
        <v>4.37</v>
      </c>
    </row>
    <row r="3534" spans="1:4">
      <c r="A3534">
        <v>432</v>
      </c>
      <c r="B3534" t="s">
        <v>943</v>
      </c>
      <c r="C3534" t="s">
        <v>6636</v>
      </c>
      <c r="D3534" s="233">
        <v>4.82</v>
      </c>
    </row>
    <row r="3535" spans="1:4">
      <c r="A3535">
        <v>429</v>
      </c>
      <c r="B3535" t="s">
        <v>9899</v>
      </c>
      <c r="C3535" t="s">
        <v>6636</v>
      </c>
      <c r="D3535" s="233">
        <v>6.5</v>
      </c>
    </row>
    <row r="3536" spans="1:4">
      <c r="A3536">
        <v>439</v>
      </c>
      <c r="B3536" t="s">
        <v>944</v>
      </c>
      <c r="C3536" t="s">
        <v>6636</v>
      </c>
      <c r="D3536" s="233">
        <v>5.54</v>
      </c>
    </row>
    <row r="3537" spans="1:4">
      <c r="A3537">
        <v>433</v>
      </c>
      <c r="B3537" t="s">
        <v>945</v>
      </c>
      <c r="C3537" t="s">
        <v>6636</v>
      </c>
      <c r="D3537" s="233">
        <v>6.47</v>
      </c>
    </row>
    <row r="3538" spans="1:4">
      <c r="A3538">
        <v>437</v>
      </c>
      <c r="B3538" t="s">
        <v>9900</v>
      </c>
      <c r="C3538" t="s">
        <v>6636</v>
      </c>
      <c r="D3538" s="233">
        <v>8.59</v>
      </c>
    </row>
    <row r="3539" spans="1:4">
      <c r="A3539">
        <v>11790</v>
      </c>
      <c r="B3539" t="s">
        <v>9901</v>
      </c>
      <c r="C3539" t="s">
        <v>6636</v>
      </c>
      <c r="D3539" s="233">
        <v>9.74</v>
      </c>
    </row>
    <row r="3540" spans="1:4">
      <c r="A3540">
        <v>428</v>
      </c>
      <c r="B3540" t="s">
        <v>9902</v>
      </c>
      <c r="C3540" t="s">
        <v>6636</v>
      </c>
      <c r="D3540" s="233">
        <v>10.6</v>
      </c>
    </row>
    <row r="3541" spans="1:4">
      <c r="A3541">
        <v>4384</v>
      </c>
      <c r="B3541" t="s">
        <v>9903</v>
      </c>
      <c r="C3541" t="s">
        <v>6636</v>
      </c>
      <c r="D3541" s="233">
        <v>15.58</v>
      </c>
    </row>
    <row r="3542" spans="1:4">
      <c r="A3542">
        <v>4351</v>
      </c>
      <c r="B3542" t="s">
        <v>9904</v>
      </c>
      <c r="C3542" t="s">
        <v>6636</v>
      </c>
      <c r="D3542" s="233">
        <v>11.55</v>
      </c>
    </row>
    <row r="3543" spans="1:4">
      <c r="A3543">
        <v>11054</v>
      </c>
      <c r="B3543" t="s">
        <v>9905</v>
      </c>
      <c r="C3543" t="s">
        <v>6636</v>
      </c>
      <c r="D3543" s="233">
        <v>0.02</v>
      </c>
    </row>
    <row r="3544" spans="1:4">
      <c r="A3544">
        <v>11055</v>
      </c>
      <c r="B3544" t="s">
        <v>9906</v>
      </c>
      <c r="C3544" t="s">
        <v>6636</v>
      </c>
      <c r="D3544" s="233">
        <v>0.04</v>
      </c>
    </row>
    <row r="3545" spans="1:4">
      <c r="A3545">
        <v>11056</v>
      </c>
      <c r="B3545" t="s">
        <v>9907</v>
      </c>
      <c r="C3545" t="s">
        <v>6636</v>
      </c>
      <c r="D3545" s="233">
        <v>0.05</v>
      </c>
    </row>
    <row r="3546" spans="1:4">
      <c r="A3546">
        <v>11057</v>
      </c>
      <c r="B3546" t="s">
        <v>9908</v>
      </c>
      <c r="C3546" t="s">
        <v>6636</v>
      </c>
      <c r="D3546" s="233">
        <v>0.1</v>
      </c>
    </row>
    <row r="3547" spans="1:4">
      <c r="A3547">
        <v>11059</v>
      </c>
      <c r="B3547" t="s">
        <v>9909</v>
      </c>
      <c r="C3547" t="s">
        <v>6636</v>
      </c>
      <c r="D3547" s="233">
        <v>0.2</v>
      </c>
    </row>
    <row r="3548" spans="1:4">
      <c r="A3548">
        <v>11058</v>
      </c>
      <c r="B3548" t="s">
        <v>9910</v>
      </c>
      <c r="C3548" t="s">
        <v>6636</v>
      </c>
      <c r="D3548" s="233">
        <v>0.26</v>
      </c>
    </row>
    <row r="3549" spans="1:4">
      <c r="A3549">
        <v>4380</v>
      </c>
      <c r="B3549" t="s">
        <v>9911</v>
      </c>
      <c r="C3549" t="s">
        <v>6636</v>
      </c>
      <c r="D3549" s="233">
        <v>0.88</v>
      </c>
    </row>
    <row r="3550" spans="1:4">
      <c r="A3550">
        <v>4299</v>
      </c>
      <c r="B3550" t="s">
        <v>9912</v>
      </c>
      <c r="C3550" t="s">
        <v>6636</v>
      </c>
      <c r="D3550" s="233">
        <v>0.83</v>
      </c>
    </row>
    <row r="3551" spans="1:4">
      <c r="A3551">
        <v>4304</v>
      </c>
      <c r="B3551" t="s">
        <v>9913</v>
      </c>
      <c r="C3551" t="s">
        <v>6636</v>
      </c>
      <c r="D3551" s="233">
        <v>1.1299999999999999</v>
      </c>
    </row>
    <row r="3552" spans="1:4">
      <c r="A3552">
        <v>4305</v>
      </c>
      <c r="B3552" t="s">
        <v>9914</v>
      </c>
      <c r="C3552" t="s">
        <v>6636</v>
      </c>
      <c r="D3552" s="233">
        <v>1.31</v>
      </c>
    </row>
    <row r="3553" spans="1:4">
      <c r="A3553">
        <v>4306</v>
      </c>
      <c r="B3553" t="s">
        <v>9915</v>
      </c>
      <c r="C3553" t="s">
        <v>6636</v>
      </c>
      <c r="D3553" s="233">
        <v>1.52</v>
      </c>
    </row>
    <row r="3554" spans="1:4">
      <c r="A3554">
        <v>4308</v>
      </c>
      <c r="B3554" t="s">
        <v>9916</v>
      </c>
      <c r="C3554" t="s">
        <v>6636</v>
      </c>
      <c r="D3554" s="233">
        <v>3.16</v>
      </c>
    </row>
    <row r="3555" spans="1:4">
      <c r="A3555">
        <v>4302</v>
      </c>
      <c r="B3555" t="s">
        <v>9917</v>
      </c>
      <c r="C3555" t="s">
        <v>6636</v>
      </c>
      <c r="D3555" s="233">
        <v>2.37</v>
      </c>
    </row>
    <row r="3556" spans="1:4">
      <c r="A3556">
        <v>4300</v>
      </c>
      <c r="B3556" t="s">
        <v>9918</v>
      </c>
      <c r="C3556" t="s">
        <v>6636</v>
      </c>
      <c r="D3556" s="233">
        <v>0.56000000000000005</v>
      </c>
    </row>
    <row r="3557" spans="1:4">
      <c r="A3557">
        <v>4301</v>
      </c>
      <c r="B3557" t="s">
        <v>9919</v>
      </c>
      <c r="C3557" t="s">
        <v>6636</v>
      </c>
      <c r="D3557" s="233">
        <v>0.69</v>
      </c>
    </row>
    <row r="3558" spans="1:4">
      <c r="A3558">
        <v>4320</v>
      </c>
      <c r="B3558" t="s">
        <v>9920</v>
      </c>
      <c r="C3558" t="s">
        <v>6636</v>
      </c>
      <c r="D3558" s="233">
        <v>2.09</v>
      </c>
    </row>
    <row r="3559" spans="1:4">
      <c r="A3559">
        <v>4318</v>
      </c>
      <c r="B3559" t="s">
        <v>9921</v>
      </c>
      <c r="C3559" t="s">
        <v>6636</v>
      </c>
      <c r="D3559" s="233">
        <v>1.02</v>
      </c>
    </row>
    <row r="3560" spans="1:4">
      <c r="A3560">
        <v>40547</v>
      </c>
      <c r="B3560" t="s">
        <v>9922</v>
      </c>
      <c r="C3560" t="s">
        <v>8701</v>
      </c>
      <c r="D3560" s="233">
        <v>18.93</v>
      </c>
    </row>
    <row r="3561" spans="1:4">
      <c r="A3561">
        <v>11962</v>
      </c>
      <c r="B3561" t="s">
        <v>957</v>
      </c>
      <c r="C3561" t="s">
        <v>6636</v>
      </c>
      <c r="D3561" s="233">
        <v>0.15</v>
      </c>
    </row>
    <row r="3562" spans="1:4">
      <c r="A3562">
        <v>4332</v>
      </c>
      <c r="B3562" t="s">
        <v>9923</v>
      </c>
      <c r="C3562" t="s">
        <v>6636</v>
      </c>
      <c r="D3562" s="233">
        <v>0.75</v>
      </c>
    </row>
    <row r="3563" spans="1:4">
      <c r="A3563">
        <v>4331</v>
      </c>
      <c r="B3563" t="s">
        <v>1144</v>
      </c>
      <c r="C3563" t="s">
        <v>6636</v>
      </c>
      <c r="D3563" s="233">
        <v>2.84</v>
      </c>
    </row>
    <row r="3564" spans="1:4">
      <c r="A3564">
        <v>4336</v>
      </c>
      <c r="B3564" t="s">
        <v>9924</v>
      </c>
      <c r="C3564" t="s">
        <v>6636</v>
      </c>
      <c r="D3564" s="233">
        <v>3.63</v>
      </c>
    </row>
    <row r="3565" spans="1:4">
      <c r="A3565">
        <v>13294</v>
      </c>
      <c r="B3565" t="s">
        <v>9925</v>
      </c>
      <c r="C3565" t="s">
        <v>6636</v>
      </c>
      <c r="D3565" s="233">
        <v>1.04</v>
      </c>
    </row>
    <row r="3566" spans="1:4">
      <c r="A3566">
        <v>11948</v>
      </c>
      <c r="B3566" t="s">
        <v>9926</v>
      </c>
      <c r="C3566" t="s">
        <v>6636</v>
      </c>
      <c r="D3566" s="233">
        <v>0.46</v>
      </c>
    </row>
    <row r="3567" spans="1:4">
      <c r="A3567">
        <v>4382</v>
      </c>
      <c r="B3567" t="s">
        <v>9927</v>
      </c>
      <c r="C3567" t="s">
        <v>6636</v>
      </c>
      <c r="D3567" s="233">
        <v>0.78</v>
      </c>
    </row>
    <row r="3568" spans="1:4">
      <c r="A3568">
        <v>4354</v>
      </c>
      <c r="B3568" t="s">
        <v>9928</v>
      </c>
      <c r="C3568" t="s">
        <v>6636</v>
      </c>
      <c r="D3568" s="233">
        <v>32.6</v>
      </c>
    </row>
    <row r="3569" spans="1:4">
      <c r="A3569">
        <v>40839</v>
      </c>
      <c r="B3569" t="s">
        <v>9929</v>
      </c>
      <c r="C3569" t="s">
        <v>8701</v>
      </c>
      <c r="D3569" s="233">
        <v>78.459999999999994</v>
      </c>
    </row>
    <row r="3570" spans="1:4">
      <c r="A3570">
        <v>40552</v>
      </c>
      <c r="B3570" t="s">
        <v>9930</v>
      </c>
      <c r="C3570" t="s">
        <v>8701</v>
      </c>
      <c r="D3570" s="233">
        <v>32.46</v>
      </c>
    </row>
    <row r="3571" spans="1:4">
      <c r="A3571">
        <v>40549</v>
      </c>
      <c r="B3571" t="s">
        <v>9931</v>
      </c>
      <c r="C3571" t="s">
        <v>8701</v>
      </c>
      <c r="D3571" s="233">
        <v>128.51</v>
      </c>
    </row>
    <row r="3572" spans="1:4">
      <c r="A3572">
        <v>4385</v>
      </c>
      <c r="B3572" t="s">
        <v>9932</v>
      </c>
      <c r="C3572" t="s">
        <v>7074</v>
      </c>
      <c r="D3572" s="234">
        <v>1212</v>
      </c>
    </row>
    <row r="3573" spans="1:4">
      <c r="A3573">
        <v>38397</v>
      </c>
      <c r="B3573" t="s">
        <v>9933</v>
      </c>
      <c r="C3573" t="s">
        <v>6698</v>
      </c>
      <c r="D3573" s="233">
        <v>4.79</v>
      </c>
    </row>
    <row r="3574" spans="1:4">
      <c r="A3574">
        <v>20078</v>
      </c>
      <c r="B3574" t="s">
        <v>903</v>
      </c>
      <c r="C3574" t="s">
        <v>6636</v>
      </c>
      <c r="D3574" s="233">
        <v>25.6</v>
      </c>
    </row>
    <row r="3575" spans="1:4">
      <c r="A3575">
        <v>20079</v>
      </c>
      <c r="B3575" t="s">
        <v>9934</v>
      </c>
      <c r="C3575" t="s">
        <v>6636</v>
      </c>
      <c r="D3575" s="233">
        <v>159.66999999999999</v>
      </c>
    </row>
    <row r="3576" spans="1:4">
      <c r="A3576">
        <v>39897</v>
      </c>
      <c r="B3576" t="s">
        <v>9935</v>
      </c>
      <c r="C3576" t="s">
        <v>6636</v>
      </c>
      <c r="D3576" s="233">
        <v>30.33</v>
      </c>
    </row>
    <row r="3577" spans="1:4">
      <c r="A3577">
        <v>118</v>
      </c>
      <c r="B3577" t="s">
        <v>9936</v>
      </c>
      <c r="C3577" t="s">
        <v>6636</v>
      </c>
      <c r="D3577" s="233">
        <v>96.77</v>
      </c>
    </row>
    <row r="3578" spans="1:4">
      <c r="A3578">
        <v>4396</v>
      </c>
      <c r="B3578" t="s">
        <v>9937</v>
      </c>
      <c r="C3578" t="s">
        <v>6638</v>
      </c>
      <c r="D3578" s="233">
        <v>137.94</v>
      </c>
    </row>
    <row r="3579" spans="1:4">
      <c r="A3579">
        <v>36881</v>
      </c>
      <c r="B3579" t="s">
        <v>9938</v>
      </c>
      <c r="C3579" t="s">
        <v>6638</v>
      </c>
      <c r="D3579" s="233">
        <v>123.26</v>
      </c>
    </row>
    <row r="3580" spans="1:4">
      <c r="A3580">
        <v>36882</v>
      </c>
      <c r="B3580" t="s">
        <v>9939</v>
      </c>
      <c r="C3580" t="s">
        <v>6638</v>
      </c>
      <c r="D3580" s="233">
        <v>143.80000000000001</v>
      </c>
    </row>
    <row r="3581" spans="1:4">
      <c r="A3581">
        <v>4397</v>
      </c>
      <c r="B3581" t="s">
        <v>9940</v>
      </c>
      <c r="C3581" t="s">
        <v>6638</v>
      </c>
      <c r="D3581" s="233">
        <v>223.68</v>
      </c>
    </row>
    <row r="3582" spans="1:4">
      <c r="A3582">
        <v>34754</v>
      </c>
      <c r="B3582" t="s">
        <v>9941</v>
      </c>
      <c r="C3582" t="s">
        <v>6638</v>
      </c>
      <c r="D3582" s="233">
        <v>414.19</v>
      </c>
    </row>
    <row r="3583" spans="1:4">
      <c r="A3583">
        <v>25962</v>
      </c>
      <c r="B3583" t="s">
        <v>9942</v>
      </c>
      <c r="C3583" t="s">
        <v>6638</v>
      </c>
      <c r="D3583" s="233">
        <v>262.33</v>
      </c>
    </row>
    <row r="3584" spans="1:4">
      <c r="A3584">
        <v>34752</v>
      </c>
      <c r="B3584" t="s">
        <v>9943</v>
      </c>
      <c r="C3584" t="s">
        <v>6638</v>
      </c>
      <c r="D3584" s="233">
        <v>461.96</v>
      </c>
    </row>
    <row r="3585" spans="1:4">
      <c r="A3585">
        <v>4751</v>
      </c>
      <c r="B3585" t="s">
        <v>9944</v>
      </c>
      <c r="C3585" t="s">
        <v>6640</v>
      </c>
      <c r="D3585" s="233">
        <v>17.260000000000002</v>
      </c>
    </row>
    <row r="3586" spans="1:4">
      <c r="A3586">
        <v>41066</v>
      </c>
      <c r="B3586" t="s">
        <v>9945</v>
      </c>
      <c r="C3586" t="s">
        <v>6785</v>
      </c>
      <c r="D3586" s="234">
        <v>3063.26</v>
      </c>
    </row>
    <row r="3587" spans="1:4">
      <c r="A3587">
        <v>39604</v>
      </c>
      <c r="B3587" t="s">
        <v>9946</v>
      </c>
      <c r="C3587" t="s">
        <v>6636</v>
      </c>
      <c r="D3587" s="233">
        <v>8.83</v>
      </c>
    </row>
    <row r="3588" spans="1:4">
      <c r="A3588">
        <v>39605</v>
      </c>
      <c r="B3588" t="s">
        <v>9947</v>
      </c>
      <c r="C3588" t="s">
        <v>6636</v>
      </c>
      <c r="D3588" s="233">
        <v>12.25</v>
      </c>
    </row>
    <row r="3589" spans="1:4">
      <c r="A3589">
        <v>39606</v>
      </c>
      <c r="B3589" t="s">
        <v>9948</v>
      </c>
      <c r="C3589" t="s">
        <v>6636</v>
      </c>
      <c r="D3589" s="233">
        <v>15.56</v>
      </c>
    </row>
    <row r="3590" spans="1:4">
      <c r="A3590">
        <v>39607</v>
      </c>
      <c r="B3590" t="s">
        <v>9949</v>
      </c>
      <c r="C3590" t="s">
        <v>6636</v>
      </c>
      <c r="D3590" s="233">
        <v>17.850000000000001</v>
      </c>
    </row>
    <row r="3591" spans="1:4">
      <c r="A3591">
        <v>39594</v>
      </c>
      <c r="B3591" t="s">
        <v>9950</v>
      </c>
      <c r="C3591" t="s">
        <v>6636</v>
      </c>
      <c r="D3591" s="233">
        <v>169</v>
      </c>
    </row>
    <row r="3592" spans="1:4">
      <c r="A3592">
        <v>39596</v>
      </c>
      <c r="B3592" t="s">
        <v>9951</v>
      </c>
      <c r="C3592" t="s">
        <v>6636</v>
      </c>
      <c r="D3592" s="233">
        <v>294.56</v>
      </c>
    </row>
    <row r="3593" spans="1:4">
      <c r="A3593">
        <v>39595</v>
      </c>
      <c r="B3593" t="s">
        <v>9952</v>
      </c>
      <c r="C3593" t="s">
        <v>6636</v>
      </c>
      <c r="D3593" s="233">
        <v>247.26</v>
      </c>
    </row>
    <row r="3594" spans="1:4">
      <c r="A3594">
        <v>39597</v>
      </c>
      <c r="B3594" t="s">
        <v>9953</v>
      </c>
      <c r="C3594" t="s">
        <v>6636</v>
      </c>
      <c r="D3594" s="233">
        <v>397.22</v>
      </c>
    </row>
    <row r="3595" spans="1:4">
      <c r="A3595">
        <v>20209</v>
      </c>
      <c r="B3595" t="s">
        <v>9954</v>
      </c>
      <c r="C3595" t="s">
        <v>6649</v>
      </c>
      <c r="D3595" s="233">
        <v>9.86</v>
      </c>
    </row>
    <row r="3596" spans="1:4">
      <c r="A3596">
        <v>4433</v>
      </c>
      <c r="B3596" t="s">
        <v>9955</v>
      </c>
      <c r="C3596" t="s">
        <v>6649</v>
      </c>
      <c r="D3596" s="233">
        <v>7.17</v>
      </c>
    </row>
    <row r="3597" spans="1:4">
      <c r="A3597">
        <v>10731</v>
      </c>
      <c r="B3597" t="s">
        <v>9956</v>
      </c>
      <c r="C3597" t="s">
        <v>6638</v>
      </c>
      <c r="D3597" s="233">
        <v>60.02</v>
      </c>
    </row>
    <row r="3598" spans="1:4">
      <c r="A3598">
        <v>4704</v>
      </c>
      <c r="B3598" t="s">
        <v>9957</v>
      </c>
      <c r="C3598" t="s">
        <v>6638</v>
      </c>
      <c r="D3598" s="233">
        <v>54.16</v>
      </c>
    </row>
    <row r="3599" spans="1:4">
      <c r="A3599">
        <v>10730</v>
      </c>
      <c r="B3599" t="s">
        <v>9958</v>
      </c>
      <c r="C3599" t="s">
        <v>6638</v>
      </c>
      <c r="D3599" s="233">
        <v>58.03</v>
      </c>
    </row>
    <row r="3600" spans="1:4">
      <c r="A3600">
        <v>4729</v>
      </c>
      <c r="B3600" t="s">
        <v>9959</v>
      </c>
      <c r="C3600" t="s">
        <v>6781</v>
      </c>
      <c r="D3600" s="233">
        <v>93.42</v>
      </c>
    </row>
    <row r="3601" spans="1:4">
      <c r="A3601">
        <v>4720</v>
      </c>
      <c r="B3601" t="s">
        <v>853</v>
      </c>
      <c r="C3601" t="s">
        <v>6781</v>
      </c>
      <c r="D3601" s="233">
        <v>102.15</v>
      </c>
    </row>
    <row r="3602" spans="1:4">
      <c r="A3602">
        <v>4721</v>
      </c>
      <c r="B3602" t="s">
        <v>852</v>
      </c>
      <c r="C3602" t="s">
        <v>6781</v>
      </c>
      <c r="D3602" s="233">
        <v>80</v>
      </c>
    </row>
    <row r="3603" spans="1:4">
      <c r="A3603">
        <v>4718</v>
      </c>
      <c r="B3603" t="s">
        <v>860</v>
      </c>
      <c r="C3603" t="s">
        <v>6781</v>
      </c>
      <c r="D3603" s="233">
        <v>80</v>
      </c>
    </row>
    <row r="3604" spans="1:4">
      <c r="A3604">
        <v>4722</v>
      </c>
      <c r="B3604" t="s">
        <v>921</v>
      </c>
      <c r="C3604" t="s">
        <v>6781</v>
      </c>
      <c r="D3604" s="233">
        <v>80</v>
      </c>
    </row>
    <row r="3605" spans="1:4">
      <c r="A3605">
        <v>4723</v>
      </c>
      <c r="B3605" t="s">
        <v>9960</v>
      </c>
      <c r="C3605" t="s">
        <v>6781</v>
      </c>
      <c r="D3605" s="233">
        <v>87.28</v>
      </c>
    </row>
    <row r="3606" spans="1:4">
      <c r="A3606">
        <v>4727</v>
      </c>
      <c r="B3606" t="s">
        <v>9961</v>
      </c>
      <c r="C3606" t="s">
        <v>6781</v>
      </c>
      <c r="D3606" s="233">
        <v>89.7</v>
      </c>
    </row>
    <row r="3607" spans="1:4">
      <c r="A3607">
        <v>4748</v>
      </c>
      <c r="B3607" t="s">
        <v>9962</v>
      </c>
      <c r="C3607" t="s">
        <v>6781</v>
      </c>
      <c r="D3607" s="233">
        <v>86.55</v>
      </c>
    </row>
    <row r="3608" spans="1:4">
      <c r="A3608">
        <v>4730</v>
      </c>
      <c r="B3608" t="s">
        <v>935</v>
      </c>
      <c r="C3608" t="s">
        <v>6781</v>
      </c>
      <c r="D3608" s="233">
        <v>83.64</v>
      </c>
    </row>
    <row r="3609" spans="1:4">
      <c r="A3609">
        <v>13186</v>
      </c>
      <c r="B3609" t="s">
        <v>9963</v>
      </c>
      <c r="C3609" t="s">
        <v>6781</v>
      </c>
      <c r="D3609" s="233">
        <v>72.08</v>
      </c>
    </row>
    <row r="3610" spans="1:4">
      <c r="A3610">
        <v>10737</v>
      </c>
      <c r="B3610" t="s">
        <v>9964</v>
      </c>
      <c r="C3610" t="s">
        <v>6638</v>
      </c>
      <c r="D3610" s="233">
        <v>188.62</v>
      </c>
    </row>
    <row r="3611" spans="1:4">
      <c r="A3611">
        <v>10734</v>
      </c>
      <c r="B3611" t="s">
        <v>9965</v>
      </c>
      <c r="C3611" t="s">
        <v>6638</v>
      </c>
      <c r="D3611" s="233">
        <v>112.2</v>
      </c>
    </row>
    <row r="3612" spans="1:4">
      <c r="A3612">
        <v>4708</v>
      </c>
      <c r="B3612" t="s">
        <v>9966</v>
      </c>
      <c r="C3612" t="s">
        <v>6638</v>
      </c>
      <c r="D3612" s="233">
        <v>217.63</v>
      </c>
    </row>
    <row r="3613" spans="1:4">
      <c r="A3613">
        <v>4712</v>
      </c>
      <c r="B3613" t="s">
        <v>9967</v>
      </c>
      <c r="C3613" t="s">
        <v>6638</v>
      </c>
      <c r="D3613" s="233">
        <v>106.4</v>
      </c>
    </row>
    <row r="3614" spans="1:4">
      <c r="A3614">
        <v>4710</v>
      </c>
      <c r="B3614" t="s">
        <v>9968</v>
      </c>
      <c r="C3614" t="s">
        <v>6638</v>
      </c>
      <c r="D3614" s="233">
        <v>341.2</v>
      </c>
    </row>
    <row r="3615" spans="1:4">
      <c r="A3615">
        <v>4746</v>
      </c>
      <c r="B3615" t="s">
        <v>9969</v>
      </c>
      <c r="C3615" t="s">
        <v>6781</v>
      </c>
      <c r="D3615" s="233">
        <v>77.58</v>
      </c>
    </row>
    <row r="3616" spans="1:4">
      <c r="A3616">
        <v>4750</v>
      </c>
      <c r="B3616" t="s">
        <v>9970</v>
      </c>
      <c r="C3616" t="s">
        <v>6640</v>
      </c>
      <c r="D3616" s="233">
        <v>14.81</v>
      </c>
    </row>
    <row r="3617" spans="1:4">
      <c r="A3617">
        <v>41065</v>
      </c>
      <c r="B3617" t="s">
        <v>9971</v>
      </c>
      <c r="C3617" t="s">
        <v>6785</v>
      </c>
      <c r="D3617" s="234">
        <v>2626.51</v>
      </c>
    </row>
    <row r="3618" spans="1:4">
      <c r="A3618">
        <v>34747</v>
      </c>
      <c r="B3618" t="s">
        <v>9972</v>
      </c>
      <c r="C3618" t="s">
        <v>6649</v>
      </c>
      <c r="D3618" s="233">
        <v>65.53</v>
      </c>
    </row>
    <row r="3619" spans="1:4">
      <c r="A3619">
        <v>4826</v>
      </c>
      <c r="B3619" t="s">
        <v>9973</v>
      </c>
      <c r="C3619" t="s">
        <v>6649</v>
      </c>
      <c r="D3619" s="233">
        <v>70.459999999999994</v>
      </c>
    </row>
    <row r="3620" spans="1:4">
      <c r="A3620">
        <v>41975</v>
      </c>
      <c r="B3620" t="s">
        <v>9974</v>
      </c>
      <c r="C3620" t="s">
        <v>6638</v>
      </c>
      <c r="D3620" s="233">
        <v>69.989999999999995</v>
      </c>
    </row>
    <row r="3621" spans="1:4">
      <c r="A3621">
        <v>4825</v>
      </c>
      <c r="B3621" t="s">
        <v>9975</v>
      </c>
      <c r="C3621" t="s">
        <v>6649</v>
      </c>
      <c r="D3621" s="233">
        <v>97.53</v>
      </c>
    </row>
    <row r="3622" spans="1:4">
      <c r="A3622">
        <v>34744</v>
      </c>
      <c r="B3622" t="s">
        <v>9976</v>
      </c>
      <c r="C3622" t="s">
        <v>6638</v>
      </c>
      <c r="D3622" s="233">
        <v>30.69</v>
      </c>
    </row>
    <row r="3623" spans="1:4">
      <c r="A3623">
        <v>39430</v>
      </c>
      <c r="B3623" t="s">
        <v>9977</v>
      </c>
      <c r="C3623" t="s">
        <v>6636</v>
      </c>
      <c r="D3623" s="233">
        <v>1.37</v>
      </c>
    </row>
    <row r="3624" spans="1:4">
      <c r="A3624">
        <v>39573</v>
      </c>
      <c r="B3624" t="s">
        <v>9978</v>
      </c>
      <c r="C3624" t="s">
        <v>6636</v>
      </c>
      <c r="D3624" s="233">
        <v>1.35</v>
      </c>
    </row>
    <row r="3625" spans="1:4">
      <c r="A3625">
        <v>38410</v>
      </c>
      <c r="B3625" t="s">
        <v>9979</v>
      </c>
      <c r="C3625" t="s">
        <v>6636</v>
      </c>
      <c r="D3625" s="234">
        <v>11365.64</v>
      </c>
    </row>
    <row r="3626" spans="1:4">
      <c r="A3626">
        <v>41596</v>
      </c>
      <c r="B3626" t="s">
        <v>12323</v>
      </c>
      <c r="C3626" t="s">
        <v>6698</v>
      </c>
      <c r="D3626" s="233">
        <v>7.05</v>
      </c>
    </row>
    <row r="3627" spans="1:4">
      <c r="A3627">
        <v>41598</v>
      </c>
      <c r="B3627" t="s">
        <v>12324</v>
      </c>
      <c r="C3627" t="s">
        <v>6698</v>
      </c>
      <c r="D3627" s="233">
        <v>7.05</v>
      </c>
    </row>
    <row r="3628" spans="1:4">
      <c r="A3628">
        <v>41594</v>
      </c>
      <c r="B3628" t="s">
        <v>12325</v>
      </c>
      <c r="C3628" t="s">
        <v>6698</v>
      </c>
      <c r="D3628" s="233">
        <v>7.17</v>
      </c>
    </row>
    <row r="3629" spans="1:4">
      <c r="A3629">
        <v>43663</v>
      </c>
      <c r="B3629" t="s">
        <v>12326</v>
      </c>
      <c r="C3629" t="s">
        <v>6698</v>
      </c>
      <c r="D3629" s="233">
        <v>5.9</v>
      </c>
    </row>
    <row r="3630" spans="1:4">
      <c r="A3630">
        <v>4766</v>
      </c>
      <c r="B3630" t="s">
        <v>12327</v>
      </c>
      <c r="C3630" t="s">
        <v>6698</v>
      </c>
      <c r="D3630" s="233">
        <v>5.56</v>
      </c>
    </row>
    <row r="3631" spans="1:4">
      <c r="A3631">
        <v>43664</v>
      </c>
      <c r="B3631" t="s">
        <v>12328</v>
      </c>
      <c r="C3631" t="s">
        <v>6698</v>
      </c>
      <c r="D3631" s="233">
        <v>5.93</v>
      </c>
    </row>
    <row r="3632" spans="1:4">
      <c r="A3632">
        <v>43082</v>
      </c>
      <c r="B3632" t="s">
        <v>12329</v>
      </c>
      <c r="C3632" t="s">
        <v>6698</v>
      </c>
      <c r="D3632" s="233">
        <v>6.47</v>
      </c>
    </row>
    <row r="3633" spans="1:4">
      <c r="A3633">
        <v>40313</v>
      </c>
      <c r="B3633" t="s">
        <v>9980</v>
      </c>
      <c r="C3633" t="s">
        <v>6698</v>
      </c>
      <c r="D3633" s="233">
        <v>6.47</v>
      </c>
    </row>
    <row r="3634" spans="1:4">
      <c r="A3634">
        <v>43665</v>
      </c>
      <c r="B3634" t="s">
        <v>9981</v>
      </c>
      <c r="C3634" t="s">
        <v>6698</v>
      </c>
      <c r="D3634" s="233">
        <v>5.56</v>
      </c>
    </row>
    <row r="3635" spans="1:4">
      <c r="A3635">
        <v>10966</v>
      </c>
      <c r="B3635" t="s">
        <v>9982</v>
      </c>
      <c r="C3635" t="s">
        <v>6698</v>
      </c>
      <c r="D3635" s="233">
        <v>5.9</v>
      </c>
    </row>
    <row r="3636" spans="1:4">
      <c r="A3636">
        <v>43666</v>
      </c>
      <c r="B3636" t="s">
        <v>12330</v>
      </c>
      <c r="C3636" t="s">
        <v>7057</v>
      </c>
      <c r="D3636" s="233">
        <v>5.9</v>
      </c>
    </row>
    <row r="3637" spans="1:4">
      <c r="A3637">
        <v>43083</v>
      </c>
      <c r="B3637" t="s">
        <v>12331</v>
      </c>
      <c r="C3637" t="s">
        <v>6698</v>
      </c>
      <c r="D3637" s="233">
        <v>5.6</v>
      </c>
    </row>
    <row r="3638" spans="1:4">
      <c r="A3638">
        <v>40535</v>
      </c>
      <c r="B3638" t="s">
        <v>9983</v>
      </c>
      <c r="C3638" t="s">
        <v>6698</v>
      </c>
      <c r="D3638" s="233">
        <v>5.6</v>
      </c>
    </row>
    <row r="3639" spans="1:4">
      <c r="A3639">
        <v>39427</v>
      </c>
      <c r="B3639" t="s">
        <v>9984</v>
      </c>
      <c r="C3639" t="s">
        <v>6649</v>
      </c>
      <c r="D3639" s="233">
        <v>3.64</v>
      </c>
    </row>
    <row r="3640" spans="1:4">
      <c r="A3640">
        <v>39424</v>
      </c>
      <c r="B3640" t="s">
        <v>9985</v>
      </c>
      <c r="C3640" t="s">
        <v>6649</v>
      </c>
      <c r="D3640" s="233">
        <v>2.16</v>
      </c>
    </row>
    <row r="3641" spans="1:4">
      <c r="A3641">
        <v>39425</v>
      </c>
      <c r="B3641" t="s">
        <v>9986</v>
      </c>
      <c r="C3641" t="s">
        <v>6649</v>
      </c>
      <c r="D3641" s="233">
        <v>2.14</v>
      </c>
    </row>
    <row r="3642" spans="1:4">
      <c r="A3642">
        <v>40664</v>
      </c>
      <c r="B3642" t="s">
        <v>9987</v>
      </c>
      <c r="C3642" t="s">
        <v>6698</v>
      </c>
      <c r="D3642" s="233">
        <v>11.5</v>
      </c>
    </row>
    <row r="3643" spans="1:4">
      <c r="A3643">
        <v>34360</v>
      </c>
      <c r="B3643" t="s">
        <v>9988</v>
      </c>
      <c r="C3643" t="s">
        <v>6698</v>
      </c>
      <c r="D3643" s="233">
        <v>27.45</v>
      </c>
    </row>
    <row r="3644" spans="1:4">
      <c r="A3644">
        <v>20259</v>
      </c>
      <c r="B3644" t="s">
        <v>9989</v>
      </c>
      <c r="C3644" t="s">
        <v>6649</v>
      </c>
      <c r="D3644" s="233">
        <v>8.8000000000000007</v>
      </c>
    </row>
    <row r="3645" spans="1:4">
      <c r="A3645">
        <v>14077</v>
      </c>
      <c r="B3645" t="s">
        <v>9990</v>
      </c>
      <c r="C3645" t="s">
        <v>6649</v>
      </c>
      <c r="D3645" s="233">
        <v>134.69</v>
      </c>
    </row>
    <row r="3646" spans="1:4">
      <c r="A3646">
        <v>3678</v>
      </c>
      <c r="B3646" t="s">
        <v>9991</v>
      </c>
      <c r="C3646" t="s">
        <v>6649</v>
      </c>
      <c r="D3646" s="233">
        <v>60.88</v>
      </c>
    </row>
    <row r="3647" spans="1:4">
      <c r="A3647">
        <v>39418</v>
      </c>
      <c r="B3647" t="s">
        <v>9992</v>
      </c>
      <c r="C3647" t="s">
        <v>6649</v>
      </c>
      <c r="D3647" s="233">
        <v>4.0599999999999996</v>
      </c>
    </row>
    <row r="3648" spans="1:4">
      <c r="A3648">
        <v>39419</v>
      </c>
      <c r="B3648" t="s">
        <v>9993</v>
      </c>
      <c r="C3648" t="s">
        <v>6649</v>
      </c>
      <c r="D3648" s="233">
        <v>4.95</v>
      </c>
    </row>
    <row r="3649" spans="1:4">
      <c r="A3649">
        <v>39420</v>
      </c>
      <c r="B3649" t="s">
        <v>9994</v>
      </c>
      <c r="C3649" t="s">
        <v>6649</v>
      </c>
      <c r="D3649" s="233">
        <v>5.47</v>
      </c>
    </row>
    <row r="3650" spans="1:4">
      <c r="A3650">
        <v>39571</v>
      </c>
      <c r="B3650" t="s">
        <v>9995</v>
      </c>
      <c r="C3650" t="s">
        <v>6649</v>
      </c>
      <c r="D3650" s="233">
        <v>3.3</v>
      </c>
    </row>
    <row r="3651" spans="1:4">
      <c r="A3651">
        <v>39421</v>
      </c>
      <c r="B3651" t="s">
        <v>9996</v>
      </c>
      <c r="C3651" t="s">
        <v>6649</v>
      </c>
      <c r="D3651" s="233">
        <v>4.8099999999999996</v>
      </c>
    </row>
    <row r="3652" spans="1:4">
      <c r="A3652">
        <v>39422</v>
      </c>
      <c r="B3652" t="s">
        <v>9997</v>
      </c>
      <c r="C3652" t="s">
        <v>6649</v>
      </c>
      <c r="D3652" s="233">
        <v>5.62</v>
      </c>
    </row>
    <row r="3653" spans="1:4">
      <c r="A3653">
        <v>39423</v>
      </c>
      <c r="B3653" t="s">
        <v>9998</v>
      </c>
      <c r="C3653" t="s">
        <v>6649</v>
      </c>
      <c r="D3653" s="233">
        <v>6.52</v>
      </c>
    </row>
    <row r="3654" spans="1:4">
      <c r="A3654">
        <v>39426</v>
      </c>
      <c r="B3654" t="s">
        <v>9999</v>
      </c>
      <c r="C3654" t="s">
        <v>6649</v>
      </c>
      <c r="D3654" s="233">
        <v>14.67</v>
      </c>
    </row>
    <row r="3655" spans="1:4">
      <c r="A3655">
        <v>39429</v>
      </c>
      <c r="B3655" t="s">
        <v>10000</v>
      </c>
      <c r="C3655" t="s">
        <v>6649</v>
      </c>
      <c r="D3655" s="233">
        <v>4.62</v>
      </c>
    </row>
    <row r="3656" spans="1:4">
      <c r="A3656">
        <v>39428</v>
      </c>
      <c r="B3656" t="s">
        <v>10001</v>
      </c>
      <c r="C3656" t="s">
        <v>6649</v>
      </c>
      <c r="D3656" s="233">
        <v>3.53</v>
      </c>
    </row>
    <row r="3657" spans="1:4">
      <c r="A3657">
        <v>39572</v>
      </c>
      <c r="B3657" t="s">
        <v>10002</v>
      </c>
      <c r="C3657" t="s">
        <v>6649</v>
      </c>
      <c r="D3657" s="233">
        <v>3.06</v>
      </c>
    </row>
    <row r="3658" spans="1:4">
      <c r="A3658">
        <v>39570</v>
      </c>
      <c r="B3658" t="s">
        <v>10003</v>
      </c>
      <c r="C3658" t="s">
        <v>6649</v>
      </c>
      <c r="D3658" s="233">
        <v>3.24</v>
      </c>
    </row>
    <row r="3659" spans="1:4">
      <c r="A3659">
        <v>39569</v>
      </c>
      <c r="B3659" t="s">
        <v>10004</v>
      </c>
      <c r="C3659" t="s">
        <v>6649</v>
      </c>
      <c r="D3659" s="233">
        <v>3.2</v>
      </c>
    </row>
    <row r="3660" spans="1:4">
      <c r="A3660">
        <v>11552</v>
      </c>
      <c r="B3660" t="s">
        <v>10005</v>
      </c>
      <c r="C3660" t="s">
        <v>6649</v>
      </c>
      <c r="D3660" s="233">
        <v>8.92</v>
      </c>
    </row>
    <row r="3661" spans="1:4">
      <c r="A3661">
        <v>40598</v>
      </c>
      <c r="B3661" t="s">
        <v>10006</v>
      </c>
      <c r="C3661" t="s">
        <v>6698</v>
      </c>
      <c r="D3661" s="233">
        <v>5.46</v>
      </c>
    </row>
    <row r="3662" spans="1:4">
      <c r="A3662">
        <v>39029</v>
      </c>
      <c r="B3662" t="s">
        <v>10007</v>
      </c>
      <c r="C3662" t="s">
        <v>6649</v>
      </c>
      <c r="D3662" s="233">
        <v>10.35</v>
      </c>
    </row>
    <row r="3663" spans="1:4">
      <c r="A3663">
        <v>39028</v>
      </c>
      <c r="B3663" t="s">
        <v>10008</v>
      </c>
      <c r="C3663" t="s">
        <v>6649</v>
      </c>
      <c r="D3663" s="233">
        <v>6.03</v>
      </c>
    </row>
    <row r="3664" spans="1:4">
      <c r="A3664">
        <v>39328</v>
      </c>
      <c r="B3664" t="s">
        <v>10009</v>
      </c>
      <c r="C3664" t="s">
        <v>6649</v>
      </c>
      <c r="D3664" s="233">
        <v>3.31</v>
      </c>
    </row>
    <row r="3665" spans="1:4">
      <c r="A3665">
        <v>38541</v>
      </c>
      <c r="B3665" t="s">
        <v>10010</v>
      </c>
      <c r="C3665" t="s">
        <v>6636</v>
      </c>
      <c r="D3665" s="234">
        <v>2072952.39</v>
      </c>
    </row>
    <row r="3666" spans="1:4">
      <c r="A3666">
        <v>38542</v>
      </c>
      <c r="B3666" t="s">
        <v>10011</v>
      </c>
      <c r="C3666" t="s">
        <v>6636</v>
      </c>
      <c r="D3666" s="234">
        <v>3223357.61</v>
      </c>
    </row>
    <row r="3667" spans="1:4">
      <c r="A3667">
        <v>38543</v>
      </c>
      <c r="B3667" t="s">
        <v>10012</v>
      </c>
      <c r="C3667" t="s">
        <v>6636</v>
      </c>
      <c r="D3667" s="234">
        <v>789166.88</v>
      </c>
    </row>
    <row r="3668" spans="1:4">
      <c r="A3668">
        <v>40406</v>
      </c>
      <c r="B3668" t="s">
        <v>10013</v>
      </c>
      <c r="C3668" t="s">
        <v>6636</v>
      </c>
      <c r="D3668" s="234">
        <v>56789.79</v>
      </c>
    </row>
    <row r="3669" spans="1:4">
      <c r="A3669">
        <v>40789</v>
      </c>
      <c r="B3669" t="s">
        <v>10014</v>
      </c>
      <c r="C3669" t="s">
        <v>6636</v>
      </c>
      <c r="D3669" s="234">
        <v>8183.99</v>
      </c>
    </row>
    <row r="3670" spans="1:4">
      <c r="A3670">
        <v>40791</v>
      </c>
      <c r="B3670" t="s">
        <v>10015</v>
      </c>
      <c r="C3670" t="s">
        <v>6636</v>
      </c>
      <c r="D3670" s="234">
        <v>25619.45</v>
      </c>
    </row>
    <row r="3671" spans="1:4">
      <c r="A3671">
        <v>11651</v>
      </c>
      <c r="B3671" t="s">
        <v>10016</v>
      </c>
      <c r="C3671" t="s">
        <v>6636</v>
      </c>
      <c r="D3671" s="234">
        <v>14011.64</v>
      </c>
    </row>
    <row r="3672" spans="1:4">
      <c r="A3672">
        <v>42002</v>
      </c>
      <c r="B3672" t="s">
        <v>10017</v>
      </c>
      <c r="C3672" t="s">
        <v>6636</v>
      </c>
      <c r="D3672" s="234">
        <v>675901.98</v>
      </c>
    </row>
    <row r="3673" spans="1:4">
      <c r="A3673">
        <v>40435</v>
      </c>
      <c r="B3673" t="s">
        <v>10018</v>
      </c>
      <c r="C3673" t="s">
        <v>6636</v>
      </c>
      <c r="D3673" s="234">
        <v>432930.27</v>
      </c>
    </row>
    <row r="3674" spans="1:4">
      <c r="A3674">
        <v>39012</v>
      </c>
      <c r="B3674" t="s">
        <v>10019</v>
      </c>
      <c r="C3674" t="s">
        <v>6636</v>
      </c>
      <c r="D3674" s="234">
        <v>451702.89</v>
      </c>
    </row>
    <row r="3675" spans="1:4">
      <c r="A3675">
        <v>13617</v>
      </c>
      <c r="B3675" t="s">
        <v>10020</v>
      </c>
      <c r="C3675" t="s">
        <v>6636</v>
      </c>
      <c r="D3675" s="234">
        <v>49417.59</v>
      </c>
    </row>
    <row r="3676" spans="1:4">
      <c r="A3676">
        <v>5327</v>
      </c>
      <c r="B3676" t="s">
        <v>10021</v>
      </c>
      <c r="C3676" t="s">
        <v>6698</v>
      </c>
      <c r="D3676" s="233">
        <v>28.37</v>
      </c>
    </row>
    <row r="3677" spans="1:4">
      <c r="A3677">
        <v>35274</v>
      </c>
      <c r="B3677" t="s">
        <v>10022</v>
      </c>
      <c r="C3677" t="s">
        <v>6649</v>
      </c>
      <c r="D3677" s="233">
        <v>22.06</v>
      </c>
    </row>
    <row r="3678" spans="1:4">
      <c r="A3678">
        <v>35275</v>
      </c>
      <c r="B3678" t="s">
        <v>10023</v>
      </c>
      <c r="C3678" t="s">
        <v>6649</v>
      </c>
      <c r="D3678" s="233">
        <v>47.12</v>
      </c>
    </row>
    <row r="3679" spans="1:4">
      <c r="A3679">
        <v>35276</v>
      </c>
      <c r="B3679" t="s">
        <v>10024</v>
      </c>
      <c r="C3679" t="s">
        <v>6649</v>
      </c>
      <c r="D3679" s="233">
        <v>77.05</v>
      </c>
    </row>
    <row r="3680" spans="1:4">
      <c r="A3680">
        <v>38386</v>
      </c>
      <c r="B3680" t="s">
        <v>10025</v>
      </c>
      <c r="C3680" t="s">
        <v>6636</v>
      </c>
      <c r="D3680" s="233">
        <v>4.33</v>
      </c>
    </row>
    <row r="3681" spans="1:4">
      <c r="A3681">
        <v>11091</v>
      </c>
      <c r="B3681" t="s">
        <v>10026</v>
      </c>
      <c r="C3681" t="s">
        <v>6636</v>
      </c>
      <c r="D3681" s="233">
        <v>1.01</v>
      </c>
    </row>
    <row r="3682" spans="1:4">
      <c r="A3682">
        <v>37586</v>
      </c>
      <c r="B3682" t="s">
        <v>10027</v>
      </c>
      <c r="C3682" t="s">
        <v>8701</v>
      </c>
      <c r="D3682" s="233">
        <v>32.619999999999997</v>
      </c>
    </row>
    <row r="3683" spans="1:4">
      <c r="A3683">
        <v>37395</v>
      </c>
      <c r="B3683" t="s">
        <v>10028</v>
      </c>
      <c r="C3683" t="s">
        <v>8701</v>
      </c>
      <c r="D3683" s="233">
        <v>28.05</v>
      </c>
    </row>
    <row r="3684" spans="1:4">
      <c r="A3684">
        <v>14147</v>
      </c>
      <c r="B3684" t="s">
        <v>10029</v>
      </c>
      <c r="C3684" t="s">
        <v>8701</v>
      </c>
      <c r="D3684" s="233">
        <v>37.21</v>
      </c>
    </row>
    <row r="3685" spans="1:4">
      <c r="A3685">
        <v>37396</v>
      </c>
      <c r="B3685" t="s">
        <v>10030</v>
      </c>
      <c r="C3685" t="s">
        <v>8701</v>
      </c>
      <c r="D3685" s="233">
        <v>22.95</v>
      </c>
    </row>
    <row r="3686" spans="1:4">
      <c r="A3686">
        <v>37397</v>
      </c>
      <c r="B3686" t="s">
        <v>10031</v>
      </c>
      <c r="C3686" t="s">
        <v>8701</v>
      </c>
      <c r="D3686" s="233">
        <v>24.04</v>
      </c>
    </row>
    <row r="3687" spans="1:4">
      <c r="A3687">
        <v>11559</v>
      </c>
      <c r="B3687" t="s">
        <v>12714</v>
      </c>
      <c r="C3687" t="s">
        <v>6636</v>
      </c>
      <c r="D3687" s="233">
        <v>4.0999999999999996</v>
      </c>
    </row>
    <row r="3688" spans="1:4">
      <c r="A3688">
        <v>444</v>
      </c>
      <c r="B3688" t="s">
        <v>10032</v>
      </c>
      <c r="C3688" t="s">
        <v>6636</v>
      </c>
      <c r="D3688" s="233">
        <v>17.920000000000002</v>
      </c>
    </row>
    <row r="3689" spans="1:4">
      <c r="A3689">
        <v>445</v>
      </c>
      <c r="B3689" t="s">
        <v>10033</v>
      </c>
      <c r="C3689" t="s">
        <v>6636</v>
      </c>
      <c r="D3689" s="233">
        <v>24.52</v>
      </c>
    </row>
    <row r="3690" spans="1:4">
      <c r="A3690">
        <v>4783</v>
      </c>
      <c r="B3690" t="s">
        <v>10034</v>
      </c>
      <c r="C3690" t="s">
        <v>6640</v>
      </c>
      <c r="D3690" s="233">
        <v>14.81</v>
      </c>
    </row>
    <row r="3691" spans="1:4">
      <c r="A3691">
        <v>41079</v>
      </c>
      <c r="B3691" t="s">
        <v>10035</v>
      </c>
      <c r="C3691" t="s">
        <v>6785</v>
      </c>
      <c r="D3691" s="234">
        <v>2626.51</v>
      </c>
    </row>
    <row r="3692" spans="1:4">
      <c r="A3692">
        <v>12874</v>
      </c>
      <c r="B3692" t="s">
        <v>10036</v>
      </c>
      <c r="C3692" t="s">
        <v>6640</v>
      </c>
      <c r="D3692" s="233">
        <v>17.07</v>
      </c>
    </row>
    <row r="3693" spans="1:4">
      <c r="A3693">
        <v>41082</v>
      </c>
      <c r="B3693" t="s">
        <v>10037</v>
      </c>
      <c r="C3693" t="s">
        <v>6785</v>
      </c>
      <c r="D3693" s="234">
        <v>3027.77</v>
      </c>
    </row>
    <row r="3694" spans="1:4">
      <c r="A3694">
        <v>4785</v>
      </c>
      <c r="B3694" t="s">
        <v>10038</v>
      </c>
      <c r="C3694" t="s">
        <v>6640</v>
      </c>
      <c r="D3694" s="233">
        <v>15.92</v>
      </c>
    </row>
    <row r="3695" spans="1:4">
      <c r="A3695">
        <v>41081</v>
      </c>
      <c r="B3695" t="s">
        <v>10039</v>
      </c>
      <c r="C3695" t="s">
        <v>6785</v>
      </c>
      <c r="D3695" s="234">
        <v>2825.09</v>
      </c>
    </row>
    <row r="3696" spans="1:4">
      <c r="A3696">
        <v>4801</v>
      </c>
      <c r="B3696" t="s">
        <v>10040</v>
      </c>
      <c r="C3696" t="s">
        <v>6638</v>
      </c>
      <c r="D3696" s="233">
        <v>52.9</v>
      </c>
    </row>
    <row r="3697" spans="1:4">
      <c r="A3697">
        <v>4794</v>
      </c>
      <c r="B3697" t="s">
        <v>10041</v>
      </c>
      <c r="C3697" t="s">
        <v>6638</v>
      </c>
      <c r="D3697" s="233">
        <v>240.92</v>
      </c>
    </row>
    <row r="3698" spans="1:4">
      <c r="A3698">
        <v>4796</v>
      </c>
      <c r="B3698" t="s">
        <v>10042</v>
      </c>
      <c r="C3698" t="s">
        <v>6638</v>
      </c>
      <c r="D3698" s="233">
        <v>146.33000000000001</v>
      </c>
    </row>
    <row r="3699" spans="1:4">
      <c r="A3699">
        <v>4800</v>
      </c>
      <c r="B3699" t="s">
        <v>10043</v>
      </c>
      <c r="C3699" t="s">
        <v>6638</v>
      </c>
      <c r="D3699" s="233">
        <v>40.24</v>
      </c>
    </row>
    <row r="3700" spans="1:4">
      <c r="A3700">
        <v>4795</v>
      </c>
      <c r="B3700" t="s">
        <v>10044</v>
      </c>
      <c r="C3700" t="s">
        <v>6638</v>
      </c>
      <c r="D3700" s="233">
        <v>234.53</v>
      </c>
    </row>
    <row r="3701" spans="1:4">
      <c r="A3701">
        <v>39694</v>
      </c>
      <c r="B3701" t="s">
        <v>10045</v>
      </c>
      <c r="C3701" t="s">
        <v>6638</v>
      </c>
      <c r="D3701" s="233">
        <v>210.78</v>
      </c>
    </row>
    <row r="3702" spans="1:4">
      <c r="A3702">
        <v>1292</v>
      </c>
      <c r="B3702" t="s">
        <v>10046</v>
      </c>
      <c r="C3702" t="s">
        <v>6638</v>
      </c>
      <c r="D3702" s="233">
        <v>34.450000000000003</v>
      </c>
    </row>
    <row r="3703" spans="1:4">
      <c r="A3703">
        <v>1287</v>
      </c>
      <c r="B3703" t="s">
        <v>10047</v>
      </c>
      <c r="C3703" t="s">
        <v>6638</v>
      </c>
      <c r="D3703" s="233">
        <v>16.899999999999999</v>
      </c>
    </row>
    <row r="3704" spans="1:4">
      <c r="A3704">
        <v>1297</v>
      </c>
      <c r="B3704" t="s">
        <v>10048</v>
      </c>
      <c r="C3704" t="s">
        <v>6638</v>
      </c>
      <c r="D3704" s="233">
        <v>14.01</v>
      </c>
    </row>
    <row r="3705" spans="1:4">
      <c r="A3705">
        <v>4786</v>
      </c>
      <c r="B3705" t="s">
        <v>10049</v>
      </c>
      <c r="C3705" t="s">
        <v>6638</v>
      </c>
      <c r="D3705" s="233">
        <v>80.5</v>
      </c>
    </row>
    <row r="3706" spans="1:4">
      <c r="A3706">
        <v>10840</v>
      </c>
      <c r="B3706" t="s">
        <v>10050</v>
      </c>
      <c r="C3706" t="s">
        <v>6638</v>
      </c>
      <c r="D3706" s="233">
        <v>295</v>
      </c>
    </row>
    <row r="3707" spans="1:4">
      <c r="A3707">
        <v>10841</v>
      </c>
      <c r="B3707" t="s">
        <v>10051</v>
      </c>
      <c r="C3707" t="s">
        <v>6638</v>
      </c>
      <c r="D3707" s="233">
        <v>222.64</v>
      </c>
    </row>
    <row r="3708" spans="1:4">
      <c r="A3708">
        <v>25980</v>
      </c>
      <c r="B3708" t="s">
        <v>10052</v>
      </c>
      <c r="C3708" t="s">
        <v>6638</v>
      </c>
      <c r="D3708" s="233">
        <v>284.48</v>
      </c>
    </row>
    <row r="3709" spans="1:4">
      <c r="A3709">
        <v>10842</v>
      </c>
      <c r="B3709" t="s">
        <v>10053</v>
      </c>
      <c r="C3709" t="s">
        <v>6638</v>
      </c>
      <c r="D3709" s="233">
        <v>321.58999999999997</v>
      </c>
    </row>
    <row r="3710" spans="1:4">
      <c r="A3710">
        <v>21108</v>
      </c>
      <c r="B3710" t="s">
        <v>10054</v>
      </c>
      <c r="C3710" t="s">
        <v>6638</v>
      </c>
      <c r="D3710" s="233">
        <v>45.91</v>
      </c>
    </row>
    <row r="3711" spans="1:4">
      <c r="A3711">
        <v>38180</v>
      </c>
      <c r="B3711" t="s">
        <v>10055</v>
      </c>
      <c r="C3711" t="s">
        <v>6638</v>
      </c>
      <c r="D3711" s="233">
        <v>117.82</v>
      </c>
    </row>
    <row r="3712" spans="1:4">
      <c r="A3712">
        <v>40648</v>
      </c>
      <c r="B3712" t="s">
        <v>10056</v>
      </c>
      <c r="C3712" t="s">
        <v>6638</v>
      </c>
      <c r="D3712" s="233">
        <v>154.56</v>
      </c>
    </row>
    <row r="3713" spans="1:4">
      <c r="A3713">
        <v>40649</v>
      </c>
      <c r="B3713" t="s">
        <v>10057</v>
      </c>
      <c r="C3713" t="s">
        <v>6638</v>
      </c>
      <c r="D3713" s="233">
        <v>90.03</v>
      </c>
    </row>
    <row r="3714" spans="1:4">
      <c r="A3714">
        <v>40650</v>
      </c>
      <c r="B3714" t="s">
        <v>10058</v>
      </c>
      <c r="C3714" t="s">
        <v>6638</v>
      </c>
      <c r="D3714" s="233">
        <v>115.92</v>
      </c>
    </row>
    <row r="3715" spans="1:4">
      <c r="A3715">
        <v>40651</v>
      </c>
      <c r="B3715" t="s">
        <v>10059</v>
      </c>
      <c r="C3715" t="s">
        <v>6638</v>
      </c>
      <c r="D3715" s="233">
        <v>213.8</v>
      </c>
    </row>
    <row r="3716" spans="1:4">
      <c r="A3716">
        <v>40652</v>
      </c>
      <c r="B3716" t="s">
        <v>10060</v>
      </c>
      <c r="C3716" t="s">
        <v>6638</v>
      </c>
      <c r="D3716" s="233">
        <v>114.63</v>
      </c>
    </row>
    <row r="3717" spans="1:4">
      <c r="A3717">
        <v>40647</v>
      </c>
      <c r="B3717" t="s">
        <v>10061</v>
      </c>
      <c r="C3717" t="s">
        <v>6638</v>
      </c>
      <c r="D3717" s="233">
        <v>126.22</v>
      </c>
    </row>
    <row r="3718" spans="1:4">
      <c r="A3718">
        <v>40653</v>
      </c>
      <c r="B3718" t="s">
        <v>10062</v>
      </c>
      <c r="C3718" t="s">
        <v>6638</v>
      </c>
      <c r="D3718" s="233">
        <v>96.6</v>
      </c>
    </row>
    <row r="3719" spans="1:4">
      <c r="A3719">
        <v>36178</v>
      </c>
      <c r="B3719" t="s">
        <v>10063</v>
      </c>
      <c r="C3719" t="s">
        <v>6636</v>
      </c>
      <c r="D3719" s="233">
        <v>8.8000000000000007</v>
      </c>
    </row>
    <row r="3720" spans="1:4">
      <c r="A3720">
        <v>38195</v>
      </c>
      <c r="B3720" t="s">
        <v>10064</v>
      </c>
      <c r="C3720" t="s">
        <v>6638</v>
      </c>
      <c r="D3720" s="233">
        <v>54.23</v>
      </c>
    </row>
    <row r="3721" spans="1:4">
      <c r="A3721">
        <v>38181</v>
      </c>
      <c r="B3721" t="s">
        <v>837</v>
      </c>
      <c r="C3721" t="s">
        <v>6638</v>
      </c>
      <c r="D3721" s="233">
        <v>160.84</v>
      </c>
    </row>
    <row r="3722" spans="1:4">
      <c r="A3722">
        <v>38182</v>
      </c>
      <c r="B3722" t="s">
        <v>10065</v>
      </c>
      <c r="C3722" t="s">
        <v>6638</v>
      </c>
      <c r="D3722" s="233">
        <v>153.19999999999999</v>
      </c>
    </row>
    <row r="3723" spans="1:4">
      <c r="A3723">
        <v>38186</v>
      </c>
      <c r="B3723" t="s">
        <v>10066</v>
      </c>
      <c r="C3723" t="s">
        <v>6638</v>
      </c>
      <c r="D3723" s="233">
        <v>398.23</v>
      </c>
    </row>
    <row r="3724" spans="1:4">
      <c r="A3724">
        <v>38185</v>
      </c>
      <c r="B3724" t="s">
        <v>10067</v>
      </c>
      <c r="C3724" t="s">
        <v>6638</v>
      </c>
      <c r="D3724" s="233">
        <v>354.57</v>
      </c>
    </row>
    <row r="3725" spans="1:4">
      <c r="A3725">
        <v>40654</v>
      </c>
      <c r="B3725" t="s">
        <v>10068</v>
      </c>
      <c r="C3725" t="s">
        <v>6638</v>
      </c>
      <c r="D3725" s="233">
        <v>150.05000000000001</v>
      </c>
    </row>
    <row r="3726" spans="1:4">
      <c r="A3726">
        <v>25981</v>
      </c>
      <c r="B3726" t="s">
        <v>10069</v>
      </c>
      <c r="C3726" t="s">
        <v>6638</v>
      </c>
      <c r="D3726" s="233">
        <v>235.01</v>
      </c>
    </row>
    <row r="3727" spans="1:4">
      <c r="A3727">
        <v>4822</v>
      </c>
      <c r="B3727" t="s">
        <v>10070</v>
      </c>
      <c r="C3727" t="s">
        <v>6638</v>
      </c>
      <c r="D3727" s="233">
        <v>269.97000000000003</v>
      </c>
    </row>
    <row r="3728" spans="1:4">
      <c r="A3728">
        <v>4818</v>
      </c>
      <c r="B3728" t="s">
        <v>10071</v>
      </c>
      <c r="C3728" t="s">
        <v>6638</v>
      </c>
      <c r="D3728" s="233">
        <v>277.5</v>
      </c>
    </row>
    <row r="3729" spans="1:4">
      <c r="A3729">
        <v>39567</v>
      </c>
      <c r="B3729" t="s">
        <v>10072</v>
      </c>
      <c r="C3729" t="s">
        <v>6638</v>
      </c>
      <c r="D3729" s="233">
        <v>48.53</v>
      </c>
    </row>
    <row r="3730" spans="1:4">
      <c r="A3730">
        <v>39566</v>
      </c>
      <c r="B3730" t="s">
        <v>10073</v>
      </c>
      <c r="C3730" t="s">
        <v>6638</v>
      </c>
      <c r="D3730" s="233">
        <v>56.06</v>
      </c>
    </row>
    <row r="3731" spans="1:4">
      <c r="A3731">
        <v>11062</v>
      </c>
      <c r="B3731" t="s">
        <v>10074</v>
      </c>
      <c r="C3731" t="s">
        <v>6638</v>
      </c>
      <c r="D3731" s="233">
        <v>47.59</v>
      </c>
    </row>
    <row r="3732" spans="1:4">
      <c r="A3732">
        <v>11063</v>
      </c>
      <c r="B3732" t="s">
        <v>10075</v>
      </c>
      <c r="C3732" t="s">
        <v>6638</v>
      </c>
      <c r="D3732" s="233">
        <v>46.08</v>
      </c>
    </row>
    <row r="3733" spans="1:4">
      <c r="A3733">
        <v>13521</v>
      </c>
      <c r="B3733" t="s">
        <v>10076</v>
      </c>
      <c r="C3733" t="s">
        <v>6636</v>
      </c>
      <c r="D3733" s="233">
        <v>108.9</v>
      </c>
    </row>
    <row r="3734" spans="1:4">
      <c r="A3734">
        <v>10851</v>
      </c>
      <c r="B3734" t="s">
        <v>10077</v>
      </c>
      <c r="C3734" t="s">
        <v>6636</v>
      </c>
      <c r="D3734" s="233">
        <v>51.52</v>
      </c>
    </row>
    <row r="3735" spans="1:4">
      <c r="A3735">
        <v>39515</v>
      </c>
      <c r="B3735" t="s">
        <v>10078</v>
      </c>
      <c r="C3735" t="s">
        <v>6636</v>
      </c>
      <c r="D3735" s="233">
        <v>32.46</v>
      </c>
    </row>
    <row r="3736" spans="1:4">
      <c r="A3736">
        <v>39516</v>
      </c>
      <c r="B3736" t="s">
        <v>10079</v>
      </c>
      <c r="C3736" t="s">
        <v>6636</v>
      </c>
      <c r="D3736" s="233">
        <v>27.37</v>
      </c>
    </row>
    <row r="3737" spans="1:4">
      <c r="A3737">
        <v>39514</v>
      </c>
      <c r="B3737" t="s">
        <v>10080</v>
      </c>
      <c r="C3737" t="s">
        <v>6636</v>
      </c>
      <c r="D3737" s="233">
        <v>17.03</v>
      </c>
    </row>
    <row r="3738" spans="1:4">
      <c r="A3738">
        <v>4812</v>
      </c>
      <c r="B3738" t="s">
        <v>10081</v>
      </c>
      <c r="C3738" t="s">
        <v>6638</v>
      </c>
      <c r="D3738" s="233">
        <v>13.41</v>
      </c>
    </row>
    <row r="3739" spans="1:4">
      <c r="A3739">
        <v>10849</v>
      </c>
      <c r="B3739" t="s">
        <v>10082</v>
      </c>
      <c r="C3739" t="s">
        <v>6636</v>
      </c>
      <c r="D3739" s="234">
        <v>1584.01</v>
      </c>
    </row>
    <row r="3740" spans="1:4">
      <c r="A3740">
        <v>10848</v>
      </c>
      <c r="B3740" t="s">
        <v>10083</v>
      </c>
      <c r="C3740" t="s">
        <v>6636</v>
      </c>
      <c r="D3740" s="233">
        <v>994.95</v>
      </c>
    </row>
    <row r="3741" spans="1:4">
      <c r="A3741">
        <v>4813</v>
      </c>
      <c r="B3741" t="s">
        <v>10084</v>
      </c>
      <c r="C3741" t="s">
        <v>6638</v>
      </c>
      <c r="D3741" s="233">
        <v>330</v>
      </c>
    </row>
    <row r="3742" spans="1:4">
      <c r="A3742">
        <v>37560</v>
      </c>
      <c r="B3742" t="s">
        <v>10085</v>
      </c>
      <c r="C3742" t="s">
        <v>6636</v>
      </c>
      <c r="D3742" s="233">
        <v>20.170000000000002</v>
      </c>
    </row>
    <row r="3743" spans="1:4">
      <c r="A3743">
        <v>37557</v>
      </c>
      <c r="B3743" t="s">
        <v>10086</v>
      </c>
      <c r="C3743" t="s">
        <v>6636</v>
      </c>
      <c r="D3743" s="233">
        <v>6.12</v>
      </c>
    </row>
    <row r="3744" spans="1:4">
      <c r="A3744">
        <v>37556</v>
      </c>
      <c r="B3744" t="s">
        <v>10087</v>
      </c>
      <c r="C3744" t="s">
        <v>6636</v>
      </c>
      <c r="D3744" s="233">
        <v>11.85</v>
      </c>
    </row>
    <row r="3745" spans="1:4">
      <c r="A3745">
        <v>37559</v>
      </c>
      <c r="B3745" t="s">
        <v>10088</v>
      </c>
      <c r="C3745" t="s">
        <v>6636</v>
      </c>
      <c r="D3745" s="233">
        <v>14.54</v>
      </c>
    </row>
    <row r="3746" spans="1:4">
      <c r="A3746">
        <v>37539</v>
      </c>
      <c r="B3746" t="s">
        <v>91</v>
      </c>
      <c r="C3746" t="s">
        <v>6636</v>
      </c>
      <c r="D3746" s="233">
        <v>10.25</v>
      </c>
    </row>
    <row r="3747" spans="1:4">
      <c r="A3747">
        <v>37558</v>
      </c>
      <c r="B3747" t="s">
        <v>114</v>
      </c>
      <c r="C3747" t="s">
        <v>6636</v>
      </c>
      <c r="D3747" s="233">
        <v>19.11</v>
      </c>
    </row>
    <row r="3748" spans="1:4">
      <c r="A3748">
        <v>34723</v>
      </c>
      <c r="B3748" t="s">
        <v>10089</v>
      </c>
      <c r="C3748" t="s">
        <v>6638</v>
      </c>
      <c r="D3748" s="233">
        <v>762.3</v>
      </c>
    </row>
    <row r="3749" spans="1:4">
      <c r="A3749">
        <v>34721</v>
      </c>
      <c r="B3749" t="s">
        <v>10090</v>
      </c>
      <c r="C3749" t="s">
        <v>6638</v>
      </c>
      <c r="D3749" s="233">
        <v>950.4</v>
      </c>
    </row>
    <row r="3750" spans="1:4">
      <c r="A3750">
        <v>4309</v>
      </c>
      <c r="B3750" t="s">
        <v>10091</v>
      </c>
      <c r="C3750" t="s">
        <v>6636</v>
      </c>
      <c r="D3750" s="233">
        <v>4.54</v>
      </c>
    </row>
    <row r="3751" spans="1:4">
      <c r="A3751">
        <v>4307</v>
      </c>
      <c r="B3751" t="s">
        <v>10092</v>
      </c>
      <c r="C3751" t="s">
        <v>6636</v>
      </c>
      <c r="D3751" s="233">
        <v>7.77</v>
      </c>
    </row>
    <row r="3752" spans="1:4">
      <c r="A3752">
        <v>10850</v>
      </c>
      <c r="B3752" t="s">
        <v>10093</v>
      </c>
      <c r="C3752" t="s">
        <v>6636</v>
      </c>
      <c r="D3752" s="233">
        <v>49.5</v>
      </c>
    </row>
    <row r="3753" spans="1:4">
      <c r="A3753">
        <v>42438</v>
      </c>
      <c r="B3753" t="s">
        <v>10094</v>
      </c>
      <c r="C3753" t="s">
        <v>6636</v>
      </c>
      <c r="D3753" s="234">
        <v>1187.6099999999999</v>
      </c>
    </row>
    <row r="3754" spans="1:4">
      <c r="A3754">
        <v>4792</v>
      </c>
      <c r="B3754" t="s">
        <v>10095</v>
      </c>
      <c r="C3754" t="s">
        <v>6638</v>
      </c>
      <c r="D3754" s="233">
        <v>113.1</v>
      </c>
    </row>
    <row r="3755" spans="1:4">
      <c r="A3755">
        <v>4790</v>
      </c>
      <c r="B3755" t="s">
        <v>10096</v>
      </c>
      <c r="C3755" t="s">
        <v>6638</v>
      </c>
      <c r="D3755" s="233">
        <v>68</v>
      </c>
    </row>
    <row r="3756" spans="1:4">
      <c r="A3756">
        <v>40671</v>
      </c>
      <c r="B3756" t="s">
        <v>10097</v>
      </c>
      <c r="C3756" t="s">
        <v>6638</v>
      </c>
      <c r="D3756" s="233">
        <v>50.2</v>
      </c>
    </row>
    <row r="3757" spans="1:4">
      <c r="A3757">
        <v>7552</v>
      </c>
      <c r="B3757" t="s">
        <v>10098</v>
      </c>
      <c r="C3757" t="s">
        <v>6636</v>
      </c>
      <c r="D3757" s="233">
        <v>22.57</v>
      </c>
    </row>
    <row r="3758" spans="1:4">
      <c r="A3758">
        <v>4893</v>
      </c>
      <c r="B3758" t="s">
        <v>10099</v>
      </c>
      <c r="C3758" t="s">
        <v>6636</v>
      </c>
      <c r="D3758" s="233">
        <v>7</v>
      </c>
    </row>
    <row r="3759" spans="1:4">
      <c r="A3759">
        <v>4894</v>
      </c>
      <c r="B3759" t="s">
        <v>10100</v>
      </c>
      <c r="C3759" t="s">
        <v>6636</v>
      </c>
      <c r="D3759" s="233">
        <v>6</v>
      </c>
    </row>
    <row r="3760" spans="1:4">
      <c r="A3760">
        <v>4888</v>
      </c>
      <c r="B3760" t="s">
        <v>10101</v>
      </c>
      <c r="C3760" t="s">
        <v>6636</v>
      </c>
      <c r="D3760" s="233">
        <v>2.04</v>
      </c>
    </row>
    <row r="3761" spans="1:4">
      <c r="A3761">
        <v>4890</v>
      </c>
      <c r="B3761" t="s">
        <v>10102</v>
      </c>
      <c r="C3761" t="s">
        <v>6636</v>
      </c>
      <c r="D3761" s="233">
        <v>3.84</v>
      </c>
    </row>
    <row r="3762" spans="1:4">
      <c r="A3762">
        <v>12411</v>
      </c>
      <c r="B3762" t="s">
        <v>10103</v>
      </c>
      <c r="C3762" t="s">
        <v>6636</v>
      </c>
      <c r="D3762" s="233">
        <v>20.7</v>
      </c>
    </row>
    <row r="3763" spans="1:4">
      <c r="A3763">
        <v>4891</v>
      </c>
      <c r="B3763" t="s">
        <v>10104</v>
      </c>
      <c r="C3763" t="s">
        <v>6636</v>
      </c>
      <c r="D3763" s="233">
        <v>10.35</v>
      </c>
    </row>
    <row r="3764" spans="1:4">
      <c r="A3764">
        <v>4889</v>
      </c>
      <c r="B3764" t="s">
        <v>1149</v>
      </c>
      <c r="C3764" t="s">
        <v>6636</v>
      </c>
      <c r="D3764" s="233">
        <v>2.76</v>
      </c>
    </row>
    <row r="3765" spans="1:4">
      <c r="A3765">
        <v>4892</v>
      </c>
      <c r="B3765" t="s">
        <v>10105</v>
      </c>
      <c r="C3765" t="s">
        <v>6636</v>
      </c>
      <c r="D3765" s="233">
        <v>28.99</v>
      </c>
    </row>
    <row r="3766" spans="1:4">
      <c r="A3766">
        <v>12412</v>
      </c>
      <c r="B3766" t="s">
        <v>10106</v>
      </c>
      <c r="C3766" t="s">
        <v>6636</v>
      </c>
      <c r="D3766" s="233">
        <v>53.89</v>
      </c>
    </row>
    <row r="3767" spans="1:4">
      <c r="A3767">
        <v>11073</v>
      </c>
      <c r="B3767" t="s">
        <v>10107</v>
      </c>
      <c r="C3767" t="s">
        <v>6636</v>
      </c>
      <c r="D3767" s="233">
        <v>3.63</v>
      </c>
    </row>
    <row r="3768" spans="1:4">
      <c r="A3768">
        <v>11071</v>
      </c>
      <c r="B3768" t="s">
        <v>10108</v>
      </c>
      <c r="C3768" t="s">
        <v>6636</v>
      </c>
      <c r="D3768" s="233">
        <v>5.89</v>
      </c>
    </row>
    <row r="3769" spans="1:4">
      <c r="A3769">
        <v>11072</v>
      </c>
      <c r="B3769" t="s">
        <v>10109</v>
      </c>
      <c r="C3769" t="s">
        <v>6636</v>
      </c>
      <c r="D3769" s="233">
        <v>2.0499999999999998</v>
      </c>
    </row>
    <row r="3770" spans="1:4">
      <c r="A3770">
        <v>4895</v>
      </c>
      <c r="B3770" t="s">
        <v>10110</v>
      </c>
      <c r="C3770" t="s">
        <v>6636</v>
      </c>
      <c r="D3770" s="233">
        <v>0.39</v>
      </c>
    </row>
    <row r="3771" spans="1:4">
      <c r="A3771">
        <v>4907</v>
      </c>
      <c r="B3771" t="s">
        <v>10111</v>
      </c>
      <c r="C3771" t="s">
        <v>6636</v>
      </c>
      <c r="D3771" s="233">
        <v>16.75</v>
      </c>
    </row>
    <row r="3772" spans="1:4">
      <c r="A3772">
        <v>4902</v>
      </c>
      <c r="B3772" t="s">
        <v>10112</v>
      </c>
      <c r="C3772" t="s">
        <v>6636</v>
      </c>
      <c r="D3772" s="233">
        <v>37.909999999999997</v>
      </c>
    </row>
    <row r="3773" spans="1:4">
      <c r="A3773">
        <v>4908</v>
      </c>
      <c r="B3773" t="s">
        <v>10113</v>
      </c>
      <c r="C3773" t="s">
        <v>6636</v>
      </c>
      <c r="D3773" s="233">
        <v>76.97</v>
      </c>
    </row>
    <row r="3774" spans="1:4">
      <c r="A3774">
        <v>4909</v>
      </c>
      <c r="B3774" t="s">
        <v>10114</v>
      </c>
      <c r="C3774" t="s">
        <v>6636</v>
      </c>
      <c r="D3774" s="233">
        <v>148.66</v>
      </c>
    </row>
    <row r="3775" spans="1:4">
      <c r="A3775">
        <v>4903</v>
      </c>
      <c r="B3775" t="s">
        <v>10115</v>
      </c>
      <c r="C3775" t="s">
        <v>6636</v>
      </c>
      <c r="D3775" s="233">
        <v>437.11</v>
      </c>
    </row>
    <row r="3776" spans="1:4">
      <c r="A3776">
        <v>4897</v>
      </c>
      <c r="B3776" t="s">
        <v>10116</v>
      </c>
      <c r="C3776" t="s">
        <v>6636</v>
      </c>
      <c r="D3776" s="233">
        <v>1.66</v>
      </c>
    </row>
    <row r="3777" spans="1:4">
      <c r="A3777">
        <v>4896</v>
      </c>
      <c r="B3777" t="s">
        <v>10117</v>
      </c>
      <c r="C3777" t="s">
        <v>6636</v>
      </c>
      <c r="D3777" s="233">
        <v>0.59</v>
      </c>
    </row>
    <row r="3778" spans="1:4">
      <c r="A3778">
        <v>4900</v>
      </c>
      <c r="B3778" t="s">
        <v>10118</v>
      </c>
      <c r="C3778" t="s">
        <v>6636</v>
      </c>
      <c r="D3778" s="233">
        <v>4.95</v>
      </c>
    </row>
    <row r="3779" spans="1:4">
      <c r="A3779">
        <v>4898</v>
      </c>
      <c r="B3779" t="s">
        <v>10119</v>
      </c>
      <c r="C3779" t="s">
        <v>6636</v>
      </c>
      <c r="D3779" s="233">
        <v>1.85</v>
      </c>
    </row>
    <row r="3780" spans="1:4">
      <c r="A3780">
        <v>4899</v>
      </c>
      <c r="B3780" t="s">
        <v>10120</v>
      </c>
      <c r="C3780" t="s">
        <v>6636</v>
      </c>
      <c r="D3780" s="233">
        <v>6.79</v>
      </c>
    </row>
    <row r="3781" spans="1:4">
      <c r="A3781">
        <v>11096</v>
      </c>
      <c r="B3781" t="s">
        <v>10121</v>
      </c>
      <c r="C3781" t="s">
        <v>6698</v>
      </c>
      <c r="D3781" s="233">
        <v>0.41</v>
      </c>
    </row>
    <row r="3782" spans="1:4">
      <c r="A3782">
        <v>4741</v>
      </c>
      <c r="B3782" t="s">
        <v>10122</v>
      </c>
      <c r="C3782" t="s">
        <v>6781</v>
      </c>
      <c r="D3782" s="233">
        <v>76.37</v>
      </c>
    </row>
    <row r="3783" spans="1:4">
      <c r="A3783">
        <v>4752</v>
      </c>
      <c r="B3783" t="s">
        <v>10123</v>
      </c>
      <c r="C3783" t="s">
        <v>6640</v>
      </c>
      <c r="D3783" s="233">
        <v>10.29</v>
      </c>
    </row>
    <row r="3784" spans="1:4">
      <c r="A3784">
        <v>41091</v>
      </c>
      <c r="B3784" t="s">
        <v>10124</v>
      </c>
      <c r="C3784" t="s">
        <v>6785</v>
      </c>
      <c r="D3784" s="234">
        <v>1826.74</v>
      </c>
    </row>
    <row r="3785" spans="1:4">
      <c r="A3785">
        <v>13954</v>
      </c>
      <c r="B3785" t="s">
        <v>10125</v>
      </c>
      <c r="C3785" t="s">
        <v>6636</v>
      </c>
      <c r="D3785" s="234">
        <v>5606.14</v>
      </c>
    </row>
    <row r="3786" spans="1:4">
      <c r="A3786">
        <v>3411</v>
      </c>
      <c r="B3786" t="s">
        <v>10126</v>
      </c>
      <c r="C3786" t="s">
        <v>6698</v>
      </c>
      <c r="D3786" s="233">
        <v>38.43</v>
      </c>
    </row>
    <row r="3787" spans="1:4">
      <c r="A3787">
        <v>39995</v>
      </c>
      <c r="B3787" t="s">
        <v>10127</v>
      </c>
      <c r="C3787" t="s">
        <v>6781</v>
      </c>
      <c r="D3787" s="233">
        <v>295.64999999999998</v>
      </c>
    </row>
    <row r="3788" spans="1:4">
      <c r="A3788">
        <v>11615</v>
      </c>
      <c r="B3788" t="s">
        <v>10128</v>
      </c>
      <c r="C3788" t="s">
        <v>6638</v>
      </c>
      <c r="D3788" s="233">
        <v>2.5</v>
      </c>
    </row>
    <row r="3789" spans="1:4">
      <c r="A3789">
        <v>3408</v>
      </c>
      <c r="B3789" t="s">
        <v>10129</v>
      </c>
      <c r="C3789" t="s">
        <v>6638</v>
      </c>
      <c r="D3789" s="233">
        <v>6.66</v>
      </c>
    </row>
    <row r="3790" spans="1:4">
      <c r="A3790">
        <v>3409</v>
      </c>
      <c r="B3790" t="s">
        <v>10130</v>
      </c>
      <c r="C3790" t="s">
        <v>6638</v>
      </c>
      <c r="D3790" s="233">
        <v>16.649999999999999</v>
      </c>
    </row>
    <row r="3791" spans="1:4">
      <c r="A3791">
        <v>11427</v>
      </c>
      <c r="B3791" t="s">
        <v>10131</v>
      </c>
      <c r="C3791" t="s">
        <v>6698</v>
      </c>
      <c r="D3791" s="233">
        <v>76.66</v>
      </c>
    </row>
    <row r="3792" spans="1:4">
      <c r="A3792">
        <v>4491</v>
      </c>
      <c r="B3792" t="s">
        <v>10132</v>
      </c>
      <c r="C3792" t="s">
        <v>6649</v>
      </c>
      <c r="D3792" s="233">
        <v>5.58</v>
      </c>
    </row>
    <row r="3793" spans="1:4">
      <c r="A3793">
        <v>26022</v>
      </c>
      <c r="B3793" t="s">
        <v>10133</v>
      </c>
      <c r="C3793" t="s">
        <v>6636</v>
      </c>
      <c r="D3793" s="233">
        <v>229.22</v>
      </c>
    </row>
    <row r="3794" spans="1:4">
      <c r="A3794">
        <v>421</v>
      </c>
      <c r="B3794" t="s">
        <v>10134</v>
      </c>
      <c r="C3794" t="s">
        <v>6636</v>
      </c>
      <c r="D3794" s="233">
        <v>6.4</v>
      </c>
    </row>
    <row r="3795" spans="1:4">
      <c r="A3795">
        <v>12362</v>
      </c>
      <c r="B3795" t="s">
        <v>10135</v>
      </c>
      <c r="C3795" t="s">
        <v>6636</v>
      </c>
      <c r="D3795" s="233">
        <v>9.73</v>
      </c>
    </row>
    <row r="3796" spans="1:4">
      <c r="A3796">
        <v>14148</v>
      </c>
      <c r="B3796" t="s">
        <v>10136</v>
      </c>
      <c r="C3796" t="s">
        <v>6636</v>
      </c>
      <c r="D3796" s="233">
        <v>0.63</v>
      </c>
    </row>
    <row r="3797" spans="1:4">
      <c r="A3797">
        <v>4341</v>
      </c>
      <c r="B3797" t="s">
        <v>10137</v>
      </c>
      <c r="C3797" t="s">
        <v>6636</v>
      </c>
      <c r="D3797" s="233">
        <v>0.7</v>
      </c>
    </row>
    <row r="3798" spans="1:4">
      <c r="A3798">
        <v>4337</v>
      </c>
      <c r="B3798" t="s">
        <v>10138</v>
      </c>
      <c r="C3798" t="s">
        <v>6636</v>
      </c>
      <c r="D3798" s="233">
        <v>1.77</v>
      </c>
    </row>
    <row r="3799" spans="1:4">
      <c r="A3799">
        <v>4339</v>
      </c>
      <c r="B3799" t="s">
        <v>10139</v>
      </c>
      <c r="C3799" t="s">
        <v>6636</v>
      </c>
      <c r="D3799" s="233">
        <v>0.37</v>
      </c>
    </row>
    <row r="3800" spans="1:4">
      <c r="A3800">
        <v>39997</v>
      </c>
      <c r="B3800" t="s">
        <v>10140</v>
      </c>
      <c r="C3800" t="s">
        <v>6636</v>
      </c>
      <c r="D3800" s="233">
        <v>0.21</v>
      </c>
    </row>
    <row r="3801" spans="1:4">
      <c r="A3801">
        <v>11971</v>
      </c>
      <c r="B3801" t="s">
        <v>10141</v>
      </c>
      <c r="C3801" t="s">
        <v>6636</v>
      </c>
      <c r="D3801" s="233">
        <v>2.93</v>
      </c>
    </row>
    <row r="3802" spans="1:4">
      <c r="A3802">
        <v>4342</v>
      </c>
      <c r="B3802" t="s">
        <v>10142</v>
      </c>
      <c r="C3802" t="s">
        <v>6636</v>
      </c>
      <c r="D3802" s="233">
        <v>0.15</v>
      </c>
    </row>
    <row r="3803" spans="1:4">
      <c r="A3803">
        <v>4330</v>
      </c>
      <c r="B3803" t="s">
        <v>10143</v>
      </c>
      <c r="C3803" t="s">
        <v>6636</v>
      </c>
      <c r="D3803" s="233">
        <v>0.1</v>
      </c>
    </row>
    <row r="3804" spans="1:4">
      <c r="A3804">
        <v>4340</v>
      </c>
      <c r="B3804" t="s">
        <v>10144</v>
      </c>
      <c r="C3804" t="s">
        <v>6636</v>
      </c>
      <c r="D3804" s="233">
        <v>0.82</v>
      </c>
    </row>
    <row r="3805" spans="1:4">
      <c r="A3805">
        <v>5088</v>
      </c>
      <c r="B3805" t="s">
        <v>10145</v>
      </c>
      <c r="C3805" t="s">
        <v>6636</v>
      </c>
      <c r="D3805" s="233">
        <v>2.62</v>
      </c>
    </row>
    <row r="3806" spans="1:4">
      <c r="A3806">
        <v>11154</v>
      </c>
      <c r="B3806" t="s">
        <v>10146</v>
      </c>
      <c r="C3806" t="s">
        <v>6636</v>
      </c>
      <c r="D3806" s="233">
        <v>905.13</v>
      </c>
    </row>
    <row r="3807" spans="1:4">
      <c r="A3807">
        <v>39021</v>
      </c>
      <c r="B3807" t="s">
        <v>10147</v>
      </c>
      <c r="C3807" t="s">
        <v>6636</v>
      </c>
      <c r="D3807" s="233">
        <v>407.12</v>
      </c>
    </row>
    <row r="3808" spans="1:4">
      <c r="A3808">
        <v>39022</v>
      </c>
      <c r="B3808" t="s">
        <v>10148</v>
      </c>
      <c r="C3808" t="s">
        <v>6636</v>
      </c>
      <c r="D3808" s="233">
        <v>503.49</v>
      </c>
    </row>
    <row r="3809" spans="1:4">
      <c r="A3809">
        <v>39024</v>
      </c>
      <c r="B3809" t="s">
        <v>10149</v>
      </c>
      <c r="C3809" t="s">
        <v>6636</v>
      </c>
      <c r="D3809" s="233">
        <v>684.58</v>
      </c>
    </row>
    <row r="3810" spans="1:4">
      <c r="A3810">
        <v>4914</v>
      </c>
      <c r="B3810" t="s">
        <v>10150</v>
      </c>
      <c r="C3810" t="s">
        <v>6638</v>
      </c>
      <c r="D3810" s="233">
        <v>555.07000000000005</v>
      </c>
    </row>
    <row r="3811" spans="1:4">
      <c r="A3811">
        <v>4917</v>
      </c>
      <c r="B3811" t="s">
        <v>10151</v>
      </c>
      <c r="C3811" t="s">
        <v>6638</v>
      </c>
      <c r="D3811" s="233">
        <v>383.34</v>
      </c>
    </row>
    <row r="3812" spans="1:4">
      <c r="A3812">
        <v>39025</v>
      </c>
      <c r="B3812" t="s">
        <v>10152</v>
      </c>
      <c r="C3812" t="s">
        <v>6636</v>
      </c>
      <c r="D3812" s="233">
        <v>701.96</v>
      </c>
    </row>
    <row r="3813" spans="1:4">
      <c r="A3813">
        <v>4930</v>
      </c>
      <c r="B3813" t="s">
        <v>10153</v>
      </c>
      <c r="C3813" t="s">
        <v>6638</v>
      </c>
      <c r="D3813" s="233">
        <v>437.54</v>
      </c>
    </row>
    <row r="3814" spans="1:4">
      <c r="A3814">
        <v>4922</v>
      </c>
      <c r="B3814" t="s">
        <v>10154</v>
      </c>
      <c r="C3814" t="s">
        <v>6638</v>
      </c>
      <c r="D3814" s="233">
        <v>355.58</v>
      </c>
    </row>
    <row r="3815" spans="1:4">
      <c r="A3815">
        <v>4911</v>
      </c>
      <c r="B3815" t="s">
        <v>10155</v>
      </c>
      <c r="C3815" t="s">
        <v>6638</v>
      </c>
      <c r="D3815" s="233">
        <v>233.8</v>
      </c>
    </row>
    <row r="3816" spans="1:4">
      <c r="A3816">
        <v>37518</v>
      </c>
      <c r="B3816" t="s">
        <v>10156</v>
      </c>
      <c r="C3816" t="s">
        <v>6638</v>
      </c>
      <c r="D3816" s="233">
        <v>379.92</v>
      </c>
    </row>
    <row r="3817" spans="1:4">
      <c r="A3817">
        <v>4910</v>
      </c>
      <c r="B3817" t="s">
        <v>10157</v>
      </c>
      <c r="C3817" t="s">
        <v>6638</v>
      </c>
      <c r="D3817" s="233">
        <v>160.34</v>
      </c>
    </row>
    <row r="3818" spans="1:4">
      <c r="A3818">
        <v>4943</v>
      </c>
      <c r="B3818" t="s">
        <v>10158</v>
      </c>
      <c r="C3818" t="s">
        <v>6638</v>
      </c>
      <c r="D3818" s="233">
        <v>477.14</v>
      </c>
    </row>
    <row r="3819" spans="1:4">
      <c r="A3819">
        <v>5002</v>
      </c>
      <c r="B3819" t="s">
        <v>10159</v>
      </c>
      <c r="C3819" t="s">
        <v>6638</v>
      </c>
      <c r="D3819" s="233">
        <v>277.19</v>
      </c>
    </row>
    <row r="3820" spans="1:4">
      <c r="A3820">
        <v>4977</v>
      </c>
      <c r="B3820" t="s">
        <v>10160</v>
      </c>
      <c r="C3820" t="s">
        <v>6638</v>
      </c>
      <c r="D3820" s="233">
        <v>187.11</v>
      </c>
    </row>
    <row r="3821" spans="1:4">
      <c r="A3821">
        <v>5028</v>
      </c>
      <c r="B3821" t="s">
        <v>10161</v>
      </c>
      <c r="C3821" t="s">
        <v>6638</v>
      </c>
      <c r="D3821" s="233">
        <v>457.84</v>
      </c>
    </row>
    <row r="3822" spans="1:4">
      <c r="A3822">
        <v>4998</v>
      </c>
      <c r="B3822" t="s">
        <v>10162</v>
      </c>
      <c r="C3822" t="s">
        <v>6638</v>
      </c>
      <c r="D3822" s="233">
        <v>380.25</v>
      </c>
    </row>
    <row r="3823" spans="1:4">
      <c r="A3823">
        <v>4969</v>
      </c>
      <c r="B3823" t="s">
        <v>10163</v>
      </c>
      <c r="C3823" t="s">
        <v>6638</v>
      </c>
      <c r="D3823" s="233">
        <v>264.64</v>
      </c>
    </row>
    <row r="3824" spans="1:4">
      <c r="A3824">
        <v>11364</v>
      </c>
      <c r="B3824" t="s">
        <v>10164</v>
      </c>
      <c r="C3824" t="s">
        <v>6636</v>
      </c>
      <c r="D3824" s="233">
        <v>128.06</v>
      </c>
    </row>
    <row r="3825" spans="1:4">
      <c r="A3825">
        <v>11365</v>
      </c>
      <c r="B3825" t="s">
        <v>10165</v>
      </c>
      <c r="C3825" t="s">
        <v>6636</v>
      </c>
      <c r="D3825" s="233">
        <v>137.91999999999999</v>
      </c>
    </row>
    <row r="3826" spans="1:4">
      <c r="A3826">
        <v>11366</v>
      </c>
      <c r="B3826" t="s">
        <v>10166</v>
      </c>
      <c r="C3826" t="s">
        <v>6636</v>
      </c>
      <c r="D3826" s="233">
        <v>145.96</v>
      </c>
    </row>
    <row r="3827" spans="1:4">
      <c r="A3827">
        <v>11367</v>
      </c>
      <c r="B3827" t="s">
        <v>12715</v>
      </c>
      <c r="C3827" t="s">
        <v>6638</v>
      </c>
      <c r="D3827" s="233">
        <v>112.43</v>
      </c>
    </row>
    <row r="3828" spans="1:4">
      <c r="A3828">
        <v>4989</v>
      </c>
      <c r="B3828" t="s">
        <v>10167</v>
      </c>
      <c r="C3828" t="s">
        <v>6636</v>
      </c>
      <c r="D3828" s="233">
        <v>291.74</v>
      </c>
    </row>
    <row r="3829" spans="1:4">
      <c r="A3829">
        <v>4982</v>
      </c>
      <c r="B3829" t="s">
        <v>10168</v>
      </c>
      <c r="C3829" t="s">
        <v>6636</v>
      </c>
      <c r="D3829" s="233">
        <v>253.28</v>
      </c>
    </row>
    <row r="3830" spans="1:4">
      <c r="A3830">
        <v>20322</v>
      </c>
      <c r="B3830" t="s">
        <v>10169</v>
      </c>
      <c r="C3830" t="s">
        <v>6636</v>
      </c>
      <c r="D3830" s="233">
        <v>223.23</v>
      </c>
    </row>
    <row r="3831" spans="1:4">
      <c r="A3831">
        <v>10553</v>
      </c>
      <c r="B3831" t="s">
        <v>10170</v>
      </c>
      <c r="C3831" t="s">
        <v>6636</v>
      </c>
      <c r="D3831" s="233">
        <v>238</v>
      </c>
    </row>
    <row r="3832" spans="1:4">
      <c r="A3832">
        <v>5020</v>
      </c>
      <c r="B3832" t="s">
        <v>10171</v>
      </c>
      <c r="C3832" t="s">
        <v>6636</v>
      </c>
      <c r="D3832" s="233">
        <v>246.75</v>
      </c>
    </row>
    <row r="3833" spans="1:4">
      <c r="A3833">
        <v>4962</v>
      </c>
      <c r="B3833" t="s">
        <v>10172</v>
      </c>
      <c r="C3833" t="s">
        <v>6636</v>
      </c>
      <c r="D3833" s="233">
        <v>240.4</v>
      </c>
    </row>
    <row r="3834" spans="1:4">
      <c r="A3834">
        <v>4981</v>
      </c>
      <c r="B3834" t="s">
        <v>10173</v>
      </c>
      <c r="C3834" t="s">
        <v>6636</v>
      </c>
      <c r="D3834" s="233">
        <v>170</v>
      </c>
    </row>
    <row r="3835" spans="1:4">
      <c r="A3835">
        <v>10554</v>
      </c>
      <c r="B3835" t="s">
        <v>10174</v>
      </c>
      <c r="C3835" t="s">
        <v>6636</v>
      </c>
      <c r="D3835" s="233">
        <v>265.99</v>
      </c>
    </row>
    <row r="3836" spans="1:4">
      <c r="A3836">
        <v>4964</v>
      </c>
      <c r="B3836" t="s">
        <v>10175</v>
      </c>
      <c r="C3836" t="s">
        <v>6636</v>
      </c>
      <c r="D3836" s="233">
        <v>291.91000000000003</v>
      </c>
    </row>
    <row r="3837" spans="1:4">
      <c r="A3837">
        <v>4992</v>
      </c>
      <c r="B3837" t="s">
        <v>10176</v>
      </c>
      <c r="C3837" t="s">
        <v>6636</v>
      </c>
      <c r="D3837" s="233">
        <v>289.51</v>
      </c>
    </row>
    <row r="3838" spans="1:4">
      <c r="A3838">
        <v>10555</v>
      </c>
      <c r="B3838" t="s">
        <v>10177</v>
      </c>
      <c r="C3838" t="s">
        <v>6636</v>
      </c>
      <c r="D3838" s="233">
        <v>256.70999999999998</v>
      </c>
    </row>
    <row r="3839" spans="1:4">
      <c r="A3839">
        <v>4987</v>
      </c>
      <c r="B3839" t="s">
        <v>10178</v>
      </c>
      <c r="C3839" t="s">
        <v>6636</v>
      </c>
      <c r="D3839" s="233">
        <v>265.99</v>
      </c>
    </row>
    <row r="3840" spans="1:4">
      <c r="A3840">
        <v>10556</v>
      </c>
      <c r="B3840" t="s">
        <v>10179</v>
      </c>
      <c r="C3840" t="s">
        <v>6636</v>
      </c>
      <c r="D3840" s="233">
        <v>272.72000000000003</v>
      </c>
    </row>
    <row r="3841" spans="1:4">
      <c r="A3841">
        <v>4958</v>
      </c>
      <c r="B3841" t="s">
        <v>10180</v>
      </c>
      <c r="C3841" t="s">
        <v>6638</v>
      </c>
      <c r="D3841" s="233">
        <v>155.87</v>
      </c>
    </row>
    <row r="3842" spans="1:4">
      <c r="A3842">
        <v>39502</v>
      </c>
      <c r="B3842" t="s">
        <v>10181</v>
      </c>
      <c r="C3842" t="s">
        <v>6636</v>
      </c>
      <c r="D3842" s="233">
        <v>377.77</v>
      </c>
    </row>
    <row r="3843" spans="1:4">
      <c r="A3843">
        <v>39504</v>
      </c>
      <c r="B3843" t="s">
        <v>10182</v>
      </c>
      <c r="C3843" t="s">
        <v>6636</v>
      </c>
      <c r="D3843" s="233">
        <v>267.87</v>
      </c>
    </row>
    <row r="3844" spans="1:4">
      <c r="A3844">
        <v>39503</v>
      </c>
      <c r="B3844" t="s">
        <v>10183</v>
      </c>
      <c r="C3844" t="s">
        <v>6636</v>
      </c>
      <c r="D3844" s="233">
        <v>410.4</v>
      </c>
    </row>
    <row r="3845" spans="1:4">
      <c r="A3845">
        <v>39505</v>
      </c>
      <c r="B3845" t="s">
        <v>10184</v>
      </c>
      <c r="C3845" t="s">
        <v>6636</v>
      </c>
      <c r="D3845" s="233">
        <v>291.91000000000003</v>
      </c>
    </row>
    <row r="3846" spans="1:4">
      <c r="A3846">
        <v>25969</v>
      </c>
      <c r="B3846" t="s">
        <v>10185</v>
      </c>
      <c r="C3846" t="s">
        <v>6636</v>
      </c>
      <c r="D3846" s="233">
        <v>388.99</v>
      </c>
    </row>
    <row r="3847" spans="1:4">
      <c r="A3847">
        <v>4944</v>
      </c>
      <c r="B3847" t="s">
        <v>10186</v>
      </c>
      <c r="C3847" t="s">
        <v>6638</v>
      </c>
      <c r="D3847" s="233">
        <v>713.32</v>
      </c>
    </row>
    <row r="3848" spans="1:4">
      <c r="A3848">
        <v>21102</v>
      </c>
      <c r="B3848" t="s">
        <v>10187</v>
      </c>
      <c r="C3848" t="s">
        <v>6636</v>
      </c>
      <c r="D3848" s="233">
        <v>31.67</v>
      </c>
    </row>
    <row r="3849" spans="1:4">
      <c r="A3849">
        <v>21101</v>
      </c>
      <c r="B3849" t="s">
        <v>10188</v>
      </c>
      <c r="C3849" t="s">
        <v>6636</v>
      </c>
      <c r="D3849" s="233">
        <v>20.329999999999998</v>
      </c>
    </row>
    <row r="3850" spans="1:4">
      <c r="A3850">
        <v>34713</v>
      </c>
      <c r="B3850" t="s">
        <v>10189</v>
      </c>
      <c r="C3850" t="s">
        <v>6638</v>
      </c>
      <c r="D3850" s="233">
        <v>280.98</v>
      </c>
    </row>
    <row r="3851" spans="1:4">
      <c r="A3851">
        <v>4947</v>
      </c>
      <c r="B3851" t="s">
        <v>10190</v>
      </c>
      <c r="C3851" t="s">
        <v>6638</v>
      </c>
      <c r="D3851" s="233">
        <v>562.27</v>
      </c>
    </row>
    <row r="3852" spans="1:4">
      <c r="A3852">
        <v>37563</v>
      </c>
      <c r="B3852" t="s">
        <v>10191</v>
      </c>
      <c r="C3852" t="s">
        <v>6638</v>
      </c>
      <c r="D3852" s="233">
        <v>431.73</v>
      </c>
    </row>
    <row r="3853" spans="1:4">
      <c r="A3853">
        <v>4948</v>
      </c>
      <c r="B3853" t="s">
        <v>10192</v>
      </c>
      <c r="C3853" t="s">
        <v>6638</v>
      </c>
      <c r="D3853" s="233">
        <v>391.82</v>
      </c>
    </row>
    <row r="3854" spans="1:4">
      <c r="A3854">
        <v>37561</v>
      </c>
      <c r="B3854" t="s">
        <v>10193</v>
      </c>
      <c r="C3854" t="s">
        <v>6638</v>
      </c>
      <c r="D3854" s="233">
        <v>805.94</v>
      </c>
    </row>
    <row r="3855" spans="1:4">
      <c r="A3855">
        <v>37562</v>
      </c>
      <c r="B3855" t="s">
        <v>821</v>
      </c>
      <c r="C3855" t="s">
        <v>6638</v>
      </c>
      <c r="D3855" s="233">
        <v>516.92999999999995</v>
      </c>
    </row>
    <row r="3856" spans="1:4">
      <c r="A3856">
        <v>37585</v>
      </c>
      <c r="B3856" t="s">
        <v>10194</v>
      </c>
      <c r="C3856" t="s">
        <v>6636</v>
      </c>
      <c r="D3856" s="233">
        <v>191.13</v>
      </c>
    </row>
    <row r="3857" spans="1:4">
      <c r="A3857">
        <v>14164</v>
      </c>
      <c r="B3857" t="s">
        <v>10195</v>
      </c>
      <c r="C3857" t="s">
        <v>6636</v>
      </c>
      <c r="D3857" s="234">
        <v>1041.3800000000001</v>
      </c>
    </row>
    <row r="3858" spans="1:4">
      <c r="A3858">
        <v>14163</v>
      </c>
      <c r="B3858" t="s">
        <v>10196</v>
      </c>
      <c r="C3858" t="s">
        <v>6636</v>
      </c>
      <c r="D3858" s="234">
        <v>1183.5899999999999</v>
      </c>
    </row>
    <row r="3859" spans="1:4">
      <c r="A3859">
        <v>5051</v>
      </c>
      <c r="B3859" t="s">
        <v>10197</v>
      </c>
      <c r="C3859" t="s">
        <v>6636</v>
      </c>
      <c r="D3859" s="234">
        <v>1006.63</v>
      </c>
    </row>
    <row r="3860" spans="1:4">
      <c r="A3860">
        <v>14162</v>
      </c>
      <c r="B3860" t="s">
        <v>10198</v>
      </c>
      <c r="C3860" t="s">
        <v>6636</v>
      </c>
      <c r="D3860" s="234">
        <v>1005.17</v>
      </c>
    </row>
    <row r="3861" spans="1:4">
      <c r="A3861">
        <v>5052</v>
      </c>
      <c r="B3861" t="s">
        <v>10199</v>
      </c>
      <c r="C3861" t="s">
        <v>6636</v>
      </c>
      <c r="D3861" s="233">
        <v>750</v>
      </c>
    </row>
    <row r="3862" spans="1:4">
      <c r="A3862">
        <v>14166</v>
      </c>
      <c r="B3862" t="s">
        <v>10200</v>
      </c>
      <c r="C3862" t="s">
        <v>6636</v>
      </c>
      <c r="D3862" s="233">
        <v>759.52</v>
      </c>
    </row>
    <row r="3863" spans="1:4">
      <c r="A3863">
        <v>14165</v>
      </c>
      <c r="B3863" t="s">
        <v>10201</v>
      </c>
      <c r="C3863" t="s">
        <v>6636</v>
      </c>
      <c r="D3863" s="234">
        <v>1052.21</v>
      </c>
    </row>
    <row r="3864" spans="1:4">
      <c r="A3864">
        <v>5050</v>
      </c>
      <c r="B3864" t="s">
        <v>10202</v>
      </c>
      <c r="C3864" t="s">
        <v>6636</v>
      </c>
      <c r="D3864" s="233">
        <v>258.97000000000003</v>
      </c>
    </row>
    <row r="3865" spans="1:4">
      <c r="A3865">
        <v>12378</v>
      </c>
      <c r="B3865" t="s">
        <v>10203</v>
      </c>
      <c r="C3865" t="s">
        <v>6636</v>
      </c>
      <c r="D3865" s="233">
        <v>615.57000000000005</v>
      </c>
    </row>
    <row r="3866" spans="1:4">
      <c r="A3866">
        <v>12366</v>
      </c>
      <c r="B3866" t="s">
        <v>786</v>
      </c>
      <c r="C3866" t="s">
        <v>6636</v>
      </c>
      <c r="D3866" s="233">
        <v>540.11</v>
      </c>
    </row>
    <row r="3867" spans="1:4">
      <c r="A3867">
        <v>5045</v>
      </c>
      <c r="B3867" t="s">
        <v>10204</v>
      </c>
      <c r="C3867" t="s">
        <v>6636</v>
      </c>
      <c r="D3867" s="233">
        <v>752.13</v>
      </c>
    </row>
    <row r="3868" spans="1:4">
      <c r="A3868">
        <v>5044</v>
      </c>
      <c r="B3868" t="s">
        <v>10205</v>
      </c>
      <c r="C3868" t="s">
        <v>6636</v>
      </c>
      <c r="D3868" s="233">
        <v>530.64</v>
      </c>
    </row>
    <row r="3869" spans="1:4">
      <c r="A3869">
        <v>5055</v>
      </c>
      <c r="B3869" t="s">
        <v>10206</v>
      </c>
      <c r="C3869" t="s">
        <v>6636</v>
      </c>
      <c r="D3869" s="233">
        <v>754.43</v>
      </c>
    </row>
    <row r="3870" spans="1:4">
      <c r="A3870">
        <v>5053</v>
      </c>
      <c r="B3870" t="s">
        <v>10207</v>
      </c>
      <c r="C3870" t="s">
        <v>6636</v>
      </c>
      <c r="D3870" s="233">
        <v>587.19000000000005</v>
      </c>
    </row>
    <row r="3871" spans="1:4">
      <c r="A3871">
        <v>5035</v>
      </c>
      <c r="B3871" t="s">
        <v>10208</v>
      </c>
      <c r="C3871" t="s">
        <v>6636</v>
      </c>
      <c r="D3871" s="233">
        <v>960.05</v>
      </c>
    </row>
    <row r="3872" spans="1:4">
      <c r="A3872">
        <v>5036</v>
      </c>
      <c r="B3872" t="s">
        <v>10209</v>
      </c>
      <c r="C3872" t="s">
        <v>6636</v>
      </c>
      <c r="D3872" s="234">
        <v>1602.64</v>
      </c>
    </row>
    <row r="3873" spans="1:4">
      <c r="A3873">
        <v>5059</v>
      </c>
      <c r="B3873" t="s">
        <v>10210</v>
      </c>
      <c r="C3873" t="s">
        <v>6636</v>
      </c>
      <c r="D3873" s="233">
        <v>750.85</v>
      </c>
    </row>
    <row r="3874" spans="1:4">
      <c r="A3874">
        <v>5034</v>
      </c>
      <c r="B3874" t="s">
        <v>10211</v>
      </c>
      <c r="C3874" t="s">
        <v>6636</v>
      </c>
      <c r="D3874" s="234">
        <v>1036.0999999999999</v>
      </c>
    </row>
    <row r="3875" spans="1:4">
      <c r="A3875">
        <v>5056</v>
      </c>
      <c r="B3875" t="s">
        <v>10212</v>
      </c>
      <c r="C3875" t="s">
        <v>6636</v>
      </c>
      <c r="D3875" s="233">
        <v>805.07</v>
      </c>
    </row>
    <row r="3876" spans="1:4">
      <c r="A3876">
        <v>5057</v>
      </c>
      <c r="B3876" t="s">
        <v>10213</v>
      </c>
      <c r="C3876" t="s">
        <v>6636</v>
      </c>
      <c r="D3876" s="233">
        <v>645.66</v>
      </c>
    </row>
    <row r="3877" spans="1:4">
      <c r="A3877">
        <v>5033</v>
      </c>
      <c r="B3877" t="s">
        <v>10214</v>
      </c>
      <c r="C3877" t="s">
        <v>6636</v>
      </c>
      <c r="D3877" s="233">
        <v>536</v>
      </c>
    </row>
    <row r="3878" spans="1:4">
      <c r="A3878">
        <v>5038</v>
      </c>
      <c r="B3878" t="s">
        <v>10215</v>
      </c>
      <c r="C3878" t="s">
        <v>6636</v>
      </c>
      <c r="D3878" s="233">
        <v>436.84</v>
      </c>
    </row>
    <row r="3879" spans="1:4">
      <c r="A3879">
        <v>12372</v>
      </c>
      <c r="B3879" t="s">
        <v>10216</v>
      </c>
      <c r="C3879" t="s">
        <v>6636</v>
      </c>
      <c r="D3879" s="233">
        <v>575.66</v>
      </c>
    </row>
    <row r="3880" spans="1:4">
      <c r="A3880">
        <v>13339</v>
      </c>
      <c r="B3880" t="s">
        <v>10217</v>
      </c>
      <c r="C3880" t="s">
        <v>6636</v>
      </c>
      <c r="D3880" s="233">
        <v>855.78</v>
      </c>
    </row>
    <row r="3881" spans="1:4">
      <c r="A3881">
        <v>12373</v>
      </c>
      <c r="B3881" t="s">
        <v>10218</v>
      </c>
      <c r="C3881" t="s">
        <v>6636</v>
      </c>
      <c r="D3881" s="233">
        <v>896.19</v>
      </c>
    </row>
    <row r="3882" spans="1:4">
      <c r="A3882">
        <v>12388</v>
      </c>
      <c r="B3882" t="s">
        <v>10219</v>
      </c>
      <c r="C3882" t="s">
        <v>6636</v>
      </c>
      <c r="D3882" s="233">
        <v>153.29</v>
      </c>
    </row>
    <row r="3883" spans="1:4">
      <c r="A3883">
        <v>34695</v>
      </c>
      <c r="B3883" t="s">
        <v>10220</v>
      </c>
      <c r="C3883" t="s">
        <v>6636</v>
      </c>
      <c r="D3883" s="233">
        <v>616.4</v>
      </c>
    </row>
    <row r="3884" spans="1:4">
      <c r="A3884">
        <v>34692</v>
      </c>
      <c r="B3884" t="s">
        <v>10221</v>
      </c>
      <c r="C3884" t="s">
        <v>6636</v>
      </c>
      <c r="D3884" s="234">
        <v>1479.36</v>
      </c>
    </row>
    <row r="3885" spans="1:4">
      <c r="A3885">
        <v>26028</v>
      </c>
      <c r="B3885" t="s">
        <v>10222</v>
      </c>
      <c r="C3885" t="s">
        <v>7650</v>
      </c>
      <c r="D3885" s="233">
        <v>233.76</v>
      </c>
    </row>
    <row r="3886" spans="1:4">
      <c r="A3886">
        <v>11844</v>
      </c>
      <c r="B3886" t="s">
        <v>10223</v>
      </c>
      <c r="C3886" t="s">
        <v>6649</v>
      </c>
      <c r="D3886" s="233">
        <v>29.96</v>
      </c>
    </row>
    <row r="3887" spans="1:4">
      <c r="A3887">
        <v>4465</v>
      </c>
      <c r="B3887" t="s">
        <v>10224</v>
      </c>
      <c r="C3887" t="s">
        <v>6649</v>
      </c>
      <c r="D3887" s="233">
        <v>28.71</v>
      </c>
    </row>
    <row r="3888" spans="1:4">
      <c r="A3888">
        <v>35273</v>
      </c>
      <c r="B3888" t="s">
        <v>10225</v>
      </c>
      <c r="C3888" t="s">
        <v>6649</v>
      </c>
      <c r="D3888" s="233">
        <v>31.72</v>
      </c>
    </row>
    <row r="3889" spans="1:4">
      <c r="A3889">
        <v>4470</v>
      </c>
      <c r="B3889" t="s">
        <v>10226</v>
      </c>
      <c r="C3889" t="s">
        <v>6649</v>
      </c>
      <c r="D3889" s="233">
        <v>47.4</v>
      </c>
    </row>
    <row r="3890" spans="1:4">
      <c r="A3890">
        <v>20204</v>
      </c>
      <c r="B3890" t="s">
        <v>10227</v>
      </c>
      <c r="C3890" t="s">
        <v>6649</v>
      </c>
      <c r="D3890" s="233">
        <v>42.3</v>
      </c>
    </row>
    <row r="3891" spans="1:4">
      <c r="A3891">
        <v>20208</v>
      </c>
      <c r="B3891" t="s">
        <v>10228</v>
      </c>
      <c r="C3891" t="s">
        <v>6649</v>
      </c>
      <c r="D3891" s="233">
        <v>49.67</v>
      </c>
    </row>
    <row r="3892" spans="1:4">
      <c r="A3892">
        <v>4437</v>
      </c>
      <c r="B3892" t="s">
        <v>10229</v>
      </c>
      <c r="C3892" t="s">
        <v>6649</v>
      </c>
      <c r="D3892" s="233">
        <v>34.33</v>
      </c>
    </row>
    <row r="3893" spans="1:4">
      <c r="A3893">
        <v>14580</v>
      </c>
      <c r="B3893" t="s">
        <v>10230</v>
      </c>
      <c r="C3893" t="s">
        <v>6649</v>
      </c>
      <c r="D3893" s="233">
        <v>37.39</v>
      </c>
    </row>
    <row r="3894" spans="1:4">
      <c r="A3894">
        <v>40304</v>
      </c>
      <c r="B3894" t="s">
        <v>10231</v>
      </c>
      <c r="C3894" t="s">
        <v>6698</v>
      </c>
      <c r="D3894" s="233">
        <v>13.8</v>
      </c>
    </row>
    <row r="3895" spans="1:4">
      <c r="A3895">
        <v>5065</v>
      </c>
      <c r="B3895" t="s">
        <v>10232</v>
      </c>
      <c r="C3895" t="s">
        <v>6698</v>
      </c>
      <c r="D3895" s="233">
        <v>21.26</v>
      </c>
    </row>
    <row r="3896" spans="1:4">
      <c r="A3896">
        <v>5072</v>
      </c>
      <c r="B3896" t="s">
        <v>10233</v>
      </c>
      <c r="C3896" t="s">
        <v>6698</v>
      </c>
      <c r="D3896" s="233">
        <v>19.670000000000002</v>
      </c>
    </row>
    <row r="3897" spans="1:4">
      <c r="A3897">
        <v>5066</v>
      </c>
      <c r="B3897" t="s">
        <v>10234</v>
      </c>
      <c r="C3897" t="s">
        <v>6698</v>
      </c>
      <c r="D3897" s="233">
        <v>14.73</v>
      </c>
    </row>
    <row r="3898" spans="1:4">
      <c r="A3898">
        <v>5063</v>
      </c>
      <c r="B3898" t="s">
        <v>10235</v>
      </c>
      <c r="C3898" t="s">
        <v>6698</v>
      </c>
      <c r="D3898" s="233">
        <v>13.34</v>
      </c>
    </row>
    <row r="3899" spans="1:4">
      <c r="A3899">
        <v>20247</v>
      </c>
      <c r="B3899" t="s">
        <v>763</v>
      </c>
      <c r="C3899" t="s">
        <v>6698</v>
      </c>
      <c r="D3899" s="233">
        <v>12.38</v>
      </c>
    </row>
    <row r="3900" spans="1:4">
      <c r="A3900">
        <v>5074</v>
      </c>
      <c r="B3900" t="s">
        <v>10236</v>
      </c>
      <c r="C3900" t="s">
        <v>6698</v>
      </c>
      <c r="D3900" s="233">
        <v>12.52</v>
      </c>
    </row>
    <row r="3901" spans="1:4">
      <c r="A3901">
        <v>5067</v>
      </c>
      <c r="B3901" t="s">
        <v>10237</v>
      </c>
      <c r="C3901" t="s">
        <v>6698</v>
      </c>
      <c r="D3901" s="233">
        <v>11.91</v>
      </c>
    </row>
    <row r="3902" spans="1:4">
      <c r="A3902">
        <v>5078</v>
      </c>
      <c r="B3902" t="s">
        <v>10238</v>
      </c>
      <c r="C3902" t="s">
        <v>6698</v>
      </c>
      <c r="D3902" s="233">
        <v>11.78</v>
      </c>
    </row>
    <row r="3903" spans="1:4">
      <c r="A3903">
        <v>5068</v>
      </c>
      <c r="B3903" t="s">
        <v>10239</v>
      </c>
      <c r="C3903" t="s">
        <v>6698</v>
      </c>
      <c r="D3903" s="233">
        <v>11.18</v>
      </c>
    </row>
    <row r="3904" spans="1:4">
      <c r="A3904">
        <v>5073</v>
      </c>
      <c r="B3904" t="s">
        <v>10240</v>
      </c>
      <c r="C3904" t="s">
        <v>6698</v>
      </c>
      <c r="D3904" s="233">
        <v>11.39</v>
      </c>
    </row>
    <row r="3905" spans="1:4">
      <c r="A3905">
        <v>5069</v>
      </c>
      <c r="B3905" t="s">
        <v>10241</v>
      </c>
      <c r="C3905" t="s">
        <v>6698</v>
      </c>
      <c r="D3905" s="233">
        <v>11.39</v>
      </c>
    </row>
    <row r="3906" spans="1:4">
      <c r="A3906">
        <v>5070</v>
      </c>
      <c r="B3906" t="s">
        <v>10242</v>
      </c>
      <c r="C3906" t="s">
        <v>6698</v>
      </c>
      <c r="D3906" s="233">
        <v>11.52</v>
      </c>
    </row>
    <row r="3907" spans="1:4">
      <c r="A3907">
        <v>5071</v>
      </c>
      <c r="B3907" t="s">
        <v>10243</v>
      </c>
      <c r="C3907" t="s">
        <v>6698</v>
      </c>
      <c r="D3907" s="233">
        <v>11.18</v>
      </c>
    </row>
    <row r="3908" spans="1:4">
      <c r="A3908">
        <v>5061</v>
      </c>
      <c r="B3908" t="s">
        <v>826</v>
      </c>
      <c r="C3908" t="s">
        <v>6698</v>
      </c>
      <c r="D3908" s="233">
        <v>10.99</v>
      </c>
    </row>
    <row r="3909" spans="1:4">
      <c r="A3909">
        <v>5075</v>
      </c>
      <c r="B3909" t="s">
        <v>798</v>
      </c>
      <c r="C3909" t="s">
        <v>6698</v>
      </c>
      <c r="D3909" s="233">
        <v>11.18</v>
      </c>
    </row>
    <row r="3910" spans="1:4">
      <c r="A3910">
        <v>39027</v>
      </c>
      <c r="B3910" t="s">
        <v>10244</v>
      </c>
      <c r="C3910" t="s">
        <v>6698</v>
      </c>
      <c r="D3910" s="233">
        <v>11.17</v>
      </c>
    </row>
    <row r="3911" spans="1:4">
      <c r="A3911">
        <v>5062</v>
      </c>
      <c r="B3911" t="s">
        <v>10245</v>
      </c>
      <c r="C3911" t="s">
        <v>6698</v>
      </c>
      <c r="D3911" s="233">
        <v>11.32</v>
      </c>
    </row>
    <row r="3912" spans="1:4">
      <c r="A3912">
        <v>40568</v>
      </c>
      <c r="B3912" t="s">
        <v>10246</v>
      </c>
      <c r="C3912" t="s">
        <v>6698</v>
      </c>
      <c r="D3912" s="233">
        <v>11.26</v>
      </c>
    </row>
    <row r="3913" spans="1:4">
      <c r="A3913">
        <v>39026</v>
      </c>
      <c r="B3913" t="s">
        <v>10247</v>
      </c>
      <c r="C3913" t="s">
        <v>6698</v>
      </c>
      <c r="D3913" s="233">
        <v>12.57</v>
      </c>
    </row>
    <row r="3914" spans="1:4">
      <c r="A3914">
        <v>11572</v>
      </c>
      <c r="B3914" t="s">
        <v>10248</v>
      </c>
      <c r="C3914" t="s">
        <v>6636</v>
      </c>
      <c r="D3914" s="233">
        <v>16.45</v>
      </c>
    </row>
    <row r="3915" spans="1:4">
      <c r="A3915">
        <v>42431</v>
      </c>
      <c r="B3915" t="s">
        <v>10249</v>
      </c>
      <c r="C3915" t="s">
        <v>6636</v>
      </c>
      <c r="D3915" s="234">
        <v>2248.1799999999998</v>
      </c>
    </row>
    <row r="3916" spans="1:4">
      <c r="A3916">
        <v>11149</v>
      </c>
      <c r="B3916" t="s">
        <v>5783</v>
      </c>
      <c r="C3916" t="s">
        <v>8776</v>
      </c>
      <c r="D3916" s="233">
        <v>166.51</v>
      </c>
    </row>
    <row r="3917" spans="1:4">
      <c r="A3917">
        <v>511</v>
      </c>
      <c r="B3917" t="s">
        <v>10250</v>
      </c>
      <c r="C3917" t="s">
        <v>6700</v>
      </c>
      <c r="D3917" s="233">
        <v>15.81</v>
      </c>
    </row>
    <row r="3918" spans="1:4">
      <c r="A3918">
        <v>11174</v>
      </c>
      <c r="B3918" t="s">
        <v>10251</v>
      </c>
      <c r="C3918" t="s">
        <v>6774</v>
      </c>
      <c r="D3918" s="233">
        <v>472.76</v>
      </c>
    </row>
    <row r="3919" spans="1:4">
      <c r="A3919">
        <v>37540</v>
      </c>
      <c r="B3919" t="s">
        <v>10252</v>
      </c>
      <c r="C3919" t="s">
        <v>6636</v>
      </c>
      <c r="D3919" s="234">
        <v>63153.35</v>
      </c>
    </row>
    <row r="3920" spans="1:4">
      <c r="A3920">
        <v>37548</v>
      </c>
      <c r="B3920" t="s">
        <v>10253</v>
      </c>
      <c r="C3920" t="s">
        <v>6636</v>
      </c>
      <c r="D3920" s="234">
        <v>83709.45</v>
      </c>
    </row>
    <row r="3921" spans="1:4">
      <c r="A3921">
        <v>39828</v>
      </c>
      <c r="B3921" t="s">
        <v>10254</v>
      </c>
      <c r="C3921" t="s">
        <v>6636</v>
      </c>
      <c r="D3921" s="233">
        <v>502.17</v>
      </c>
    </row>
    <row r="3922" spans="1:4">
      <c r="A3922">
        <v>12273</v>
      </c>
      <c r="B3922" t="s">
        <v>10255</v>
      </c>
      <c r="C3922" t="s">
        <v>6636</v>
      </c>
      <c r="D3922" s="233">
        <v>52.29</v>
      </c>
    </row>
    <row r="3923" spans="1:4">
      <c r="A3923">
        <v>38392</v>
      </c>
      <c r="B3923" t="s">
        <v>10256</v>
      </c>
      <c r="C3923" t="s">
        <v>6636</v>
      </c>
      <c r="D3923" s="233">
        <v>47.8</v>
      </c>
    </row>
    <row r="3924" spans="1:4">
      <c r="A3924">
        <v>11735</v>
      </c>
      <c r="B3924" t="s">
        <v>10257</v>
      </c>
      <c r="C3924" t="s">
        <v>6636</v>
      </c>
      <c r="D3924" s="233">
        <v>3.98</v>
      </c>
    </row>
    <row r="3925" spans="1:4">
      <c r="A3925">
        <v>11733</v>
      </c>
      <c r="B3925" t="s">
        <v>10258</v>
      </c>
      <c r="C3925" t="s">
        <v>6636</v>
      </c>
      <c r="D3925" s="233">
        <v>1.95</v>
      </c>
    </row>
    <row r="3926" spans="1:4">
      <c r="A3926">
        <v>11734</v>
      </c>
      <c r="B3926" t="s">
        <v>10259</v>
      </c>
      <c r="C3926" t="s">
        <v>6636</v>
      </c>
      <c r="D3926" s="233">
        <v>3</v>
      </c>
    </row>
    <row r="3927" spans="1:4">
      <c r="A3927">
        <v>11737</v>
      </c>
      <c r="B3927" t="s">
        <v>10260</v>
      </c>
      <c r="C3927" t="s">
        <v>6636</v>
      </c>
      <c r="D3927" s="233">
        <v>5.31</v>
      </c>
    </row>
    <row r="3928" spans="1:4">
      <c r="A3928">
        <v>11738</v>
      </c>
      <c r="B3928" t="s">
        <v>10261</v>
      </c>
      <c r="C3928" t="s">
        <v>6636</v>
      </c>
      <c r="D3928" s="233">
        <v>8.64</v>
      </c>
    </row>
    <row r="3929" spans="1:4">
      <c r="A3929">
        <v>36143</v>
      </c>
      <c r="B3929" t="s">
        <v>10262</v>
      </c>
      <c r="C3929" t="s">
        <v>6636</v>
      </c>
      <c r="D3929" s="233">
        <v>24.49</v>
      </c>
    </row>
    <row r="3930" spans="1:4">
      <c r="A3930">
        <v>36142</v>
      </c>
      <c r="B3930" t="s">
        <v>10263</v>
      </c>
      <c r="C3930" t="s">
        <v>6636</v>
      </c>
      <c r="D3930" s="233">
        <v>1.79</v>
      </c>
    </row>
    <row r="3931" spans="1:4">
      <c r="A3931">
        <v>36146</v>
      </c>
      <c r="B3931" t="s">
        <v>10264</v>
      </c>
      <c r="C3931" t="s">
        <v>6636</v>
      </c>
      <c r="D3931" s="233">
        <v>203.15</v>
      </c>
    </row>
    <row r="3932" spans="1:4">
      <c r="A3932">
        <v>39015</v>
      </c>
      <c r="B3932" t="s">
        <v>10265</v>
      </c>
      <c r="C3932" t="s">
        <v>6636</v>
      </c>
      <c r="D3932" s="233">
        <v>0.64</v>
      </c>
    </row>
    <row r="3933" spans="1:4">
      <c r="A3933">
        <v>38377</v>
      </c>
      <c r="B3933" t="s">
        <v>10266</v>
      </c>
      <c r="C3933" t="s">
        <v>6636</v>
      </c>
      <c r="D3933" s="233">
        <v>24.1</v>
      </c>
    </row>
    <row r="3934" spans="1:4">
      <c r="A3934">
        <v>38376</v>
      </c>
      <c r="B3934" t="s">
        <v>10267</v>
      </c>
      <c r="C3934" t="s">
        <v>6636</v>
      </c>
      <c r="D3934" s="233">
        <v>27.48</v>
      </c>
    </row>
    <row r="3935" spans="1:4">
      <c r="A3935">
        <v>38116</v>
      </c>
      <c r="B3935" t="s">
        <v>10268</v>
      </c>
      <c r="C3935" t="s">
        <v>6636</v>
      </c>
      <c r="D3935" s="233">
        <v>3.76</v>
      </c>
    </row>
    <row r="3936" spans="1:4">
      <c r="A3936">
        <v>38066</v>
      </c>
      <c r="B3936" t="s">
        <v>10269</v>
      </c>
      <c r="C3936" t="s">
        <v>6636</v>
      </c>
      <c r="D3936" s="233">
        <v>6.2</v>
      </c>
    </row>
    <row r="3937" spans="1:4">
      <c r="A3937">
        <v>38117</v>
      </c>
      <c r="B3937" t="s">
        <v>10270</v>
      </c>
      <c r="C3937" t="s">
        <v>6636</v>
      </c>
      <c r="D3937" s="233">
        <v>6.4</v>
      </c>
    </row>
    <row r="3938" spans="1:4">
      <c r="A3938">
        <v>38067</v>
      </c>
      <c r="B3938" t="s">
        <v>10271</v>
      </c>
      <c r="C3938" t="s">
        <v>6636</v>
      </c>
      <c r="D3938" s="233">
        <v>8.73</v>
      </c>
    </row>
    <row r="3939" spans="1:4">
      <c r="A3939">
        <v>41757</v>
      </c>
      <c r="B3939" t="s">
        <v>10272</v>
      </c>
      <c r="C3939" t="s">
        <v>6636</v>
      </c>
      <c r="D3939" s="234">
        <v>7100.53</v>
      </c>
    </row>
    <row r="3940" spans="1:4">
      <c r="A3940">
        <v>5080</v>
      </c>
      <c r="B3940" t="s">
        <v>10273</v>
      </c>
      <c r="C3940" t="s">
        <v>6636</v>
      </c>
      <c r="D3940" s="233">
        <v>11.66</v>
      </c>
    </row>
    <row r="3941" spans="1:4">
      <c r="A3941">
        <v>11522</v>
      </c>
      <c r="B3941" t="s">
        <v>10274</v>
      </c>
      <c r="C3941" t="s">
        <v>6636</v>
      </c>
      <c r="D3941" s="233">
        <v>14.58</v>
      </c>
    </row>
    <row r="3942" spans="1:4">
      <c r="A3942">
        <v>11523</v>
      </c>
      <c r="B3942" t="s">
        <v>12716</v>
      </c>
      <c r="C3942" t="s">
        <v>6636</v>
      </c>
      <c r="D3942" s="233">
        <v>13.65</v>
      </c>
    </row>
    <row r="3943" spans="1:4">
      <c r="A3943">
        <v>11524</v>
      </c>
      <c r="B3943" t="s">
        <v>12717</v>
      </c>
      <c r="C3943" t="s">
        <v>6636</v>
      </c>
      <c r="D3943" s="233">
        <v>28.1</v>
      </c>
    </row>
    <row r="3944" spans="1:4">
      <c r="A3944">
        <v>38168</v>
      </c>
      <c r="B3944" t="s">
        <v>10275</v>
      </c>
      <c r="C3944" t="s">
        <v>6636</v>
      </c>
      <c r="D3944" s="233">
        <v>135.62</v>
      </c>
    </row>
    <row r="3945" spans="1:4">
      <c r="A3945">
        <v>13393</v>
      </c>
      <c r="B3945" t="s">
        <v>10276</v>
      </c>
      <c r="C3945" t="s">
        <v>6636</v>
      </c>
      <c r="D3945" s="233">
        <v>242.59</v>
      </c>
    </row>
    <row r="3946" spans="1:4">
      <c r="A3946">
        <v>13395</v>
      </c>
      <c r="B3946" t="s">
        <v>12332</v>
      </c>
      <c r="C3946" t="s">
        <v>6636</v>
      </c>
      <c r="D3946" s="233">
        <v>339.96</v>
      </c>
    </row>
    <row r="3947" spans="1:4">
      <c r="A3947">
        <v>12039</v>
      </c>
      <c r="B3947" t="s">
        <v>10277</v>
      </c>
      <c r="C3947" t="s">
        <v>6636</v>
      </c>
      <c r="D3947" s="233">
        <v>357.26</v>
      </c>
    </row>
    <row r="3948" spans="1:4">
      <c r="A3948">
        <v>13396</v>
      </c>
      <c r="B3948" t="s">
        <v>10278</v>
      </c>
      <c r="C3948" t="s">
        <v>6636</v>
      </c>
      <c r="D3948" s="233">
        <v>501.75</v>
      </c>
    </row>
    <row r="3949" spans="1:4">
      <c r="A3949">
        <v>12041</v>
      </c>
      <c r="B3949" t="s">
        <v>10279</v>
      </c>
      <c r="C3949" t="s">
        <v>6636</v>
      </c>
      <c r="D3949" s="233">
        <v>409.71</v>
      </c>
    </row>
    <row r="3950" spans="1:4">
      <c r="A3950">
        <v>12043</v>
      </c>
      <c r="B3950" t="s">
        <v>10280</v>
      </c>
      <c r="C3950" t="s">
        <v>6636</v>
      </c>
      <c r="D3950" s="233">
        <v>865.04</v>
      </c>
    </row>
    <row r="3951" spans="1:4">
      <c r="A3951">
        <v>39762</v>
      </c>
      <c r="B3951" t="s">
        <v>10281</v>
      </c>
      <c r="C3951" t="s">
        <v>6636</v>
      </c>
      <c r="D3951" s="233">
        <v>411.78</v>
      </c>
    </row>
    <row r="3952" spans="1:4">
      <c r="A3952">
        <v>12042</v>
      </c>
      <c r="B3952" t="s">
        <v>10282</v>
      </c>
      <c r="C3952" t="s">
        <v>6636</v>
      </c>
      <c r="D3952" s="233">
        <v>601.19000000000005</v>
      </c>
    </row>
    <row r="3953" spans="1:4">
      <c r="A3953">
        <v>39763</v>
      </c>
      <c r="B3953" t="s">
        <v>10283</v>
      </c>
      <c r="C3953" t="s">
        <v>6636</v>
      </c>
      <c r="D3953" s="233">
        <v>703.61</v>
      </c>
    </row>
    <row r="3954" spans="1:4">
      <c r="A3954">
        <v>39756</v>
      </c>
      <c r="B3954" t="s">
        <v>10284</v>
      </c>
      <c r="C3954" t="s">
        <v>6636</v>
      </c>
      <c r="D3954" s="233">
        <v>251.81</v>
      </c>
    </row>
    <row r="3955" spans="1:4">
      <c r="A3955">
        <v>12038</v>
      </c>
      <c r="B3955" t="s">
        <v>10285</v>
      </c>
      <c r="C3955" t="s">
        <v>6636</v>
      </c>
      <c r="D3955" s="233">
        <v>314.64</v>
      </c>
    </row>
    <row r="3956" spans="1:4">
      <c r="A3956">
        <v>39757</v>
      </c>
      <c r="B3956" t="s">
        <v>10286</v>
      </c>
      <c r="C3956" t="s">
        <v>6636</v>
      </c>
      <c r="D3956" s="233">
        <v>290.94</v>
      </c>
    </row>
    <row r="3957" spans="1:4">
      <c r="A3957">
        <v>39758</v>
      </c>
      <c r="B3957" t="s">
        <v>10287</v>
      </c>
      <c r="C3957" t="s">
        <v>6636</v>
      </c>
      <c r="D3957" s="233">
        <v>424.01</v>
      </c>
    </row>
    <row r="3958" spans="1:4">
      <c r="A3958">
        <v>39759</v>
      </c>
      <c r="B3958" t="s">
        <v>10288</v>
      </c>
      <c r="C3958" t="s">
        <v>6636</v>
      </c>
      <c r="D3958" s="233">
        <v>523.66</v>
      </c>
    </row>
    <row r="3959" spans="1:4">
      <c r="A3959">
        <v>39760</v>
      </c>
      <c r="B3959" t="s">
        <v>10289</v>
      </c>
      <c r="C3959" t="s">
        <v>6636</v>
      </c>
      <c r="D3959" s="233">
        <v>701.3</v>
      </c>
    </row>
    <row r="3960" spans="1:4">
      <c r="A3960">
        <v>39761</v>
      </c>
      <c r="B3960" t="s">
        <v>10290</v>
      </c>
      <c r="C3960" t="s">
        <v>6636</v>
      </c>
      <c r="D3960" s="233">
        <v>629.45000000000005</v>
      </c>
    </row>
    <row r="3961" spans="1:4">
      <c r="A3961">
        <v>39805</v>
      </c>
      <c r="B3961" t="s">
        <v>12333</v>
      </c>
      <c r="C3961" t="s">
        <v>6636</v>
      </c>
      <c r="D3961" s="233">
        <v>104.5</v>
      </c>
    </row>
    <row r="3962" spans="1:4">
      <c r="A3962">
        <v>39806</v>
      </c>
      <c r="B3962" t="s">
        <v>12334</v>
      </c>
      <c r="C3962" t="s">
        <v>6636</v>
      </c>
      <c r="D3962" s="233">
        <v>193.61</v>
      </c>
    </row>
    <row r="3963" spans="1:4">
      <c r="A3963">
        <v>39807</v>
      </c>
      <c r="B3963" t="s">
        <v>12335</v>
      </c>
      <c r="C3963" t="s">
        <v>6636</v>
      </c>
      <c r="D3963" s="233">
        <v>419.6</v>
      </c>
    </row>
    <row r="3964" spans="1:4">
      <c r="A3964">
        <v>43100</v>
      </c>
      <c r="B3964" t="s">
        <v>12336</v>
      </c>
      <c r="C3964" t="s">
        <v>6636</v>
      </c>
      <c r="D3964" s="233">
        <v>328.04</v>
      </c>
    </row>
    <row r="3965" spans="1:4">
      <c r="A3965">
        <v>39804</v>
      </c>
      <c r="B3965" t="s">
        <v>12337</v>
      </c>
      <c r="C3965" t="s">
        <v>6636</v>
      </c>
      <c r="D3965" s="233">
        <v>61.36</v>
      </c>
    </row>
    <row r="3966" spans="1:4">
      <c r="A3966">
        <v>39796</v>
      </c>
      <c r="B3966" t="s">
        <v>12338</v>
      </c>
      <c r="C3966" t="s">
        <v>6636</v>
      </c>
      <c r="D3966" s="233">
        <v>63.55</v>
      </c>
    </row>
    <row r="3967" spans="1:4">
      <c r="A3967">
        <v>39797</v>
      </c>
      <c r="B3967" t="s">
        <v>12339</v>
      </c>
      <c r="C3967" t="s">
        <v>6636</v>
      </c>
      <c r="D3967" s="233">
        <v>99.77</v>
      </c>
    </row>
    <row r="3968" spans="1:4">
      <c r="A3968">
        <v>39798</v>
      </c>
      <c r="B3968" t="s">
        <v>12340</v>
      </c>
      <c r="C3968" t="s">
        <v>6636</v>
      </c>
      <c r="D3968" s="233">
        <v>171.13</v>
      </c>
    </row>
    <row r="3969" spans="1:4">
      <c r="A3969">
        <v>39794</v>
      </c>
      <c r="B3969" t="s">
        <v>12341</v>
      </c>
      <c r="C3969" t="s">
        <v>6636</v>
      </c>
      <c r="D3969" s="233">
        <v>26.97</v>
      </c>
    </row>
    <row r="3970" spans="1:4">
      <c r="A3970">
        <v>39795</v>
      </c>
      <c r="B3970" t="s">
        <v>12342</v>
      </c>
      <c r="C3970" t="s">
        <v>6636</v>
      </c>
      <c r="D3970" s="233">
        <v>42.62</v>
      </c>
    </row>
    <row r="3971" spans="1:4">
      <c r="A3971">
        <v>39799</v>
      </c>
      <c r="B3971" t="s">
        <v>12343</v>
      </c>
      <c r="C3971" t="s">
        <v>6636</v>
      </c>
      <c r="D3971" s="233">
        <v>31.44</v>
      </c>
    </row>
    <row r="3972" spans="1:4">
      <c r="A3972">
        <v>39801</v>
      </c>
      <c r="B3972" t="s">
        <v>12344</v>
      </c>
      <c r="C3972" t="s">
        <v>6636</v>
      </c>
      <c r="D3972" s="233">
        <v>90</v>
      </c>
    </row>
    <row r="3973" spans="1:4">
      <c r="A3973">
        <v>39802</v>
      </c>
      <c r="B3973" t="s">
        <v>12345</v>
      </c>
      <c r="C3973" t="s">
        <v>6636</v>
      </c>
      <c r="D3973" s="233">
        <v>131.91999999999999</v>
      </c>
    </row>
    <row r="3974" spans="1:4">
      <c r="A3974">
        <v>39803</v>
      </c>
      <c r="B3974" t="s">
        <v>12346</v>
      </c>
      <c r="C3974" t="s">
        <v>6636</v>
      </c>
      <c r="D3974" s="233">
        <v>184.03</v>
      </c>
    </row>
    <row r="3975" spans="1:4">
      <c r="A3975">
        <v>39800</v>
      </c>
      <c r="B3975" t="s">
        <v>12347</v>
      </c>
      <c r="C3975" t="s">
        <v>6636</v>
      </c>
      <c r="D3975" s="233">
        <v>53.56</v>
      </c>
    </row>
    <row r="3976" spans="1:4">
      <c r="A3976">
        <v>4224</v>
      </c>
      <c r="B3976" t="s">
        <v>10291</v>
      </c>
      <c r="C3976" t="s">
        <v>6700</v>
      </c>
      <c r="D3976" s="233">
        <v>12.38</v>
      </c>
    </row>
    <row r="3977" spans="1:4">
      <c r="A3977">
        <v>21059</v>
      </c>
      <c r="B3977" t="s">
        <v>10292</v>
      </c>
      <c r="C3977" t="s">
        <v>6636</v>
      </c>
      <c r="D3977" s="233">
        <v>30.84</v>
      </c>
    </row>
    <row r="3978" spans="1:4">
      <c r="A3978">
        <v>11234</v>
      </c>
      <c r="B3978" t="s">
        <v>10293</v>
      </c>
      <c r="C3978" t="s">
        <v>6636</v>
      </c>
      <c r="D3978" s="233">
        <v>46.48</v>
      </c>
    </row>
    <row r="3979" spans="1:4">
      <c r="A3979">
        <v>21060</v>
      </c>
      <c r="B3979" t="s">
        <v>10294</v>
      </c>
      <c r="C3979" t="s">
        <v>6636</v>
      </c>
      <c r="D3979" s="233">
        <v>57.21</v>
      </c>
    </row>
    <row r="3980" spans="1:4">
      <c r="A3980">
        <v>21061</v>
      </c>
      <c r="B3980" t="s">
        <v>10295</v>
      </c>
      <c r="C3980" t="s">
        <v>6636</v>
      </c>
      <c r="D3980" s="233">
        <v>71.510000000000005</v>
      </c>
    </row>
    <row r="3981" spans="1:4">
      <c r="A3981">
        <v>21062</v>
      </c>
      <c r="B3981" t="s">
        <v>10296</v>
      </c>
      <c r="C3981" t="s">
        <v>6636</v>
      </c>
      <c r="D3981" s="233">
        <v>112.63</v>
      </c>
    </row>
    <row r="3982" spans="1:4">
      <c r="A3982">
        <v>11708</v>
      </c>
      <c r="B3982" t="s">
        <v>920</v>
      </c>
      <c r="C3982" t="s">
        <v>6636</v>
      </c>
      <c r="D3982" s="233">
        <v>12.29</v>
      </c>
    </row>
    <row r="3983" spans="1:4">
      <c r="A3983">
        <v>11709</v>
      </c>
      <c r="B3983" t="s">
        <v>10297</v>
      </c>
      <c r="C3983" t="s">
        <v>6636</v>
      </c>
      <c r="D3983" s="233">
        <v>28.87</v>
      </c>
    </row>
    <row r="3984" spans="1:4">
      <c r="A3984">
        <v>11710</v>
      </c>
      <c r="B3984" t="s">
        <v>10298</v>
      </c>
      <c r="C3984" t="s">
        <v>6636</v>
      </c>
      <c r="D3984" s="233">
        <v>66.37</v>
      </c>
    </row>
    <row r="3985" spans="1:4">
      <c r="A3985">
        <v>11707</v>
      </c>
      <c r="B3985" t="s">
        <v>10299</v>
      </c>
      <c r="C3985" t="s">
        <v>6636</v>
      </c>
      <c r="D3985" s="233">
        <v>9.1999999999999993</v>
      </c>
    </row>
    <row r="3986" spans="1:4">
      <c r="A3986">
        <v>11739</v>
      </c>
      <c r="B3986" t="s">
        <v>10300</v>
      </c>
      <c r="C3986" t="s">
        <v>6636</v>
      </c>
      <c r="D3986" s="233">
        <v>5.79</v>
      </c>
    </row>
    <row r="3987" spans="1:4">
      <c r="A3987">
        <v>11711</v>
      </c>
      <c r="B3987" t="s">
        <v>10301</v>
      </c>
      <c r="C3987" t="s">
        <v>6636</v>
      </c>
      <c r="D3987" s="233">
        <v>8.48</v>
      </c>
    </row>
    <row r="3988" spans="1:4">
      <c r="A3988">
        <v>5102</v>
      </c>
      <c r="B3988" t="s">
        <v>10302</v>
      </c>
      <c r="C3988" t="s">
        <v>6636</v>
      </c>
      <c r="D3988" s="233">
        <v>8.1999999999999993</v>
      </c>
    </row>
    <row r="3989" spans="1:4">
      <c r="A3989">
        <v>11741</v>
      </c>
      <c r="B3989" t="s">
        <v>10303</v>
      </c>
      <c r="C3989" t="s">
        <v>6636</v>
      </c>
      <c r="D3989" s="233">
        <v>5.97</v>
      </c>
    </row>
    <row r="3990" spans="1:4">
      <c r="A3990">
        <v>11743</v>
      </c>
      <c r="B3990" t="s">
        <v>10304</v>
      </c>
      <c r="C3990" t="s">
        <v>6636</v>
      </c>
      <c r="D3990" s="233">
        <v>5.42</v>
      </c>
    </row>
    <row r="3991" spans="1:4">
      <c r="A3991">
        <v>11745</v>
      </c>
      <c r="B3991" t="s">
        <v>10305</v>
      </c>
      <c r="C3991" t="s">
        <v>6636</v>
      </c>
      <c r="D3991" s="233">
        <v>7.7</v>
      </c>
    </row>
    <row r="3992" spans="1:4">
      <c r="A3992">
        <v>25961</v>
      </c>
      <c r="B3992" t="s">
        <v>10306</v>
      </c>
      <c r="C3992" t="s">
        <v>6640</v>
      </c>
      <c r="D3992" s="233">
        <v>9.27</v>
      </c>
    </row>
    <row r="3993" spans="1:4">
      <c r="A3993">
        <v>40985</v>
      </c>
      <c r="B3993" t="s">
        <v>10307</v>
      </c>
      <c r="C3993" t="s">
        <v>6785</v>
      </c>
      <c r="D3993" s="234">
        <v>1646.51</v>
      </c>
    </row>
    <row r="3994" spans="1:4">
      <c r="A3994">
        <v>1088</v>
      </c>
      <c r="B3994" t="s">
        <v>10308</v>
      </c>
      <c r="C3994" t="s">
        <v>6636</v>
      </c>
      <c r="D3994" s="233">
        <v>13.89</v>
      </c>
    </row>
    <row r="3995" spans="1:4">
      <c r="A3995">
        <v>1087</v>
      </c>
      <c r="B3995" t="s">
        <v>10309</v>
      </c>
      <c r="C3995" t="s">
        <v>6636</v>
      </c>
      <c r="D3995" s="233">
        <v>17.350000000000001</v>
      </c>
    </row>
    <row r="3996" spans="1:4">
      <c r="A3996">
        <v>38777</v>
      </c>
      <c r="B3996" t="s">
        <v>10310</v>
      </c>
      <c r="C3996" t="s">
        <v>6636</v>
      </c>
      <c r="D3996" s="233">
        <v>34.56</v>
      </c>
    </row>
    <row r="3997" spans="1:4">
      <c r="A3997">
        <v>1086</v>
      </c>
      <c r="B3997" t="s">
        <v>10311</v>
      </c>
      <c r="C3997" t="s">
        <v>6636</v>
      </c>
      <c r="D3997" s="233">
        <v>18.239999999999998</v>
      </c>
    </row>
    <row r="3998" spans="1:4">
      <c r="A3998">
        <v>1079</v>
      </c>
      <c r="B3998" t="s">
        <v>10312</v>
      </c>
      <c r="C3998" t="s">
        <v>6636</v>
      </c>
      <c r="D3998" s="233">
        <v>18.850000000000001</v>
      </c>
    </row>
    <row r="3999" spans="1:4">
      <c r="A3999">
        <v>39374</v>
      </c>
      <c r="B3999" t="s">
        <v>10313</v>
      </c>
      <c r="C3999" t="s">
        <v>6636</v>
      </c>
      <c r="D3999" s="233">
        <v>96.66</v>
      </c>
    </row>
    <row r="4000" spans="1:4">
      <c r="A4000">
        <v>1082</v>
      </c>
      <c r="B4000" t="s">
        <v>10314</v>
      </c>
      <c r="C4000" t="s">
        <v>6636</v>
      </c>
      <c r="D4000" s="233">
        <v>118.54</v>
      </c>
    </row>
    <row r="4001" spans="1:4">
      <c r="A4001">
        <v>12316</v>
      </c>
      <c r="B4001" t="s">
        <v>10315</v>
      </c>
      <c r="C4001" t="s">
        <v>6636</v>
      </c>
      <c r="D4001" s="233">
        <v>54.33</v>
      </c>
    </row>
    <row r="4002" spans="1:4">
      <c r="A4002">
        <v>12317</v>
      </c>
      <c r="B4002" t="s">
        <v>10316</v>
      </c>
      <c r="C4002" t="s">
        <v>6636</v>
      </c>
      <c r="D4002" s="233">
        <v>64.790000000000006</v>
      </c>
    </row>
    <row r="4003" spans="1:4">
      <c r="A4003">
        <v>12318</v>
      </c>
      <c r="B4003" t="s">
        <v>10317</v>
      </c>
      <c r="C4003" t="s">
        <v>6636</v>
      </c>
      <c r="D4003" s="233">
        <v>74.64</v>
      </c>
    </row>
    <row r="4004" spans="1:4">
      <c r="A4004">
        <v>5104</v>
      </c>
      <c r="B4004" t="s">
        <v>827</v>
      </c>
      <c r="C4004" t="s">
        <v>6698</v>
      </c>
      <c r="D4004" s="233">
        <v>44.75</v>
      </c>
    </row>
    <row r="4005" spans="1:4">
      <c r="A4005">
        <v>26023</v>
      </c>
      <c r="B4005" t="s">
        <v>10318</v>
      </c>
      <c r="C4005" t="s">
        <v>6636</v>
      </c>
      <c r="D4005" s="233">
        <v>81.42</v>
      </c>
    </row>
    <row r="4006" spans="1:4">
      <c r="A4006">
        <v>2710</v>
      </c>
      <c r="B4006" t="s">
        <v>10319</v>
      </c>
      <c r="C4006" t="s">
        <v>6636</v>
      </c>
      <c r="D4006" s="233">
        <v>65.03</v>
      </c>
    </row>
    <row r="4007" spans="1:4">
      <c r="A4007">
        <v>14575</v>
      </c>
      <c r="B4007" t="s">
        <v>10320</v>
      </c>
      <c r="C4007" t="s">
        <v>6636</v>
      </c>
      <c r="D4007" s="234">
        <v>3929074.69</v>
      </c>
    </row>
    <row r="4008" spans="1:4">
      <c r="A4008">
        <v>20034</v>
      </c>
      <c r="B4008" t="s">
        <v>10321</v>
      </c>
      <c r="C4008" t="s">
        <v>6636</v>
      </c>
      <c r="D4008" s="233">
        <v>54.76</v>
      </c>
    </row>
    <row r="4009" spans="1:4">
      <c r="A4009">
        <v>20036</v>
      </c>
      <c r="B4009" t="s">
        <v>10322</v>
      </c>
      <c r="C4009" t="s">
        <v>6636</v>
      </c>
      <c r="D4009" s="233">
        <v>105.34</v>
      </c>
    </row>
    <row r="4010" spans="1:4">
      <c r="A4010">
        <v>20037</v>
      </c>
      <c r="B4010" t="s">
        <v>10323</v>
      </c>
      <c r="C4010" t="s">
        <v>6636</v>
      </c>
      <c r="D4010" s="233">
        <v>198.7</v>
      </c>
    </row>
    <row r="4011" spans="1:4">
      <c r="A4011">
        <v>20043</v>
      </c>
      <c r="B4011" t="s">
        <v>910</v>
      </c>
      <c r="C4011" t="s">
        <v>6636</v>
      </c>
      <c r="D4011" s="233">
        <v>4.9400000000000004</v>
      </c>
    </row>
    <row r="4012" spans="1:4">
      <c r="A4012">
        <v>20044</v>
      </c>
      <c r="B4012" t="s">
        <v>911</v>
      </c>
      <c r="C4012" t="s">
        <v>6636</v>
      </c>
      <c r="D4012" s="233">
        <v>5.77</v>
      </c>
    </row>
    <row r="4013" spans="1:4">
      <c r="A4013">
        <v>20042</v>
      </c>
      <c r="B4013" t="s">
        <v>10324</v>
      </c>
      <c r="C4013" t="s">
        <v>6636</v>
      </c>
      <c r="D4013" s="233">
        <v>4.18</v>
      </c>
    </row>
    <row r="4014" spans="1:4">
      <c r="A4014">
        <v>20046</v>
      </c>
      <c r="B4014" t="s">
        <v>10325</v>
      </c>
      <c r="C4014" t="s">
        <v>6636</v>
      </c>
      <c r="D4014" s="233">
        <v>12.25</v>
      </c>
    </row>
    <row r="4015" spans="1:4">
      <c r="A4015">
        <v>20047</v>
      </c>
      <c r="B4015" t="s">
        <v>10326</v>
      </c>
      <c r="C4015" t="s">
        <v>6636</v>
      </c>
      <c r="D4015" s="233">
        <v>33.49</v>
      </c>
    </row>
    <row r="4016" spans="1:4">
      <c r="A4016">
        <v>20045</v>
      </c>
      <c r="B4016" t="s">
        <v>10327</v>
      </c>
      <c r="C4016" t="s">
        <v>6636</v>
      </c>
      <c r="D4016" s="233">
        <v>5.04</v>
      </c>
    </row>
    <row r="4017" spans="1:4">
      <c r="A4017">
        <v>20972</v>
      </c>
      <c r="B4017" t="s">
        <v>10328</v>
      </c>
      <c r="C4017" t="s">
        <v>6636</v>
      </c>
      <c r="D4017" s="233">
        <v>72.849999999999994</v>
      </c>
    </row>
    <row r="4018" spans="1:4">
      <c r="A4018">
        <v>20032</v>
      </c>
      <c r="B4018" t="s">
        <v>10329</v>
      </c>
      <c r="C4018" t="s">
        <v>6636</v>
      </c>
      <c r="D4018" s="233">
        <v>44.45</v>
      </c>
    </row>
    <row r="4019" spans="1:4">
      <c r="A4019">
        <v>11321</v>
      </c>
      <c r="B4019" t="s">
        <v>10330</v>
      </c>
      <c r="C4019" t="s">
        <v>6636</v>
      </c>
      <c r="D4019" s="233">
        <v>20.27</v>
      </c>
    </row>
    <row r="4020" spans="1:4">
      <c r="A4020">
        <v>11323</v>
      </c>
      <c r="B4020" t="s">
        <v>10331</v>
      </c>
      <c r="C4020" t="s">
        <v>6636</v>
      </c>
      <c r="D4020" s="233">
        <v>23.31</v>
      </c>
    </row>
    <row r="4021" spans="1:4">
      <c r="A4021">
        <v>20327</v>
      </c>
      <c r="B4021" t="s">
        <v>10332</v>
      </c>
      <c r="C4021" t="s">
        <v>6636</v>
      </c>
      <c r="D4021" s="233">
        <v>13.23</v>
      </c>
    </row>
    <row r="4022" spans="1:4">
      <c r="A4022">
        <v>25966</v>
      </c>
      <c r="B4022" t="s">
        <v>10333</v>
      </c>
      <c r="C4022" t="s">
        <v>6700</v>
      </c>
      <c r="D4022" s="233">
        <v>15.82</v>
      </c>
    </row>
    <row r="4023" spans="1:4">
      <c r="A4023">
        <v>13390</v>
      </c>
      <c r="B4023" t="s">
        <v>10334</v>
      </c>
      <c r="C4023" t="s">
        <v>6636</v>
      </c>
      <c r="D4023" s="233">
        <v>68.569999999999993</v>
      </c>
    </row>
    <row r="4024" spans="1:4">
      <c r="A4024">
        <v>6034</v>
      </c>
      <c r="B4024" t="s">
        <v>10335</v>
      </c>
      <c r="C4024" t="s">
        <v>6636</v>
      </c>
      <c r="D4024" s="233">
        <v>4.4800000000000004</v>
      </c>
    </row>
    <row r="4025" spans="1:4">
      <c r="A4025">
        <v>6036</v>
      </c>
      <c r="B4025" t="s">
        <v>10336</v>
      </c>
      <c r="C4025" t="s">
        <v>6636</v>
      </c>
      <c r="D4025" s="233">
        <v>6.11</v>
      </c>
    </row>
    <row r="4026" spans="1:4">
      <c r="A4026">
        <v>6031</v>
      </c>
      <c r="B4026" t="s">
        <v>10337</v>
      </c>
      <c r="C4026" t="s">
        <v>6636</v>
      </c>
      <c r="D4026" s="233">
        <v>7.18</v>
      </c>
    </row>
    <row r="4027" spans="1:4">
      <c r="A4027">
        <v>6029</v>
      </c>
      <c r="B4027" t="s">
        <v>10338</v>
      </c>
      <c r="C4027" t="s">
        <v>6636</v>
      </c>
      <c r="D4027" s="233">
        <v>7.25</v>
      </c>
    </row>
    <row r="4028" spans="1:4">
      <c r="A4028">
        <v>6033</v>
      </c>
      <c r="B4028" t="s">
        <v>10339</v>
      </c>
      <c r="C4028" t="s">
        <v>6636</v>
      </c>
      <c r="D4028" s="233">
        <v>9.56</v>
      </c>
    </row>
    <row r="4029" spans="1:4">
      <c r="A4029">
        <v>11672</v>
      </c>
      <c r="B4029" t="s">
        <v>10340</v>
      </c>
      <c r="C4029" t="s">
        <v>6636</v>
      </c>
      <c r="D4029" s="233">
        <v>20.8</v>
      </c>
    </row>
    <row r="4030" spans="1:4">
      <c r="A4030">
        <v>11669</v>
      </c>
      <c r="B4030" t="s">
        <v>10341</v>
      </c>
      <c r="C4030" t="s">
        <v>6636</v>
      </c>
      <c r="D4030" s="233">
        <v>19.809999999999999</v>
      </c>
    </row>
    <row r="4031" spans="1:4">
      <c r="A4031">
        <v>11670</v>
      </c>
      <c r="B4031" t="s">
        <v>10342</v>
      </c>
      <c r="C4031" t="s">
        <v>6636</v>
      </c>
      <c r="D4031" s="233">
        <v>7.59</v>
      </c>
    </row>
    <row r="4032" spans="1:4">
      <c r="A4032">
        <v>20055</v>
      </c>
      <c r="B4032" t="s">
        <v>10343</v>
      </c>
      <c r="C4032" t="s">
        <v>6636</v>
      </c>
      <c r="D4032" s="233">
        <v>14.83</v>
      </c>
    </row>
    <row r="4033" spans="1:4">
      <c r="A4033">
        <v>11671</v>
      </c>
      <c r="B4033" t="s">
        <v>10344</v>
      </c>
      <c r="C4033" t="s">
        <v>6636</v>
      </c>
      <c r="D4033" s="233">
        <v>31.83</v>
      </c>
    </row>
    <row r="4034" spans="1:4">
      <c r="A4034">
        <v>6032</v>
      </c>
      <c r="B4034" t="s">
        <v>10345</v>
      </c>
      <c r="C4034" t="s">
        <v>6636</v>
      </c>
      <c r="D4034" s="233">
        <v>9.09</v>
      </c>
    </row>
    <row r="4035" spans="1:4">
      <c r="A4035">
        <v>11673</v>
      </c>
      <c r="B4035" t="s">
        <v>10346</v>
      </c>
      <c r="C4035" t="s">
        <v>6636</v>
      </c>
      <c r="D4035" s="233">
        <v>7.16</v>
      </c>
    </row>
    <row r="4036" spans="1:4">
      <c r="A4036">
        <v>11674</v>
      </c>
      <c r="B4036" t="s">
        <v>10347</v>
      </c>
      <c r="C4036" t="s">
        <v>6636</v>
      </c>
      <c r="D4036" s="233">
        <v>9.2200000000000006</v>
      </c>
    </row>
    <row r="4037" spans="1:4">
      <c r="A4037">
        <v>11675</v>
      </c>
      <c r="B4037" t="s">
        <v>889</v>
      </c>
      <c r="C4037" t="s">
        <v>6636</v>
      </c>
      <c r="D4037" s="233">
        <v>14.64</v>
      </c>
    </row>
    <row r="4038" spans="1:4">
      <c r="A4038">
        <v>11676</v>
      </c>
      <c r="B4038" t="s">
        <v>10348</v>
      </c>
      <c r="C4038" t="s">
        <v>6636</v>
      </c>
      <c r="D4038" s="233">
        <v>19.579999999999998</v>
      </c>
    </row>
    <row r="4039" spans="1:4">
      <c r="A4039">
        <v>11677</v>
      </c>
      <c r="B4039" t="s">
        <v>10349</v>
      </c>
      <c r="C4039" t="s">
        <v>6636</v>
      </c>
      <c r="D4039" s="233">
        <v>20.22</v>
      </c>
    </row>
    <row r="4040" spans="1:4">
      <c r="A4040">
        <v>11678</v>
      </c>
      <c r="B4040" t="s">
        <v>10350</v>
      </c>
      <c r="C4040" t="s">
        <v>6636</v>
      </c>
      <c r="D4040" s="233">
        <v>37.03</v>
      </c>
    </row>
    <row r="4041" spans="1:4">
      <c r="A4041">
        <v>6038</v>
      </c>
      <c r="B4041" t="s">
        <v>10351</v>
      </c>
      <c r="C4041" t="s">
        <v>6636</v>
      </c>
      <c r="D4041" s="233">
        <v>2.35</v>
      </c>
    </row>
    <row r="4042" spans="1:4">
      <c r="A4042">
        <v>11718</v>
      </c>
      <c r="B4042" t="s">
        <v>10352</v>
      </c>
      <c r="C4042" t="s">
        <v>6636</v>
      </c>
      <c r="D4042" s="233">
        <v>6.7</v>
      </c>
    </row>
    <row r="4043" spans="1:4">
      <c r="A4043">
        <v>6037</v>
      </c>
      <c r="B4043" t="s">
        <v>10353</v>
      </c>
      <c r="C4043" t="s">
        <v>6636</v>
      </c>
      <c r="D4043" s="233">
        <v>4.88</v>
      </c>
    </row>
    <row r="4044" spans="1:4">
      <c r="A4044">
        <v>11719</v>
      </c>
      <c r="B4044" t="s">
        <v>10354</v>
      </c>
      <c r="C4044" t="s">
        <v>6636</v>
      </c>
      <c r="D4044" s="233">
        <v>5.43</v>
      </c>
    </row>
    <row r="4045" spans="1:4">
      <c r="A4045">
        <v>6019</v>
      </c>
      <c r="B4045" t="s">
        <v>10355</v>
      </c>
      <c r="C4045" t="s">
        <v>6636</v>
      </c>
      <c r="D4045" s="233">
        <v>38.14</v>
      </c>
    </row>
    <row r="4046" spans="1:4">
      <c r="A4046">
        <v>6010</v>
      </c>
      <c r="B4046" t="s">
        <v>10356</v>
      </c>
      <c r="C4046" t="s">
        <v>6636</v>
      </c>
      <c r="D4046" s="233">
        <v>65.62</v>
      </c>
    </row>
    <row r="4047" spans="1:4">
      <c r="A4047">
        <v>6017</v>
      </c>
      <c r="B4047" t="s">
        <v>10357</v>
      </c>
      <c r="C4047" t="s">
        <v>6636</v>
      </c>
      <c r="D4047" s="233">
        <v>51.98</v>
      </c>
    </row>
    <row r="4048" spans="1:4">
      <c r="A4048">
        <v>6020</v>
      </c>
      <c r="B4048" t="s">
        <v>10358</v>
      </c>
      <c r="C4048" t="s">
        <v>6636</v>
      </c>
      <c r="D4048" s="233">
        <v>22.91</v>
      </c>
    </row>
    <row r="4049" spans="1:4">
      <c r="A4049">
        <v>6028</v>
      </c>
      <c r="B4049" t="s">
        <v>10359</v>
      </c>
      <c r="C4049" t="s">
        <v>6636</v>
      </c>
      <c r="D4049" s="233">
        <v>91.41</v>
      </c>
    </row>
    <row r="4050" spans="1:4">
      <c r="A4050">
        <v>6011</v>
      </c>
      <c r="B4050" t="s">
        <v>933</v>
      </c>
      <c r="C4050" t="s">
        <v>6636</v>
      </c>
      <c r="D4050" s="233">
        <v>189.57</v>
      </c>
    </row>
    <row r="4051" spans="1:4">
      <c r="A4051">
        <v>6012</v>
      </c>
      <c r="B4051" t="s">
        <v>10360</v>
      </c>
      <c r="C4051" t="s">
        <v>6636</v>
      </c>
      <c r="D4051" s="233">
        <v>229.51</v>
      </c>
    </row>
    <row r="4052" spans="1:4">
      <c r="A4052">
        <v>6016</v>
      </c>
      <c r="B4052" t="s">
        <v>10361</v>
      </c>
      <c r="C4052" t="s">
        <v>6636</v>
      </c>
      <c r="D4052" s="233">
        <v>24.16</v>
      </c>
    </row>
    <row r="4053" spans="1:4">
      <c r="A4053">
        <v>6027</v>
      </c>
      <c r="B4053" t="s">
        <v>10362</v>
      </c>
      <c r="C4053" t="s">
        <v>6636</v>
      </c>
      <c r="D4053" s="233">
        <v>478.22</v>
      </c>
    </row>
    <row r="4054" spans="1:4">
      <c r="A4054">
        <v>6013</v>
      </c>
      <c r="B4054" t="s">
        <v>10363</v>
      </c>
      <c r="C4054" t="s">
        <v>6636</v>
      </c>
      <c r="D4054" s="233">
        <v>72.16</v>
      </c>
    </row>
    <row r="4055" spans="1:4">
      <c r="A4055">
        <v>6015</v>
      </c>
      <c r="B4055" t="s">
        <v>10364</v>
      </c>
      <c r="C4055" t="s">
        <v>6636</v>
      </c>
      <c r="D4055" s="233">
        <v>104.94</v>
      </c>
    </row>
    <row r="4056" spans="1:4">
      <c r="A4056">
        <v>6014</v>
      </c>
      <c r="B4056" t="s">
        <v>10365</v>
      </c>
      <c r="C4056" t="s">
        <v>6636</v>
      </c>
      <c r="D4056" s="233">
        <v>100.33</v>
      </c>
    </row>
    <row r="4057" spans="1:4">
      <c r="A4057">
        <v>6006</v>
      </c>
      <c r="B4057" t="s">
        <v>10366</v>
      </c>
      <c r="C4057" t="s">
        <v>6636</v>
      </c>
      <c r="D4057" s="233">
        <v>52.25</v>
      </c>
    </row>
    <row r="4058" spans="1:4">
      <c r="A4058">
        <v>6005</v>
      </c>
      <c r="B4058" t="s">
        <v>10367</v>
      </c>
      <c r="C4058" t="s">
        <v>6636</v>
      </c>
      <c r="D4058" s="233">
        <v>58.95</v>
      </c>
    </row>
    <row r="4059" spans="1:4">
      <c r="A4059">
        <v>11756</v>
      </c>
      <c r="B4059" t="s">
        <v>963</v>
      </c>
      <c r="C4059" t="s">
        <v>6636</v>
      </c>
      <c r="D4059" s="233">
        <v>28.15</v>
      </c>
    </row>
    <row r="4060" spans="1:4">
      <c r="A4060">
        <v>10904</v>
      </c>
      <c r="B4060" t="s">
        <v>10368</v>
      </c>
      <c r="C4060" t="s">
        <v>6636</v>
      </c>
      <c r="D4060" s="233">
        <v>102</v>
      </c>
    </row>
    <row r="4061" spans="1:4">
      <c r="A4061">
        <v>11752</v>
      </c>
      <c r="B4061" t="s">
        <v>10369</v>
      </c>
      <c r="C4061" t="s">
        <v>6636</v>
      </c>
      <c r="D4061" s="233">
        <v>16.23</v>
      </c>
    </row>
    <row r="4062" spans="1:4">
      <c r="A4062">
        <v>11753</v>
      </c>
      <c r="B4062" t="s">
        <v>10370</v>
      </c>
      <c r="C4062" t="s">
        <v>6636</v>
      </c>
      <c r="D4062" s="233">
        <v>19.38</v>
      </c>
    </row>
    <row r="4063" spans="1:4">
      <c r="A4063">
        <v>6021</v>
      </c>
      <c r="B4063" t="s">
        <v>10371</v>
      </c>
      <c r="C4063" t="s">
        <v>6636</v>
      </c>
      <c r="D4063" s="233">
        <v>53.79</v>
      </c>
    </row>
    <row r="4064" spans="1:4">
      <c r="A4064">
        <v>6024</v>
      </c>
      <c r="B4064" t="s">
        <v>10372</v>
      </c>
      <c r="C4064" t="s">
        <v>6636</v>
      </c>
      <c r="D4064" s="233">
        <v>55.6</v>
      </c>
    </row>
    <row r="4065" spans="1:4">
      <c r="A4065">
        <v>38379</v>
      </c>
      <c r="B4065" t="s">
        <v>10373</v>
      </c>
      <c r="C4065" t="s">
        <v>6649</v>
      </c>
      <c r="D4065" s="233">
        <v>32.24</v>
      </c>
    </row>
    <row r="4066" spans="1:4">
      <c r="A4066">
        <v>13897</v>
      </c>
      <c r="B4066" t="s">
        <v>10374</v>
      </c>
      <c r="C4066" t="s">
        <v>6636</v>
      </c>
      <c r="D4066" s="234">
        <v>5112.8</v>
      </c>
    </row>
    <row r="4067" spans="1:4">
      <c r="A4067">
        <v>10640</v>
      </c>
      <c r="B4067" t="s">
        <v>10375</v>
      </c>
      <c r="C4067" t="s">
        <v>6636</v>
      </c>
      <c r="D4067" s="234">
        <v>11073.25</v>
      </c>
    </row>
    <row r="4068" spans="1:4">
      <c r="A4068">
        <v>11086</v>
      </c>
      <c r="B4068" t="s">
        <v>10376</v>
      </c>
      <c r="C4068" t="s">
        <v>6781</v>
      </c>
      <c r="D4068" s="233">
        <v>71.92</v>
      </c>
    </row>
    <row r="4069" spans="1:4">
      <c r="A4069">
        <v>34356</v>
      </c>
      <c r="B4069" t="s">
        <v>10377</v>
      </c>
      <c r="C4069" t="s">
        <v>6698</v>
      </c>
      <c r="D4069" s="233">
        <v>3.43</v>
      </c>
    </row>
    <row r="4070" spans="1:4">
      <c r="A4070">
        <v>34357</v>
      </c>
      <c r="B4070" t="s">
        <v>10378</v>
      </c>
      <c r="C4070" t="s">
        <v>6698</v>
      </c>
      <c r="D4070" s="233">
        <v>3.82</v>
      </c>
    </row>
    <row r="4071" spans="1:4">
      <c r="A4071">
        <v>37329</v>
      </c>
      <c r="B4071" t="s">
        <v>10379</v>
      </c>
      <c r="C4071" t="s">
        <v>6698</v>
      </c>
      <c r="D4071" s="233">
        <v>53.16</v>
      </c>
    </row>
    <row r="4072" spans="1:4">
      <c r="A4072">
        <v>37398</v>
      </c>
      <c r="B4072" t="s">
        <v>10380</v>
      </c>
      <c r="C4072" t="s">
        <v>6698</v>
      </c>
      <c r="D4072" s="233">
        <v>68.040000000000006</v>
      </c>
    </row>
    <row r="4073" spans="1:4">
      <c r="A4073">
        <v>2510</v>
      </c>
      <c r="B4073" t="s">
        <v>10381</v>
      </c>
      <c r="C4073" t="s">
        <v>6636</v>
      </c>
      <c r="D4073" s="233">
        <v>17.170000000000002</v>
      </c>
    </row>
    <row r="4074" spans="1:4">
      <c r="A4074">
        <v>12359</v>
      </c>
      <c r="B4074" t="s">
        <v>10382</v>
      </c>
      <c r="C4074" t="s">
        <v>6636</v>
      </c>
      <c r="D4074" s="233">
        <v>103.19</v>
      </c>
    </row>
    <row r="4075" spans="1:4">
      <c r="A4075">
        <v>5320</v>
      </c>
      <c r="B4075" t="s">
        <v>10383</v>
      </c>
      <c r="C4075" t="s">
        <v>6700</v>
      </c>
      <c r="D4075" s="233">
        <v>31.65</v>
      </c>
    </row>
    <row r="4076" spans="1:4">
      <c r="A4076">
        <v>7353</v>
      </c>
      <c r="B4076" t="s">
        <v>10384</v>
      </c>
      <c r="C4076" t="s">
        <v>6700</v>
      </c>
      <c r="D4076" s="233">
        <v>23.44</v>
      </c>
    </row>
    <row r="4077" spans="1:4">
      <c r="A4077">
        <v>36144</v>
      </c>
      <c r="B4077" t="s">
        <v>10385</v>
      </c>
      <c r="C4077" t="s">
        <v>6636</v>
      </c>
      <c r="D4077" s="233">
        <v>1.33</v>
      </c>
    </row>
    <row r="4078" spans="1:4">
      <c r="A4078">
        <v>10518</v>
      </c>
      <c r="B4078" t="s">
        <v>10386</v>
      </c>
      <c r="C4078" t="s">
        <v>6636</v>
      </c>
      <c r="D4078" s="233">
        <v>66.45</v>
      </c>
    </row>
    <row r="4079" spans="1:4">
      <c r="A4079">
        <v>36530</v>
      </c>
      <c r="B4079" t="s">
        <v>10387</v>
      </c>
      <c r="C4079" t="s">
        <v>6636</v>
      </c>
      <c r="D4079" s="234">
        <v>218963.41</v>
      </c>
    </row>
    <row r="4080" spans="1:4">
      <c r="A4080">
        <v>6046</v>
      </c>
      <c r="B4080" t="s">
        <v>10388</v>
      </c>
      <c r="C4080" t="s">
        <v>6636</v>
      </c>
      <c r="D4080" s="234">
        <v>237500</v>
      </c>
    </row>
    <row r="4081" spans="1:4">
      <c r="A4081">
        <v>36531</v>
      </c>
      <c r="B4081" t="s">
        <v>10389</v>
      </c>
      <c r="C4081" t="s">
        <v>6636</v>
      </c>
      <c r="D4081" s="234">
        <v>246189</v>
      </c>
    </row>
    <row r="4082" spans="1:4">
      <c r="A4082">
        <v>34684</v>
      </c>
      <c r="B4082" t="s">
        <v>10390</v>
      </c>
      <c r="C4082" t="s">
        <v>6638</v>
      </c>
      <c r="D4082" s="233">
        <v>190.39</v>
      </c>
    </row>
    <row r="4083" spans="1:4">
      <c r="A4083">
        <v>34683</v>
      </c>
      <c r="B4083" t="s">
        <v>10391</v>
      </c>
      <c r="C4083" t="s">
        <v>6638</v>
      </c>
      <c r="D4083" s="233">
        <v>118.99</v>
      </c>
    </row>
    <row r="4084" spans="1:4">
      <c r="A4084">
        <v>533</v>
      </c>
      <c r="B4084" t="s">
        <v>10392</v>
      </c>
      <c r="C4084" t="s">
        <v>6638</v>
      </c>
      <c r="D4084" s="233">
        <v>10.61</v>
      </c>
    </row>
    <row r="4085" spans="1:4">
      <c r="A4085">
        <v>10515</v>
      </c>
      <c r="B4085" t="s">
        <v>10393</v>
      </c>
      <c r="C4085" t="s">
        <v>6638</v>
      </c>
      <c r="D4085" s="233">
        <v>27.38</v>
      </c>
    </row>
    <row r="4086" spans="1:4">
      <c r="A4086">
        <v>536</v>
      </c>
      <c r="B4086" t="s">
        <v>10394</v>
      </c>
      <c r="C4086" t="s">
        <v>6638</v>
      </c>
      <c r="D4086" s="233">
        <v>17.989999999999998</v>
      </c>
    </row>
    <row r="4087" spans="1:4">
      <c r="A4087">
        <v>153</v>
      </c>
      <c r="B4087" t="s">
        <v>10395</v>
      </c>
      <c r="C4087" t="s">
        <v>6700</v>
      </c>
      <c r="D4087" s="233">
        <v>64.739999999999995</v>
      </c>
    </row>
    <row r="4088" spans="1:4">
      <c r="A4088">
        <v>34682</v>
      </c>
      <c r="B4088" t="s">
        <v>10396</v>
      </c>
      <c r="C4088" t="s">
        <v>6638</v>
      </c>
      <c r="D4088" s="233">
        <v>90.99</v>
      </c>
    </row>
    <row r="4089" spans="1:4">
      <c r="A4089">
        <v>20205</v>
      </c>
      <c r="B4089" t="s">
        <v>10397</v>
      </c>
      <c r="C4089" t="s">
        <v>6649</v>
      </c>
      <c r="D4089" s="233">
        <v>1.52</v>
      </c>
    </row>
    <row r="4090" spans="1:4">
      <c r="A4090">
        <v>4412</v>
      </c>
      <c r="B4090" t="s">
        <v>10398</v>
      </c>
      <c r="C4090" t="s">
        <v>6649</v>
      </c>
      <c r="D4090" s="233">
        <v>0.96</v>
      </c>
    </row>
    <row r="4091" spans="1:4">
      <c r="A4091">
        <v>4408</v>
      </c>
      <c r="B4091" t="s">
        <v>10399</v>
      </c>
      <c r="C4091" t="s">
        <v>6649</v>
      </c>
      <c r="D4091" s="233">
        <v>1.31</v>
      </c>
    </row>
    <row r="4092" spans="1:4">
      <c r="A4092">
        <v>4505</v>
      </c>
      <c r="B4092" t="s">
        <v>10400</v>
      </c>
      <c r="C4092" t="s">
        <v>6649</v>
      </c>
      <c r="D4092" s="233">
        <v>2.4900000000000002</v>
      </c>
    </row>
    <row r="4093" spans="1:4">
      <c r="A4093">
        <v>10559</v>
      </c>
      <c r="B4093" t="s">
        <v>10401</v>
      </c>
      <c r="C4093" t="s">
        <v>6636</v>
      </c>
      <c r="D4093" s="234">
        <v>2432</v>
      </c>
    </row>
    <row r="4094" spans="1:4">
      <c r="A4094">
        <v>10664</v>
      </c>
      <c r="B4094" t="s">
        <v>10402</v>
      </c>
      <c r="C4094" t="s">
        <v>6636</v>
      </c>
      <c r="D4094" s="234">
        <v>6609.65</v>
      </c>
    </row>
    <row r="4095" spans="1:4">
      <c r="A4095">
        <v>36250</v>
      </c>
      <c r="B4095" t="s">
        <v>10403</v>
      </c>
      <c r="C4095" t="s">
        <v>6649</v>
      </c>
      <c r="D4095" s="233">
        <v>2.4900000000000002</v>
      </c>
    </row>
    <row r="4096" spans="1:4">
      <c r="A4096">
        <v>10857</v>
      </c>
      <c r="B4096" t="s">
        <v>10404</v>
      </c>
      <c r="C4096" t="s">
        <v>6649</v>
      </c>
      <c r="D4096" s="233">
        <v>23.38</v>
      </c>
    </row>
    <row r="4097" spans="1:4">
      <c r="A4097">
        <v>4803</v>
      </c>
      <c r="B4097" t="s">
        <v>10405</v>
      </c>
      <c r="C4097" t="s">
        <v>6649</v>
      </c>
      <c r="D4097" s="233">
        <v>21.51</v>
      </c>
    </row>
    <row r="4098" spans="1:4">
      <c r="A4098">
        <v>6186</v>
      </c>
      <c r="B4098" t="s">
        <v>10406</v>
      </c>
      <c r="C4098" t="s">
        <v>6649</v>
      </c>
      <c r="D4098" s="233">
        <v>9.93</v>
      </c>
    </row>
    <row r="4099" spans="1:4">
      <c r="A4099">
        <v>4829</v>
      </c>
      <c r="B4099" t="s">
        <v>10407</v>
      </c>
      <c r="C4099" t="s">
        <v>6649</v>
      </c>
      <c r="D4099" s="233">
        <v>33.03</v>
      </c>
    </row>
    <row r="4100" spans="1:4">
      <c r="A4100">
        <v>39829</v>
      </c>
      <c r="B4100" t="s">
        <v>10408</v>
      </c>
      <c r="C4100" t="s">
        <v>6649</v>
      </c>
      <c r="D4100" s="233">
        <v>19.93</v>
      </c>
    </row>
    <row r="4101" spans="1:4">
      <c r="A4101">
        <v>20231</v>
      </c>
      <c r="B4101" t="s">
        <v>10409</v>
      </c>
      <c r="C4101" t="s">
        <v>6649</v>
      </c>
      <c r="D4101" s="233">
        <v>43.9</v>
      </c>
    </row>
    <row r="4102" spans="1:4">
      <c r="A4102">
        <v>4804</v>
      </c>
      <c r="B4102" t="s">
        <v>10410</v>
      </c>
      <c r="C4102" t="s">
        <v>6649</v>
      </c>
      <c r="D4102" s="233">
        <v>16.510000000000002</v>
      </c>
    </row>
    <row r="4103" spans="1:4">
      <c r="A4103">
        <v>34680</v>
      </c>
      <c r="B4103" t="s">
        <v>10411</v>
      </c>
      <c r="C4103" t="s">
        <v>6649</v>
      </c>
      <c r="D4103" s="233">
        <v>27.99</v>
      </c>
    </row>
    <row r="4104" spans="1:4">
      <c r="A4104">
        <v>11573</v>
      </c>
      <c r="B4104" t="s">
        <v>10412</v>
      </c>
      <c r="C4104" t="s">
        <v>6636</v>
      </c>
      <c r="D4104" s="233">
        <v>6.6</v>
      </c>
    </row>
    <row r="4105" spans="1:4">
      <c r="A4105">
        <v>38401</v>
      </c>
      <c r="B4105" t="s">
        <v>10413</v>
      </c>
      <c r="C4105" t="s">
        <v>6636</v>
      </c>
      <c r="D4105" s="233">
        <v>10.57</v>
      </c>
    </row>
    <row r="4106" spans="1:4">
      <c r="A4106">
        <v>38179</v>
      </c>
      <c r="B4106" t="s">
        <v>10414</v>
      </c>
      <c r="C4106" t="s">
        <v>6636</v>
      </c>
      <c r="D4106" s="233">
        <v>28.92</v>
      </c>
    </row>
    <row r="4107" spans="1:4">
      <c r="A4107">
        <v>11575</v>
      </c>
      <c r="B4107" t="s">
        <v>10415</v>
      </c>
      <c r="C4107" t="s">
        <v>6636</v>
      </c>
      <c r="D4107" s="233">
        <v>31.21</v>
      </c>
    </row>
    <row r="4108" spans="1:4">
      <c r="A4108">
        <v>20256</v>
      </c>
      <c r="B4108" t="s">
        <v>10416</v>
      </c>
      <c r="C4108" t="s">
        <v>6636</v>
      </c>
      <c r="D4108" s="233">
        <v>0.31</v>
      </c>
    </row>
    <row r="4109" spans="1:4">
      <c r="A4109">
        <v>14511</v>
      </c>
      <c r="B4109" t="s">
        <v>10417</v>
      </c>
      <c r="C4109" t="s">
        <v>6636</v>
      </c>
      <c r="D4109" s="234">
        <v>478796.97</v>
      </c>
    </row>
    <row r="4110" spans="1:4">
      <c r="A4110">
        <v>10642</v>
      </c>
      <c r="B4110" t="s">
        <v>10418</v>
      </c>
      <c r="C4110" t="s">
        <v>6636</v>
      </c>
      <c r="D4110" s="234">
        <v>451050</v>
      </c>
    </row>
    <row r="4111" spans="1:4">
      <c r="A4111">
        <v>14489</v>
      </c>
      <c r="B4111" t="s">
        <v>10419</v>
      </c>
      <c r="C4111" t="s">
        <v>6636</v>
      </c>
      <c r="D4111" s="234">
        <v>400072.96000000002</v>
      </c>
    </row>
    <row r="4112" spans="1:4">
      <c r="A4112">
        <v>14513</v>
      </c>
      <c r="B4112" t="s">
        <v>10420</v>
      </c>
      <c r="C4112" t="s">
        <v>6636</v>
      </c>
      <c r="D4112" s="234">
        <v>300064.21000000002</v>
      </c>
    </row>
    <row r="4113" spans="1:4">
      <c r="A4113">
        <v>13600</v>
      </c>
      <c r="B4113" t="s">
        <v>10421</v>
      </c>
      <c r="C4113" t="s">
        <v>6636</v>
      </c>
      <c r="D4113" s="234">
        <v>387167.33</v>
      </c>
    </row>
    <row r="4114" spans="1:4">
      <c r="A4114">
        <v>10646</v>
      </c>
      <c r="B4114" t="s">
        <v>10422</v>
      </c>
      <c r="C4114" t="s">
        <v>6636</v>
      </c>
      <c r="D4114" s="234">
        <v>288607.45</v>
      </c>
    </row>
    <row r="4115" spans="1:4">
      <c r="A4115">
        <v>6070</v>
      </c>
      <c r="B4115" t="s">
        <v>10423</v>
      </c>
      <c r="C4115" t="s">
        <v>6636</v>
      </c>
      <c r="D4115" s="234">
        <v>394346.56</v>
      </c>
    </row>
    <row r="4116" spans="1:4">
      <c r="A4116">
        <v>6069</v>
      </c>
      <c r="B4116" t="s">
        <v>10424</v>
      </c>
      <c r="C4116" t="s">
        <v>6636</v>
      </c>
      <c r="D4116" s="234">
        <v>87117.1</v>
      </c>
    </row>
    <row r="4117" spans="1:4">
      <c r="A4117">
        <v>14626</v>
      </c>
      <c r="B4117" t="s">
        <v>10425</v>
      </c>
      <c r="C4117" t="s">
        <v>6636</v>
      </c>
      <c r="D4117" s="234">
        <v>431719.3</v>
      </c>
    </row>
    <row r="4118" spans="1:4">
      <c r="A4118">
        <v>6067</v>
      </c>
      <c r="B4118" t="s">
        <v>10426</v>
      </c>
      <c r="C4118" t="s">
        <v>6636</v>
      </c>
      <c r="D4118" s="234">
        <v>354396.43</v>
      </c>
    </row>
    <row r="4119" spans="1:4">
      <c r="A4119">
        <v>38393</v>
      </c>
      <c r="B4119" t="s">
        <v>10427</v>
      </c>
      <c r="C4119" t="s">
        <v>6636</v>
      </c>
      <c r="D4119" s="233">
        <v>13.39</v>
      </c>
    </row>
    <row r="4120" spans="1:4">
      <c r="A4120">
        <v>38390</v>
      </c>
      <c r="B4120" t="s">
        <v>10428</v>
      </c>
      <c r="C4120" t="s">
        <v>6636</v>
      </c>
      <c r="D4120" s="233">
        <v>29.7</v>
      </c>
    </row>
    <row r="4121" spans="1:4">
      <c r="A4121">
        <v>36532</v>
      </c>
      <c r="B4121" t="s">
        <v>10429</v>
      </c>
      <c r="C4121" t="s">
        <v>6636</v>
      </c>
      <c r="D4121" s="234">
        <v>21912.01</v>
      </c>
    </row>
    <row r="4122" spans="1:4">
      <c r="A4122">
        <v>11578</v>
      </c>
      <c r="B4122" t="s">
        <v>10430</v>
      </c>
      <c r="C4122" t="s">
        <v>6636</v>
      </c>
      <c r="D4122" s="233">
        <v>10.02</v>
      </c>
    </row>
    <row r="4123" spans="1:4">
      <c r="A4123">
        <v>11577</v>
      </c>
      <c r="B4123" t="s">
        <v>10431</v>
      </c>
      <c r="C4123" t="s">
        <v>6636</v>
      </c>
      <c r="D4123" s="233">
        <v>9.57</v>
      </c>
    </row>
    <row r="4124" spans="1:4">
      <c r="A4124">
        <v>42432</v>
      </c>
      <c r="B4124" t="s">
        <v>10432</v>
      </c>
      <c r="C4124" t="s">
        <v>6636</v>
      </c>
      <c r="D4124" s="234">
        <v>1377.27</v>
      </c>
    </row>
    <row r="4125" spans="1:4">
      <c r="A4125">
        <v>42437</v>
      </c>
      <c r="B4125" t="s">
        <v>10433</v>
      </c>
      <c r="C4125" t="s">
        <v>6636</v>
      </c>
      <c r="D4125" s="234">
        <v>1047.0899999999999</v>
      </c>
    </row>
    <row r="4126" spans="1:4">
      <c r="A4126">
        <v>1116</v>
      </c>
      <c r="B4126" t="s">
        <v>10434</v>
      </c>
      <c r="C4126" t="s">
        <v>6649</v>
      </c>
      <c r="D4126" s="233">
        <v>13.94</v>
      </c>
    </row>
    <row r="4127" spans="1:4">
      <c r="A4127">
        <v>1115</v>
      </c>
      <c r="B4127" t="s">
        <v>10435</v>
      </c>
      <c r="C4127" t="s">
        <v>6649</v>
      </c>
      <c r="D4127" s="233">
        <v>16.7</v>
      </c>
    </row>
    <row r="4128" spans="1:4">
      <c r="A4128">
        <v>1113</v>
      </c>
      <c r="B4128" t="s">
        <v>10436</v>
      </c>
      <c r="C4128" t="s">
        <v>6649</v>
      </c>
      <c r="D4128" s="233">
        <v>19.52</v>
      </c>
    </row>
    <row r="4129" spans="1:4">
      <c r="A4129">
        <v>1114</v>
      </c>
      <c r="B4129" t="s">
        <v>10437</v>
      </c>
      <c r="C4129" t="s">
        <v>6649</v>
      </c>
      <c r="D4129" s="233">
        <v>23.26</v>
      </c>
    </row>
    <row r="4130" spans="1:4">
      <c r="A4130">
        <v>40873</v>
      </c>
      <c r="B4130" t="s">
        <v>12348</v>
      </c>
      <c r="C4130" t="s">
        <v>6649</v>
      </c>
      <c r="D4130" s="233">
        <v>18.2</v>
      </c>
    </row>
    <row r="4131" spans="1:4">
      <c r="A4131">
        <v>20214</v>
      </c>
      <c r="B4131" t="s">
        <v>10438</v>
      </c>
      <c r="C4131" t="s">
        <v>6636</v>
      </c>
      <c r="D4131" s="233">
        <v>31.28</v>
      </c>
    </row>
    <row r="4132" spans="1:4">
      <c r="A4132">
        <v>11064</v>
      </c>
      <c r="B4132" t="s">
        <v>10439</v>
      </c>
      <c r="C4132" t="s">
        <v>6636</v>
      </c>
      <c r="D4132" s="233">
        <v>13.26</v>
      </c>
    </row>
    <row r="4133" spans="1:4">
      <c r="A4133">
        <v>7237</v>
      </c>
      <c r="B4133" t="s">
        <v>10440</v>
      </c>
      <c r="C4133" t="s">
        <v>6636</v>
      </c>
      <c r="D4133" s="233">
        <v>18.09</v>
      </c>
    </row>
    <row r="4134" spans="1:4">
      <c r="A4134">
        <v>16</v>
      </c>
      <c r="B4134" t="s">
        <v>10441</v>
      </c>
      <c r="C4134" t="s">
        <v>6698</v>
      </c>
      <c r="D4134" s="233">
        <v>6.6</v>
      </c>
    </row>
    <row r="4135" spans="1:4">
      <c r="A4135">
        <v>11757</v>
      </c>
      <c r="B4135" t="s">
        <v>10442</v>
      </c>
      <c r="C4135" t="s">
        <v>6636</v>
      </c>
      <c r="D4135" s="233">
        <v>25.95</v>
      </c>
    </row>
    <row r="4136" spans="1:4">
      <c r="A4136">
        <v>11758</v>
      </c>
      <c r="B4136" t="s">
        <v>10443</v>
      </c>
      <c r="C4136" t="s">
        <v>6636</v>
      </c>
      <c r="D4136" s="233">
        <v>39.43</v>
      </c>
    </row>
    <row r="4137" spans="1:4">
      <c r="A4137">
        <v>37526</v>
      </c>
      <c r="B4137" t="s">
        <v>10444</v>
      </c>
      <c r="C4137" t="s">
        <v>6636</v>
      </c>
      <c r="D4137" s="233">
        <v>2.4</v>
      </c>
    </row>
    <row r="4138" spans="1:4">
      <c r="A4138">
        <v>6076</v>
      </c>
      <c r="B4138" t="s">
        <v>10445</v>
      </c>
      <c r="C4138" t="s">
        <v>6781</v>
      </c>
      <c r="D4138" s="233">
        <v>53.2</v>
      </c>
    </row>
    <row r="4139" spans="1:4">
      <c r="A4139">
        <v>13109</v>
      </c>
      <c r="B4139" t="s">
        <v>10446</v>
      </c>
      <c r="C4139" t="s">
        <v>6636</v>
      </c>
      <c r="D4139" s="233">
        <v>175.12</v>
      </c>
    </row>
    <row r="4140" spans="1:4">
      <c r="A4140">
        <v>13110</v>
      </c>
      <c r="B4140" t="s">
        <v>10447</v>
      </c>
      <c r="C4140" t="s">
        <v>6636</v>
      </c>
      <c r="D4140" s="233">
        <v>230.47</v>
      </c>
    </row>
    <row r="4141" spans="1:4">
      <c r="A4141">
        <v>7581</v>
      </c>
      <c r="B4141" t="s">
        <v>942</v>
      </c>
      <c r="C4141" t="s">
        <v>6636</v>
      </c>
      <c r="D4141" s="233">
        <v>2.57</v>
      </c>
    </row>
    <row r="4142" spans="1:4">
      <c r="A4142">
        <v>20206</v>
      </c>
      <c r="B4142" t="s">
        <v>10448</v>
      </c>
      <c r="C4142" t="s">
        <v>6649</v>
      </c>
      <c r="D4142" s="233">
        <v>4.5199999999999996</v>
      </c>
    </row>
    <row r="4143" spans="1:4">
      <c r="A4143">
        <v>4460</v>
      </c>
      <c r="B4143" t="s">
        <v>848</v>
      </c>
      <c r="C4143" t="s">
        <v>6649</v>
      </c>
      <c r="D4143" s="233">
        <v>5.43</v>
      </c>
    </row>
    <row r="4144" spans="1:4">
      <c r="A4144">
        <v>6204</v>
      </c>
      <c r="B4144" t="s">
        <v>12718</v>
      </c>
      <c r="C4144" t="s">
        <v>6649</v>
      </c>
      <c r="D4144" s="233">
        <v>8.11</v>
      </c>
    </row>
    <row r="4145" spans="1:4">
      <c r="A4145">
        <v>4417</v>
      </c>
      <c r="B4145" t="s">
        <v>10449</v>
      </c>
      <c r="C4145" t="s">
        <v>6649</v>
      </c>
      <c r="D4145" s="233">
        <v>3.12</v>
      </c>
    </row>
    <row r="4146" spans="1:4">
      <c r="A4146">
        <v>4517</v>
      </c>
      <c r="B4146" t="s">
        <v>10450</v>
      </c>
      <c r="C4146" t="s">
        <v>6649</v>
      </c>
      <c r="D4146" s="233">
        <v>2</v>
      </c>
    </row>
    <row r="4147" spans="1:4">
      <c r="A4147">
        <v>4512</v>
      </c>
      <c r="B4147" t="s">
        <v>10451</v>
      </c>
      <c r="C4147" t="s">
        <v>6649</v>
      </c>
      <c r="D4147" s="233">
        <v>1.45</v>
      </c>
    </row>
    <row r="4148" spans="1:4">
      <c r="A4148">
        <v>4415</v>
      </c>
      <c r="B4148" t="s">
        <v>10452</v>
      </c>
      <c r="C4148" t="s">
        <v>6649</v>
      </c>
      <c r="D4148" s="233">
        <v>2.62</v>
      </c>
    </row>
    <row r="4149" spans="1:4">
      <c r="A4149">
        <v>37373</v>
      </c>
      <c r="B4149" t="s">
        <v>10453</v>
      </c>
      <c r="C4149" t="s">
        <v>6640</v>
      </c>
      <c r="D4149" s="233">
        <v>7.0000000000000007E-2</v>
      </c>
    </row>
    <row r="4150" spans="1:4">
      <c r="A4150">
        <v>40864</v>
      </c>
      <c r="B4150" t="s">
        <v>10454</v>
      </c>
      <c r="C4150" t="s">
        <v>6785</v>
      </c>
      <c r="D4150" s="233">
        <v>13.07</v>
      </c>
    </row>
    <row r="4151" spans="1:4">
      <c r="A4151">
        <v>4734</v>
      </c>
      <c r="B4151" t="s">
        <v>10455</v>
      </c>
      <c r="C4151" t="s">
        <v>6781</v>
      </c>
      <c r="D4151" s="233">
        <v>102.36</v>
      </c>
    </row>
    <row r="4152" spans="1:4">
      <c r="A4152">
        <v>6085</v>
      </c>
      <c r="B4152" t="s">
        <v>10456</v>
      </c>
      <c r="C4152" t="s">
        <v>6700</v>
      </c>
      <c r="D4152" s="233">
        <v>4.03</v>
      </c>
    </row>
    <row r="4153" spans="1:4">
      <c r="A4153">
        <v>38396</v>
      </c>
      <c r="B4153" t="s">
        <v>10457</v>
      </c>
      <c r="C4153" t="s">
        <v>6636</v>
      </c>
      <c r="D4153" s="233">
        <v>544.79999999999995</v>
      </c>
    </row>
    <row r="4154" spans="1:4">
      <c r="A4154">
        <v>6090</v>
      </c>
      <c r="B4154" t="s">
        <v>10458</v>
      </c>
      <c r="C4154" t="s">
        <v>6700</v>
      </c>
      <c r="D4154" s="233">
        <v>7.65</v>
      </c>
    </row>
    <row r="4155" spans="1:4">
      <c r="A4155">
        <v>11622</v>
      </c>
      <c r="B4155" t="s">
        <v>10459</v>
      </c>
      <c r="C4155" t="s">
        <v>6698</v>
      </c>
      <c r="D4155" s="233">
        <v>48.78</v>
      </c>
    </row>
    <row r="4156" spans="1:4">
      <c r="A4156">
        <v>6094</v>
      </c>
      <c r="B4156" t="s">
        <v>10460</v>
      </c>
      <c r="C4156" t="s">
        <v>6698</v>
      </c>
      <c r="D4156" s="233">
        <v>12.94</v>
      </c>
    </row>
    <row r="4157" spans="1:4">
      <c r="A4157">
        <v>43143</v>
      </c>
      <c r="B4157" t="s">
        <v>12349</v>
      </c>
      <c r="C4157" t="s">
        <v>6700</v>
      </c>
      <c r="D4157" s="233">
        <v>18.420000000000002</v>
      </c>
    </row>
    <row r="4158" spans="1:4">
      <c r="A4158">
        <v>7317</v>
      </c>
      <c r="B4158" t="s">
        <v>10461</v>
      </c>
      <c r="C4158" t="s">
        <v>6698</v>
      </c>
      <c r="D4158" s="233">
        <v>29.25</v>
      </c>
    </row>
    <row r="4159" spans="1:4">
      <c r="A4159">
        <v>142</v>
      </c>
      <c r="B4159" t="s">
        <v>12350</v>
      </c>
      <c r="C4159" t="s">
        <v>10462</v>
      </c>
      <c r="D4159" s="233">
        <v>23.02</v>
      </c>
    </row>
    <row r="4160" spans="1:4">
      <c r="A4160">
        <v>43142</v>
      </c>
      <c r="B4160" t="s">
        <v>12351</v>
      </c>
      <c r="C4160" t="s">
        <v>6700</v>
      </c>
      <c r="D4160" s="233">
        <v>104.56</v>
      </c>
    </row>
    <row r="4161" spans="1:4">
      <c r="A4161">
        <v>38123</v>
      </c>
      <c r="B4161" t="s">
        <v>10463</v>
      </c>
      <c r="C4161" t="s">
        <v>6698</v>
      </c>
      <c r="D4161" s="233">
        <v>59.31</v>
      </c>
    </row>
    <row r="4162" spans="1:4">
      <c r="A4162">
        <v>42701</v>
      </c>
      <c r="B4162" t="s">
        <v>10464</v>
      </c>
      <c r="C4162" t="s">
        <v>6636</v>
      </c>
      <c r="D4162" s="233">
        <v>25.47</v>
      </c>
    </row>
    <row r="4163" spans="1:4">
      <c r="A4163">
        <v>42702</v>
      </c>
      <c r="B4163" t="s">
        <v>10465</v>
      </c>
      <c r="C4163" t="s">
        <v>6636</v>
      </c>
      <c r="D4163" s="233">
        <v>45.25</v>
      </c>
    </row>
    <row r="4164" spans="1:4">
      <c r="A4164">
        <v>37955</v>
      </c>
      <c r="B4164" t="s">
        <v>10466</v>
      </c>
      <c r="C4164" t="s">
        <v>6636</v>
      </c>
      <c r="D4164" s="233">
        <v>58.65</v>
      </c>
    </row>
    <row r="4165" spans="1:4">
      <c r="A4165">
        <v>42699</v>
      </c>
      <c r="B4165" t="s">
        <v>10467</v>
      </c>
      <c r="C4165" t="s">
        <v>6636</v>
      </c>
      <c r="D4165" s="233">
        <v>15.55</v>
      </c>
    </row>
    <row r="4166" spans="1:4">
      <c r="A4166">
        <v>42700</v>
      </c>
      <c r="B4166" t="s">
        <v>10468</v>
      </c>
      <c r="C4166" t="s">
        <v>6636</v>
      </c>
      <c r="D4166" s="233">
        <v>44.35</v>
      </c>
    </row>
    <row r="4167" spans="1:4">
      <c r="A4167">
        <v>37743</v>
      </c>
      <c r="B4167" t="s">
        <v>10469</v>
      </c>
      <c r="C4167" t="s">
        <v>6636</v>
      </c>
      <c r="D4167" s="234">
        <v>118650.34</v>
      </c>
    </row>
    <row r="4168" spans="1:4">
      <c r="A4168">
        <v>37744</v>
      </c>
      <c r="B4168" t="s">
        <v>10470</v>
      </c>
      <c r="C4168" t="s">
        <v>6636</v>
      </c>
      <c r="D4168" s="234">
        <v>139510.48000000001</v>
      </c>
    </row>
    <row r="4169" spans="1:4">
      <c r="A4169">
        <v>37741</v>
      </c>
      <c r="B4169" t="s">
        <v>10471</v>
      </c>
      <c r="C4169" t="s">
        <v>6636</v>
      </c>
      <c r="D4169" s="234">
        <v>107888.11</v>
      </c>
    </row>
    <row r="4170" spans="1:4">
      <c r="A4170">
        <v>39396</v>
      </c>
      <c r="B4170" t="s">
        <v>10472</v>
      </c>
      <c r="C4170" t="s">
        <v>6636</v>
      </c>
      <c r="D4170" s="233">
        <v>33.630000000000003</v>
      </c>
    </row>
    <row r="4171" spans="1:4">
      <c r="A4171">
        <v>39392</v>
      </c>
      <c r="B4171" t="s">
        <v>10473</v>
      </c>
      <c r="C4171" t="s">
        <v>6636</v>
      </c>
      <c r="D4171" s="233">
        <v>37.93</v>
      </c>
    </row>
    <row r="4172" spans="1:4">
      <c r="A4172">
        <v>39393</v>
      </c>
      <c r="B4172" t="s">
        <v>10474</v>
      </c>
      <c r="C4172" t="s">
        <v>6636</v>
      </c>
      <c r="D4172" s="233">
        <v>23.46</v>
      </c>
    </row>
    <row r="4173" spans="1:4">
      <c r="A4173">
        <v>39394</v>
      </c>
      <c r="B4173" t="s">
        <v>10475</v>
      </c>
      <c r="C4173" t="s">
        <v>6636</v>
      </c>
      <c r="D4173" s="233">
        <v>26.4</v>
      </c>
    </row>
    <row r="4174" spans="1:4">
      <c r="A4174">
        <v>39395</v>
      </c>
      <c r="B4174" t="s">
        <v>10476</v>
      </c>
      <c r="C4174" t="s">
        <v>6636</v>
      </c>
      <c r="D4174" s="233">
        <v>24.55</v>
      </c>
    </row>
    <row r="4175" spans="1:4">
      <c r="A4175">
        <v>14618</v>
      </c>
      <c r="B4175" t="s">
        <v>10477</v>
      </c>
      <c r="C4175" t="s">
        <v>6636</v>
      </c>
      <c r="D4175" s="234">
        <v>1391.55</v>
      </c>
    </row>
    <row r="4176" spans="1:4">
      <c r="A4176">
        <v>40269</v>
      </c>
      <c r="B4176" t="s">
        <v>10478</v>
      </c>
      <c r="C4176" t="s">
        <v>6636</v>
      </c>
      <c r="D4176" s="234">
        <v>5606.48</v>
      </c>
    </row>
    <row r="4177" spans="1:4">
      <c r="A4177">
        <v>6110</v>
      </c>
      <c r="B4177" t="s">
        <v>10479</v>
      </c>
      <c r="C4177" t="s">
        <v>6640</v>
      </c>
      <c r="D4177" s="233">
        <v>14.81</v>
      </c>
    </row>
    <row r="4178" spans="1:4">
      <c r="A4178">
        <v>40910</v>
      </c>
      <c r="B4178" t="s">
        <v>10480</v>
      </c>
      <c r="C4178" t="s">
        <v>6785</v>
      </c>
      <c r="D4178" s="234">
        <v>2626.51</v>
      </c>
    </row>
    <row r="4179" spans="1:4">
      <c r="A4179">
        <v>6111</v>
      </c>
      <c r="B4179" t="s">
        <v>10481</v>
      </c>
      <c r="C4179" t="s">
        <v>6640</v>
      </c>
      <c r="D4179" s="233">
        <v>11.02</v>
      </c>
    </row>
    <row r="4180" spans="1:4">
      <c r="A4180">
        <v>41084</v>
      </c>
      <c r="B4180" t="s">
        <v>10482</v>
      </c>
      <c r="C4180" t="s">
        <v>6785</v>
      </c>
      <c r="D4180" s="234">
        <v>1953.82</v>
      </c>
    </row>
    <row r="4181" spans="1:4">
      <c r="A4181">
        <v>25950</v>
      </c>
      <c r="B4181" t="s">
        <v>10483</v>
      </c>
      <c r="C4181" t="s">
        <v>6781</v>
      </c>
      <c r="D4181" s="233">
        <v>41.15</v>
      </c>
    </row>
    <row r="4182" spans="1:4">
      <c r="A4182">
        <v>38637</v>
      </c>
      <c r="B4182" t="s">
        <v>10484</v>
      </c>
      <c r="C4182" t="s">
        <v>6636</v>
      </c>
      <c r="D4182" s="233">
        <v>171.56</v>
      </c>
    </row>
    <row r="4183" spans="1:4">
      <c r="A4183">
        <v>6150</v>
      </c>
      <c r="B4183" t="s">
        <v>10485</v>
      </c>
      <c r="C4183" t="s">
        <v>6636</v>
      </c>
      <c r="D4183" s="233">
        <v>173.66</v>
      </c>
    </row>
    <row r="4184" spans="1:4">
      <c r="A4184">
        <v>6136</v>
      </c>
      <c r="B4184" t="s">
        <v>10486</v>
      </c>
      <c r="C4184" t="s">
        <v>6636</v>
      </c>
      <c r="D4184" s="233">
        <v>136.51</v>
      </c>
    </row>
    <row r="4185" spans="1:4">
      <c r="A4185">
        <v>38638</v>
      </c>
      <c r="B4185" t="s">
        <v>10487</v>
      </c>
      <c r="C4185" t="s">
        <v>6636</v>
      </c>
      <c r="D4185" s="233">
        <v>144.57</v>
      </c>
    </row>
    <row r="4186" spans="1:4">
      <c r="A4186">
        <v>20262</v>
      </c>
      <c r="B4186" t="s">
        <v>10488</v>
      </c>
      <c r="C4186" t="s">
        <v>6636</v>
      </c>
      <c r="D4186" s="233">
        <v>12.93</v>
      </c>
    </row>
    <row r="4187" spans="1:4">
      <c r="A4187">
        <v>6148</v>
      </c>
      <c r="B4187" t="s">
        <v>10489</v>
      </c>
      <c r="C4187" t="s">
        <v>6636</v>
      </c>
      <c r="D4187" s="233">
        <v>8</v>
      </c>
    </row>
    <row r="4188" spans="1:4">
      <c r="A4188">
        <v>6145</v>
      </c>
      <c r="B4188" t="s">
        <v>10490</v>
      </c>
      <c r="C4188" t="s">
        <v>6636</v>
      </c>
      <c r="D4188" s="233">
        <v>14.34</v>
      </c>
    </row>
    <row r="4189" spans="1:4">
      <c r="A4189">
        <v>6149</v>
      </c>
      <c r="B4189" t="s">
        <v>10491</v>
      </c>
      <c r="C4189" t="s">
        <v>6636</v>
      </c>
      <c r="D4189" s="233">
        <v>13.52</v>
      </c>
    </row>
    <row r="4190" spans="1:4">
      <c r="A4190">
        <v>6146</v>
      </c>
      <c r="B4190" t="s">
        <v>10492</v>
      </c>
      <c r="C4190" t="s">
        <v>6636</v>
      </c>
      <c r="D4190" s="233">
        <v>14.36</v>
      </c>
    </row>
    <row r="4191" spans="1:4">
      <c r="A4191">
        <v>26026</v>
      </c>
      <c r="B4191" t="s">
        <v>10493</v>
      </c>
      <c r="C4191" t="s">
        <v>6698</v>
      </c>
      <c r="D4191" s="233">
        <v>1.93</v>
      </c>
    </row>
    <row r="4192" spans="1:4">
      <c r="A4192">
        <v>39961</v>
      </c>
      <c r="B4192" t="s">
        <v>10494</v>
      </c>
      <c r="C4192" t="s">
        <v>6636</v>
      </c>
      <c r="D4192" s="233">
        <v>15.21</v>
      </c>
    </row>
    <row r="4193" spans="1:4">
      <c r="A4193">
        <v>42433</v>
      </c>
      <c r="B4193" t="s">
        <v>10495</v>
      </c>
      <c r="C4193" t="s">
        <v>6636</v>
      </c>
      <c r="D4193" s="234">
        <v>2720.4</v>
      </c>
    </row>
    <row r="4194" spans="1:4">
      <c r="A4194">
        <v>42434</v>
      </c>
      <c r="B4194" t="s">
        <v>10496</v>
      </c>
      <c r="C4194" t="s">
        <v>6636</v>
      </c>
      <c r="D4194" s="234">
        <v>2939.79</v>
      </c>
    </row>
    <row r="4195" spans="1:4">
      <c r="A4195">
        <v>42435</v>
      </c>
      <c r="B4195" t="s">
        <v>10497</v>
      </c>
      <c r="C4195" t="s">
        <v>6636</v>
      </c>
      <c r="D4195" s="234">
        <v>1465.96</v>
      </c>
    </row>
    <row r="4196" spans="1:4">
      <c r="A4196">
        <v>38061</v>
      </c>
      <c r="B4196" t="s">
        <v>10498</v>
      </c>
      <c r="C4196" t="s">
        <v>6636</v>
      </c>
      <c r="D4196" s="233">
        <v>53.63</v>
      </c>
    </row>
    <row r="4197" spans="1:4">
      <c r="A4197">
        <v>20250</v>
      </c>
      <c r="B4197" t="s">
        <v>10499</v>
      </c>
      <c r="C4197" t="s">
        <v>6698</v>
      </c>
      <c r="D4197" s="233">
        <v>10.84</v>
      </c>
    </row>
    <row r="4198" spans="1:4">
      <c r="A4198">
        <v>39965</v>
      </c>
      <c r="B4198" t="s">
        <v>10500</v>
      </c>
      <c r="C4198" t="s">
        <v>6638</v>
      </c>
      <c r="D4198" s="234">
        <v>1325.85</v>
      </c>
    </row>
    <row r="4199" spans="1:4">
      <c r="A4199">
        <v>39964</v>
      </c>
      <c r="B4199" t="s">
        <v>10501</v>
      </c>
      <c r="C4199" t="s">
        <v>6638</v>
      </c>
      <c r="D4199" s="234">
        <v>1126.1600000000001</v>
      </c>
    </row>
    <row r="4200" spans="1:4">
      <c r="A4200">
        <v>7</v>
      </c>
      <c r="B4200" t="s">
        <v>10502</v>
      </c>
      <c r="C4200" t="s">
        <v>6698</v>
      </c>
      <c r="D4200" s="233">
        <v>10.96</v>
      </c>
    </row>
    <row r="4201" spans="1:4">
      <c r="A4201">
        <v>13388</v>
      </c>
      <c r="B4201" t="s">
        <v>829</v>
      </c>
      <c r="C4201" t="s">
        <v>6698</v>
      </c>
      <c r="D4201" s="233">
        <v>62.43</v>
      </c>
    </row>
    <row r="4202" spans="1:4">
      <c r="A4202">
        <v>39914</v>
      </c>
      <c r="B4202" t="s">
        <v>10503</v>
      </c>
      <c r="C4202" t="s">
        <v>6698</v>
      </c>
      <c r="D4202" s="233">
        <v>143.38999999999999</v>
      </c>
    </row>
    <row r="4203" spans="1:4">
      <c r="A4203">
        <v>12732</v>
      </c>
      <c r="B4203" t="s">
        <v>10504</v>
      </c>
      <c r="C4203" t="s">
        <v>6636</v>
      </c>
      <c r="D4203" s="233">
        <v>165.45</v>
      </c>
    </row>
    <row r="4204" spans="1:4">
      <c r="A4204">
        <v>6160</v>
      </c>
      <c r="B4204" t="s">
        <v>10505</v>
      </c>
      <c r="C4204" t="s">
        <v>6640</v>
      </c>
      <c r="D4204" s="233">
        <v>14.32</v>
      </c>
    </row>
    <row r="4205" spans="1:4">
      <c r="A4205">
        <v>41087</v>
      </c>
      <c r="B4205" t="s">
        <v>10506</v>
      </c>
      <c r="C4205" t="s">
        <v>6785</v>
      </c>
      <c r="D4205" s="234">
        <v>2539.59</v>
      </c>
    </row>
    <row r="4206" spans="1:4">
      <c r="A4206">
        <v>6166</v>
      </c>
      <c r="B4206" t="s">
        <v>10507</v>
      </c>
      <c r="C4206" t="s">
        <v>6640</v>
      </c>
      <c r="D4206" s="233">
        <v>19.18</v>
      </c>
    </row>
    <row r="4207" spans="1:4">
      <c r="A4207">
        <v>41088</v>
      </c>
      <c r="B4207" t="s">
        <v>10508</v>
      </c>
      <c r="C4207" t="s">
        <v>6785</v>
      </c>
      <c r="D4207" s="234">
        <v>3404.57</v>
      </c>
    </row>
    <row r="4208" spans="1:4">
      <c r="A4208">
        <v>20232</v>
      </c>
      <c r="B4208" t="s">
        <v>832</v>
      </c>
      <c r="C4208" t="s">
        <v>6649</v>
      </c>
      <c r="D4208" s="233">
        <v>62.15</v>
      </c>
    </row>
    <row r="4209" spans="1:4">
      <c r="A4209">
        <v>10856</v>
      </c>
      <c r="B4209" t="s">
        <v>10509</v>
      </c>
      <c r="C4209" t="s">
        <v>6649</v>
      </c>
      <c r="D4209" s="233">
        <v>76.989999999999995</v>
      </c>
    </row>
    <row r="4210" spans="1:4">
      <c r="A4210">
        <v>4828</v>
      </c>
      <c r="B4210" t="s">
        <v>10510</v>
      </c>
      <c r="C4210" t="s">
        <v>6649</v>
      </c>
      <c r="D4210" s="233">
        <v>49.31</v>
      </c>
    </row>
    <row r="4211" spans="1:4">
      <c r="A4211">
        <v>20249</v>
      </c>
      <c r="B4211" t="s">
        <v>10511</v>
      </c>
      <c r="C4211" t="s">
        <v>6649</v>
      </c>
      <c r="D4211" s="233">
        <v>27</v>
      </c>
    </row>
    <row r="4212" spans="1:4">
      <c r="A4212">
        <v>11609</v>
      </c>
      <c r="B4212" t="s">
        <v>10512</v>
      </c>
      <c r="C4212" t="s">
        <v>6700</v>
      </c>
      <c r="D4212" s="233">
        <v>8.1</v>
      </c>
    </row>
    <row r="4213" spans="1:4">
      <c r="A4213">
        <v>20083</v>
      </c>
      <c r="B4213" t="s">
        <v>871</v>
      </c>
      <c r="C4213" t="s">
        <v>6636</v>
      </c>
      <c r="D4213" s="233">
        <v>60.71</v>
      </c>
    </row>
    <row r="4214" spans="1:4">
      <c r="A4214">
        <v>20082</v>
      </c>
      <c r="B4214" t="s">
        <v>10513</v>
      </c>
      <c r="C4214" t="s">
        <v>6636</v>
      </c>
      <c r="D4214" s="233">
        <v>23.65</v>
      </c>
    </row>
    <row r="4215" spans="1:4">
      <c r="A4215">
        <v>5318</v>
      </c>
      <c r="B4215" t="s">
        <v>808</v>
      </c>
      <c r="C4215" t="s">
        <v>6700</v>
      </c>
      <c r="D4215" s="233">
        <v>11.77</v>
      </c>
    </row>
    <row r="4216" spans="1:4">
      <c r="A4216">
        <v>10691</v>
      </c>
      <c r="B4216" t="s">
        <v>10514</v>
      </c>
      <c r="C4216" t="s">
        <v>6700</v>
      </c>
      <c r="D4216" s="233">
        <v>35.28</v>
      </c>
    </row>
    <row r="4217" spans="1:4">
      <c r="A4217">
        <v>12295</v>
      </c>
      <c r="B4217" t="s">
        <v>10515</v>
      </c>
      <c r="C4217" t="s">
        <v>6636</v>
      </c>
      <c r="D4217" s="233">
        <v>2.64</v>
      </c>
    </row>
    <row r="4218" spans="1:4">
      <c r="A4218">
        <v>12296</v>
      </c>
      <c r="B4218" t="s">
        <v>10516</v>
      </c>
      <c r="C4218" t="s">
        <v>6636</v>
      </c>
      <c r="D4218" s="233">
        <v>3.42</v>
      </c>
    </row>
    <row r="4219" spans="1:4">
      <c r="A4219">
        <v>12294</v>
      </c>
      <c r="B4219" t="s">
        <v>10517</v>
      </c>
      <c r="C4219" t="s">
        <v>6636</v>
      </c>
      <c r="D4219" s="233">
        <v>8.2100000000000009</v>
      </c>
    </row>
    <row r="4220" spans="1:4">
      <c r="A4220">
        <v>14543</v>
      </c>
      <c r="B4220" t="s">
        <v>10518</v>
      </c>
      <c r="C4220" t="s">
        <v>6636</v>
      </c>
      <c r="D4220" s="233">
        <v>5.86</v>
      </c>
    </row>
    <row r="4221" spans="1:4">
      <c r="A4221">
        <v>13329</v>
      </c>
      <c r="B4221" t="s">
        <v>10519</v>
      </c>
      <c r="C4221" t="s">
        <v>6636</v>
      </c>
      <c r="D4221" s="233">
        <v>3.44</v>
      </c>
    </row>
    <row r="4222" spans="1:4">
      <c r="A4222">
        <v>21044</v>
      </c>
      <c r="B4222" t="s">
        <v>10520</v>
      </c>
      <c r="C4222" t="s">
        <v>6636</v>
      </c>
      <c r="D4222" s="233">
        <v>26.6</v>
      </c>
    </row>
    <row r="4223" spans="1:4">
      <c r="A4223">
        <v>21045</v>
      </c>
      <c r="B4223" t="s">
        <v>10521</v>
      </c>
      <c r="C4223" t="s">
        <v>6636</v>
      </c>
      <c r="D4223" s="233">
        <v>36.43</v>
      </c>
    </row>
    <row r="4224" spans="1:4">
      <c r="A4224">
        <v>21040</v>
      </c>
      <c r="B4224" t="s">
        <v>10522</v>
      </c>
      <c r="C4224" t="s">
        <v>6636</v>
      </c>
      <c r="D4224" s="233">
        <v>26.03</v>
      </c>
    </row>
    <row r="4225" spans="1:4">
      <c r="A4225">
        <v>21041</v>
      </c>
      <c r="B4225" t="s">
        <v>10523</v>
      </c>
      <c r="C4225" t="s">
        <v>6636</v>
      </c>
      <c r="D4225" s="233">
        <v>31.42</v>
      </c>
    </row>
    <row r="4226" spans="1:4">
      <c r="A4226">
        <v>21047</v>
      </c>
      <c r="B4226" t="s">
        <v>10524</v>
      </c>
      <c r="C4226" t="s">
        <v>6636</v>
      </c>
      <c r="D4226" s="233">
        <v>39.22</v>
      </c>
    </row>
    <row r="4227" spans="1:4">
      <c r="A4227">
        <v>21043</v>
      </c>
      <c r="B4227" t="s">
        <v>10525</v>
      </c>
      <c r="C4227" t="s">
        <v>6636</v>
      </c>
      <c r="D4227" s="233">
        <v>38.18</v>
      </c>
    </row>
    <row r="4228" spans="1:4">
      <c r="A4228">
        <v>21042</v>
      </c>
      <c r="B4228" t="s">
        <v>10526</v>
      </c>
      <c r="C4228" t="s">
        <v>6636</v>
      </c>
      <c r="D4228" s="233">
        <v>30.23</v>
      </c>
    </row>
    <row r="4229" spans="1:4">
      <c r="A4229">
        <v>11895</v>
      </c>
      <c r="B4229" t="s">
        <v>10527</v>
      </c>
      <c r="C4229" t="s">
        <v>6636</v>
      </c>
      <c r="D4229" s="233">
        <v>976.95</v>
      </c>
    </row>
    <row r="4230" spans="1:4">
      <c r="A4230">
        <v>11896</v>
      </c>
      <c r="B4230" t="s">
        <v>10528</v>
      </c>
      <c r="C4230" t="s">
        <v>6636</v>
      </c>
      <c r="D4230" s="234">
        <v>5120.58</v>
      </c>
    </row>
    <row r="4231" spans="1:4">
      <c r="A4231">
        <v>11897</v>
      </c>
      <c r="B4231" t="s">
        <v>10529</v>
      </c>
      <c r="C4231" t="s">
        <v>6636</v>
      </c>
      <c r="D4231" s="234">
        <v>6681.46</v>
      </c>
    </row>
    <row r="4232" spans="1:4">
      <c r="A4232">
        <v>11898</v>
      </c>
      <c r="B4232" t="s">
        <v>10530</v>
      </c>
      <c r="C4232" t="s">
        <v>6636</v>
      </c>
      <c r="D4232" s="234">
        <v>7018.34</v>
      </c>
    </row>
    <row r="4233" spans="1:4">
      <c r="A4233">
        <v>3282</v>
      </c>
      <c r="B4233" t="s">
        <v>10531</v>
      </c>
      <c r="C4233" t="s">
        <v>6636</v>
      </c>
      <c r="D4233" s="233">
        <v>710.25</v>
      </c>
    </row>
    <row r="4234" spans="1:4">
      <c r="A4234">
        <v>11899</v>
      </c>
      <c r="B4234" t="s">
        <v>10532</v>
      </c>
      <c r="C4234" t="s">
        <v>6636</v>
      </c>
      <c r="D4234" s="234">
        <v>3464.25</v>
      </c>
    </row>
    <row r="4235" spans="1:4">
      <c r="A4235">
        <v>11900</v>
      </c>
      <c r="B4235" t="s">
        <v>10533</v>
      </c>
      <c r="C4235" t="s">
        <v>6636</v>
      </c>
      <c r="D4235" s="234">
        <v>4750.01</v>
      </c>
    </row>
    <row r="4236" spans="1:4">
      <c r="A4236">
        <v>14149</v>
      </c>
      <c r="B4236" t="s">
        <v>10534</v>
      </c>
      <c r="C4236" t="s">
        <v>8701</v>
      </c>
      <c r="D4236" s="233">
        <v>132.41999999999999</v>
      </c>
    </row>
    <row r="4237" spans="1:4">
      <c r="A4237">
        <v>38099</v>
      </c>
      <c r="B4237" t="s">
        <v>10535</v>
      </c>
      <c r="C4237" t="s">
        <v>6636</v>
      </c>
      <c r="D4237" s="233">
        <v>0.98</v>
      </c>
    </row>
    <row r="4238" spans="1:4">
      <c r="A4238">
        <v>38100</v>
      </c>
      <c r="B4238" t="s">
        <v>10536</v>
      </c>
      <c r="C4238" t="s">
        <v>6636</v>
      </c>
      <c r="D4238" s="233">
        <v>1.61</v>
      </c>
    </row>
    <row r="4239" spans="1:4">
      <c r="A4239">
        <v>20061</v>
      </c>
      <c r="B4239" t="s">
        <v>10537</v>
      </c>
      <c r="C4239" t="s">
        <v>6636</v>
      </c>
      <c r="D4239" s="233">
        <v>2.57</v>
      </c>
    </row>
    <row r="4240" spans="1:4">
      <c r="A4240">
        <v>7576</v>
      </c>
      <c r="B4240" t="s">
        <v>10538</v>
      </c>
      <c r="C4240" t="s">
        <v>6636</v>
      </c>
      <c r="D4240" s="233">
        <v>105.5</v>
      </c>
    </row>
    <row r="4241" spans="1:4">
      <c r="A4241">
        <v>3384</v>
      </c>
      <c r="B4241" t="s">
        <v>958</v>
      </c>
      <c r="C4241" t="s">
        <v>6636</v>
      </c>
      <c r="D4241" s="233">
        <v>3.87</v>
      </c>
    </row>
    <row r="4242" spans="1:4">
      <c r="A4242">
        <v>7572</v>
      </c>
      <c r="B4242" t="s">
        <v>10539</v>
      </c>
      <c r="C4242" t="s">
        <v>6636</v>
      </c>
      <c r="D4242" s="233">
        <v>8.57</v>
      </c>
    </row>
    <row r="4243" spans="1:4">
      <c r="A4243">
        <v>3396</v>
      </c>
      <c r="B4243" t="s">
        <v>10540</v>
      </c>
      <c r="C4243" t="s">
        <v>6636</v>
      </c>
      <c r="D4243" s="233">
        <v>6.07</v>
      </c>
    </row>
    <row r="4244" spans="1:4">
      <c r="A4244">
        <v>37590</v>
      </c>
      <c r="B4244" t="s">
        <v>10541</v>
      </c>
      <c r="C4244" t="s">
        <v>6636</v>
      </c>
      <c r="D4244" s="233">
        <v>10.91</v>
      </c>
    </row>
    <row r="4245" spans="1:4">
      <c r="A4245">
        <v>37591</v>
      </c>
      <c r="B4245" t="s">
        <v>10542</v>
      </c>
      <c r="C4245" t="s">
        <v>6636</v>
      </c>
      <c r="D4245" s="233">
        <v>13.11</v>
      </c>
    </row>
    <row r="4246" spans="1:4">
      <c r="A4246">
        <v>12626</v>
      </c>
      <c r="B4246" t="s">
        <v>10543</v>
      </c>
      <c r="C4246" t="s">
        <v>6636</v>
      </c>
      <c r="D4246" s="233">
        <v>12.35</v>
      </c>
    </row>
    <row r="4247" spans="1:4">
      <c r="A4247">
        <v>11033</v>
      </c>
      <c r="B4247" t="s">
        <v>10544</v>
      </c>
      <c r="C4247" t="s">
        <v>6636</v>
      </c>
      <c r="D4247" s="233">
        <v>4.34</v>
      </c>
    </row>
    <row r="4248" spans="1:4">
      <c r="A4248">
        <v>390</v>
      </c>
      <c r="B4248" t="s">
        <v>10545</v>
      </c>
      <c r="C4248" t="s">
        <v>6636</v>
      </c>
      <c r="D4248" s="233">
        <v>12.2</v>
      </c>
    </row>
    <row r="4249" spans="1:4">
      <c r="A4249">
        <v>42436</v>
      </c>
      <c r="B4249" t="s">
        <v>10546</v>
      </c>
      <c r="C4249" t="s">
        <v>6636</v>
      </c>
      <c r="D4249" s="234">
        <v>1534.45</v>
      </c>
    </row>
    <row r="4250" spans="1:4">
      <c r="A4250">
        <v>6178</v>
      </c>
      <c r="B4250" t="s">
        <v>10547</v>
      </c>
      <c r="C4250" t="s">
        <v>6638</v>
      </c>
      <c r="D4250" s="233">
        <v>165.6</v>
      </c>
    </row>
    <row r="4251" spans="1:4">
      <c r="A4251">
        <v>6180</v>
      </c>
      <c r="B4251" t="s">
        <v>10548</v>
      </c>
      <c r="C4251" t="s">
        <v>6638</v>
      </c>
      <c r="D4251" s="233">
        <v>178.73</v>
      </c>
    </row>
    <row r="4252" spans="1:4">
      <c r="A4252">
        <v>6182</v>
      </c>
      <c r="B4252" t="s">
        <v>10549</v>
      </c>
      <c r="C4252" t="s">
        <v>6638</v>
      </c>
      <c r="D4252" s="233">
        <v>221.85</v>
      </c>
    </row>
    <row r="4253" spans="1:4">
      <c r="A4253">
        <v>3993</v>
      </c>
      <c r="B4253" t="s">
        <v>10550</v>
      </c>
      <c r="C4253" t="s">
        <v>6638</v>
      </c>
      <c r="D4253" s="233">
        <v>58.66</v>
      </c>
    </row>
    <row r="4254" spans="1:4">
      <c r="A4254">
        <v>3990</v>
      </c>
      <c r="B4254" t="s">
        <v>10551</v>
      </c>
      <c r="C4254" t="s">
        <v>6649</v>
      </c>
      <c r="D4254" s="233">
        <v>12.96</v>
      </c>
    </row>
    <row r="4255" spans="1:4">
      <c r="A4255">
        <v>3992</v>
      </c>
      <c r="B4255" t="s">
        <v>861</v>
      </c>
      <c r="C4255" t="s">
        <v>6649</v>
      </c>
      <c r="D4255" s="233">
        <v>15.91</v>
      </c>
    </row>
    <row r="4256" spans="1:4">
      <c r="A4256">
        <v>4509</v>
      </c>
      <c r="B4256" t="s">
        <v>10552</v>
      </c>
      <c r="C4256" t="s">
        <v>6649</v>
      </c>
      <c r="D4256" s="233">
        <v>3.05</v>
      </c>
    </row>
    <row r="4257" spans="1:4">
      <c r="A4257">
        <v>6194</v>
      </c>
      <c r="B4257" t="s">
        <v>10553</v>
      </c>
      <c r="C4257" t="s">
        <v>6649</v>
      </c>
      <c r="D4257" s="233">
        <v>4.1500000000000004</v>
      </c>
    </row>
    <row r="4258" spans="1:4">
      <c r="A4258">
        <v>6193</v>
      </c>
      <c r="B4258" t="s">
        <v>10554</v>
      </c>
      <c r="C4258" t="s">
        <v>6649</v>
      </c>
      <c r="D4258" s="233">
        <v>6.17</v>
      </c>
    </row>
    <row r="4259" spans="1:4">
      <c r="A4259">
        <v>10567</v>
      </c>
      <c r="B4259" t="s">
        <v>10555</v>
      </c>
      <c r="C4259" t="s">
        <v>6649</v>
      </c>
      <c r="D4259" s="233">
        <v>6.88</v>
      </c>
    </row>
    <row r="4260" spans="1:4">
      <c r="A4260">
        <v>6212</v>
      </c>
      <c r="B4260" t="s">
        <v>10556</v>
      </c>
      <c r="C4260" t="s">
        <v>6649</v>
      </c>
      <c r="D4260" s="233">
        <v>11.28</v>
      </c>
    </row>
    <row r="4261" spans="1:4">
      <c r="A4261">
        <v>6188</v>
      </c>
      <c r="B4261" t="s">
        <v>10556</v>
      </c>
      <c r="C4261" t="s">
        <v>6638</v>
      </c>
      <c r="D4261" s="233">
        <v>37.590000000000003</v>
      </c>
    </row>
    <row r="4262" spans="1:4">
      <c r="A4262">
        <v>6189</v>
      </c>
      <c r="B4262" t="s">
        <v>10557</v>
      </c>
      <c r="C4262" t="s">
        <v>6649</v>
      </c>
      <c r="D4262" s="233">
        <v>9.0299999999999994</v>
      </c>
    </row>
    <row r="4263" spans="1:4">
      <c r="A4263">
        <v>6214</v>
      </c>
      <c r="B4263" t="s">
        <v>10558</v>
      </c>
      <c r="C4263" t="s">
        <v>6638</v>
      </c>
      <c r="D4263" s="233">
        <v>103.73</v>
      </c>
    </row>
    <row r="4264" spans="1:4">
      <c r="A4264">
        <v>36153</v>
      </c>
      <c r="B4264" t="s">
        <v>10559</v>
      </c>
      <c r="C4264" t="s">
        <v>6636</v>
      </c>
      <c r="D4264" s="233">
        <v>159.83000000000001</v>
      </c>
    </row>
    <row r="4265" spans="1:4">
      <c r="A4265">
        <v>10740</v>
      </c>
      <c r="B4265" t="s">
        <v>10560</v>
      </c>
      <c r="C4265" t="s">
        <v>6636</v>
      </c>
      <c r="D4265" s="234">
        <v>9754.19</v>
      </c>
    </row>
    <row r="4266" spans="1:4">
      <c r="A4266">
        <v>13914</v>
      </c>
      <c r="B4266" t="s">
        <v>10561</v>
      </c>
      <c r="C4266" t="s">
        <v>6636</v>
      </c>
      <c r="D4266" s="233">
        <v>705.75</v>
      </c>
    </row>
    <row r="4267" spans="1:4">
      <c r="A4267">
        <v>10742</v>
      </c>
      <c r="B4267" t="s">
        <v>10562</v>
      </c>
      <c r="C4267" t="s">
        <v>6636</v>
      </c>
      <c r="D4267" s="234">
        <v>1029.3499999999999</v>
      </c>
    </row>
    <row r="4268" spans="1:4">
      <c r="A4268">
        <v>38465</v>
      </c>
      <c r="B4268" t="s">
        <v>10563</v>
      </c>
      <c r="C4268" t="s">
        <v>6636</v>
      </c>
      <c r="D4268" s="233">
        <v>32.9</v>
      </c>
    </row>
    <row r="4269" spans="1:4">
      <c r="A4269">
        <v>7543</v>
      </c>
      <c r="B4269" t="s">
        <v>10564</v>
      </c>
      <c r="C4269" t="s">
        <v>6636</v>
      </c>
      <c r="D4269" s="233">
        <v>3.74</v>
      </c>
    </row>
    <row r="4270" spans="1:4">
      <c r="A4270">
        <v>13255</v>
      </c>
      <c r="B4270" t="s">
        <v>10565</v>
      </c>
      <c r="C4270" t="s">
        <v>6636</v>
      </c>
      <c r="D4270" s="233">
        <v>60.36</v>
      </c>
    </row>
    <row r="4271" spans="1:4">
      <c r="A4271">
        <v>39352</v>
      </c>
      <c r="B4271" t="s">
        <v>10566</v>
      </c>
      <c r="C4271" t="s">
        <v>6636</v>
      </c>
      <c r="D4271" s="233">
        <v>2.31</v>
      </c>
    </row>
    <row r="4272" spans="1:4">
      <c r="A4272">
        <v>39346</v>
      </c>
      <c r="B4272" t="s">
        <v>10567</v>
      </c>
      <c r="C4272" t="s">
        <v>6636</v>
      </c>
      <c r="D4272" s="233">
        <v>2.31</v>
      </c>
    </row>
    <row r="4273" spans="1:4">
      <c r="A4273">
        <v>39350</v>
      </c>
      <c r="B4273" t="s">
        <v>10568</v>
      </c>
      <c r="C4273" t="s">
        <v>6636</v>
      </c>
      <c r="D4273" s="233">
        <v>2.48</v>
      </c>
    </row>
    <row r="4274" spans="1:4">
      <c r="A4274">
        <v>39351</v>
      </c>
      <c r="B4274" t="s">
        <v>10569</v>
      </c>
      <c r="C4274" t="s">
        <v>6636</v>
      </c>
      <c r="D4274" s="233">
        <v>2.88</v>
      </c>
    </row>
    <row r="4275" spans="1:4">
      <c r="A4275">
        <v>38952</v>
      </c>
      <c r="B4275" t="s">
        <v>10570</v>
      </c>
      <c r="C4275" t="s">
        <v>6636</v>
      </c>
      <c r="D4275" s="233">
        <v>2.5299999999999998</v>
      </c>
    </row>
    <row r="4276" spans="1:4">
      <c r="A4276">
        <v>38953</v>
      </c>
      <c r="B4276" t="s">
        <v>10571</v>
      </c>
      <c r="C4276" t="s">
        <v>6636</v>
      </c>
      <c r="D4276" s="233">
        <v>3.98</v>
      </c>
    </row>
    <row r="4277" spans="1:4">
      <c r="A4277">
        <v>38835</v>
      </c>
      <c r="B4277" t="s">
        <v>10572</v>
      </c>
      <c r="C4277" t="s">
        <v>6636</v>
      </c>
      <c r="D4277" s="233">
        <v>3.57</v>
      </c>
    </row>
    <row r="4278" spans="1:4">
      <c r="A4278">
        <v>38837</v>
      </c>
      <c r="B4278" t="s">
        <v>10573</v>
      </c>
      <c r="C4278" t="s">
        <v>6636</v>
      </c>
      <c r="D4278" s="233">
        <v>9.31</v>
      </c>
    </row>
    <row r="4279" spans="1:4">
      <c r="A4279">
        <v>38836</v>
      </c>
      <c r="B4279" t="s">
        <v>10574</v>
      </c>
      <c r="C4279" t="s">
        <v>6636</v>
      </c>
      <c r="D4279" s="233">
        <v>5.15</v>
      </c>
    </row>
    <row r="4280" spans="1:4">
      <c r="A4280">
        <v>2666</v>
      </c>
      <c r="B4280" t="s">
        <v>10575</v>
      </c>
      <c r="C4280" t="s">
        <v>6636</v>
      </c>
      <c r="D4280" s="233">
        <v>5.24</v>
      </c>
    </row>
    <row r="4281" spans="1:4">
      <c r="A4281">
        <v>2668</v>
      </c>
      <c r="B4281" t="s">
        <v>10576</v>
      </c>
      <c r="C4281" t="s">
        <v>6636</v>
      </c>
      <c r="D4281" s="233">
        <v>5.98</v>
      </c>
    </row>
    <row r="4282" spans="1:4">
      <c r="A4282">
        <v>2664</v>
      </c>
      <c r="B4282" t="s">
        <v>10577</v>
      </c>
      <c r="C4282" t="s">
        <v>6636</v>
      </c>
      <c r="D4282" s="233">
        <v>8.82</v>
      </c>
    </row>
    <row r="4283" spans="1:4">
      <c r="A4283">
        <v>2662</v>
      </c>
      <c r="B4283" t="s">
        <v>10578</v>
      </c>
      <c r="C4283" t="s">
        <v>6636</v>
      </c>
      <c r="D4283" s="233">
        <v>10.82</v>
      </c>
    </row>
    <row r="4284" spans="1:4">
      <c r="A4284">
        <v>20964</v>
      </c>
      <c r="B4284" t="s">
        <v>928</v>
      </c>
      <c r="C4284" t="s">
        <v>6636</v>
      </c>
      <c r="D4284" s="233">
        <v>39.82</v>
      </c>
    </row>
    <row r="4285" spans="1:4">
      <c r="A4285">
        <v>10905</v>
      </c>
      <c r="B4285" t="s">
        <v>931</v>
      </c>
      <c r="C4285" t="s">
        <v>6636</v>
      </c>
      <c r="D4285" s="233">
        <v>53.42</v>
      </c>
    </row>
    <row r="4286" spans="1:4">
      <c r="A4286">
        <v>42703</v>
      </c>
      <c r="B4286" t="s">
        <v>10579</v>
      </c>
      <c r="C4286" t="s">
        <v>6636</v>
      </c>
      <c r="D4286" s="233">
        <v>49.83</v>
      </c>
    </row>
    <row r="4287" spans="1:4">
      <c r="A4287">
        <v>42704</v>
      </c>
      <c r="B4287" t="s">
        <v>10580</v>
      </c>
      <c r="C4287" t="s">
        <v>6636</v>
      </c>
      <c r="D4287" s="233">
        <v>76.510000000000005</v>
      </c>
    </row>
    <row r="4288" spans="1:4">
      <c r="A4288">
        <v>42705</v>
      </c>
      <c r="B4288" t="s">
        <v>10581</v>
      </c>
      <c r="C4288" t="s">
        <v>6636</v>
      </c>
      <c r="D4288" s="233">
        <v>97.61</v>
      </c>
    </row>
    <row r="4289" spans="1:4">
      <c r="A4289">
        <v>42706</v>
      </c>
      <c r="B4289" t="s">
        <v>10582</v>
      </c>
      <c r="C4289" t="s">
        <v>6636</v>
      </c>
      <c r="D4289" s="233">
        <v>120.89</v>
      </c>
    </row>
    <row r="4290" spans="1:4">
      <c r="A4290">
        <v>11289</v>
      </c>
      <c r="B4290" t="s">
        <v>10583</v>
      </c>
      <c r="C4290" t="s">
        <v>6636</v>
      </c>
      <c r="D4290" s="233">
        <v>50.06</v>
      </c>
    </row>
    <row r="4291" spans="1:4">
      <c r="A4291">
        <v>11241</v>
      </c>
      <c r="B4291" t="s">
        <v>10584</v>
      </c>
      <c r="C4291" t="s">
        <v>6636</v>
      </c>
      <c r="D4291" s="233">
        <v>125.15</v>
      </c>
    </row>
    <row r="4292" spans="1:4">
      <c r="A4292">
        <v>11301</v>
      </c>
      <c r="B4292" t="s">
        <v>10585</v>
      </c>
      <c r="C4292" t="s">
        <v>6636</v>
      </c>
      <c r="D4292" s="233">
        <v>317.35000000000002</v>
      </c>
    </row>
    <row r="4293" spans="1:4">
      <c r="A4293">
        <v>21090</v>
      </c>
      <c r="B4293" t="s">
        <v>10586</v>
      </c>
      <c r="C4293" t="s">
        <v>6636</v>
      </c>
      <c r="D4293" s="233">
        <v>388.86</v>
      </c>
    </row>
    <row r="4294" spans="1:4">
      <c r="A4294">
        <v>14112</v>
      </c>
      <c r="B4294" t="s">
        <v>10587</v>
      </c>
      <c r="C4294" t="s">
        <v>6636</v>
      </c>
      <c r="D4294" s="233">
        <v>162.25</v>
      </c>
    </row>
    <row r="4295" spans="1:4">
      <c r="A4295">
        <v>11315</v>
      </c>
      <c r="B4295" t="s">
        <v>10588</v>
      </c>
      <c r="C4295" t="s">
        <v>6636</v>
      </c>
      <c r="D4295" s="233">
        <v>75.98</v>
      </c>
    </row>
    <row r="4296" spans="1:4">
      <c r="A4296">
        <v>11292</v>
      </c>
      <c r="B4296" t="s">
        <v>10589</v>
      </c>
      <c r="C4296" t="s">
        <v>6636</v>
      </c>
      <c r="D4296" s="233">
        <v>177.89</v>
      </c>
    </row>
    <row r="4297" spans="1:4">
      <c r="A4297">
        <v>21071</v>
      </c>
      <c r="B4297" t="s">
        <v>10590</v>
      </c>
      <c r="C4297" t="s">
        <v>6636</v>
      </c>
      <c r="D4297" s="233">
        <v>116.21</v>
      </c>
    </row>
    <row r="4298" spans="1:4">
      <c r="A4298">
        <v>11293</v>
      </c>
      <c r="B4298" t="s">
        <v>10591</v>
      </c>
      <c r="C4298" t="s">
        <v>6636</v>
      </c>
      <c r="D4298" s="233">
        <v>196.66</v>
      </c>
    </row>
    <row r="4299" spans="1:4">
      <c r="A4299">
        <v>11316</v>
      </c>
      <c r="B4299" t="s">
        <v>10592</v>
      </c>
      <c r="C4299" t="s">
        <v>6636</v>
      </c>
      <c r="D4299" s="233">
        <v>250.3</v>
      </c>
    </row>
    <row r="4300" spans="1:4">
      <c r="A4300">
        <v>6243</v>
      </c>
      <c r="B4300" t="s">
        <v>10593</v>
      </c>
      <c r="C4300" t="s">
        <v>6636</v>
      </c>
      <c r="D4300" s="233">
        <v>288.3</v>
      </c>
    </row>
    <row r="4301" spans="1:4">
      <c r="A4301">
        <v>21079</v>
      </c>
      <c r="B4301" t="s">
        <v>10594</v>
      </c>
      <c r="C4301" t="s">
        <v>6636</v>
      </c>
      <c r="D4301" s="233">
        <v>343.72</v>
      </c>
    </row>
    <row r="4302" spans="1:4">
      <c r="A4302">
        <v>6240</v>
      </c>
      <c r="B4302" t="s">
        <v>10595</v>
      </c>
      <c r="C4302" t="s">
        <v>6636</v>
      </c>
      <c r="D4302" s="233">
        <v>381.71</v>
      </c>
    </row>
    <row r="4303" spans="1:4">
      <c r="A4303">
        <v>11296</v>
      </c>
      <c r="B4303" t="s">
        <v>10596</v>
      </c>
      <c r="C4303" t="s">
        <v>6636</v>
      </c>
      <c r="D4303" s="234">
        <v>1216.22</v>
      </c>
    </row>
    <row r="4304" spans="1:4">
      <c r="A4304">
        <v>11299</v>
      </c>
      <c r="B4304" t="s">
        <v>10597</v>
      </c>
      <c r="C4304" t="s">
        <v>6636</v>
      </c>
      <c r="D4304" s="233">
        <v>411.66</v>
      </c>
    </row>
    <row r="4305" spans="1:4">
      <c r="A4305">
        <v>11066</v>
      </c>
      <c r="B4305" t="s">
        <v>10598</v>
      </c>
      <c r="C4305" t="s">
        <v>6636</v>
      </c>
      <c r="D4305" s="233">
        <v>11</v>
      </c>
    </row>
    <row r="4306" spans="1:4">
      <c r="A4306">
        <v>11065</v>
      </c>
      <c r="B4306" t="s">
        <v>10599</v>
      </c>
      <c r="C4306" t="s">
        <v>6636</v>
      </c>
      <c r="D4306" s="233">
        <v>12.61</v>
      </c>
    </row>
    <row r="4307" spans="1:4">
      <c r="A4307">
        <v>11688</v>
      </c>
      <c r="B4307" t="s">
        <v>10600</v>
      </c>
      <c r="C4307" t="s">
        <v>6636</v>
      </c>
      <c r="D4307" s="233">
        <v>348.24</v>
      </c>
    </row>
    <row r="4308" spans="1:4">
      <c r="A4308">
        <v>37736</v>
      </c>
      <c r="B4308" t="s">
        <v>10601</v>
      </c>
      <c r="C4308" t="s">
        <v>6636</v>
      </c>
      <c r="D4308" s="234">
        <v>48000</v>
      </c>
    </row>
    <row r="4309" spans="1:4">
      <c r="A4309">
        <v>37739</v>
      </c>
      <c r="B4309" t="s">
        <v>10602</v>
      </c>
      <c r="C4309" t="s">
        <v>6636</v>
      </c>
      <c r="D4309" s="234">
        <v>59076.92</v>
      </c>
    </row>
    <row r="4310" spans="1:4">
      <c r="A4310">
        <v>37740</v>
      </c>
      <c r="B4310" t="s">
        <v>10603</v>
      </c>
      <c r="C4310" t="s">
        <v>6636</v>
      </c>
      <c r="D4310" s="234">
        <v>33712.370000000003</v>
      </c>
    </row>
    <row r="4311" spans="1:4">
      <c r="A4311">
        <v>37738</v>
      </c>
      <c r="B4311" t="s">
        <v>10604</v>
      </c>
      <c r="C4311" t="s">
        <v>6636</v>
      </c>
      <c r="D4311" s="234">
        <v>40053.51</v>
      </c>
    </row>
    <row r="4312" spans="1:4">
      <c r="A4312">
        <v>37737</v>
      </c>
      <c r="B4312" t="s">
        <v>10605</v>
      </c>
      <c r="C4312" t="s">
        <v>6636</v>
      </c>
      <c r="D4312" s="234">
        <v>31866.22</v>
      </c>
    </row>
    <row r="4313" spans="1:4">
      <c r="A4313">
        <v>25014</v>
      </c>
      <c r="B4313" t="s">
        <v>10606</v>
      </c>
      <c r="C4313" t="s">
        <v>6636</v>
      </c>
      <c r="D4313" s="234">
        <v>66742.47</v>
      </c>
    </row>
    <row r="4314" spans="1:4">
      <c r="A4314">
        <v>25013</v>
      </c>
      <c r="B4314" t="s">
        <v>10607</v>
      </c>
      <c r="C4314" t="s">
        <v>6636</v>
      </c>
      <c r="D4314" s="234">
        <v>69953.17</v>
      </c>
    </row>
    <row r="4315" spans="1:4">
      <c r="A4315">
        <v>14405</v>
      </c>
      <c r="B4315" t="s">
        <v>10608</v>
      </c>
      <c r="C4315" t="s">
        <v>6636</v>
      </c>
      <c r="D4315" s="234">
        <v>82113.710000000006</v>
      </c>
    </row>
    <row r="4316" spans="1:4">
      <c r="A4316">
        <v>36790</v>
      </c>
      <c r="B4316" t="s">
        <v>900</v>
      </c>
      <c r="C4316" t="s">
        <v>6636</v>
      </c>
      <c r="D4316" s="233">
        <v>193.24</v>
      </c>
    </row>
    <row r="4317" spans="1:4">
      <c r="A4317">
        <v>20271</v>
      </c>
      <c r="B4317" t="s">
        <v>10609</v>
      </c>
      <c r="C4317" t="s">
        <v>6636</v>
      </c>
      <c r="D4317" s="233">
        <v>432.25</v>
      </c>
    </row>
    <row r="4318" spans="1:4">
      <c r="A4318">
        <v>10423</v>
      </c>
      <c r="B4318" t="s">
        <v>10610</v>
      </c>
      <c r="C4318" t="s">
        <v>6636</v>
      </c>
      <c r="D4318" s="233">
        <v>268.08999999999997</v>
      </c>
    </row>
    <row r="4319" spans="1:4">
      <c r="A4319">
        <v>37589</v>
      </c>
      <c r="B4319" t="s">
        <v>10611</v>
      </c>
      <c r="C4319" t="s">
        <v>6636</v>
      </c>
      <c r="D4319" s="233">
        <v>236.77</v>
      </c>
    </row>
    <row r="4320" spans="1:4">
      <c r="A4320">
        <v>11690</v>
      </c>
      <c r="B4320" t="s">
        <v>10612</v>
      </c>
      <c r="C4320" t="s">
        <v>6636</v>
      </c>
      <c r="D4320" s="233">
        <v>125.78</v>
      </c>
    </row>
    <row r="4321" spans="1:4">
      <c r="A4321">
        <v>20234</v>
      </c>
      <c r="B4321" t="s">
        <v>10613</v>
      </c>
      <c r="C4321" t="s">
        <v>6636</v>
      </c>
      <c r="D4321" s="233">
        <v>159.18</v>
      </c>
    </row>
    <row r="4322" spans="1:4">
      <c r="A4322">
        <v>4763</v>
      </c>
      <c r="B4322" t="s">
        <v>10614</v>
      </c>
      <c r="C4322" t="s">
        <v>6640</v>
      </c>
      <c r="D4322" s="233">
        <v>18.16</v>
      </c>
    </row>
    <row r="4323" spans="1:4">
      <c r="A4323">
        <v>41070</v>
      </c>
      <c r="B4323" t="s">
        <v>10615</v>
      </c>
      <c r="C4323" t="s">
        <v>6785</v>
      </c>
      <c r="D4323" s="234">
        <v>3223.1</v>
      </c>
    </row>
    <row r="4324" spans="1:4">
      <c r="A4324">
        <v>14583</v>
      </c>
      <c r="B4324" t="s">
        <v>10616</v>
      </c>
      <c r="C4324" t="s">
        <v>6781</v>
      </c>
      <c r="D4324" s="233">
        <v>11.35</v>
      </c>
    </row>
    <row r="4325" spans="1:4">
      <c r="A4325">
        <v>11457</v>
      </c>
      <c r="B4325" t="s">
        <v>10617</v>
      </c>
      <c r="C4325" t="s">
        <v>6636</v>
      </c>
      <c r="D4325" s="233">
        <v>26.67</v>
      </c>
    </row>
    <row r="4326" spans="1:4">
      <c r="A4326">
        <v>21121</v>
      </c>
      <c r="B4326" t="s">
        <v>10618</v>
      </c>
      <c r="C4326" t="s">
        <v>6636</v>
      </c>
      <c r="D4326" s="233">
        <v>3.83</v>
      </c>
    </row>
    <row r="4327" spans="1:4">
      <c r="A4327">
        <v>38010</v>
      </c>
      <c r="B4327" t="s">
        <v>10619</v>
      </c>
      <c r="C4327" t="s">
        <v>6636</v>
      </c>
      <c r="D4327" s="233">
        <v>6.27</v>
      </c>
    </row>
    <row r="4328" spans="1:4">
      <c r="A4328">
        <v>38011</v>
      </c>
      <c r="B4328" t="s">
        <v>10620</v>
      </c>
      <c r="C4328" t="s">
        <v>6636</v>
      </c>
      <c r="D4328" s="233">
        <v>11.57</v>
      </c>
    </row>
    <row r="4329" spans="1:4">
      <c r="A4329">
        <v>38012</v>
      </c>
      <c r="B4329" t="s">
        <v>10621</v>
      </c>
      <c r="C4329" t="s">
        <v>6636</v>
      </c>
      <c r="D4329" s="233">
        <v>39.520000000000003</v>
      </c>
    </row>
    <row r="4330" spans="1:4">
      <c r="A4330">
        <v>38013</v>
      </c>
      <c r="B4330" t="s">
        <v>10622</v>
      </c>
      <c r="C4330" t="s">
        <v>6636</v>
      </c>
      <c r="D4330" s="233">
        <v>51.3</v>
      </c>
    </row>
    <row r="4331" spans="1:4">
      <c r="A4331">
        <v>38014</v>
      </c>
      <c r="B4331" t="s">
        <v>10623</v>
      </c>
      <c r="C4331" t="s">
        <v>6636</v>
      </c>
      <c r="D4331" s="233">
        <v>83.49</v>
      </c>
    </row>
    <row r="4332" spans="1:4">
      <c r="A4332">
        <v>38015</v>
      </c>
      <c r="B4332" t="s">
        <v>10624</v>
      </c>
      <c r="C4332" t="s">
        <v>6636</v>
      </c>
      <c r="D4332" s="233">
        <v>201.61</v>
      </c>
    </row>
    <row r="4333" spans="1:4">
      <c r="A4333">
        <v>38016</v>
      </c>
      <c r="B4333" t="s">
        <v>10625</v>
      </c>
      <c r="C4333" t="s">
        <v>6636</v>
      </c>
      <c r="D4333" s="233">
        <v>245.3</v>
      </c>
    </row>
    <row r="4334" spans="1:4">
      <c r="A4334">
        <v>12741</v>
      </c>
      <c r="B4334" t="s">
        <v>10626</v>
      </c>
      <c r="C4334" t="s">
        <v>6636</v>
      </c>
      <c r="D4334" s="233">
        <v>794.47</v>
      </c>
    </row>
    <row r="4335" spans="1:4">
      <c r="A4335">
        <v>12733</v>
      </c>
      <c r="B4335" t="s">
        <v>10627</v>
      </c>
      <c r="C4335" t="s">
        <v>6636</v>
      </c>
      <c r="D4335" s="233">
        <v>3.99</v>
      </c>
    </row>
    <row r="4336" spans="1:4">
      <c r="A4336">
        <v>12734</v>
      </c>
      <c r="B4336" t="s">
        <v>10628</v>
      </c>
      <c r="C4336" t="s">
        <v>6636</v>
      </c>
      <c r="D4336" s="233">
        <v>8.52</v>
      </c>
    </row>
    <row r="4337" spans="1:4">
      <c r="A4337">
        <v>12735</v>
      </c>
      <c r="B4337" t="s">
        <v>10629</v>
      </c>
      <c r="C4337" t="s">
        <v>6636</v>
      </c>
      <c r="D4337" s="233">
        <v>14.01</v>
      </c>
    </row>
    <row r="4338" spans="1:4">
      <c r="A4338">
        <v>12736</v>
      </c>
      <c r="B4338" t="s">
        <v>10630</v>
      </c>
      <c r="C4338" t="s">
        <v>6636</v>
      </c>
      <c r="D4338" s="233">
        <v>32.04</v>
      </c>
    </row>
    <row r="4339" spans="1:4">
      <c r="A4339">
        <v>12737</v>
      </c>
      <c r="B4339" t="s">
        <v>10631</v>
      </c>
      <c r="C4339" t="s">
        <v>6636</v>
      </c>
      <c r="D4339" s="233">
        <v>41.28</v>
      </c>
    </row>
    <row r="4340" spans="1:4">
      <c r="A4340">
        <v>12738</v>
      </c>
      <c r="B4340" t="s">
        <v>10632</v>
      </c>
      <c r="C4340" t="s">
        <v>6636</v>
      </c>
      <c r="D4340" s="233">
        <v>81.58</v>
      </c>
    </row>
    <row r="4341" spans="1:4">
      <c r="A4341">
        <v>12739</v>
      </c>
      <c r="B4341" t="s">
        <v>10633</v>
      </c>
      <c r="C4341" t="s">
        <v>6636</v>
      </c>
      <c r="D4341" s="233">
        <v>232.24</v>
      </c>
    </row>
    <row r="4342" spans="1:4">
      <c r="A4342">
        <v>12740</v>
      </c>
      <c r="B4342" t="s">
        <v>10634</v>
      </c>
      <c r="C4342" t="s">
        <v>6636</v>
      </c>
      <c r="D4342" s="233">
        <v>363.36</v>
      </c>
    </row>
    <row r="4343" spans="1:4">
      <c r="A4343">
        <v>6297</v>
      </c>
      <c r="B4343" t="s">
        <v>10635</v>
      </c>
      <c r="C4343" t="s">
        <v>6636</v>
      </c>
      <c r="D4343" s="233">
        <v>20.8</v>
      </c>
    </row>
    <row r="4344" spans="1:4">
      <c r="A4344">
        <v>6296</v>
      </c>
      <c r="B4344" t="s">
        <v>10636</v>
      </c>
      <c r="C4344" t="s">
        <v>6636</v>
      </c>
      <c r="D4344" s="233">
        <v>16.420000000000002</v>
      </c>
    </row>
    <row r="4345" spans="1:4">
      <c r="A4345">
        <v>6294</v>
      </c>
      <c r="B4345" t="s">
        <v>10637</v>
      </c>
      <c r="C4345" t="s">
        <v>6636</v>
      </c>
      <c r="D4345" s="233">
        <v>4.68</v>
      </c>
    </row>
    <row r="4346" spans="1:4">
      <c r="A4346">
        <v>6323</v>
      </c>
      <c r="B4346" t="s">
        <v>10638</v>
      </c>
      <c r="C4346" t="s">
        <v>6636</v>
      </c>
      <c r="D4346" s="233">
        <v>10.73</v>
      </c>
    </row>
    <row r="4347" spans="1:4">
      <c r="A4347">
        <v>6299</v>
      </c>
      <c r="B4347" t="s">
        <v>10639</v>
      </c>
      <c r="C4347" t="s">
        <v>6636</v>
      </c>
      <c r="D4347" s="233">
        <v>62.56</v>
      </c>
    </row>
    <row r="4348" spans="1:4">
      <c r="A4348">
        <v>6298</v>
      </c>
      <c r="B4348" t="s">
        <v>10640</v>
      </c>
      <c r="C4348" t="s">
        <v>6636</v>
      </c>
      <c r="D4348" s="233">
        <v>32.950000000000003</v>
      </c>
    </row>
    <row r="4349" spans="1:4">
      <c r="A4349">
        <v>6295</v>
      </c>
      <c r="B4349" t="s">
        <v>10641</v>
      </c>
      <c r="C4349" t="s">
        <v>6636</v>
      </c>
      <c r="D4349" s="233">
        <v>6.66</v>
      </c>
    </row>
    <row r="4350" spans="1:4">
      <c r="A4350">
        <v>6322</v>
      </c>
      <c r="B4350" t="s">
        <v>10642</v>
      </c>
      <c r="C4350" t="s">
        <v>6636</v>
      </c>
      <c r="D4350" s="233">
        <v>83.8</v>
      </c>
    </row>
    <row r="4351" spans="1:4">
      <c r="A4351">
        <v>6300</v>
      </c>
      <c r="B4351" t="s">
        <v>10643</v>
      </c>
      <c r="C4351" t="s">
        <v>6636</v>
      </c>
      <c r="D4351" s="233">
        <v>154.49</v>
      </c>
    </row>
    <row r="4352" spans="1:4">
      <c r="A4352">
        <v>6321</v>
      </c>
      <c r="B4352" t="s">
        <v>10644</v>
      </c>
      <c r="C4352" t="s">
        <v>6636</v>
      </c>
      <c r="D4352" s="233">
        <v>220.68</v>
      </c>
    </row>
    <row r="4353" spans="1:4">
      <c r="A4353">
        <v>6301</v>
      </c>
      <c r="B4353" t="s">
        <v>10645</v>
      </c>
      <c r="C4353" t="s">
        <v>6636</v>
      </c>
      <c r="D4353" s="233">
        <v>517.26</v>
      </c>
    </row>
    <row r="4354" spans="1:4">
      <c r="A4354">
        <v>7105</v>
      </c>
      <c r="B4354" t="s">
        <v>10646</v>
      </c>
      <c r="C4354" t="s">
        <v>6636</v>
      </c>
      <c r="D4354" s="233">
        <v>26.66</v>
      </c>
    </row>
    <row r="4355" spans="1:4">
      <c r="A4355">
        <v>20183</v>
      </c>
      <c r="B4355" t="s">
        <v>10647</v>
      </c>
      <c r="C4355" t="s">
        <v>6636</v>
      </c>
      <c r="D4355" s="233">
        <v>35.1</v>
      </c>
    </row>
    <row r="4356" spans="1:4">
      <c r="A4356">
        <v>38448</v>
      </c>
      <c r="B4356" t="s">
        <v>10648</v>
      </c>
      <c r="C4356" t="s">
        <v>6636</v>
      </c>
      <c r="D4356" s="233">
        <v>164.91</v>
      </c>
    </row>
    <row r="4357" spans="1:4">
      <c r="A4357">
        <v>20182</v>
      </c>
      <c r="B4357" t="s">
        <v>10649</v>
      </c>
      <c r="C4357" t="s">
        <v>6636</v>
      </c>
      <c r="D4357" s="233">
        <v>20.03</v>
      </c>
    </row>
    <row r="4358" spans="1:4">
      <c r="A4358">
        <v>7119</v>
      </c>
      <c r="B4358" t="s">
        <v>10650</v>
      </c>
      <c r="C4358" t="s">
        <v>6636</v>
      </c>
      <c r="D4358" s="233">
        <v>6.91</v>
      </c>
    </row>
    <row r="4359" spans="1:4">
      <c r="A4359">
        <v>7120</v>
      </c>
      <c r="B4359" t="s">
        <v>10651</v>
      </c>
      <c r="C4359" t="s">
        <v>6636</v>
      </c>
      <c r="D4359" s="233">
        <v>4.74</v>
      </c>
    </row>
    <row r="4360" spans="1:4">
      <c r="A4360">
        <v>6319</v>
      </c>
      <c r="B4360" t="s">
        <v>10652</v>
      </c>
      <c r="C4360" t="s">
        <v>6636</v>
      </c>
      <c r="D4360" s="233">
        <v>24.44</v>
      </c>
    </row>
    <row r="4361" spans="1:4">
      <c r="A4361">
        <v>6304</v>
      </c>
      <c r="B4361" t="s">
        <v>10653</v>
      </c>
      <c r="C4361" t="s">
        <v>6636</v>
      </c>
      <c r="D4361" s="233">
        <v>24.44</v>
      </c>
    </row>
    <row r="4362" spans="1:4">
      <c r="A4362">
        <v>21116</v>
      </c>
      <c r="B4362" t="s">
        <v>10654</v>
      </c>
      <c r="C4362" t="s">
        <v>6636</v>
      </c>
      <c r="D4362" s="233">
        <v>18.5</v>
      </c>
    </row>
    <row r="4363" spans="1:4">
      <c r="A4363">
        <v>6320</v>
      </c>
      <c r="B4363" t="s">
        <v>10655</v>
      </c>
      <c r="C4363" t="s">
        <v>6636</v>
      </c>
      <c r="D4363" s="233">
        <v>12.58</v>
      </c>
    </row>
    <row r="4364" spans="1:4">
      <c r="A4364">
        <v>6303</v>
      </c>
      <c r="B4364" t="s">
        <v>10656</v>
      </c>
      <c r="C4364" t="s">
        <v>6636</v>
      </c>
      <c r="D4364" s="233">
        <v>12.58</v>
      </c>
    </row>
    <row r="4365" spans="1:4">
      <c r="A4365">
        <v>6308</v>
      </c>
      <c r="B4365" t="s">
        <v>10657</v>
      </c>
      <c r="C4365" t="s">
        <v>6636</v>
      </c>
      <c r="D4365" s="233">
        <v>67.62</v>
      </c>
    </row>
    <row r="4366" spans="1:4">
      <c r="A4366">
        <v>6317</v>
      </c>
      <c r="B4366" t="s">
        <v>10658</v>
      </c>
      <c r="C4366" t="s">
        <v>6636</v>
      </c>
      <c r="D4366" s="233">
        <v>67.62</v>
      </c>
    </row>
    <row r="4367" spans="1:4">
      <c r="A4367">
        <v>6307</v>
      </c>
      <c r="B4367" t="s">
        <v>10659</v>
      </c>
      <c r="C4367" t="s">
        <v>6636</v>
      </c>
      <c r="D4367" s="233">
        <v>67.62</v>
      </c>
    </row>
    <row r="4368" spans="1:4">
      <c r="A4368">
        <v>6309</v>
      </c>
      <c r="B4368" t="s">
        <v>10660</v>
      </c>
      <c r="C4368" t="s">
        <v>6636</v>
      </c>
      <c r="D4368" s="233">
        <v>69.59</v>
      </c>
    </row>
    <row r="4369" spans="1:4">
      <c r="A4369">
        <v>6318</v>
      </c>
      <c r="B4369" t="s">
        <v>10661</v>
      </c>
      <c r="C4369" t="s">
        <v>6636</v>
      </c>
      <c r="D4369" s="233">
        <v>36.479999999999997</v>
      </c>
    </row>
    <row r="4370" spans="1:4">
      <c r="A4370">
        <v>6306</v>
      </c>
      <c r="B4370" t="s">
        <v>10662</v>
      </c>
      <c r="C4370" t="s">
        <v>6636</v>
      </c>
      <c r="D4370" s="233">
        <v>36.479999999999997</v>
      </c>
    </row>
    <row r="4371" spans="1:4">
      <c r="A4371">
        <v>6305</v>
      </c>
      <c r="B4371" t="s">
        <v>10663</v>
      </c>
      <c r="C4371" t="s">
        <v>6636</v>
      </c>
      <c r="D4371" s="233">
        <v>36.479999999999997</v>
      </c>
    </row>
    <row r="4372" spans="1:4">
      <c r="A4372">
        <v>6302</v>
      </c>
      <c r="B4372" t="s">
        <v>10664</v>
      </c>
      <c r="C4372" t="s">
        <v>6636</v>
      </c>
      <c r="D4372" s="233">
        <v>7.73</v>
      </c>
    </row>
    <row r="4373" spans="1:4">
      <c r="A4373">
        <v>6312</v>
      </c>
      <c r="B4373" t="s">
        <v>10665</v>
      </c>
      <c r="C4373" t="s">
        <v>6636</v>
      </c>
      <c r="D4373" s="233">
        <v>97.27</v>
      </c>
    </row>
    <row r="4374" spans="1:4">
      <c r="A4374">
        <v>6311</v>
      </c>
      <c r="B4374" t="s">
        <v>10666</v>
      </c>
      <c r="C4374" t="s">
        <v>6636</v>
      </c>
      <c r="D4374" s="233">
        <v>97.27</v>
      </c>
    </row>
    <row r="4375" spans="1:4">
      <c r="A4375">
        <v>6310</v>
      </c>
      <c r="B4375" t="s">
        <v>10667</v>
      </c>
      <c r="C4375" t="s">
        <v>6636</v>
      </c>
      <c r="D4375" s="233">
        <v>97.27</v>
      </c>
    </row>
    <row r="4376" spans="1:4">
      <c r="A4376">
        <v>6314</v>
      </c>
      <c r="B4376" t="s">
        <v>10668</v>
      </c>
      <c r="C4376" t="s">
        <v>6636</v>
      </c>
      <c r="D4376" s="233">
        <v>97.27</v>
      </c>
    </row>
    <row r="4377" spans="1:4">
      <c r="A4377">
        <v>6313</v>
      </c>
      <c r="B4377" t="s">
        <v>10669</v>
      </c>
      <c r="C4377" t="s">
        <v>6636</v>
      </c>
      <c r="D4377" s="233">
        <v>97.27</v>
      </c>
    </row>
    <row r="4378" spans="1:4">
      <c r="A4378">
        <v>6315</v>
      </c>
      <c r="B4378" t="s">
        <v>10670</v>
      </c>
      <c r="C4378" t="s">
        <v>6636</v>
      </c>
      <c r="D4378" s="233">
        <v>184.18</v>
      </c>
    </row>
    <row r="4379" spans="1:4">
      <c r="A4379">
        <v>6316</v>
      </c>
      <c r="B4379" t="s">
        <v>10671</v>
      </c>
      <c r="C4379" t="s">
        <v>6636</v>
      </c>
      <c r="D4379" s="233">
        <v>184.18</v>
      </c>
    </row>
    <row r="4380" spans="1:4">
      <c r="A4380">
        <v>38878</v>
      </c>
      <c r="B4380" t="s">
        <v>10672</v>
      </c>
      <c r="C4380" t="s">
        <v>6636</v>
      </c>
      <c r="D4380" s="233">
        <v>13.09</v>
      </c>
    </row>
    <row r="4381" spans="1:4">
      <c r="A4381">
        <v>38879</v>
      </c>
      <c r="B4381" t="s">
        <v>10673</v>
      </c>
      <c r="C4381" t="s">
        <v>6636</v>
      </c>
      <c r="D4381" s="233">
        <v>24.54</v>
      </c>
    </row>
    <row r="4382" spans="1:4">
      <c r="A4382">
        <v>38881</v>
      </c>
      <c r="B4382" t="s">
        <v>10674</v>
      </c>
      <c r="C4382" t="s">
        <v>6636</v>
      </c>
      <c r="D4382" s="233">
        <v>12.84</v>
      </c>
    </row>
    <row r="4383" spans="1:4">
      <c r="A4383">
        <v>38880</v>
      </c>
      <c r="B4383" t="s">
        <v>10675</v>
      </c>
      <c r="C4383" t="s">
        <v>6636</v>
      </c>
      <c r="D4383" s="233">
        <v>13.46</v>
      </c>
    </row>
    <row r="4384" spans="1:4">
      <c r="A4384">
        <v>38882</v>
      </c>
      <c r="B4384" t="s">
        <v>10676</v>
      </c>
      <c r="C4384" t="s">
        <v>6636</v>
      </c>
      <c r="D4384" s="233">
        <v>13.94</v>
      </c>
    </row>
    <row r="4385" spans="1:4">
      <c r="A4385">
        <v>38883</v>
      </c>
      <c r="B4385" t="s">
        <v>10677</v>
      </c>
      <c r="C4385" t="s">
        <v>6636</v>
      </c>
      <c r="D4385" s="233">
        <v>20.61</v>
      </c>
    </row>
    <row r="4386" spans="1:4">
      <c r="A4386">
        <v>38884</v>
      </c>
      <c r="B4386" t="s">
        <v>10678</v>
      </c>
      <c r="C4386" t="s">
        <v>6636</v>
      </c>
      <c r="D4386" s="233">
        <v>22.38</v>
      </c>
    </row>
    <row r="4387" spans="1:4">
      <c r="A4387">
        <v>38885</v>
      </c>
      <c r="B4387" t="s">
        <v>10679</v>
      </c>
      <c r="C4387" t="s">
        <v>6636</v>
      </c>
      <c r="D4387" s="233">
        <v>21.65</v>
      </c>
    </row>
    <row r="4388" spans="1:4">
      <c r="A4388">
        <v>38886</v>
      </c>
      <c r="B4388" t="s">
        <v>10680</v>
      </c>
      <c r="C4388" t="s">
        <v>6636</v>
      </c>
      <c r="D4388" s="233">
        <v>23.36</v>
      </c>
    </row>
    <row r="4389" spans="1:4">
      <c r="A4389">
        <v>38887</v>
      </c>
      <c r="B4389" t="s">
        <v>10681</v>
      </c>
      <c r="C4389" t="s">
        <v>6636</v>
      </c>
      <c r="D4389" s="233">
        <v>20.98</v>
      </c>
    </row>
    <row r="4390" spans="1:4">
      <c r="A4390">
        <v>38888</v>
      </c>
      <c r="B4390" t="s">
        <v>10682</v>
      </c>
      <c r="C4390" t="s">
        <v>6636</v>
      </c>
      <c r="D4390" s="233">
        <v>24.95</v>
      </c>
    </row>
    <row r="4391" spans="1:4">
      <c r="A4391">
        <v>38890</v>
      </c>
      <c r="B4391" t="s">
        <v>10683</v>
      </c>
      <c r="C4391" t="s">
        <v>6636</v>
      </c>
      <c r="D4391" s="233">
        <v>37.08</v>
      </c>
    </row>
    <row r="4392" spans="1:4">
      <c r="A4392">
        <v>38893</v>
      </c>
      <c r="B4392" t="s">
        <v>10684</v>
      </c>
      <c r="C4392" t="s">
        <v>6636</v>
      </c>
      <c r="D4392" s="233">
        <v>29.82</v>
      </c>
    </row>
    <row r="4393" spans="1:4">
      <c r="A4393">
        <v>38894</v>
      </c>
      <c r="B4393" t="s">
        <v>10685</v>
      </c>
      <c r="C4393" t="s">
        <v>6636</v>
      </c>
      <c r="D4393" s="233">
        <v>37.869999999999997</v>
      </c>
    </row>
    <row r="4394" spans="1:4">
      <c r="A4394">
        <v>38896</v>
      </c>
      <c r="B4394" t="s">
        <v>10686</v>
      </c>
      <c r="C4394" t="s">
        <v>6636</v>
      </c>
      <c r="D4394" s="233">
        <v>38.619999999999997</v>
      </c>
    </row>
    <row r="4395" spans="1:4">
      <c r="A4395">
        <v>39324</v>
      </c>
      <c r="B4395" t="s">
        <v>10687</v>
      </c>
      <c r="C4395" t="s">
        <v>6636</v>
      </c>
      <c r="D4395" s="233">
        <v>8.5</v>
      </c>
    </row>
    <row r="4396" spans="1:4">
      <c r="A4396">
        <v>39325</v>
      </c>
      <c r="B4396" t="s">
        <v>10688</v>
      </c>
      <c r="C4396" t="s">
        <v>6636</v>
      </c>
      <c r="D4396" s="233">
        <v>12.86</v>
      </c>
    </row>
    <row r="4397" spans="1:4">
      <c r="A4397">
        <v>39326</v>
      </c>
      <c r="B4397" t="s">
        <v>10689</v>
      </c>
      <c r="C4397" t="s">
        <v>6636</v>
      </c>
      <c r="D4397" s="233">
        <v>33.11</v>
      </c>
    </row>
    <row r="4398" spans="1:4">
      <c r="A4398">
        <v>39327</v>
      </c>
      <c r="B4398" t="s">
        <v>10690</v>
      </c>
      <c r="C4398" t="s">
        <v>6636</v>
      </c>
      <c r="D4398" s="233">
        <v>50.17</v>
      </c>
    </row>
    <row r="4399" spans="1:4">
      <c r="A4399">
        <v>20176</v>
      </c>
      <c r="B4399" t="s">
        <v>10691</v>
      </c>
      <c r="C4399" t="s">
        <v>6636</v>
      </c>
      <c r="D4399" s="233">
        <v>30.24</v>
      </c>
    </row>
    <row r="4400" spans="1:4">
      <c r="A4400">
        <v>11378</v>
      </c>
      <c r="B4400" t="s">
        <v>10692</v>
      </c>
      <c r="C4400" t="s">
        <v>6636</v>
      </c>
      <c r="D4400" s="233">
        <v>63.4</v>
      </c>
    </row>
    <row r="4401" spans="1:4">
      <c r="A4401">
        <v>11379</v>
      </c>
      <c r="B4401" t="s">
        <v>10693</v>
      </c>
      <c r="C4401" t="s">
        <v>6636</v>
      </c>
      <c r="D4401" s="233">
        <v>53.57</v>
      </c>
    </row>
    <row r="4402" spans="1:4">
      <c r="A4402">
        <v>11493</v>
      </c>
      <c r="B4402" t="s">
        <v>1142</v>
      </c>
      <c r="C4402" t="s">
        <v>6636</v>
      </c>
      <c r="D4402" s="233">
        <v>30.9</v>
      </c>
    </row>
    <row r="4403" spans="1:4">
      <c r="A4403">
        <v>42717</v>
      </c>
      <c r="B4403" t="s">
        <v>10694</v>
      </c>
      <c r="C4403" t="s">
        <v>6636</v>
      </c>
      <c r="D4403" s="233">
        <v>296.58999999999997</v>
      </c>
    </row>
    <row r="4404" spans="1:4">
      <c r="A4404">
        <v>42718</v>
      </c>
      <c r="B4404" t="s">
        <v>10695</v>
      </c>
      <c r="C4404" t="s">
        <v>6636</v>
      </c>
      <c r="D4404" s="233">
        <v>329.27</v>
      </c>
    </row>
    <row r="4405" spans="1:4">
      <c r="A4405">
        <v>7106</v>
      </c>
      <c r="B4405" t="s">
        <v>10696</v>
      </c>
      <c r="C4405" t="s">
        <v>6636</v>
      </c>
      <c r="D4405" s="233">
        <v>112.48</v>
      </c>
    </row>
    <row r="4406" spans="1:4">
      <c r="A4406">
        <v>7104</v>
      </c>
      <c r="B4406" t="s">
        <v>10697</v>
      </c>
      <c r="C4406" t="s">
        <v>6636</v>
      </c>
      <c r="D4406" s="233">
        <v>2.34</v>
      </c>
    </row>
    <row r="4407" spans="1:4">
      <c r="A4407">
        <v>7136</v>
      </c>
      <c r="B4407" t="s">
        <v>10698</v>
      </c>
      <c r="C4407" t="s">
        <v>6636</v>
      </c>
      <c r="D4407" s="233">
        <v>4.41</v>
      </c>
    </row>
    <row r="4408" spans="1:4">
      <c r="A4408">
        <v>7128</v>
      </c>
      <c r="B4408" t="s">
        <v>10699</v>
      </c>
      <c r="C4408" t="s">
        <v>6636</v>
      </c>
      <c r="D4408" s="233">
        <v>7.22</v>
      </c>
    </row>
    <row r="4409" spans="1:4">
      <c r="A4409">
        <v>7108</v>
      </c>
      <c r="B4409" t="s">
        <v>877</v>
      </c>
      <c r="C4409" t="s">
        <v>6636</v>
      </c>
      <c r="D4409" s="233">
        <v>7.73</v>
      </c>
    </row>
    <row r="4410" spans="1:4">
      <c r="A4410">
        <v>7129</v>
      </c>
      <c r="B4410" t="s">
        <v>10700</v>
      </c>
      <c r="C4410" t="s">
        <v>6636</v>
      </c>
      <c r="D4410" s="233">
        <v>6.42</v>
      </c>
    </row>
    <row r="4411" spans="1:4">
      <c r="A4411">
        <v>7130</v>
      </c>
      <c r="B4411" t="s">
        <v>10701</v>
      </c>
      <c r="C4411" t="s">
        <v>6636</v>
      </c>
      <c r="D4411" s="233">
        <v>10.48</v>
      </c>
    </row>
    <row r="4412" spans="1:4">
      <c r="A4412">
        <v>7131</v>
      </c>
      <c r="B4412" t="s">
        <v>10702</v>
      </c>
      <c r="C4412" t="s">
        <v>6636</v>
      </c>
      <c r="D4412" s="233">
        <v>12.85</v>
      </c>
    </row>
    <row r="4413" spans="1:4">
      <c r="A4413">
        <v>7132</v>
      </c>
      <c r="B4413" t="s">
        <v>10703</v>
      </c>
      <c r="C4413" t="s">
        <v>6636</v>
      </c>
      <c r="D4413" s="233">
        <v>35.69</v>
      </c>
    </row>
    <row r="4414" spans="1:4">
      <c r="A4414">
        <v>7133</v>
      </c>
      <c r="B4414" t="s">
        <v>878</v>
      </c>
      <c r="C4414" t="s">
        <v>6636</v>
      </c>
      <c r="D4414" s="233">
        <v>55.44</v>
      </c>
    </row>
    <row r="4415" spans="1:4">
      <c r="A4415">
        <v>37420</v>
      </c>
      <c r="B4415" t="s">
        <v>10704</v>
      </c>
      <c r="C4415" t="s">
        <v>6636</v>
      </c>
      <c r="D4415" s="233">
        <v>30.73</v>
      </c>
    </row>
    <row r="4416" spans="1:4">
      <c r="A4416">
        <v>37421</v>
      </c>
      <c r="B4416" t="s">
        <v>10705</v>
      </c>
      <c r="C4416" t="s">
        <v>6636</v>
      </c>
      <c r="D4416" s="233">
        <v>42</v>
      </c>
    </row>
    <row r="4417" spans="1:4">
      <c r="A4417">
        <v>37422</v>
      </c>
      <c r="B4417" t="s">
        <v>10706</v>
      </c>
      <c r="C4417" t="s">
        <v>6636</v>
      </c>
      <c r="D4417" s="233">
        <v>39.31</v>
      </c>
    </row>
    <row r="4418" spans="1:4">
      <c r="A4418">
        <v>37443</v>
      </c>
      <c r="B4418" t="s">
        <v>10707</v>
      </c>
      <c r="C4418" t="s">
        <v>6636</v>
      </c>
      <c r="D4418" s="233">
        <v>132.51</v>
      </c>
    </row>
    <row r="4419" spans="1:4">
      <c r="A4419">
        <v>37444</v>
      </c>
      <c r="B4419" t="s">
        <v>10708</v>
      </c>
      <c r="C4419" t="s">
        <v>6636</v>
      </c>
      <c r="D4419" s="233">
        <v>134.76</v>
      </c>
    </row>
    <row r="4420" spans="1:4">
      <c r="A4420">
        <v>37445</v>
      </c>
      <c r="B4420" t="s">
        <v>10709</v>
      </c>
      <c r="C4420" t="s">
        <v>6636</v>
      </c>
      <c r="D4420" s="233">
        <v>204.26</v>
      </c>
    </row>
    <row r="4421" spans="1:4">
      <c r="A4421">
        <v>37446</v>
      </c>
      <c r="B4421" t="s">
        <v>10710</v>
      </c>
      <c r="C4421" t="s">
        <v>6636</v>
      </c>
      <c r="D4421" s="233">
        <v>222.67</v>
      </c>
    </row>
    <row r="4422" spans="1:4">
      <c r="A4422">
        <v>37447</v>
      </c>
      <c r="B4422" t="s">
        <v>10711</v>
      </c>
      <c r="C4422" t="s">
        <v>6636</v>
      </c>
      <c r="D4422" s="233">
        <v>226.16</v>
      </c>
    </row>
    <row r="4423" spans="1:4">
      <c r="A4423">
        <v>37448</v>
      </c>
      <c r="B4423" t="s">
        <v>10712</v>
      </c>
      <c r="C4423" t="s">
        <v>6636</v>
      </c>
      <c r="D4423" s="233">
        <v>310.20999999999998</v>
      </c>
    </row>
    <row r="4424" spans="1:4">
      <c r="A4424">
        <v>37440</v>
      </c>
      <c r="B4424" t="s">
        <v>10713</v>
      </c>
      <c r="C4424" t="s">
        <v>6636</v>
      </c>
      <c r="D4424" s="233">
        <v>105.18</v>
      </c>
    </row>
    <row r="4425" spans="1:4">
      <c r="A4425">
        <v>37441</v>
      </c>
      <c r="B4425" t="s">
        <v>10714</v>
      </c>
      <c r="C4425" t="s">
        <v>6636</v>
      </c>
      <c r="D4425" s="233">
        <v>105.18</v>
      </c>
    </row>
    <row r="4426" spans="1:4">
      <c r="A4426">
        <v>37442</v>
      </c>
      <c r="B4426" t="s">
        <v>10715</v>
      </c>
      <c r="C4426" t="s">
        <v>6636</v>
      </c>
      <c r="D4426" s="233">
        <v>126.68</v>
      </c>
    </row>
    <row r="4427" spans="1:4">
      <c r="A4427">
        <v>38017</v>
      </c>
      <c r="B4427" t="s">
        <v>10716</v>
      </c>
      <c r="C4427" t="s">
        <v>6636</v>
      </c>
      <c r="D4427" s="233">
        <v>12.08</v>
      </c>
    </row>
    <row r="4428" spans="1:4">
      <c r="A4428">
        <v>38018</v>
      </c>
      <c r="B4428" t="s">
        <v>10717</v>
      </c>
      <c r="C4428" t="s">
        <v>6636</v>
      </c>
      <c r="D4428" s="233">
        <v>13.33</v>
      </c>
    </row>
    <row r="4429" spans="1:4">
      <c r="A4429">
        <v>39895</v>
      </c>
      <c r="B4429" t="s">
        <v>10718</v>
      </c>
      <c r="C4429" t="s">
        <v>6636</v>
      </c>
      <c r="D4429" s="233">
        <v>28.86</v>
      </c>
    </row>
    <row r="4430" spans="1:4">
      <c r="A4430">
        <v>39896</v>
      </c>
      <c r="B4430" t="s">
        <v>10719</v>
      </c>
      <c r="C4430" t="s">
        <v>6636</v>
      </c>
      <c r="D4430" s="233">
        <v>42.3</v>
      </c>
    </row>
    <row r="4431" spans="1:4">
      <c r="A4431">
        <v>38873</v>
      </c>
      <c r="B4431" t="s">
        <v>10720</v>
      </c>
      <c r="C4431" t="s">
        <v>6636</v>
      </c>
      <c r="D4431" s="233">
        <v>11.61</v>
      </c>
    </row>
    <row r="4432" spans="1:4">
      <c r="A4432">
        <v>38874</v>
      </c>
      <c r="B4432" t="s">
        <v>10721</v>
      </c>
      <c r="C4432" t="s">
        <v>6636</v>
      </c>
      <c r="D4432" s="233">
        <v>14.12</v>
      </c>
    </row>
    <row r="4433" spans="1:4">
      <c r="A4433">
        <v>38875</v>
      </c>
      <c r="B4433" t="s">
        <v>10722</v>
      </c>
      <c r="C4433" t="s">
        <v>6636</v>
      </c>
      <c r="D4433" s="233">
        <v>24.96</v>
      </c>
    </row>
    <row r="4434" spans="1:4">
      <c r="A4434">
        <v>38876</v>
      </c>
      <c r="B4434" t="s">
        <v>10723</v>
      </c>
      <c r="C4434" t="s">
        <v>6636</v>
      </c>
      <c r="D4434" s="233">
        <v>33.58</v>
      </c>
    </row>
    <row r="4435" spans="1:4">
      <c r="A4435">
        <v>39000</v>
      </c>
      <c r="B4435" t="s">
        <v>10724</v>
      </c>
      <c r="C4435" t="s">
        <v>6636</v>
      </c>
      <c r="D4435" s="233">
        <v>25.59</v>
      </c>
    </row>
    <row r="4436" spans="1:4">
      <c r="A4436">
        <v>38674</v>
      </c>
      <c r="B4436" t="s">
        <v>10725</v>
      </c>
      <c r="C4436" t="s">
        <v>6636</v>
      </c>
      <c r="D4436" s="233">
        <v>42.02</v>
      </c>
    </row>
    <row r="4437" spans="1:4">
      <c r="A4437">
        <v>38911</v>
      </c>
      <c r="B4437" t="s">
        <v>10726</v>
      </c>
      <c r="C4437" t="s">
        <v>6636</v>
      </c>
      <c r="D4437" s="233">
        <v>41.64</v>
      </c>
    </row>
    <row r="4438" spans="1:4">
      <c r="A4438">
        <v>38912</v>
      </c>
      <c r="B4438" t="s">
        <v>10727</v>
      </c>
      <c r="C4438" t="s">
        <v>6636</v>
      </c>
      <c r="D4438" s="233">
        <v>52.93</v>
      </c>
    </row>
    <row r="4439" spans="1:4">
      <c r="A4439">
        <v>38019</v>
      </c>
      <c r="B4439" t="s">
        <v>10728</v>
      </c>
      <c r="C4439" t="s">
        <v>6636</v>
      </c>
      <c r="D4439" s="233">
        <v>10.53</v>
      </c>
    </row>
    <row r="4440" spans="1:4">
      <c r="A4440">
        <v>38020</v>
      </c>
      <c r="B4440" t="s">
        <v>10729</v>
      </c>
      <c r="C4440" t="s">
        <v>6636</v>
      </c>
      <c r="D4440" s="233">
        <v>13.33</v>
      </c>
    </row>
    <row r="4441" spans="1:4">
      <c r="A4441">
        <v>38454</v>
      </c>
      <c r="B4441" t="s">
        <v>10730</v>
      </c>
      <c r="C4441" t="s">
        <v>6636</v>
      </c>
      <c r="D4441" s="233">
        <v>4.67</v>
      </c>
    </row>
    <row r="4442" spans="1:4">
      <c r="A4442">
        <v>38455</v>
      </c>
      <c r="B4442" t="s">
        <v>10731</v>
      </c>
      <c r="C4442" t="s">
        <v>6636</v>
      </c>
      <c r="D4442" s="233">
        <v>4.2699999999999996</v>
      </c>
    </row>
    <row r="4443" spans="1:4">
      <c r="A4443">
        <v>38462</v>
      </c>
      <c r="B4443" t="s">
        <v>10732</v>
      </c>
      <c r="C4443" t="s">
        <v>6636</v>
      </c>
      <c r="D4443" s="233">
        <v>120.68</v>
      </c>
    </row>
    <row r="4444" spans="1:4">
      <c r="A4444">
        <v>36362</v>
      </c>
      <c r="B4444" t="s">
        <v>10733</v>
      </c>
      <c r="C4444" t="s">
        <v>6636</v>
      </c>
      <c r="D4444" s="233">
        <v>1.84</v>
      </c>
    </row>
    <row r="4445" spans="1:4">
      <c r="A4445">
        <v>36298</v>
      </c>
      <c r="B4445" t="s">
        <v>10734</v>
      </c>
      <c r="C4445" t="s">
        <v>6636</v>
      </c>
      <c r="D4445" s="233">
        <v>2.72</v>
      </c>
    </row>
    <row r="4446" spans="1:4">
      <c r="A4446">
        <v>38456</v>
      </c>
      <c r="B4446" t="s">
        <v>10735</v>
      </c>
      <c r="C4446" t="s">
        <v>6636</v>
      </c>
      <c r="D4446" s="233">
        <v>4.4400000000000004</v>
      </c>
    </row>
    <row r="4447" spans="1:4">
      <c r="A4447">
        <v>38457</v>
      </c>
      <c r="B4447" t="s">
        <v>10736</v>
      </c>
      <c r="C4447" t="s">
        <v>6636</v>
      </c>
      <c r="D4447" s="233">
        <v>10</v>
      </c>
    </row>
    <row r="4448" spans="1:4">
      <c r="A4448">
        <v>38458</v>
      </c>
      <c r="B4448" t="s">
        <v>10737</v>
      </c>
      <c r="C4448" t="s">
        <v>6636</v>
      </c>
      <c r="D4448" s="233">
        <v>13.41</v>
      </c>
    </row>
    <row r="4449" spans="1:4">
      <c r="A4449">
        <v>38459</v>
      </c>
      <c r="B4449" t="s">
        <v>10738</v>
      </c>
      <c r="C4449" t="s">
        <v>6636</v>
      </c>
      <c r="D4449" s="233">
        <v>23.67</v>
      </c>
    </row>
    <row r="4450" spans="1:4">
      <c r="A4450">
        <v>38460</v>
      </c>
      <c r="B4450" t="s">
        <v>10739</v>
      </c>
      <c r="C4450" t="s">
        <v>6636</v>
      </c>
      <c r="D4450" s="233">
        <v>49.44</v>
      </c>
    </row>
    <row r="4451" spans="1:4">
      <c r="A4451">
        <v>38461</v>
      </c>
      <c r="B4451" t="s">
        <v>10740</v>
      </c>
      <c r="C4451" t="s">
        <v>6636</v>
      </c>
      <c r="D4451" s="233">
        <v>75.41</v>
      </c>
    </row>
    <row r="4452" spans="1:4">
      <c r="A4452">
        <v>7094</v>
      </c>
      <c r="B4452" t="s">
        <v>10741</v>
      </c>
      <c r="C4452" t="s">
        <v>6636</v>
      </c>
      <c r="D4452" s="233">
        <v>8.1</v>
      </c>
    </row>
    <row r="4453" spans="1:4">
      <c r="A4453">
        <v>7116</v>
      </c>
      <c r="B4453" t="s">
        <v>10742</v>
      </c>
      <c r="C4453" t="s">
        <v>6636</v>
      </c>
      <c r="D4453" s="233">
        <v>2.2599999999999998</v>
      </c>
    </row>
    <row r="4454" spans="1:4">
      <c r="A4454">
        <v>7118</v>
      </c>
      <c r="B4454" t="s">
        <v>10743</v>
      </c>
      <c r="C4454" t="s">
        <v>6636</v>
      </c>
      <c r="D4454" s="233">
        <v>17.88</v>
      </c>
    </row>
    <row r="4455" spans="1:4">
      <c r="A4455">
        <v>7117</v>
      </c>
      <c r="B4455" t="s">
        <v>10744</v>
      </c>
      <c r="C4455" t="s">
        <v>6636</v>
      </c>
      <c r="D4455" s="233">
        <v>15.9</v>
      </c>
    </row>
    <row r="4456" spans="1:4">
      <c r="A4456">
        <v>7098</v>
      </c>
      <c r="B4456" t="s">
        <v>10745</v>
      </c>
      <c r="C4456" t="s">
        <v>6636</v>
      </c>
      <c r="D4456" s="233">
        <v>2.21</v>
      </c>
    </row>
    <row r="4457" spans="1:4">
      <c r="A4457">
        <v>7110</v>
      </c>
      <c r="B4457" t="s">
        <v>10746</v>
      </c>
      <c r="C4457" t="s">
        <v>6636</v>
      </c>
      <c r="D4457" s="233">
        <v>38.89</v>
      </c>
    </row>
    <row r="4458" spans="1:4">
      <c r="A4458">
        <v>7123</v>
      </c>
      <c r="B4458" t="s">
        <v>10747</v>
      </c>
      <c r="C4458" t="s">
        <v>6636</v>
      </c>
      <c r="D4458" s="233">
        <v>2.85</v>
      </c>
    </row>
    <row r="4459" spans="1:4">
      <c r="A4459">
        <v>7121</v>
      </c>
      <c r="B4459" t="s">
        <v>10748</v>
      </c>
      <c r="C4459" t="s">
        <v>6636</v>
      </c>
      <c r="D4459" s="233">
        <v>7.03</v>
      </c>
    </row>
    <row r="4460" spans="1:4">
      <c r="A4460">
        <v>7137</v>
      </c>
      <c r="B4460" t="s">
        <v>10749</v>
      </c>
      <c r="C4460" t="s">
        <v>6636</v>
      </c>
      <c r="D4460" s="233">
        <v>6.32</v>
      </c>
    </row>
    <row r="4461" spans="1:4">
      <c r="A4461">
        <v>7122</v>
      </c>
      <c r="B4461" t="s">
        <v>10750</v>
      </c>
      <c r="C4461" t="s">
        <v>6636</v>
      </c>
      <c r="D4461" s="233">
        <v>7.9</v>
      </c>
    </row>
    <row r="4462" spans="1:4">
      <c r="A4462">
        <v>7114</v>
      </c>
      <c r="B4462" t="s">
        <v>10751</v>
      </c>
      <c r="C4462" t="s">
        <v>6636</v>
      </c>
      <c r="D4462" s="233">
        <v>12.19</v>
      </c>
    </row>
    <row r="4463" spans="1:4">
      <c r="A4463">
        <v>7109</v>
      </c>
      <c r="B4463" t="s">
        <v>10752</v>
      </c>
      <c r="C4463" t="s">
        <v>6636</v>
      </c>
      <c r="D4463" s="233">
        <v>2.13</v>
      </c>
    </row>
    <row r="4464" spans="1:4">
      <c r="A4464">
        <v>7135</v>
      </c>
      <c r="B4464" t="s">
        <v>10753</v>
      </c>
      <c r="C4464" t="s">
        <v>6636</v>
      </c>
      <c r="D4464" s="233">
        <v>3.33</v>
      </c>
    </row>
    <row r="4465" spans="1:4">
      <c r="A4465">
        <v>37947</v>
      </c>
      <c r="B4465" t="s">
        <v>10754</v>
      </c>
      <c r="C4465" t="s">
        <v>6636</v>
      </c>
      <c r="D4465" s="233">
        <v>3.37</v>
      </c>
    </row>
    <row r="4466" spans="1:4">
      <c r="A4466">
        <v>7103</v>
      </c>
      <c r="B4466" t="s">
        <v>10755</v>
      </c>
      <c r="C4466" t="s">
        <v>6636</v>
      </c>
      <c r="D4466" s="233">
        <v>7.73</v>
      </c>
    </row>
    <row r="4467" spans="1:4">
      <c r="A4467">
        <v>40419</v>
      </c>
      <c r="B4467" t="s">
        <v>10756</v>
      </c>
      <c r="C4467" t="s">
        <v>6636</v>
      </c>
      <c r="D4467" s="233">
        <v>22.09</v>
      </c>
    </row>
    <row r="4468" spans="1:4">
      <c r="A4468">
        <v>40420</v>
      </c>
      <c r="B4468" t="s">
        <v>10757</v>
      </c>
      <c r="C4468" t="s">
        <v>6636</v>
      </c>
      <c r="D4468" s="233">
        <v>32.22</v>
      </c>
    </row>
    <row r="4469" spans="1:4">
      <c r="A4469">
        <v>40421</v>
      </c>
      <c r="B4469" t="s">
        <v>10758</v>
      </c>
      <c r="C4469" t="s">
        <v>6636</v>
      </c>
      <c r="D4469" s="233">
        <v>34.299999999999997</v>
      </c>
    </row>
    <row r="4470" spans="1:4">
      <c r="A4470">
        <v>7126</v>
      </c>
      <c r="B4470" t="s">
        <v>10759</v>
      </c>
      <c r="C4470" t="s">
        <v>6636</v>
      </c>
      <c r="D4470" s="233">
        <v>16.22</v>
      </c>
    </row>
    <row r="4471" spans="1:4">
      <c r="A4471">
        <v>38905</v>
      </c>
      <c r="B4471" t="s">
        <v>10760</v>
      </c>
      <c r="C4471" t="s">
        <v>6636</v>
      </c>
      <c r="D4471" s="233">
        <v>13.05</v>
      </c>
    </row>
    <row r="4472" spans="1:4">
      <c r="A4472">
        <v>38907</v>
      </c>
      <c r="B4472" t="s">
        <v>10761</v>
      </c>
      <c r="C4472" t="s">
        <v>6636</v>
      </c>
      <c r="D4472" s="233">
        <v>13.88</v>
      </c>
    </row>
    <row r="4473" spans="1:4">
      <c r="A4473">
        <v>38908</v>
      </c>
      <c r="B4473" t="s">
        <v>10762</v>
      </c>
      <c r="C4473" t="s">
        <v>6636</v>
      </c>
      <c r="D4473" s="233">
        <v>15.62</v>
      </c>
    </row>
    <row r="4474" spans="1:4">
      <c r="A4474">
        <v>38909</v>
      </c>
      <c r="B4474" t="s">
        <v>10763</v>
      </c>
      <c r="C4474" t="s">
        <v>6636</v>
      </c>
      <c r="D4474" s="233">
        <v>22.46</v>
      </c>
    </row>
    <row r="4475" spans="1:4">
      <c r="A4475">
        <v>38910</v>
      </c>
      <c r="B4475" t="s">
        <v>10764</v>
      </c>
      <c r="C4475" t="s">
        <v>6636</v>
      </c>
      <c r="D4475" s="233">
        <v>24.26</v>
      </c>
    </row>
    <row r="4476" spans="1:4">
      <c r="A4476">
        <v>38897</v>
      </c>
      <c r="B4476" t="s">
        <v>10765</v>
      </c>
      <c r="C4476" t="s">
        <v>6636</v>
      </c>
      <c r="D4476" s="233">
        <v>13.1</v>
      </c>
    </row>
    <row r="4477" spans="1:4">
      <c r="A4477">
        <v>38899</v>
      </c>
      <c r="B4477" t="s">
        <v>10766</v>
      </c>
      <c r="C4477" t="s">
        <v>6636</v>
      </c>
      <c r="D4477" s="233">
        <v>14.74</v>
      </c>
    </row>
    <row r="4478" spans="1:4">
      <c r="A4478">
        <v>38900</v>
      </c>
      <c r="B4478" t="s">
        <v>10767</v>
      </c>
      <c r="C4478" t="s">
        <v>6636</v>
      </c>
      <c r="D4478" s="233">
        <v>15.37</v>
      </c>
    </row>
    <row r="4479" spans="1:4">
      <c r="A4479">
        <v>38901</v>
      </c>
      <c r="B4479" t="s">
        <v>10768</v>
      </c>
      <c r="C4479" t="s">
        <v>6636</v>
      </c>
      <c r="D4479" s="233">
        <v>25.14</v>
      </c>
    </row>
    <row r="4480" spans="1:4">
      <c r="A4480">
        <v>38904</v>
      </c>
      <c r="B4480" t="s">
        <v>10769</v>
      </c>
      <c r="C4480" t="s">
        <v>6636</v>
      </c>
      <c r="D4480" s="233">
        <v>40.840000000000003</v>
      </c>
    </row>
    <row r="4481" spans="1:4">
      <c r="A4481">
        <v>38903</v>
      </c>
      <c r="B4481" t="s">
        <v>10770</v>
      </c>
      <c r="C4481" t="s">
        <v>6636</v>
      </c>
      <c r="D4481" s="233">
        <v>40.58</v>
      </c>
    </row>
    <row r="4482" spans="1:4">
      <c r="A4482">
        <v>7091</v>
      </c>
      <c r="B4482" t="s">
        <v>10771</v>
      </c>
      <c r="C4482" t="s">
        <v>6636</v>
      </c>
      <c r="D4482" s="233">
        <v>10.64</v>
      </c>
    </row>
    <row r="4483" spans="1:4">
      <c r="A4483">
        <v>11655</v>
      </c>
      <c r="B4483" t="s">
        <v>10772</v>
      </c>
      <c r="C4483" t="s">
        <v>6636</v>
      </c>
      <c r="D4483" s="233">
        <v>10.17</v>
      </c>
    </row>
    <row r="4484" spans="1:4">
      <c r="A4484">
        <v>11656</v>
      </c>
      <c r="B4484" t="s">
        <v>10773</v>
      </c>
      <c r="C4484" t="s">
        <v>6636</v>
      </c>
      <c r="D4484" s="233">
        <v>10.63</v>
      </c>
    </row>
    <row r="4485" spans="1:4">
      <c r="A4485">
        <v>37948</v>
      </c>
      <c r="B4485" t="s">
        <v>10774</v>
      </c>
      <c r="C4485" t="s">
        <v>6636</v>
      </c>
      <c r="D4485" s="233">
        <v>2.15</v>
      </c>
    </row>
    <row r="4486" spans="1:4">
      <c r="A4486">
        <v>7097</v>
      </c>
      <c r="B4486" t="s">
        <v>10775</v>
      </c>
      <c r="C4486" t="s">
        <v>6636</v>
      </c>
      <c r="D4486" s="233">
        <v>4.7300000000000004</v>
      </c>
    </row>
    <row r="4487" spans="1:4">
      <c r="A4487">
        <v>11657</v>
      </c>
      <c r="B4487" t="s">
        <v>10776</v>
      </c>
      <c r="C4487" t="s">
        <v>6636</v>
      </c>
      <c r="D4487" s="233">
        <v>9.27</v>
      </c>
    </row>
    <row r="4488" spans="1:4">
      <c r="A4488">
        <v>11658</v>
      </c>
      <c r="B4488" t="s">
        <v>10777</v>
      </c>
      <c r="C4488" t="s">
        <v>6636</v>
      </c>
      <c r="D4488" s="233">
        <v>9.44</v>
      </c>
    </row>
    <row r="4489" spans="1:4">
      <c r="A4489">
        <v>7146</v>
      </c>
      <c r="B4489" t="s">
        <v>10778</v>
      </c>
      <c r="C4489" t="s">
        <v>6636</v>
      </c>
      <c r="D4489" s="233">
        <v>120.45</v>
      </c>
    </row>
    <row r="4490" spans="1:4">
      <c r="A4490">
        <v>7138</v>
      </c>
      <c r="B4490" t="s">
        <v>10779</v>
      </c>
      <c r="C4490" t="s">
        <v>6636</v>
      </c>
      <c r="D4490" s="233">
        <v>0.68</v>
      </c>
    </row>
    <row r="4491" spans="1:4">
      <c r="A4491">
        <v>7139</v>
      </c>
      <c r="B4491" t="s">
        <v>10780</v>
      </c>
      <c r="C4491" t="s">
        <v>6636</v>
      </c>
      <c r="D4491" s="233">
        <v>0.89</v>
      </c>
    </row>
    <row r="4492" spans="1:4">
      <c r="A4492">
        <v>7140</v>
      </c>
      <c r="B4492" t="s">
        <v>887</v>
      </c>
      <c r="C4492" t="s">
        <v>6636</v>
      </c>
      <c r="D4492" s="233">
        <v>2.97</v>
      </c>
    </row>
    <row r="4493" spans="1:4">
      <c r="A4493">
        <v>7141</v>
      </c>
      <c r="B4493" t="s">
        <v>10781</v>
      </c>
      <c r="C4493" t="s">
        <v>6636</v>
      </c>
      <c r="D4493" s="233">
        <v>6.5</v>
      </c>
    </row>
    <row r="4494" spans="1:4">
      <c r="A4494">
        <v>7143</v>
      </c>
      <c r="B4494" t="s">
        <v>10782</v>
      </c>
      <c r="C4494" t="s">
        <v>6636</v>
      </c>
      <c r="D4494" s="233">
        <v>21.65</v>
      </c>
    </row>
    <row r="4495" spans="1:4">
      <c r="A4495">
        <v>7144</v>
      </c>
      <c r="B4495" t="s">
        <v>10783</v>
      </c>
      <c r="C4495" t="s">
        <v>6636</v>
      </c>
      <c r="D4495" s="233">
        <v>43.3</v>
      </c>
    </row>
    <row r="4496" spans="1:4">
      <c r="A4496">
        <v>7145</v>
      </c>
      <c r="B4496" t="s">
        <v>10784</v>
      </c>
      <c r="C4496" t="s">
        <v>6636</v>
      </c>
      <c r="D4496" s="233">
        <v>71.02</v>
      </c>
    </row>
    <row r="4497" spans="1:4">
      <c r="A4497">
        <v>7142</v>
      </c>
      <c r="B4497" t="s">
        <v>10785</v>
      </c>
      <c r="C4497" t="s">
        <v>6636</v>
      </c>
      <c r="D4497" s="233">
        <v>7.26</v>
      </c>
    </row>
    <row r="4498" spans="1:4">
      <c r="A4498">
        <v>3593</v>
      </c>
      <c r="B4498" t="s">
        <v>10786</v>
      </c>
      <c r="C4498" t="s">
        <v>6636</v>
      </c>
      <c r="D4498" s="233">
        <v>45.15</v>
      </c>
    </row>
    <row r="4499" spans="1:4">
      <c r="A4499">
        <v>3588</v>
      </c>
      <c r="B4499" t="s">
        <v>10787</v>
      </c>
      <c r="C4499" t="s">
        <v>6636</v>
      </c>
      <c r="D4499" s="233">
        <v>34.799999999999997</v>
      </c>
    </row>
    <row r="4500" spans="1:4">
      <c r="A4500">
        <v>3585</v>
      </c>
      <c r="B4500" t="s">
        <v>10788</v>
      </c>
      <c r="C4500" t="s">
        <v>6636</v>
      </c>
      <c r="D4500" s="233">
        <v>10.75</v>
      </c>
    </row>
    <row r="4501" spans="1:4">
      <c r="A4501">
        <v>3587</v>
      </c>
      <c r="B4501" t="s">
        <v>10789</v>
      </c>
      <c r="C4501" t="s">
        <v>6636</v>
      </c>
      <c r="D4501" s="233">
        <v>21.59</v>
      </c>
    </row>
    <row r="4502" spans="1:4">
      <c r="A4502">
        <v>3590</v>
      </c>
      <c r="B4502" t="s">
        <v>10790</v>
      </c>
      <c r="C4502" t="s">
        <v>6636</v>
      </c>
      <c r="D4502" s="233">
        <v>128.19</v>
      </c>
    </row>
    <row r="4503" spans="1:4">
      <c r="A4503">
        <v>3589</v>
      </c>
      <c r="B4503" t="s">
        <v>10791</v>
      </c>
      <c r="C4503" t="s">
        <v>6636</v>
      </c>
      <c r="D4503" s="233">
        <v>68.8</v>
      </c>
    </row>
    <row r="4504" spans="1:4">
      <c r="A4504">
        <v>3586</v>
      </c>
      <c r="B4504" t="s">
        <v>10792</v>
      </c>
      <c r="C4504" t="s">
        <v>6636</v>
      </c>
      <c r="D4504" s="233">
        <v>14.08</v>
      </c>
    </row>
    <row r="4505" spans="1:4">
      <c r="A4505">
        <v>3592</v>
      </c>
      <c r="B4505" t="s">
        <v>10793</v>
      </c>
      <c r="C4505" t="s">
        <v>6636</v>
      </c>
      <c r="D4505" s="233">
        <v>202.63</v>
      </c>
    </row>
    <row r="4506" spans="1:4">
      <c r="A4506">
        <v>3591</v>
      </c>
      <c r="B4506" t="s">
        <v>10794</v>
      </c>
      <c r="C4506" t="s">
        <v>6636</v>
      </c>
      <c r="D4506" s="233">
        <v>324.83</v>
      </c>
    </row>
    <row r="4507" spans="1:4">
      <c r="A4507">
        <v>40396</v>
      </c>
      <c r="B4507" t="s">
        <v>10795</v>
      </c>
      <c r="C4507" t="s">
        <v>6636</v>
      </c>
      <c r="D4507" s="233">
        <v>71.19</v>
      </c>
    </row>
    <row r="4508" spans="1:4">
      <c r="A4508">
        <v>40395</v>
      </c>
      <c r="B4508" t="s">
        <v>10796</v>
      </c>
      <c r="C4508" t="s">
        <v>6636</v>
      </c>
      <c r="D4508" s="233">
        <v>54.64</v>
      </c>
    </row>
    <row r="4509" spans="1:4">
      <c r="A4509">
        <v>40392</v>
      </c>
      <c r="B4509" t="s">
        <v>10797</v>
      </c>
      <c r="C4509" t="s">
        <v>6636</v>
      </c>
      <c r="D4509" s="233">
        <v>17.579999999999998</v>
      </c>
    </row>
    <row r="4510" spans="1:4">
      <c r="A4510">
        <v>40394</v>
      </c>
      <c r="B4510" t="s">
        <v>10798</v>
      </c>
      <c r="C4510" t="s">
        <v>6636</v>
      </c>
      <c r="D4510" s="233">
        <v>35.57</v>
      </c>
    </row>
    <row r="4511" spans="1:4">
      <c r="A4511">
        <v>40398</v>
      </c>
      <c r="B4511" t="s">
        <v>10799</v>
      </c>
      <c r="C4511" t="s">
        <v>6636</v>
      </c>
      <c r="D4511" s="233">
        <v>228.41</v>
      </c>
    </row>
    <row r="4512" spans="1:4">
      <c r="A4512">
        <v>40397</v>
      </c>
      <c r="B4512" t="s">
        <v>10800</v>
      </c>
      <c r="C4512" t="s">
        <v>6636</v>
      </c>
      <c r="D4512" s="233">
        <v>116.97</v>
      </c>
    </row>
    <row r="4513" spans="1:4">
      <c r="A4513">
        <v>40393</v>
      </c>
      <c r="B4513" t="s">
        <v>10801</v>
      </c>
      <c r="C4513" t="s">
        <v>6636</v>
      </c>
      <c r="D4513" s="233">
        <v>22.64</v>
      </c>
    </row>
    <row r="4514" spans="1:4">
      <c r="A4514">
        <v>40399</v>
      </c>
      <c r="B4514" t="s">
        <v>10802</v>
      </c>
      <c r="C4514" t="s">
        <v>6636</v>
      </c>
      <c r="D4514" s="233">
        <v>373.68</v>
      </c>
    </row>
    <row r="4515" spans="1:4">
      <c r="A4515">
        <v>39322</v>
      </c>
      <c r="B4515" t="s">
        <v>10803</v>
      </c>
      <c r="C4515" t="s">
        <v>6636</v>
      </c>
      <c r="D4515" s="233">
        <v>15.83</v>
      </c>
    </row>
    <row r="4516" spans="1:4">
      <c r="A4516">
        <v>39289</v>
      </c>
      <c r="B4516" t="s">
        <v>10804</v>
      </c>
      <c r="C4516" t="s">
        <v>6636</v>
      </c>
      <c r="D4516" s="233">
        <v>18.96</v>
      </c>
    </row>
    <row r="4517" spans="1:4">
      <c r="A4517">
        <v>39290</v>
      </c>
      <c r="B4517" t="s">
        <v>10805</v>
      </c>
      <c r="C4517" t="s">
        <v>6636</v>
      </c>
      <c r="D4517" s="233">
        <v>32.19</v>
      </c>
    </row>
    <row r="4518" spans="1:4">
      <c r="A4518">
        <v>39291</v>
      </c>
      <c r="B4518" t="s">
        <v>10806</v>
      </c>
      <c r="C4518" t="s">
        <v>6636</v>
      </c>
      <c r="D4518" s="233">
        <v>48.19</v>
      </c>
    </row>
    <row r="4519" spans="1:4">
      <c r="A4519">
        <v>20174</v>
      </c>
      <c r="B4519" t="s">
        <v>10807</v>
      </c>
      <c r="C4519" t="s">
        <v>6636</v>
      </c>
      <c r="D4519" s="233">
        <v>25.94</v>
      </c>
    </row>
    <row r="4520" spans="1:4">
      <c r="A4520">
        <v>41892</v>
      </c>
      <c r="B4520" t="s">
        <v>10808</v>
      </c>
      <c r="C4520" t="s">
        <v>6636</v>
      </c>
      <c r="D4520" s="233">
        <v>79.78</v>
      </c>
    </row>
    <row r="4521" spans="1:4">
      <c r="A4521">
        <v>7048</v>
      </c>
      <c r="B4521" t="s">
        <v>10809</v>
      </c>
      <c r="C4521" t="s">
        <v>6636</v>
      </c>
      <c r="D4521" s="233">
        <v>17.22</v>
      </c>
    </row>
    <row r="4522" spans="1:4">
      <c r="A4522">
        <v>7088</v>
      </c>
      <c r="B4522" t="s">
        <v>10810</v>
      </c>
      <c r="C4522" t="s">
        <v>6636</v>
      </c>
      <c r="D4522" s="233">
        <v>37.65</v>
      </c>
    </row>
    <row r="4523" spans="1:4">
      <c r="A4523">
        <v>20179</v>
      </c>
      <c r="B4523" t="s">
        <v>10811</v>
      </c>
      <c r="C4523" t="s">
        <v>6636</v>
      </c>
      <c r="D4523" s="233">
        <v>34.92</v>
      </c>
    </row>
    <row r="4524" spans="1:4">
      <c r="A4524">
        <v>20178</v>
      </c>
      <c r="B4524" t="s">
        <v>10812</v>
      </c>
      <c r="C4524" t="s">
        <v>6636</v>
      </c>
      <c r="D4524" s="233">
        <v>30.86</v>
      </c>
    </row>
    <row r="4525" spans="1:4">
      <c r="A4525">
        <v>20180</v>
      </c>
      <c r="B4525" t="s">
        <v>10813</v>
      </c>
      <c r="C4525" t="s">
        <v>6636</v>
      </c>
      <c r="D4525" s="233">
        <v>56.71</v>
      </c>
    </row>
    <row r="4526" spans="1:4">
      <c r="A4526">
        <v>20181</v>
      </c>
      <c r="B4526" t="s">
        <v>10814</v>
      </c>
      <c r="C4526" t="s">
        <v>6636</v>
      </c>
      <c r="D4526" s="233">
        <v>84.13</v>
      </c>
    </row>
    <row r="4527" spans="1:4">
      <c r="A4527">
        <v>20177</v>
      </c>
      <c r="B4527" t="s">
        <v>10815</v>
      </c>
      <c r="C4527" t="s">
        <v>6636</v>
      </c>
      <c r="D4527" s="233">
        <v>20.22</v>
      </c>
    </row>
    <row r="4528" spans="1:4">
      <c r="A4528">
        <v>7082</v>
      </c>
      <c r="B4528" t="s">
        <v>10816</v>
      </c>
      <c r="C4528" t="s">
        <v>6636</v>
      </c>
      <c r="D4528" s="233">
        <v>31.95</v>
      </c>
    </row>
    <row r="4529" spans="1:4">
      <c r="A4529">
        <v>42707</v>
      </c>
      <c r="B4529" t="s">
        <v>10817</v>
      </c>
      <c r="C4529" t="s">
        <v>6636</v>
      </c>
      <c r="D4529" s="233">
        <v>86.76</v>
      </c>
    </row>
    <row r="4530" spans="1:4">
      <c r="A4530">
        <v>7069</v>
      </c>
      <c r="B4530" t="s">
        <v>10818</v>
      </c>
      <c r="C4530" t="s">
        <v>6636</v>
      </c>
      <c r="D4530" s="233">
        <v>70.900000000000006</v>
      </c>
    </row>
    <row r="4531" spans="1:4">
      <c r="A4531">
        <v>42708</v>
      </c>
      <c r="B4531" t="s">
        <v>10819</v>
      </c>
      <c r="C4531" t="s">
        <v>6636</v>
      </c>
      <c r="D4531" s="233">
        <v>227.73</v>
      </c>
    </row>
    <row r="4532" spans="1:4">
      <c r="A4532">
        <v>7070</v>
      </c>
      <c r="B4532" t="s">
        <v>10820</v>
      </c>
      <c r="C4532" t="s">
        <v>6636</v>
      </c>
      <c r="D4532" s="233">
        <v>101.54</v>
      </c>
    </row>
    <row r="4533" spans="1:4">
      <c r="A4533">
        <v>42709</v>
      </c>
      <c r="B4533" t="s">
        <v>10821</v>
      </c>
      <c r="C4533" t="s">
        <v>6636</v>
      </c>
      <c r="D4533" s="233">
        <v>340.59</v>
      </c>
    </row>
    <row r="4534" spans="1:4">
      <c r="A4534">
        <v>42710</v>
      </c>
      <c r="B4534" t="s">
        <v>10822</v>
      </c>
      <c r="C4534" t="s">
        <v>6636</v>
      </c>
      <c r="D4534" s="233">
        <v>979.02</v>
      </c>
    </row>
    <row r="4535" spans="1:4">
      <c r="A4535">
        <v>42716</v>
      </c>
      <c r="B4535" t="s">
        <v>10823</v>
      </c>
      <c r="C4535" t="s">
        <v>6636</v>
      </c>
      <c r="D4535" s="234">
        <v>1218.56</v>
      </c>
    </row>
    <row r="4536" spans="1:4">
      <c r="A4536">
        <v>20172</v>
      </c>
      <c r="B4536" t="s">
        <v>10824</v>
      </c>
      <c r="C4536" t="s">
        <v>6636</v>
      </c>
      <c r="D4536" s="233">
        <v>23.43</v>
      </c>
    </row>
    <row r="4537" spans="1:4">
      <c r="A4537">
        <v>40945</v>
      </c>
      <c r="B4537" t="s">
        <v>10825</v>
      </c>
      <c r="C4537" t="s">
        <v>6640</v>
      </c>
      <c r="D4537" s="233">
        <v>18.22</v>
      </c>
    </row>
    <row r="4538" spans="1:4">
      <c r="A4538">
        <v>40946</v>
      </c>
      <c r="B4538" t="s">
        <v>10826</v>
      </c>
      <c r="C4538" t="s">
        <v>6785</v>
      </c>
      <c r="D4538" s="234">
        <v>2539.59</v>
      </c>
    </row>
    <row r="4539" spans="1:4">
      <c r="A4539">
        <v>7153</v>
      </c>
      <c r="B4539" t="s">
        <v>10827</v>
      </c>
      <c r="C4539" t="s">
        <v>6640</v>
      </c>
      <c r="D4539" s="233">
        <v>21.31</v>
      </c>
    </row>
    <row r="4540" spans="1:4">
      <c r="A4540">
        <v>41089</v>
      </c>
      <c r="B4540" t="s">
        <v>10828</v>
      </c>
      <c r="C4540" t="s">
        <v>6785</v>
      </c>
      <c r="D4540" s="234">
        <v>3781.44</v>
      </c>
    </row>
    <row r="4541" spans="1:4">
      <c r="A4541">
        <v>40943</v>
      </c>
      <c r="B4541" t="s">
        <v>10829</v>
      </c>
      <c r="C4541" t="s">
        <v>6640</v>
      </c>
      <c r="D4541" s="233">
        <v>22.44</v>
      </c>
    </row>
    <row r="4542" spans="1:4">
      <c r="A4542">
        <v>40944</v>
      </c>
      <c r="B4542" t="s">
        <v>10830</v>
      </c>
      <c r="C4542" t="s">
        <v>6785</v>
      </c>
      <c r="D4542" s="234">
        <v>3982.35</v>
      </c>
    </row>
    <row r="4543" spans="1:4">
      <c r="A4543">
        <v>6175</v>
      </c>
      <c r="B4543" t="s">
        <v>10831</v>
      </c>
      <c r="C4543" t="s">
        <v>6640</v>
      </c>
      <c r="D4543" s="233">
        <v>18.989999999999998</v>
      </c>
    </row>
    <row r="4544" spans="1:4">
      <c r="A4544">
        <v>41092</v>
      </c>
      <c r="B4544" t="s">
        <v>10832</v>
      </c>
      <c r="C4544" t="s">
        <v>6785</v>
      </c>
      <c r="D4544" s="234">
        <v>3368.19</v>
      </c>
    </row>
    <row r="4545" spans="1:4">
      <c r="A4545">
        <v>37712</v>
      </c>
      <c r="B4545" t="s">
        <v>10833</v>
      </c>
      <c r="C4545" t="s">
        <v>6638</v>
      </c>
      <c r="D4545" s="233">
        <v>61.49</v>
      </c>
    </row>
    <row r="4546" spans="1:4">
      <c r="A4546">
        <v>34547</v>
      </c>
      <c r="B4546" t="s">
        <v>10834</v>
      </c>
      <c r="C4546" t="s">
        <v>6649</v>
      </c>
      <c r="D4546" s="233">
        <v>2.72</v>
      </c>
    </row>
    <row r="4547" spans="1:4">
      <c r="A4547">
        <v>34548</v>
      </c>
      <c r="B4547" t="s">
        <v>10835</v>
      </c>
      <c r="C4547" t="s">
        <v>6649</v>
      </c>
      <c r="D4547" s="233">
        <v>4.46</v>
      </c>
    </row>
    <row r="4548" spans="1:4">
      <c r="A4548">
        <v>34558</v>
      </c>
      <c r="B4548" t="s">
        <v>10836</v>
      </c>
      <c r="C4548" t="s">
        <v>6649</v>
      </c>
      <c r="D4548" s="233">
        <v>2.21</v>
      </c>
    </row>
    <row r="4549" spans="1:4">
      <c r="A4549">
        <v>34550</v>
      </c>
      <c r="B4549" t="s">
        <v>10837</v>
      </c>
      <c r="C4549" t="s">
        <v>6649</v>
      </c>
      <c r="D4549" s="233">
        <v>1.17</v>
      </c>
    </row>
    <row r="4550" spans="1:4">
      <c r="A4550">
        <v>34557</v>
      </c>
      <c r="B4550" t="s">
        <v>10838</v>
      </c>
      <c r="C4550" t="s">
        <v>6649</v>
      </c>
      <c r="D4550" s="233">
        <v>1.72</v>
      </c>
    </row>
    <row r="4551" spans="1:4">
      <c r="A4551">
        <v>37411</v>
      </c>
      <c r="B4551" t="s">
        <v>12352</v>
      </c>
      <c r="C4551" t="s">
        <v>6638</v>
      </c>
      <c r="D4551" s="233">
        <v>12.59</v>
      </c>
    </row>
    <row r="4552" spans="1:4">
      <c r="A4552">
        <v>39508</v>
      </c>
      <c r="B4552" t="s">
        <v>12353</v>
      </c>
      <c r="C4552" t="s">
        <v>6638</v>
      </c>
      <c r="D4552" s="233">
        <v>7.07</v>
      </c>
    </row>
    <row r="4553" spans="1:4">
      <c r="A4553">
        <v>39507</v>
      </c>
      <c r="B4553" t="s">
        <v>12354</v>
      </c>
      <c r="C4553" t="s">
        <v>6638</v>
      </c>
      <c r="D4553" s="233">
        <v>10.55</v>
      </c>
    </row>
    <row r="4554" spans="1:4">
      <c r="A4554">
        <v>7155</v>
      </c>
      <c r="B4554" t="s">
        <v>12355</v>
      </c>
      <c r="C4554" t="s">
        <v>6638</v>
      </c>
      <c r="D4554" s="233">
        <v>13.54</v>
      </c>
    </row>
    <row r="4555" spans="1:4">
      <c r="A4555">
        <v>42406</v>
      </c>
      <c r="B4555" t="s">
        <v>12356</v>
      </c>
      <c r="C4555" t="s">
        <v>6638</v>
      </c>
      <c r="D4555" s="233">
        <v>15.53</v>
      </c>
    </row>
    <row r="4556" spans="1:4">
      <c r="A4556">
        <v>7156</v>
      </c>
      <c r="B4556" t="s">
        <v>12357</v>
      </c>
      <c r="C4556" t="s">
        <v>6638</v>
      </c>
      <c r="D4556" s="233">
        <v>19.43</v>
      </c>
    </row>
    <row r="4557" spans="1:4">
      <c r="A4557">
        <v>43127</v>
      </c>
      <c r="B4557" t="s">
        <v>12358</v>
      </c>
      <c r="C4557" t="s">
        <v>6638</v>
      </c>
      <c r="D4557" s="233">
        <v>27.8</v>
      </c>
    </row>
    <row r="4558" spans="1:4">
      <c r="A4558">
        <v>10917</v>
      </c>
      <c r="B4558" t="s">
        <v>12359</v>
      </c>
      <c r="C4558" t="s">
        <v>6638</v>
      </c>
      <c r="D4558" s="233">
        <v>5.87</v>
      </c>
    </row>
    <row r="4559" spans="1:4">
      <c r="A4559">
        <v>21141</v>
      </c>
      <c r="B4559" t="s">
        <v>12360</v>
      </c>
      <c r="C4559" t="s">
        <v>6638</v>
      </c>
      <c r="D4559" s="233">
        <v>9.08</v>
      </c>
    </row>
    <row r="4560" spans="1:4">
      <c r="A4560">
        <v>39509</v>
      </c>
      <c r="B4560" t="s">
        <v>12361</v>
      </c>
      <c r="C4560" t="s">
        <v>6638</v>
      </c>
      <c r="D4560" s="233">
        <v>8.74</v>
      </c>
    </row>
    <row r="4561" spans="1:4">
      <c r="A4561">
        <v>25988</v>
      </c>
      <c r="B4561" t="s">
        <v>10839</v>
      </c>
      <c r="C4561" t="s">
        <v>6638</v>
      </c>
      <c r="D4561" s="233">
        <v>9.73</v>
      </c>
    </row>
    <row r="4562" spans="1:4">
      <c r="A4562">
        <v>7167</v>
      </c>
      <c r="B4562" t="s">
        <v>12362</v>
      </c>
      <c r="C4562" t="s">
        <v>6638</v>
      </c>
      <c r="D4562" s="233">
        <v>16.600000000000001</v>
      </c>
    </row>
    <row r="4563" spans="1:4">
      <c r="A4563">
        <v>10928</v>
      </c>
      <c r="B4563" t="s">
        <v>12363</v>
      </c>
      <c r="C4563" t="s">
        <v>6638</v>
      </c>
      <c r="D4563" s="233">
        <v>9.5399999999999991</v>
      </c>
    </row>
    <row r="4564" spans="1:4">
      <c r="A4564">
        <v>10933</v>
      </c>
      <c r="B4564" t="s">
        <v>12364</v>
      </c>
      <c r="C4564" t="s">
        <v>6638</v>
      </c>
      <c r="D4564" s="233">
        <v>14.38</v>
      </c>
    </row>
    <row r="4565" spans="1:4">
      <c r="A4565">
        <v>7158</v>
      </c>
      <c r="B4565" t="s">
        <v>12365</v>
      </c>
      <c r="C4565" t="s">
        <v>6638</v>
      </c>
      <c r="D4565" s="233">
        <v>24.4</v>
      </c>
    </row>
    <row r="4566" spans="1:4">
      <c r="A4566">
        <v>10927</v>
      </c>
      <c r="B4566" t="s">
        <v>12366</v>
      </c>
      <c r="C4566" t="s">
        <v>6638</v>
      </c>
      <c r="D4566" s="233">
        <v>15.6</v>
      </c>
    </row>
    <row r="4567" spans="1:4">
      <c r="A4567">
        <v>7162</v>
      </c>
      <c r="B4567" t="s">
        <v>12367</v>
      </c>
      <c r="C4567" t="s">
        <v>6638</v>
      </c>
      <c r="D4567" s="233">
        <v>38.18</v>
      </c>
    </row>
    <row r="4568" spans="1:4">
      <c r="A4568">
        <v>10932</v>
      </c>
      <c r="B4568" t="s">
        <v>12368</v>
      </c>
      <c r="C4568" t="s">
        <v>6638</v>
      </c>
      <c r="D4568" s="233">
        <v>66.41</v>
      </c>
    </row>
    <row r="4569" spans="1:4">
      <c r="A4569">
        <v>10937</v>
      </c>
      <c r="B4569" t="s">
        <v>12369</v>
      </c>
      <c r="C4569" t="s">
        <v>6638</v>
      </c>
      <c r="D4569" s="233">
        <v>17.07</v>
      </c>
    </row>
    <row r="4570" spans="1:4">
      <c r="A4570">
        <v>10935</v>
      </c>
      <c r="B4570" t="s">
        <v>12370</v>
      </c>
      <c r="C4570" t="s">
        <v>6638</v>
      </c>
      <c r="D4570" s="233">
        <v>29.6</v>
      </c>
    </row>
    <row r="4571" spans="1:4">
      <c r="A4571">
        <v>10931</v>
      </c>
      <c r="B4571" t="s">
        <v>12371</v>
      </c>
      <c r="C4571" t="s">
        <v>6638</v>
      </c>
      <c r="D4571" s="233">
        <v>8.32</v>
      </c>
    </row>
    <row r="4572" spans="1:4">
      <c r="A4572">
        <v>7164</v>
      </c>
      <c r="B4572" t="s">
        <v>10840</v>
      </c>
      <c r="C4572" t="s">
        <v>6638</v>
      </c>
      <c r="D4572" s="233">
        <v>27.55</v>
      </c>
    </row>
    <row r="4573" spans="1:4">
      <c r="A4573">
        <v>36887</v>
      </c>
      <c r="B4573" t="s">
        <v>10841</v>
      </c>
      <c r="C4573" t="s">
        <v>6638</v>
      </c>
      <c r="D4573" s="233">
        <v>14.07</v>
      </c>
    </row>
    <row r="4574" spans="1:4">
      <c r="A4574">
        <v>34630</v>
      </c>
      <c r="B4574" t="s">
        <v>10842</v>
      </c>
      <c r="C4574" t="s">
        <v>6636</v>
      </c>
      <c r="D4574" s="233">
        <v>999.44</v>
      </c>
    </row>
    <row r="4575" spans="1:4">
      <c r="A4575">
        <v>7161</v>
      </c>
      <c r="B4575" t="s">
        <v>10843</v>
      </c>
      <c r="C4575" t="s">
        <v>6638</v>
      </c>
      <c r="D4575" s="233">
        <v>3.43</v>
      </c>
    </row>
    <row r="4576" spans="1:4">
      <c r="A4576">
        <v>7170</v>
      </c>
      <c r="B4576" t="s">
        <v>10844</v>
      </c>
      <c r="C4576" t="s">
        <v>6638</v>
      </c>
      <c r="D4576" s="233">
        <v>2</v>
      </c>
    </row>
    <row r="4577" spans="1:4">
      <c r="A4577">
        <v>37524</v>
      </c>
      <c r="B4577" t="s">
        <v>10845</v>
      </c>
      <c r="C4577" t="s">
        <v>6649</v>
      </c>
      <c r="D4577" s="233">
        <v>1.91</v>
      </c>
    </row>
    <row r="4578" spans="1:4">
      <c r="A4578">
        <v>37525</v>
      </c>
      <c r="B4578" t="s">
        <v>10846</v>
      </c>
      <c r="C4578" t="s">
        <v>6649</v>
      </c>
      <c r="D4578" s="233">
        <v>2.2799999999999998</v>
      </c>
    </row>
    <row r="4579" spans="1:4">
      <c r="A4579">
        <v>36789</v>
      </c>
      <c r="B4579" t="s">
        <v>10847</v>
      </c>
      <c r="C4579" t="s">
        <v>6636</v>
      </c>
      <c r="D4579" s="233">
        <v>2.4700000000000002</v>
      </c>
    </row>
    <row r="4580" spans="1:4">
      <c r="A4580">
        <v>7173</v>
      </c>
      <c r="B4580" t="s">
        <v>10848</v>
      </c>
      <c r="C4580" t="s">
        <v>7074</v>
      </c>
      <c r="D4580" s="234">
        <v>1600</v>
      </c>
    </row>
    <row r="4581" spans="1:4">
      <c r="A4581">
        <v>7175</v>
      </c>
      <c r="B4581" t="s">
        <v>10849</v>
      </c>
      <c r="C4581" t="s">
        <v>6636</v>
      </c>
      <c r="D4581" s="233">
        <v>1.81</v>
      </c>
    </row>
    <row r="4582" spans="1:4">
      <c r="A4582">
        <v>40865</v>
      </c>
      <c r="B4582" t="s">
        <v>10850</v>
      </c>
      <c r="C4582" t="s">
        <v>6636</v>
      </c>
      <c r="D4582" s="233">
        <v>2.08</v>
      </c>
    </row>
    <row r="4583" spans="1:4">
      <c r="A4583">
        <v>7184</v>
      </c>
      <c r="B4583" t="s">
        <v>10851</v>
      </c>
      <c r="C4583" t="s">
        <v>6638</v>
      </c>
      <c r="D4583" s="233">
        <v>32.79</v>
      </c>
    </row>
    <row r="4584" spans="1:4">
      <c r="A4584">
        <v>34458</v>
      </c>
      <c r="B4584" t="s">
        <v>10852</v>
      </c>
      <c r="C4584" t="s">
        <v>6636</v>
      </c>
      <c r="D4584" s="233">
        <v>106.26</v>
      </c>
    </row>
    <row r="4585" spans="1:4">
      <c r="A4585">
        <v>34464</v>
      </c>
      <c r="B4585" t="s">
        <v>10853</v>
      </c>
      <c r="C4585" t="s">
        <v>6636</v>
      </c>
      <c r="D4585" s="233">
        <v>142.56</v>
      </c>
    </row>
    <row r="4586" spans="1:4">
      <c r="A4586">
        <v>34468</v>
      </c>
      <c r="B4586" t="s">
        <v>10854</v>
      </c>
      <c r="C4586" t="s">
        <v>6636</v>
      </c>
      <c r="D4586" s="233">
        <v>164.53</v>
      </c>
    </row>
    <row r="4587" spans="1:4">
      <c r="A4587">
        <v>34473</v>
      </c>
      <c r="B4587" t="s">
        <v>10855</v>
      </c>
      <c r="C4587" t="s">
        <v>6636</v>
      </c>
      <c r="D4587" s="233">
        <v>134.56</v>
      </c>
    </row>
    <row r="4588" spans="1:4">
      <c r="A4588">
        <v>34480</v>
      </c>
      <c r="B4588" t="s">
        <v>10856</v>
      </c>
      <c r="C4588" t="s">
        <v>6636</v>
      </c>
      <c r="D4588" s="233">
        <v>183.5</v>
      </c>
    </row>
    <row r="4589" spans="1:4">
      <c r="A4589">
        <v>34486</v>
      </c>
      <c r="B4589" t="s">
        <v>10857</v>
      </c>
      <c r="C4589" t="s">
        <v>6636</v>
      </c>
      <c r="D4589" s="233">
        <v>205.52</v>
      </c>
    </row>
    <row r="4590" spans="1:4">
      <c r="A4590">
        <v>7202</v>
      </c>
      <c r="B4590" t="s">
        <v>10858</v>
      </c>
      <c r="C4590" t="s">
        <v>6638</v>
      </c>
      <c r="D4590" s="233">
        <v>42.11</v>
      </c>
    </row>
    <row r="4591" spans="1:4">
      <c r="A4591">
        <v>7190</v>
      </c>
      <c r="B4591" t="s">
        <v>10859</v>
      </c>
      <c r="C4591" t="s">
        <v>6636</v>
      </c>
      <c r="D4591" s="233">
        <v>7.22</v>
      </c>
    </row>
    <row r="4592" spans="1:4">
      <c r="A4592">
        <v>34417</v>
      </c>
      <c r="B4592" t="s">
        <v>10860</v>
      </c>
      <c r="C4592" t="s">
        <v>6636</v>
      </c>
      <c r="D4592" s="233">
        <v>12.56</v>
      </c>
    </row>
    <row r="4593" spans="1:4">
      <c r="A4593">
        <v>7191</v>
      </c>
      <c r="B4593" t="s">
        <v>10861</v>
      </c>
      <c r="C4593" t="s">
        <v>6636</v>
      </c>
      <c r="D4593" s="233">
        <v>14.55</v>
      </c>
    </row>
    <row r="4594" spans="1:4">
      <c r="A4594">
        <v>7213</v>
      </c>
      <c r="B4594" t="s">
        <v>10861</v>
      </c>
      <c r="C4594" t="s">
        <v>6638</v>
      </c>
      <c r="D4594" s="233">
        <v>11.93</v>
      </c>
    </row>
    <row r="4595" spans="1:4">
      <c r="A4595">
        <v>7195</v>
      </c>
      <c r="B4595" t="s">
        <v>10862</v>
      </c>
      <c r="C4595" t="s">
        <v>6636</v>
      </c>
      <c r="D4595" s="233">
        <v>34.68</v>
      </c>
    </row>
    <row r="4596" spans="1:4">
      <c r="A4596">
        <v>7186</v>
      </c>
      <c r="B4596" t="s">
        <v>10863</v>
      </c>
      <c r="C4596" t="s">
        <v>6636</v>
      </c>
      <c r="D4596" s="233">
        <v>41.49</v>
      </c>
    </row>
    <row r="4597" spans="1:4">
      <c r="A4597">
        <v>7194</v>
      </c>
      <c r="B4597" t="s">
        <v>10864</v>
      </c>
      <c r="C4597" t="s">
        <v>6638</v>
      </c>
      <c r="D4597" s="233">
        <v>20.57</v>
      </c>
    </row>
    <row r="4598" spans="1:4">
      <c r="A4598">
        <v>7207</v>
      </c>
      <c r="B4598" t="s">
        <v>10864</v>
      </c>
      <c r="C4598" t="s">
        <v>6636</v>
      </c>
      <c r="D4598" s="233">
        <v>55.22</v>
      </c>
    </row>
    <row r="4599" spans="1:4">
      <c r="A4599">
        <v>7197</v>
      </c>
      <c r="B4599" t="s">
        <v>10865</v>
      </c>
      <c r="C4599" t="s">
        <v>6636</v>
      </c>
      <c r="D4599" s="233">
        <v>82.96</v>
      </c>
    </row>
    <row r="4600" spans="1:4">
      <c r="A4600">
        <v>7192</v>
      </c>
      <c r="B4600" t="s">
        <v>10866</v>
      </c>
      <c r="C4600" t="s">
        <v>6636</v>
      </c>
      <c r="D4600" s="233">
        <v>45.63</v>
      </c>
    </row>
    <row r="4601" spans="1:4">
      <c r="A4601">
        <v>7193</v>
      </c>
      <c r="B4601" t="s">
        <v>10867</v>
      </c>
      <c r="C4601" t="s">
        <v>6636</v>
      </c>
      <c r="D4601" s="233">
        <v>54.47</v>
      </c>
    </row>
    <row r="4602" spans="1:4">
      <c r="A4602">
        <v>7189</v>
      </c>
      <c r="B4602" t="s">
        <v>10868</v>
      </c>
      <c r="C4602" t="s">
        <v>6636</v>
      </c>
      <c r="D4602" s="233">
        <v>76.5</v>
      </c>
    </row>
    <row r="4603" spans="1:4">
      <c r="A4603">
        <v>7198</v>
      </c>
      <c r="B4603" t="s">
        <v>10869</v>
      </c>
      <c r="C4603" t="s">
        <v>6638</v>
      </c>
      <c r="D4603" s="233">
        <v>28.48</v>
      </c>
    </row>
    <row r="4604" spans="1:4">
      <c r="A4604">
        <v>34402</v>
      </c>
      <c r="B4604" t="s">
        <v>10869</v>
      </c>
      <c r="C4604" t="s">
        <v>6636</v>
      </c>
      <c r="D4604" s="233">
        <v>114.67</v>
      </c>
    </row>
    <row r="4605" spans="1:4">
      <c r="A4605">
        <v>7245</v>
      </c>
      <c r="B4605" t="s">
        <v>10870</v>
      </c>
      <c r="C4605" t="s">
        <v>6636</v>
      </c>
      <c r="D4605" s="233">
        <v>38.549999999999997</v>
      </c>
    </row>
    <row r="4606" spans="1:4">
      <c r="A4606">
        <v>34425</v>
      </c>
      <c r="B4606" t="s">
        <v>10871</v>
      </c>
      <c r="C4606" t="s">
        <v>6636</v>
      </c>
      <c r="D4606" s="233">
        <v>70.91</v>
      </c>
    </row>
    <row r="4607" spans="1:4">
      <c r="A4607">
        <v>7223</v>
      </c>
      <c r="B4607" t="s">
        <v>10872</v>
      </c>
      <c r="C4607" t="s">
        <v>6636</v>
      </c>
      <c r="D4607" s="233">
        <v>82.64</v>
      </c>
    </row>
    <row r="4608" spans="1:4">
      <c r="A4608">
        <v>7234</v>
      </c>
      <c r="B4608" t="s">
        <v>10873</v>
      </c>
      <c r="C4608" t="s">
        <v>6636</v>
      </c>
      <c r="D4608" s="233">
        <v>119.2</v>
      </c>
    </row>
    <row r="4609" spans="1:4">
      <c r="A4609">
        <v>7224</v>
      </c>
      <c r="B4609" t="s">
        <v>10874</v>
      </c>
      <c r="C4609" t="s">
        <v>6636</v>
      </c>
      <c r="D4609" s="233">
        <v>131.66</v>
      </c>
    </row>
    <row r="4610" spans="1:4">
      <c r="A4610">
        <v>7221</v>
      </c>
      <c r="B4610" t="s">
        <v>10875</v>
      </c>
      <c r="C4610" t="s">
        <v>6638</v>
      </c>
      <c r="D4610" s="233">
        <v>64.02</v>
      </c>
    </row>
    <row r="4611" spans="1:4">
      <c r="A4611">
        <v>7210</v>
      </c>
      <c r="B4611" t="s">
        <v>10875</v>
      </c>
      <c r="C4611" t="s">
        <v>6636</v>
      </c>
      <c r="D4611" s="233">
        <v>149.81</v>
      </c>
    </row>
    <row r="4612" spans="1:4">
      <c r="A4612">
        <v>7225</v>
      </c>
      <c r="B4612" t="s">
        <v>10876</v>
      </c>
      <c r="C4612" t="s">
        <v>6636</v>
      </c>
      <c r="D4612" s="233">
        <v>166.46</v>
      </c>
    </row>
    <row r="4613" spans="1:4">
      <c r="A4613">
        <v>7226</v>
      </c>
      <c r="B4613" t="s">
        <v>10877</v>
      </c>
      <c r="C4613" t="s">
        <v>6636</v>
      </c>
      <c r="D4613" s="233">
        <v>183.18</v>
      </c>
    </row>
    <row r="4614" spans="1:4">
      <c r="A4614">
        <v>7236</v>
      </c>
      <c r="B4614" t="s">
        <v>10878</v>
      </c>
      <c r="C4614" t="s">
        <v>6636</v>
      </c>
      <c r="D4614" s="233">
        <v>199.78</v>
      </c>
    </row>
    <row r="4615" spans="1:4">
      <c r="A4615">
        <v>7227</v>
      </c>
      <c r="B4615" t="s">
        <v>10879</v>
      </c>
      <c r="C4615" t="s">
        <v>6636</v>
      </c>
      <c r="D4615" s="233">
        <v>216.43</v>
      </c>
    </row>
    <row r="4616" spans="1:4">
      <c r="A4616">
        <v>7212</v>
      </c>
      <c r="B4616" t="s">
        <v>10880</v>
      </c>
      <c r="C4616" t="s">
        <v>6636</v>
      </c>
      <c r="D4616" s="233">
        <v>239.64</v>
      </c>
    </row>
    <row r="4617" spans="1:4">
      <c r="A4617">
        <v>7229</v>
      </c>
      <c r="B4617" t="s">
        <v>10881</v>
      </c>
      <c r="C4617" t="s">
        <v>6636</v>
      </c>
      <c r="D4617" s="233">
        <v>158.47999999999999</v>
      </c>
    </row>
    <row r="4618" spans="1:4">
      <c r="A4618">
        <v>7230</v>
      </c>
      <c r="B4618" t="s">
        <v>10882</v>
      </c>
      <c r="C4618" t="s">
        <v>6636</v>
      </c>
      <c r="D4618" s="233">
        <v>252.54</v>
      </c>
    </row>
    <row r="4619" spans="1:4">
      <c r="A4619">
        <v>7231</v>
      </c>
      <c r="B4619" t="s">
        <v>10883</v>
      </c>
      <c r="C4619" t="s">
        <v>6636</v>
      </c>
      <c r="D4619" s="233">
        <v>331.66</v>
      </c>
    </row>
    <row r="4620" spans="1:4">
      <c r="A4620">
        <v>7220</v>
      </c>
      <c r="B4620" t="s">
        <v>10884</v>
      </c>
      <c r="C4620" t="s">
        <v>6636</v>
      </c>
      <c r="D4620" s="233">
        <v>407.75</v>
      </c>
    </row>
    <row r="4621" spans="1:4">
      <c r="A4621">
        <v>34447</v>
      </c>
      <c r="B4621" t="s">
        <v>10885</v>
      </c>
      <c r="C4621" t="s">
        <v>6636</v>
      </c>
      <c r="D4621" s="233">
        <v>453.84</v>
      </c>
    </row>
    <row r="4622" spans="1:4">
      <c r="A4622">
        <v>7233</v>
      </c>
      <c r="B4622" t="s">
        <v>10886</v>
      </c>
      <c r="C4622" t="s">
        <v>6636</v>
      </c>
      <c r="D4622" s="233">
        <v>508.09</v>
      </c>
    </row>
    <row r="4623" spans="1:4">
      <c r="A4623">
        <v>42172</v>
      </c>
      <c r="B4623" t="s">
        <v>10887</v>
      </c>
      <c r="C4623" t="s">
        <v>6638</v>
      </c>
      <c r="D4623" s="233">
        <v>139.5</v>
      </c>
    </row>
    <row r="4624" spans="1:4">
      <c r="A4624">
        <v>25007</v>
      </c>
      <c r="B4624" t="s">
        <v>12372</v>
      </c>
      <c r="C4624" t="s">
        <v>6638</v>
      </c>
      <c r="D4624" s="233">
        <v>27.58</v>
      </c>
    </row>
    <row r="4625" spans="1:4">
      <c r="A4625">
        <v>43071</v>
      </c>
      <c r="B4625" t="s">
        <v>12373</v>
      </c>
      <c r="C4625" t="s">
        <v>6638</v>
      </c>
      <c r="D4625" s="233">
        <v>108.53</v>
      </c>
    </row>
    <row r="4626" spans="1:4">
      <c r="A4626">
        <v>39520</v>
      </c>
      <c r="B4626" t="s">
        <v>12374</v>
      </c>
      <c r="C4626" t="s">
        <v>6638</v>
      </c>
      <c r="D4626" s="233">
        <v>88.54</v>
      </c>
    </row>
    <row r="4627" spans="1:4">
      <c r="A4627">
        <v>39521</v>
      </c>
      <c r="B4627" t="s">
        <v>12375</v>
      </c>
      <c r="C4627" t="s">
        <v>6638</v>
      </c>
      <c r="D4627" s="233">
        <v>91.43</v>
      </c>
    </row>
    <row r="4628" spans="1:4">
      <c r="A4628">
        <v>39522</v>
      </c>
      <c r="B4628" t="s">
        <v>12376</v>
      </c>
      <c r="C4628" t="s">
        <v>6638</v>
      </c>
      <c r="D4628" s="233">
        <v>94.41</v>
      </c>
    </row>
    <row r="4629" spans="1:4">
      <c r="A4629">
        <v>7243</v>
      </c>
      <c r="B4629" t="s">
        <v>12377</v>
      </c>
      <c r="C4629" t="s">
        <v>6638</v>
      </c>
      <c r="D4629" s="233">
        <v>28.82</v>
      </c>
    </row>
    <row r="4630" spans="1:4">
      <c r="A4630">
        <v>11067</v>
      </c>
      <c r="B4630" t="s">
        <v>12378</v>
      </c>
      <c r="C4630" t="s">
        <v>6636</v>
      </c>
      <c r="D4630" s="233">
        <v>669.53</v>
      </c>
    </row>
    <row r="4631" spans="1:4">
      <c r="A4631">
        <v>11068</v>
      </c>
      <c r="B4631" t="s">
        <v>12379</v>
      </c>
      <c r="C4631" t="s">
        <v>6636</v>
      </c>
      <c r="D4631" s="233">
        <v>845.84</v>
      </c>
    </row>
    <row r="4632" spans="1:4">
      <c r="A4632">
        <v>7246</v>
      </c>
      <c r="B4632" t="s">
        <v>10888</v>
      </c>
      <c r="C4632" t="s">
        <v>6636</v>
      </c>
      <c r="D4632" s="233">
        <v>35.869999999999997</v>
      </c>
    </row>
    <row r="4633" spans="1:4">
      <c r="A4633">
        <v>12869</v>
      </c>
      <c r="B4633" t="s">
        <v>10889</v>
      </c>
      <c r="C4633" t="s">
        <v>6640</v>
      </c>
      <c r="D4633" s="233">
        <v>16.149999999999999</v>
      </c>
    </row>
    <row r="4634" spans="1:4">
      <c r="A4634">
        <v>41097</v>
      </c>
      <c r="B4634" t="s">
        <v>12380</v>
      </c>
      <c r="C4634" t="s">
        <v>6785</v>
      </c>
      <c r="D4634" s="234">
        <v>2867.93</v>
      </c>
    </row>
    <row r="4635" spans="1:4">
      <c r="A4635">
        <v>1574</v>
      </c>
      <c r="B4635" t="s">
        <v>10890</v>
      </c>
      <c r="C4635" t="s">
        <v>6636</v>
      </c>
      <c r="D4635" s="233">
        <v>1.07</v>
      </c>
    </row>
    <row r="4636" spans="1:4">
      <c r="A4636">
        <v>1581</v>
      </c>
      <c r="B4636" t="s">
        <v>10891</v>
      </c>
      <c r="C4636" t="s">
        <v>6636</v>
      </c>
      <c r="D4636" s="233">
        <v>7.43</v>
      </c>
    </row>
    <row r="4637" spans="1:4">
      <c r="A4637">
        <v>1575</v>
      </c>
      <c r="B4637" t="s">
        <v>10892</v>
      </c>
      <c r="C4637" t="s">
        <v>6636</v>
      </c>
      <c r="D4637" s="233">
        <v>1.27</v>
      </c>
    </row>
    <row r="4638" spans="1:4">
      <c r="A4638">
        <v>1570</v>
      </c>
      <c r="B4638" t="s">
        <v>10893</v>
      </c>
      <c r="C4638" t="s">
        <v>6636</v>
      </c>
      <c r="D4638" s="233">
        <v>0.64</v>
      </c>
    </row>
    <row r="4639" spans="1:4">
      <c r="A4639">
        <v>1576</v>
      </c>
      <c r="B4639" t="s">
        <v>10894</v>
      </c>
      <c r="C4639" t="s">
        <v>6636</v>
      </c>
      <c r="D4639" s="233">
        <v>1.76</v>
      </c>
    </row>
    <row r="4640" spans="1:4">
      <c r="A4640">
        <v>1577</v>
      </c>
      <c r="B4640" t="s">
        <v>952</v>
      </c>
      <c r="C4640" t="s">
        <v>6636</v>
      </c>
      <c r="D4640" s="233">
        <v>1.98</v>
      </c>
    </row>
    <row r="4641" spans="1:4">
      <c r="A4641">
        <v>1571</v>
      </c>
      <c r="B4641" t="s">
        <v>10895</v>
      </c>
      <c r="C4641" t="s">
        <v>6636</v>
      </c>
      <c r="D4641" s="233">
        <v>0.83</v>
      </c>
    </row>
    <row r="4642" spans="1:4">
      <c r="A4642">
        <v>1578</v>
      </c>
      <c r="B4642" t="s">
        <v>953</v>
      </c>
      <c r="C4642" t="s">
        <v>6636</v>
      </c>
      <c r="D4642" s="233">
        <v>3.44</v>
      </c>
    </row>
    <row r="4643" spans="1:4">
      <c r="A4643">
        <v>1573</v>
      </c>
      <c r="B4643" t="s">
        <v>10896</v>
      </c>
      <c r="C4643" t="s">
        <v>6636</v>
      </c>
      <c r="D4643" s="233">
        <v>0.99</v>
      </c>
    </row>
    <row r="4644" spans="1:4">
      <c r="A4644">
        <v>1579</v>
      </c>
      <c r="B4644" t="s">
        <v>10897</v>
      </c>
      <c r="C4644" t="s">
        <v>6636</v>
      </c>
      <c r="D4644" s="233">
        <v>4.29</v>
      </c>
    </row>
    <row r="4645" spans="1:4">
      <c r="A4645">
        <v>1580</v>
      </c>
      <c r="B4645" t="s">
        <v>10898</v>
      </c>
      <c r="C4645" t="s">
        <v>6636</v>
      </c>
      <c r="D4645" s="233">
        <v>5.29</v>
      </c>
    </row>
    <row r="4646" spans="1:4">
      <c r="A4646">
        <v>7571</v>
      </c>
      <c r="B4646" t="s">
        <v>10899</v>
      </c>
      <c r="C4646" t="s">
        <v>6636</v>
      </c>
      <c r="D4646" s="233">
        <v>10.46</v>
      </c>
    </row>
    <row r="4647" spans="1:4">
      <c r="A4647">
        <v>39321</v>
      </c>
      <c r="B4647" t="s">
        <v>10900</v>
      </c>
      <c r="C4647" t="s">
        <v>6636</v>
      </c>
      <c r="D4647" s="233">
        <v>11.72</v>
      </c>
    </row>
    <row r="4648" spans="1:4">
      <c r="A4648">
        <v>39319</v>
      </c>
      <c r="B4648" t="s">
        <v>912</v>
      </c>
      <c r="C4648" t="s">
        <v>6636</v>
      </c>
      <c r="D4648" s="233">
        <v>4.57</v>
      </c>
    </row>
    <row r="4649" spans="1:4">
      <c r="A4649">
        <v>39320</v>
      </c>
      <c r="B4649" t="s">
        <v>913</v>
      </c>
      <c r="C4649" t="s">
        <v>6636</v>
      </c>
      <c r="D4649" s="233">
        <v>7.61</v>
      </c>
    </row>
    <row r="4650" spans="1:4">
      <c r="A4650">
        <v>1591</v>
      </c>
      <c r="B4650" t="s">
        <v>1146</v>
      </c>
      <c r="C4650" t="s">
        <v>6636</v>
      </c>
      <c r="D4650" s="233">
        <v>16.39</v>
      </c>
    </row>
    <row r="4651" spans="1:4">
      <c r="A4651">
        <v>1547</v>
      </c>
      <c r="B4651" t="s">
        <v>10901</v>
      </c>
      <c r="C4651" t="s">
        <v>6636</v>
      </c>
      <c r="D4651" s="233">
        <v>85.92</v>
      </c>
    </row>
    <row r="4652" spans="1:4">
      <c r="A4652">
        <v>38196</v>
      </c>
      <c r="B4652" t="s">
        <v>10902</v>
      </c>
      <c r="C4652" t="s">
        <v>6636</v>
      </c>
      <c r="D4652" s="233">
        <v>16.73</v>
      </c>
    </row>
    <row r="4653" spans="1:4">
      <c r="A4653">
        <v>1543</v>
      </c>
      <c r="B4653" t="s">
        <v>10903</v>
      </c>
      <c r="C4653" t="s">
        <v>6636</v>
      </c>
      <c r="D4653" s="233">
        <v>17.78</v>
      </c>
    </row>
    <row r="4654" spans="1:4">
      <c r="A4654">
        <v>1585</v>
      </c>
      <c r="B4654" t="s">
        <v>10904</v>
      </c>
      <c r="C4654" t="s">
        <v>6636</v>
      </c>
      <c r="D4654" s="233">
        <v>3.44</v>
      </c>
    </row>
    <row r="4655" spans="1:4">
      <c r="A4655">
        <v>1593</v>
      </c>
      <c r="B4655" t="s">
        <v>10905</v>
      </c>
      <c r="C4655" t="s">
        <v>6636</v>
      </c>
      <c r="D4655" s="233">
        <v>18.29</v>
      </c>
    </row>
    <row r="4656" spans="1:4">
      <c r="A4656">
        <v>11838</v>
      </c>
      <c r="B4656" t="s">
        <v>10906</v>
      </c>
      <c r="C4656" t="s">
        <v>6636</v>
      </c>
      <c r="D4656" s="233">
        <v>24.13</v>
      </c>
    </row>
    <row r="4657" spans="1:4">
      <c r="A4657">
        <v>1594</v>
      </c>
      <c r="B4657" t="s">
        <v>10907</v>
      </c>
      <c r="C4657" t="s">
        <v>6636</v>
      </c>
      <c r="D4657" s="233">
        <v>24.39</v>
      </c>
    </row>
    <row r="4658" spans="1:4">
      <c r="A4658">
        <v>1586</v>
      </c>
      <c r="B4658" t="s">
        <v>10908</v>
      </c>
      <c r="C4658" t="s">
        <v>6636</v>
      </c>
      <c r="D4658" s="233">
        <v>4.3600000000000003</v>
      </c>
    </row>
    <row r="4659" spans="1:4">
      <c r="A4659">
        <v>11839</v>
      </c>
      <c r="B4659" t="s">
        <v>10909</v>
      </c>
      <c r="C4659" t="s">
        <v>6636</v>
      </c>
      <c r="D4659" s="233">
        <v>35.11</v>
      </c>
    </row>
    <row r="4660" spans="1:4">
      <c r="A4660">
        <v>1587</v>
      </c>
      <c r="B4660" t="s">
        <v>10910</v>
      </c>
      <c r="C4660" t="s">
        <v>6636</v>
      </c>
      <c r="D4660" s="233">
        <v>4.4400000000000004</v>
      </c>
    </row>
    <row r="4661" spans="1:4">
      <c r="A4661">
        <v>1545</v>
      </c>
      <c r="B4661" t="s">
        <v>10911</v>
      </c>
      <c r="C4661" t="s">
        <v>6636</v>
      </c>
      <c r="D4661" s="233">
        <v>42.13</v>
      </c>
    </row>
    <row r="4662" spans="1:4">
      <c r="A4662">
        <v>1588</v>
      </c>
      <c r="B4662" t="s">
        <v>10912</v>
      </c>
      <c r="C4662" t="s">
        <v>6636</v>
      </c>
      <c r="D4662" s="233">
        <v>6.09</v>
      </c>
    </row>
    <row r="4663" spans="1:4">
      <c r="A4663">
        <v>1535</v>
      </c>
      <c r="B4663" t="s">
        <v>10913</v>
      </c>
      <c r="C4663" t="s">
        <v>6636</v>
      </c>
      <c r="D4663" s="233">
        <v>3.51</v>
      </c>
    </row>
    <row r="4664" spans="1:4">
      <c r="A4664">
        <v>1589</v>
      </c>
      <c r="B4664" t="s">
        <v>10914</v>
      </c>
      <c r="C4664" t="s">
        <v>6636</v>
      </c>
      <c r="D4664" s="233">
        <v>6.28</v>
      </c>
    </row>
    <row r="4665" spans="1:4">
      <c r="A4665">
        <v>1546</v>
      </c>
      <c r="B4665" t="s">
        <v>10915</v>
      </c>
      <c r="C4665" t="s">
        <v>6636</v>
      </c>
      <c r="D4665" s="233">
        <v>71.099999999999994</v>
      </c>
    </row>
    <row r="4666" spans="1:4">
      <c r="A4666">
        <v>1590</v>
      </c>
      <c r="B4666" t="s">
        <v>10916</v>
      </c>
      <c r="C4666" t="s">
        <v>6636</v>
      </c>
      <c r="D4666" s="233">
        <v>11.06</v>
      </c>
    </row>
    <row r="4667" spans="1:4">
      <c r="A4667">
        <v>1542</v>
      </c>
      <c r="B4667" t="s">
        <v>10917</v>
      </c>
      <c r="C4667" t="s">
        <v>6636</v>
      </c>
      <c r="D4667" s="233">
        <v>14.65</v>
      </c>
    </row>
    <row r="4668" spans="1:4">
      <c r="A4668">
        <v>38415</v>
      </c>
      <c r="B4668" t="s">
        <v>10918</v>
      </c>
      <c r="C4668" t="s">
        <v>6636</v>
      </c>
      <c r="D4668" s="234">
        <v>1031.9000000000001</v>
      </c>
    </row>
    <row r="4669" spans="1:4">
      <c r="A4669">
        <v>38414</v>
      </c>
      <c r="B4669" t="s">
        <v>10919</v>
      </c>
      <c r="C4669" t="s">
        <v>6636</v>
      </c>
      <c r="D4669" s="234">
        <v>1448.28</v>
      </c>
    </row>
    <row r="4670" spans="1:4">
      <c r="A4670">
        <v>38128</v>
      </c>
      <c r="B4670" t="s">
        <v>10920</v>
      </c>
      <c r="C4670" t="s">
        <v>6698</v>
      </c>
      <c r="D4670" s="233">
        <v>0.51</v>
      </c>
    </row>
    <row r="4671" spans="1:4">
      <c r="A4671">
        <v>7253</v>
      </c>
      <c r="B4671" t="s">
        <v>10921</v>
      </c>
      <c r="C4671" t="s">
        <v>6781</v>
      </c>
      <c r="D4671" s="233">
        <v>109.28</v>
      </c>
    </row>
    <row r="4672" spans="1:4">
      <c r="A4672">
        <v>4806</v>
      </c>
      <c r="B4672" t="s">
        <v>10922</v>
      </c>
      <c r="C4672" t="s">
        <v>6649</v>
      </c>
      <c r="D4672" s="233">
        <v>12.48</v>
      </c>
    </row>
    <row r="4673" spans="1:4">
      <c r="A4673">
        <v>34401</v>
      </c>
      <c r="B4673" t="s">
        <v>10923</v>
      </c>
      <c r="C4673" t="s">
        <v>6636</v>
      </c>
      <c r="D4673" s="233">
        <v>1.19</v>
      </c>
    </row>
    <row r="4674" spans="1:4">
      <c r="A4674">
        <v>7258</v>
      </c>
      <c r="B4674" t="s">
        <v>769</v>
      </c>
      <c r="C4674" t="s">
        <v>6636</v>
      </c>
      <c r="D4674" s="233">
        <v>0.37</v>
      </c>
    </row>
    <row r="4675" spans="1:4">
      <c r="A4675">
        <v>7260</v>
      </c>
      <c r="B4675" t="s">
        <v>10924</v>
      </c>
      <c r="C4675" t="s">
        <v>6636</v>
      </c>
      <c r="D4675" s="233">
        <v>1.1599999999999999</v>
      </c>
    </row>
    <row r="4676" spans="1:4">
      <c r="A4676">
        <v>7256</v>
      </c>
      <c r="B4676" t="s">
        <v>10925</v>
      </c>
      <c r="C4676" t="s">
        <v>6636</v>
      </c>
      <c r="D4676" s="233">
        <v>0.67</v>
      </c>
    </row>
    <row r="4677" spans="1:4">
      <c r="A4677">
        <v>34400</v>
      </c>
      <c r="B4677" t="s">
        <v>10926</v>
      </c>
      <c r="C4677" t="s">
        <v>6636</v>
      </c>
      <c r="D4677" s="233">
        <v>2.91</v>
      </c>
    </row>
    <row r="4678" spans="1:4">
      <c r="A4678">
        <v>10617</v>
      </c>
      <c r="B4678" t="s">
        <v>10927</v>
      </c>
      <c r="C4678" t="s">
        <v>6636</v>
      </c>
      <c r="D4678" s="233">
        <v>4.07</v>
      </c>
    </row>
    <row r="4679" spans="1:4">
      <c r="A4679">
        <v>7274</v>
      </c>
      <c r="B4679" t="s">
        <v>10928</v>
      </c>
      <c r="C4679" t="s">
        <v>6636</v>
      </c>
      <c r="D4679" s="233">
        <v>28.19</v>
      </c>
    </row>
    <row r="4680" spans="1:4">
      <c r="A4680">
        <v>11663</v>
      </c>
      <c r="B4680" t="s">
        <v>10929</v>
      </c>
      <c r="C4680" t="s">
        <v>6636</v>
      </c>
      <c r="D4680" s="233">
        <v>231.93</v>
      </c>
    </row>
    <row r="4681" spans="1:4">
      <c r="A4681">
        <v>154</v>
      </c>
      <c r="B4681" t="s">
        <v>12381</v>
      </c>
      <c r="C4681" t="s">
        <v>6700</v>
      </c>
      <c r="D4681" s="233">
        <v>48.67</v>
      </c>
    </row>
    <row r="4682" spans="1:4">
      <c r="A4682">
        <v>38121</v>
      </c>
      <c r="B4682" t="s">
        <v>10930</v>
      </c>
      <c r="C4682" t="s">
        <v>6700</v>
      </c>
      <c r="D4682" s="233">
        <v>7.28</v>
      </c>
    </row>
    <row r="4683" spans="1:4">
      <c r="A4683">
        <v>7343</v>
      </c>
      <c r="B4683" t="s">
        <v>1133</v>
      </c>
      <c r="C4683" t="s">
        <v>6700</v>
      </c>
      <c r="D4683" s="233">
        <v>7.37</v>
      </c>
    </row>
    <row r="4684" spans="1:4">
      <c r="A4684">
        <v>7287</v>
      </c>
      <c r="B4684" t="s">
        <v>12719</v>
      </c>
      <c r="C4684" t="s">
        <v>8776</v>
      </c>
      <c r="D4684" s="233">
        <v>68.87</v>
      </c>
    </row>
    <row r="4685" spans="1:4">
      <c r="A4685">
        <v>7350</v>
      </c>
      <c r="B4685" t="s">
        <v>10931</v>
      </c>
      <c r="C4685" t="s">
        <v>6700</v>
      </c>
      <c r="D4685" s="233">
        <v>24.07</v>
      </c>
    </row>
    <row r="4686" spans="1:4">
      <c r="A4686">
        <v>7348</v>
      </c>
      <c r="B4686" t="s">
        <v>10932</v>
      </c>
      <c r="C4686" t="s">
        <v>6700</v>
      </c>
      <c r="D4686" s="233">
        <v>13.5</v>
      </c>
    </row>
    <row r="4687" spans="1:4">
      <c r="A4687">
        <v>7347</v>
      </c>
      <c r="B4687" t="s">
        <v>10932</v>
      </c>
      <c r="C4687" t="s">
        <v>8776</v>
      </c>
      <c r="D4687" s="233">
        <v>48.61</v>
      </c>
    </row>
    <row r="4688" spans="1:4">
      <c r="A4688">
        <v>7355</v>
      </c>
      <c r="B4688" t="s">
        <v>12720</v>
      </c>
      <c r="C4688" t="s">
        <v>8776</v>
      </c>
      <c r="D4688" s="233">
        <v>72.86</v>
      </c>
    </row>
    <row r="4689" spans="1:4">
      <c r="A4689">
        <v>7356</v>
      </c>
      <c r="B4689" t="s">
        <v>10933</v>
      </c>
      <c r="C4689" t="s">
        <v>6700</v>
      </c>
      <c r="D4689" s="233">
        <v>20.239999999999998</v>
      </c>
    </row>
    <row r="4690" spans="1:4">
      <c r="A4690">
        <v>7313</v>
      </c>
      <c r="B4690" t="s">
        <v>10934</v>
      </c>
      <c r="C4690" t="s">
        <v>6700</v>
      </c>
      <c r="D4690" s="233">
        <v>15.45</v>
      </c>
    </row>
    <row r="4691" spans="1:4">
      <c r="A4691">
        <v>7319</v>
      </c>
      <c r="B4691" t="s">
        <v>10935</v>
      </c>
      <c r="C4691" t="s">
        <v>6700</v>
      </c>
      <c r="D4691" s="233">
        <v>8.84</v>
      </c>
    </row>
    <row r="4692" spans="1:4">
      <c r="A4692">
        <v>38119</v>
      </c>
      <c r="B4692" t="s">
        <v>10936</v>
      </c>
      <c r="C4692" t="s">
        <v>6700</v>
      </c>
      <c r="D4692" s="233">
        <v>86.08</v>
      </c>
    </row>
    <row r="4693" spans="1:4">
      <c r="A4693">
        <v>7314</v>
      </c>
      <c r="B4693" t="s">
        <v>10937</v>
      </c>
      <c r="C4693" t="s">
        <v>6700</v>
      </c>
      <c r="D4693" s="233">
        <v>92.76</v>
      </c>
    </row>
    <row r="4694" spans="1:4">
      <c r="A4694">
        <v>38131</v>
      </c>
      <c r="B4694" t="s">
        <v>10938</v>
      </c>
      <c r="C4694" t="s">
        <v>6700</v>
      </c>
      <c r="D4694" s="233">
        <v>86.85</v>
      </c>
    </row>
    <row r="4695" spans="1:4">
      <c r="A4695">
        <v>7304</v>
      </c>
      <c r="B4695" t="s">
        <v>10939</v>
      </c>
      <c r="C4695" t="s">
        <v>6700</v>
      </c>
      <c r="D4695" s="233">
        <v>51.4</v>
      </c>
    </row>
    <row r="4696" spans="1:4">
      <c r="A4696">
        <v>7293</v>
      </c>
      <c r="B4696" t="s">
        <v>10940</v>
      </c>
      <c r="C4696" t="s">
        <v>6700</v>
      </c>
      <c r="D4696" s="233">
        <v>23.04</v>
      </c>
    </row>
    <row r="4697" spans="1:4">
      <c r="A4697">
        <v>7311</v>
      </c>
      <c r="B4697" t="s">
        <v>10941</v>
      </c>
      <c r="C4697" t="s">
        <v>6700</v>
      </c>
      <c r="D4697" s="233">
        <v>22.29</v>
      </c>
    </row>
    <row r="4698" spans="1:4">
      <c r="A4698">
        <v>7292</v>
      </c>
      <c r="B4698" t="s">
        <v>10942</v>
      </c>
      <c r="C4698" t="s">
        <v>6700</v>
      </c>
      <c r="D4698" s="233">
        <v>21.64</v>
      </c>
    </row>
    <row r="4699" spans="1:4">
      <c r="A4699">
        <v>7288</v>
      </c>
      <c r="B4699" t="s">
        <v>828</v>
      </c>
      <c r="C4699" t="s">
        <v>6700</v>
      </c>
      <c r="D4699" s="233">
        <v>24.52</v>
      </c>
    </row>
    <row r="4700" spans="1:4">
      <c r="A4700">
        <v>35693</v>
      </c>
      <c r="B4700" t="s">
        <v>10943</v>
      </c>
      <c r="C4700" t="s">
        <v>6700</v>
      </c>
      <c r="D4700" s="233">
        <v>9.2799999999999994</v>
      </c>
    </row>
    <row r="4701" spans="1:4">
      <c r="A4701">
        <v>35692</v>
      </c>
      <c r="B4701" t="s">
        <v>10944</v>
      </c>
      <c r="C4701" t="s">
        <v>6700</v>
      </c>
      <c r="D4701" s="233">
        <v>49.77</v>
      </c>
    </row>
    <row r="4702" spans="1:4">
      <c r="A4702">
        <v>7344</v>
      </c>
      <c r="B4702" t="s">
        <v>12721</v>
      </c>
      <c r="C4702" t="s">
        <v>8776</v>
      </c>
      <c r="D4702" s="233">
        <v>62.98</v>
      </c>
    </row>
    <row r="4703" spans="1:4">
      <c r="A4703">
        <v>7345</v>
      </c>
      <c r="B4703" t="s">
        <v>12722</v>
      </c>
      <c r="C4703" t="s">
        <v>6700</v>
      </c>
      <c r="D4703" s="233">
        <v>17.489999999999998</v>
      </c>
    </row>
    <row r="4704" spans="1:4">
      <c r="A4704">
        <v>35691</v>
      </c>
      <c r="B4704" t="s">
        <v>12723</v>
      </c>
      <c r="C4704" t="s">
        <v>6700</v>
      </c>
      <c r="D4704" s="233">
        <v>13.82</v>
      </c>
    </row>
    <row r="4705" spans="1:4">
      <c r="A4705">
        <v>7342</v>
      </c>
      <c r="B4705" t="s">
        <v>10945</v>
      </c>
      <c r="C4705" t="s">
        <v>6698</v>
      </c>
      <c r="D4705" s="233">
        <v>1.69</v>
      </c>
    </row>
    <row r="4706" spans="1:4">
      <c r="A4706">
        <v>7306</v>
      </c>
      <c r="B4706" t="s">
        <v>10946</v>
      </c>
      <c r="C4706" t="s">
        <v>6700</v>
      </c>
      <c r="D4706" s="233">
        <v>26.43</v>
      </c>
    </row>
    <row r="4707" spans="1:4">
      <c r="A4707">
        <v>39574</v>
      </c>
      <c r="B4707" t="s">
        <v>10947</v>
      </c>
      <c r="C4707" t="s">
        <v>6636</v>
      </c>
      <c r="D4707" s="233">
        <v>3.08</v>
      </c>
    </row>
    <row r="4708" spans="1:4">
      <c r="A4708">
        <v>11060</v>
      </c>
      <c r="B4708" t="s">
        <v>10948</v>
      </c>
      <c r="C4708" t="s">
        <v>6636</v>
      </c>
      <c r="D4708" s="233">
        <v>25.75</v>
      </c>
    </row>
    <row r="4709" spans="1:4">
      <c r="A4709">
        <v>37401</v>
      </c>
      <c r="B4709" t="s">
        <v>116</v>
      </c>
      <c r="C4709" t="s">
        <v>6636</v>
      </c>
      <c r="D4709" s="233">
        <v>41.05</v>
      </c>
    </row>
    <row r="4710" spans="1:4">
      <c r="A4710">
        <v>7525</v>
      </c>
      <c r="B4710" t="s">
        <v>10949</v>
      </c>
      <c r="C4710" t="s">
        <v>6636</v>
      </c>
      <c r="D4710" s="233">
        <v>29.54</v>
      </c>
    </row>
    <row r="4711" spans="1:4">
      <c r="A4711">
        <v>7524</v>
      </c>
      <c r="B4711" t="s">
        <v>10950</v>
      </c>
      <c r="C4711" t="s">
        <v>6636</v>
      </c>
      <c r="D4711" s="233">
        <v>27.84</v>
      </c>
    </row>
    <row r="4712" spans="1:4">
      <c r="A4712">
        <v>38105</v>
      </c>
      <c r="B4712" t="s">
        <v>10951</v>
      </c>
      <c r="C4712" t="s">
        <v>6636</v>
      </c>
      <c r="D4712" s="233">
        <v>7.15</v>
      </c>
    </row>
    <row r="4713" spans="1:4">
      <c r="A4713">
        <v>38084</v>
      </c>
      <c r="B4713" t="s">
        <v>10952</v>
      </c>
      <c r="C4713" t="s">
        <v>6636</v>
      </c>
      <c r="D4713" s="233">
        <v>10.15</v>
      </c>
    </row>
    <row r="4714" spans="1:4">
      <c r="A4714">
        <v>38103</v>
      </c>
      <c r="B4714" t="s">
        <v>10953</v>
      </c>
      <c r="C4714" t="s">
        <v>6636</v>
      </c>
      <c r="D4714" s="233">
        <v>10.73</v>
      </c>
    </row>
    <row r="4715" spans="1:4">
      <c r="A4715">
        <v>38082</v>
      </c>
      <c r="B4715" t="s">
        <v>10954</v>
      </c>
      <c r="C4715" t="s">
        <v>6636</v>
      </c>
      <c r="D4715" s="233">
        <v>13.22</v>
      </c>
    </row>
    <row r="4716" spans="1:4">
      <c r="A4716">
        <v>38104</v>
      </c>
      <c r="B4716" t="s">
        <v>10955</v>
      </c>
      <c r="C4716" t="s">
        <v>6636</v>
      </c>
      <c r="D4716" s="233">
        <v>21.02</v>
      </c>
    </row>
    <row r="4717" spans="1:4">
      <c r="A4717">
        <v>38083</v>
      </c>
      <c r="B4717" t="s">
        <v>10956</v>
      </c>
      <c r="C4717" t="s">
        <v>6636</v>
      </c>
      <c r="D4717" s="233">
        <v>23.34</v>
      </c>
    </row>
    <row r="4718" spans="1:4">
      <c r="A4718">
        <v>38101</v>
      </c>
      <c r="B4718" t="s">
        <v>10957</v>
      </c>
      <c r="C4718" t="s">
        <v>6636</v>
      </c>
      <c r="D4718" s="233">
        <v>5.0999999999999996</v>
      </c>
    </row>
    <row r="4719" spans="1:4">
      <c r="A4719">
        <v>7528</v>
      </c>
      <c r="B4719" t="s">
        <v>10958</v>
      </c>
      <c r="C4719" t="s">
        <v>6636</v>
      </c>
      <c r="D4719" s="233">
        <v>6</v>
      </c>
    </row>
    <row r="4720" spans="1:4">
      <c r="A4720">
        <v>12147</v>
      </c>
      <c r="B4720" t="s">
        <v>10959</v>
      </c>
      <c r="C4720" t="s">
        <v>6636</v>
      </c>
      <c r="D4720" s="233">
        <v>9.15</v>
      </c>
    </row>
    <row r="4721" spans="1:4">
      <c r="A4721">
        <v>38075</v>
      </c>
      <c r="B4721" t="s">
        <v>10960</v>
      </c>
      <c r="C4721" t="s">
        <v>6636</v>
      </c>
      <c r="D4721" s="233">
        <v>10.39</v>
      </c>
    </row>
    <row r="4722" spans="1:4">
      <c r="A4722">
        <v>38102</v>
      </c>
      <c r="B4722" t="s">
        <v>10961</v>
      </c>
      <c r="C4722" t="s">
        <v>6636</v>
      </c>
      <c r="D4722" s="233">
        <v>6.53</v>
      </c>
    </row>
    <row r="4723" spans="1:4">
      <c r="A4723">
        <v>38076</v>
      </c>
      <c r="B4723" t="s">
        <v>10962</v>
      </c>
      <c r="C4723" t="s">
        <v>6636</v>
      </c>
      <c r="D4723" s="233">
        <v>11.65</v>
      </c>
    </row>
    <row r="4724" spans="1:4">
      <c r="A4724">
        <v>7592</v>
      </c>
      <c r="B4724" t="s">
        <v>10963</v>
      </c>
      <c r="C4724" t="s">
        <v>6640</v>
      </c>
      <c r="D4724" s="233">
        <v>14.32</v>
      </c>
    </row>
    <row r="4725" spans="1:4">
      <c r="A4725">
        <v>40820</v>
      </c>
      <c r="B4725" t="s">
        <v>10964</v>
      </c>
      <c r="C4725" t="s">
        <v>6785</v>
      </c>
      <c r="D4725" s="234">
        <v>2662.28</v>
      </c>
    </row>
    <row r="4726" spans="1:4">
      <c r="A4726">
        <v>11762</v>
      </c>
      <c r="B4726" t="s">
        <v>10965</v>
      </c>
      <c r="C4726" t="s">
        <v>6636</v>
      </c>
      <c r="D4726" s="233">
        <v>52.86</v>
      </c>
    </row>
    <row r="4727" spans="1:4">
      <c r="A4727">
        <v>13418</v>
      </c>
      <c r="B4727" t="s">
        <v>10966</v>
      </c>
      <c r="C4727" t="s">
        <v>6636</v>
      </c>
      <c r="D4727" s="233">
        <v>14.77</v>
      </c>
    </row>
    <row r="4728" spans="1:4">
      <c r="A4728">
        <v>13984</v>
      </c>
      <c r="B4728" t="s">
        <v>10967</v>
      </c>
      <c r="C4728" t="s">
        <v>6636</v>
      </c>
      <c r="D4728" s="233">
        <v>36.94</v>
      </c>
    </row>
    <row r="4729" spans="1:4">
      <c r="A4729">
        <v>11772</v>
      </c>
      <c r="B4729" t="s">
        <v>10968</v>
      </c>
      <c r="C4729" t="s">
        <v>6636</v>
      </c>
      <c r="D4729" s="233">
        <v>89.7</v>
      </c>
    </row>
    <row r="4730" spans="1:4">
      <c r="A4730">
        <v>36795</v>
      </c>
      <c r="B4730" t="s">
        <v>10969</v>
      </c>
      <c r="C4730" t="s">
        <v>6636</v>
      </c>
      <c r="D4730" s="233">
        <v>576.96</v>
      </c>
    </row>
    <row r="4731" spans="1:4">
      <c r="A4731">
        <v>36796</v>
      </c>
      <c r="B4731" t="s">
        <v>898</v>
      </c>
      <c r="C4731" t="s">
        <v>6636</v>
      </c>
      <c r="D4731" s="233">
        <v>148.55000000000001</v>
      </c>
    </row>
    <row r="4732" spans="1:4">
      <c r="A4732">
        <v>36791</v>
      </c>
      <c r="B4732" t="s">
        <v>10970</v>
      </c>
      <c r="C4732" t="s">
        <v>6636</v>
      </c>
      <c r="D4732" s="233">
        <v>76.540000000000006</v>
      </c>
    </row>
    <row r="4733" spans="1:4">
      <c r="A4733">
        <v>13415</v>
      </c>
      <c r="B4733" t="s">
        <v>10971</v>
      </c>
      <c r="C4733" t="s">
        <v>6636</v>
      </c>
      <c r="D4733" s="233">
        <v>44.49</v>
      </c>
    </row>
    <row r="4734" spans="1:4">
      <c r="A4734">
        <v>36792</v>
      </c>
      <c r="B4734" t="s">
        <v>10972</v>
      </c>
      <c r="C4734" t="s">
        <v>6636</v>
      </c>
      <c r="D4734" s="233">
        <v>146.30000000000001</v>
      </c>
    </row>
    <row r="4735" spans="1:4">
      <c r="A4735">
        <v>11773</v>
      </c>
      <c r="B4735" t="s">
        <v>10973</v>
      </c>
      <c r="C4735" t="s">
        <v>6636</v>
      </c>
      <c r="D4735" s="233">
        <v>85.64</v>
      </c>
    </row>
    <row r="4736" spans="1:4">
      <c r="A4736">
        <v>11775</v>
      </c>
      <c r="B4736" t="s">
        <v>10974</v>
      </c>
      <c r="C4736" t="s">
        <v>6636</v>
      </c>
      <c r="D4736" s="233">
        <v>89.42</v>
      </c>
    </row>
    <row r="4737" spans="1:4">
      <c r="A4737">
        <v>13983</v>
      </c>
      <c r="B4737" t="s">
        <v>10975</v>
      </c>
      <c r="C4737" t="s">
        <v>6636</v>
      </c>
      <c r="D4737" s="233">
        <v>45.69</v>
      </c>
    </row>
    <row r="4738" spans="1:4">
      <c r="A4738">
        <v>13416</v>
      </c>
      <c r="B4738" t="s">
        <v>10976</v>
      </c>
      <c r="C4738" t="s">
        <v>6636</v>
      </c>
      <c r="D4738" s="233">
        <v>36.840000000000003</v>
      </c>
    </row>
    <row r="4739" spans="1:4">
      <c r="A4739">
        <v>13417</v>
      </c>
      <c r="B4739" t="s">
        <v>10977</v>
      </c>
      <c r="C4739" t="s">
        <v>6636</v>
      </c>
      <c r="D4739" s="233">
        <v>32.5</v>
      </c>
    </row>
    <row r="4740" spans="1:4">
      <c r="A4740">
        <v>7604</v>
      </c>
      <c r="B4740" t="s">
        <v>10978</v>
      </c>
      <c r="C4740" t="s">
        <v>6636</v>
      </c>
      <c r="D4740" s="233">
        <v>14.07</v>
      </c>
    </row>
    <row r="4741" spans="1:4">
      <c r="A4741">
        <v>11763</v>
      </c>
      <c r="B4741" t="s">
        <v>10979</v>
      </c>
      <c r="C4741" t="s">
        <v>6636</v>
      </c>
      <c r="D4741" s="233">
        <v>69.400000000000006</v>
      </c>
    </row>
    <row r="4742" spans="1:4">
      <c r="A4742">
        <v>11764</v>
      </c>
      <c r="B4742" t="s">
        <v>10980</v>
      </c>
      <c r="C4742" t="s">
        <v>6636</v>
      </c>
      <c r="D4742" s="233">
        <v>74.13</v>
      </c>
    </row>
    <row r="4743" spans="1:4">
      <c r="A4743">
        <v>11829</v>
      </c>
      <c r="B4743" t="s">
        <v>10981</v>
      </c>
      <c r="C4743" t="s">
        <v>6636</v>
      </c>
      <c r="D4743" s="233">
        <v>17.760000000000002</v>
      </c>
    </row>
    <row r="4744" spans="1:4">
      <c r="A4744">
        <v>11825</v>
      </c>
      <c r="B4744" t="s">
        <v>10982</v>
      </c>
      <c r="C4744" t="s">
        <v>6636</v>
      </c>
      <c r="D4744" s="233">
        <v>30.46</v>
      </c>
    </row>
    <row r="4745" spans="1:4">
      <c r="A4745">
        <v>11767</v>
      </c>
      <c r="B4745" t="s">
        <v>10983</v>
      </c>
      <c r="C4745" t="s">
        <v>6636</v>
      </c>
      <c r="D4745" s="233">
        <v>123.05</v>
      </c>
    </row>
    <row r="4746" spans="1:4">
      <c r="A4746">
        <v>11830</v>
      </c>
      <c r="B4746" t="s">
        <v>10984</v>
      </c>
      <c r="C4746" t="s">
        <v>6636</v>
      </c>
      <c r="D4746" s="233">
        <v>19.2</v>
      </c>
    </row>
    <row r="4747" spans="1:4">
      <c r="A4747">
        <v>11766</v>
      </c>
      <c r="B4747" t="s">
        <v>10985</v>
      </c>
      <c r="C4747" t="s">
        <v>6636</v>
      </c>
      <c r="D4747" s="233">
        <v>34.130000000000003</v>
      </c>
    </row>
    <row r="4748" spans="1:4">
      <c r="A4748">
        <v>11765</v>
      </c>
      <c r="B4748" t="s">
        <v>10986</v>
      </c>
      <c r="C4748" t="s">
        <v>6636</v>
      </c>
      <c r="D4748" s="233">
        <v>46.47</v>
      </c>
    </row>
    <row r="4749" spans="1:4">
      <c r="A4749">
        <v>11824</v>
      </c>
      <c r="B4749" t="s">
        <v>10987</v>
      </c>
      <c r="C4749" t="s">
        <v>6636</v>
      </c>
      <c r="D4749" s="233">
        <v>35.200000000000003</v>
      </c>
    </row>
    <row r="4750" spans="1:4">
      <c r="A4750">
        <v>11777</v>
      </c>
      <c r="B4750" t="s">
        <v>10988</v>
      </c>
      <c r="C4750" t="s">
        <v>6636</v>
      </c>
      <c r="D4750" s="233">
        <v>134.22</v>
      </c>
    </row>
    <row r="4751" spans="1:4">
      <c r="A4751">
        <v>7602</v>
      </c>
      <c r="B4751" t="s">
        <v>10989</v>
      </c>
      <c r="C4751" t="s">
        <v>6636</v>
      </c>
      <c r="D4751" s="233">
        <v>13.95</v>
      </c>
    </row>
    <row r="4752" spans="1:4">
      <c r="A4752">
        <v>7603</v>
      </c>
      <c r="B4752" t="s">
        <v>10990</v>
      </c>
      <c r="C4752" t="s">
        <v>6636</v>
      </c>
      <c r="D4752" s="233">
        <v>13.53</v>
      </c>
    </row>
    <row r="4753" spans="1:4">
      <c r="A4753">
        <v>11826</v>
      </c>
      <c r="B4753" t="s">
        <v>10991</v>
      </c>
      <c r="C4753" t="s">
        <v>6636</v>
      </c>
      <c r="D4753" s="233">
        <v>29.56</v>
      </c>
    </row>
    <row r="4754" spans="1:4">
      <c r="A4754">
        <v>7606</v>
      </c>
      <c r="B4754" t="s">
        <v>10992</v>
      </c>
      <c r="C4754" t="s">
        <v>6636</v>
      </c>
      <c r="D4754" s="233">
        <v>30.8</v>
      </c>
    </row>
    <row r="4755" spans="1:4">
      <c r="A4755">
        <v>40329</v>
      </c>
      <c r="B4755" t="s">
        <v>10993</v>
      </c>
      <c r="C4755" t="s">
        <v>6636</v>
      </c>
      <c r="D4755" s="233">
        <v>14.9</v>
      </c>
    </row>
    <row r="4756" spans="1:4">
      <c r="A4756">
        <v>11823</v>
      </c>
      <c r="B4756" t="s">
        <v>10994</v>
      </c>
      <c r="C4756" t="s">
        <v>6636</v>
      </c>
      <c r="D4756" s="233">
        <v>6.44</v>
      </c>
    </row>
    <row r="4757" spans="1:4">
      <c r="A4757">
        <v>11822</v>
      </c>
      <c r="B4757" t="s">
        <v>10995</v>
      </c>
      <c r="C4757" t="s">
        <v>6636</v>
      </c>
      <c r="D4757" s="233">
        <v>35.08</v>
      </c>
    </row>
    <row r="4758" spans="1:4">
      <c r="A4758">
        <v>11831</v>
      </c>
      <c r="B4758" t="s">
        <v>10996</v>
      </c>
      <c r="C4758" t="s">
        <v>6636</v>
      </c>
      <c r="D4758" s="233">
        <v>26.64</v>
      </c>
    </row>
    <row r="4759" spans="1:4">
      <c r="A4759">
        <v>7613</v>
      </c>
      <c r="B4759" t="s">
        <v>10997</v>
      </c>
      <c r="C4759" t="s">
        <v>6636</v>
      </c>
      <c r="D4759" s="234">
        <v>52757.24</v>
      </c>
    </row>
    <row r="4760" spans="1:4">
      <c r="A4760">
        <v>7619</v>
      </c>
      <c r="B4760" t="s">
        <v>10998</v>
      </c>
      <c r="C4760" t="s">
        <v>6636</v>
      </c>
      <c r="D4760" s="234">
        <v>8155.14</v>
      </c>
    </row>
    <row r="4761" spans="1:4">
      <c r="A4761">
        <v>12076</v>
      </c>
      <c r="B4761" t="s">
        <v>10999</v>
      </c>
      <c r="C4761" t="s">
        <v>6636</v>
      </c>
      <c r="D4761" s="234">
        <v>3740.89</v>
      </c>
    </row>
    <row r="4762" spans="1:4">
      <c r="A4762">
        <v>7614</v>
      </c>
      <c r="B4762" t="s">
        <v>1147</v>
      </c>
      <c r="C4762" t="s">
        <v>6636</v>
      </c>
      <c r="D4762" s="234">
        <v>10285.57</v>
      </c>
    </row>
    <row r="4763" spans="1:4">
      <c r="A4763">
        <v>7618</v>
      </c>
      <c r="B4763" t="s">
        <v>11000</v>
      </c>
      <c r="C4763" t="s">
        <v>6636</v>
      </c>
      <c r="D4763" s="234">
        <v>66709.69</v>
      </c>
    </row>
    <row r="4764" spans="1:4">
      <c r="A4764">
        <v>7620</v>
      </c>
      <c r="B4764" t="s">
        <v>11001</v>
      </c>
      <c r="C4764" t="s">
        <v>6636</v>
      </c>
      <c r="D4764" s="234">
        <v>14429.14</v>
      </c>
    </row>
    <row r="4765" spans="1:4">
      <c r="A4765">
        <v>7610</v>
      </c>
      <c r="B4765" t="s">
        <v>11002</v>
      </c>
      <c r="C4765" t="s">
        <v>6636</v>
      </c>
      <c r="D4765" s="234">
        <v>4569.2299999999996</v>
      </c>
    </row>
    <row r="4766" spans="1:4">
      <c r="A4766">
        <v>7615</v>
      </c>
      <c r="B4766" t="s">
        <v>11003</v>
      </c>
      <c r="C4766" t="s">
        <v>6636</v>
      </c>
      <c r="D4766" s="234">
        <v>16834</v>
      </c>
    </row>
    <row r="4767" spans="1:4">
      <c r="A4767">
        <v>7617</v>
      </c>
      <c r="B4767" t="s">
        <v>11004</v>
      </c>
      <c r="C4767" t="s">
        <v>6636</v>
      </c>
      <c r="D4767" s="234">
        <v>5103.6400000000003</v>
      </c>
    </row>
    <row r="4768" spans="1:4">
      <c r="A4768">
        <v>7616</v>
      </c>
      <c r="B4768" t="s">
        <v>11005</v>
      </c>
      <c r="C4768" t="s">
        <v>6636</v>
      </c>
      <c r="D4768" s="234">
        <v>27470.42</v>
      </c>
    </row>
    <row r="4769" spans="1:4">
      <c r="A4769">
        <v>7611</v>
      </c>
      <c r="B4769" t="s">
        <v>11006</v>
      </c>
      <c r="C4769" t="s">
        <v>6636</v>
      </c>
      <c r="D4769" s="234">
        <v>6600</v>
      </c>
    </row>
    <row r="4770" spans="1:4">
      <c r="A4770">
        <v>7612</v>
      </c>
      <c r="B4770" t="s">
        <v>11007</v>
      </c>
      <c r="C4770" t="s">
        <v>6636</v>
      </c>
      <c r="D4770" s="234">
        <v>37680.379999999997</v>
      </c>
    </row>
    <row r="4771" spans="1:4">
      <c r="A4771">
        <v>37371</v>
      </c>
      <c r="B4771" t="s">
        <v>11008</v>
      </c>
      <c r="C4771" t="s">
        <v>6640</v>
      </c>
      <c r="D4771" s="233">
        <v>0.71</v>
      </c>
    </row>
    <row r="4772" spans="1:4">
      <c r="A4772">
        <v>40861</v>
      </c>
      <c r="B4772" t="s">
        <v>11009</v>
      </c>
      <c r="C4772" t="s">
        <v>6785</v>
      </c>
      <c r="D4772" s="233">
        <v>133.68</v>
      </c>
    </row>
    <row r="4773" spans="1:4">
      <c r="A4773">
        <v>36510</v>
      </c>
      <c r="B4773" t="s">
        <v>11010</v>
      </c>
      <c r="C4773" t="s">
        <v>6636</v>
      </c>
      <c r="D4773" s="234">
        <v>588379.18000000005</v>
      </c>
    </row>
    <row r="4774" spans="1:4">
      <c r="A4774">
        <v>25020</v>
      </c>
      <c r="B4774" t="s">
        <v>11011</v>
      </c>
      <c r="C4774" t="s">
        <v>6636</v>
      </c>
      <c r="D4774" s="234">
        <v>2423915.21</v>
      </c>
    </row>
    <row r="4775" spans="1:4">
      <c r="A4775">
        <v>7622</v>
      </c>
      <c r="B4775" t="s">
        <v>11012</v>
      </c>
      <c r="C4775" t="s">
        <v>6636</v>
      </c>
      <c r="D4775" s="234">
        <v>570813.80000000005</v>
      </c>
    </row>
    <row r="4776" spans="1:4">
      <c r="A4776">
        <v>7624</v>
      </c>
      <c r="B4776" t="s">
        <v>11013</v>
      </c>
      <c r="C4776" t="s">
        <v>6636</v>
      </c>
      <c r="D4776" s="234">
        <v>740000</v>
      </c>
    </row>
    <row r="4777" spans="1:4">
      <c r="A4777">
        <v>7625</v>
      </c>
      <c r="B4777" t="s">
        <v>11014</v>
      </c>
      <c r="C4777" t="s">
        <v>6636</v>
      </c>
      <c r="D4777" s="234">
        <v>735473.93</v>
      </c>
    </row>
    <row r="4778" spans="1:4">
      <c r="A4778">
        <v>7623</v>
      </c>
      <c r="B4778" t="s">
        <v>11015</v>
      </c>
      <c r="C4778" t="s">
        <v>6636</v>
      </c>
      <c r="D4778" s="234">
        <v>2423915.21</v>
      </c>
    </row>
    <row r="4779" spans="1:4">
      <c r="A4779">
        <v>36508</v>
      </c>
      <c r="B4779" t="s">
        <v>11016</v>
      </c>
      <c r="C4779" t="s">
        <v>6636</v>
      </c>
      <c r="D4779" s="234">
        <v>1090130.8500000001</v>
      </c>
    </row>
    <row r="4780" spans="1:4">
      <c r="A4780">
        <v>36509</v>
      </c>
      <c r="B4780" t="s">
        <v>11017</v>
      </c>
      <c r="C4780" t="s">
        <v>6636</v>
      </c>
      <c r="D4780" s="234">
        <v>597431.15</v>
      </c>
    </row>
    <row r="4781" spans="1:4">
      <c r="A4781">
        <v>13238</v>
      </c>
      <c r="B4781" t="s">
        <v>11018</v>
      </c>
      <c r="C4781" t="s">
        <v>6636</v>
      </c>
      <c r="D4781" s="234">
        <v>158971.95000000001</v>
      </c>
    </row>
    <row r="4782" spans="1:4">
      <c r="A4782">
        <v>36511</v>
      </c>
      <c r="B4782" t="s">
        <v>11019</v>
      </c>
      <c r="C4782" t="s">
        <v>6636</v>
      </c>
      <c r="D4782" s="234">
        <v>184205.59</v>
      </c>
    </row>
    <row r="4783" spans="1:4">
      <c r="A4783">
        <v>36515</v>
      </c>
      <c r="B4783" t="s">
        <v>11020</v>
      </c>
      <c r="C4783" t="s">
        <v>6636</v>
      </c>
      <c r="D4783" s="234">
        <v>54252.32</v>
      </c>
    </row>
    <row r="4784" spans="1:4">
      <c r="A4784">
        <v>10598</v>
      </c>
      <c r="B4784" t="s">
        <v>11021</v>
      </c>
      <c r="C4784" t="s">
        <v>6636</v>
      </c>
      <c r="D4784" s="234">
        <v>87978.35</v>
      </c>
    </row>
    <row r="4785" spans="1:4">
      <c r="A4785">
        <v>7640</v>
      </c>
      <c r="B4785" t="s">
        <v>11022</v>
      </c>
      <c r="C4785" t="s">
        <v>6636</v>
      </c>
      <c r="D4785" s="234">
        <v>135000</v>
      </c>
    </row>
    <row r="4786" spans="1:4">
      <c r="A4786">
        <v>36513</v>
      </c>
      <c r="B4786" t="s">
        <v>11023</v>
      </c>
      <c r="C4786" t="s">
        <v>6636</v>
      </c>
      <c r="D4786" s="234">
        <v>130047.88</v>
      </c>
    </row>
    <row r="4787" spans="1:4">
      <c r="A4787">
        <v>36514</v>
      </c>
      <c r="B4787" t="s">
        <v>11024</v>
      </c>
      <c r="C4787" t="s">
        <v>6636</v>
      </c>
      <c r="D4787" s="234">
        <v>145093.45000000001</v>
      </c>
    </row>
    <row r="4788" spans="1:4">
      <c r="A4788">
        <v>36149</v>
      </c>
      <c r="B4788" t="s">
        <v>11025</v>
      </c>
      <c r="C4788" t="s">
        <v>6636</v>
      </c>
      <c r="D4788" s="233">
        <v>140.41</v>
      </c>
    </row>
    <row r="4789" spans="1:4">
      <c r="A4789">
        <v>42407</v>
      </c>
      <c r="B4789" t="s">
        <v>12382</v>
      </c>
      <c r="C4789" t="s">
        <v>6649</v>
      </c>
      <c r="D4789" s="233">
        <v>4.43</v>
      </c>
    </row>
    <row r="4790" spans="1:4">
      <c r="A4790">
        <v>11581</v>
      </c>
      <c r="B4790" t="s">
        <v>11026</v>
      </c>
      <c r="C4790" t="s">
        <v>6649</v>
      </c>
      <c r="D4790" s="233">
        <v>25.52</v>
      </c>
    </row>
    <row r="4791" spans="1:4">
      <c r="A4791">
        <v>11580</v>
      </c>
      <c r="B4791" t="s">
        <v>11027</v>
      </c>
      <c r="C4791" t="s">
        <v>6649</v>
      </c>
      <c r="D4791" s="233">
        <v>11.62</v>
      </c>
    </row>
    <row r="4792" spans="1:4">
      <c r="A4792">
        <v>38177</v>
      </c>
      <c r="B4792" t="s">
        <v>11028</v>
      </c>
      <c r="C4792" t="s">
        <v>6636</v>
      </c>
      <c r="D4792" s="233">
        <v>7.88</v>
      </c>
    </row>
    <row r="4793" spans="1:4">
      <c r="A4793">
        <v>10743</v>
      </c>
      <c r="B4793" t="s">
        <v>11029</v>
      </c>
      <c r="C4793" t="s">
        <v>6636</v>
      </c>
      <c r="D4793" s="233">
        <v>569.85</v>
      </c>
    </row>
    <row r="4794" spans="1:4">
      <c r="A4794">
        <v>39848</v>
      </c>
      <c r="B4794" t="s">
        <v>11030</v>
      </c>
      <c r="C4794" t="s">
        <v>6649</v>
      </c>
      <c r="D4794" s="233">
        <v>1.26</v>
      </c>
    </row>
    <row r="4795" spans="1:4">
      <c r="A4795">
        <v>20999</v>
      </c>
      <c r="B4795" t="s">
        <v>11031</v>
      </c>
      <c r="C4795" t="s">
        <v>6649</v>
      </c>
      <c r="D4795" s="233">
        <v>7.22</v>
      </c>
    </row>
    <row r="4796" spans="1:4">
      <c r="A4796">
        <v>21001</v>
      </c>
      <c r="B4796" t="s">
        <v>11032</v>
      </c>
      <c r="C4796" t="s">
        <v>6649</v>
      </c>
      <c r="D4796" s="233">
        <v>13.48</v>
      </c>
    </row>
    <row r="4797" spans="1:4">
      <c r="A4797">
        <v>21003</v>
      </c>
      <c r="B4797" t="s">
        <v>11033</v>
      </c>
      <c r="C4797" t="s">
        <v>6649</v>
      </c>
      <c r="D4797" s="233">
        <v>22.15</v>
      </c>
    </row>
    <row r="4798" spans="1:4">
      <c r="A4798">
        <v>21006</v>
      </c>
      <c r="B4798" t="s">
        <v>11034</v>
      </c>
      <c r="C4798" t="s">
        <v>6649</v>
      </c>
      <c r="D4798" s="233">
        <v>47.01</v>
      </c>
    </row>
    <row r="4799" spans="1:4">
      <c r="A4799">
        <v>21019</v>
      </c>
      <c r="B4799" t="s">
        <v>11035</v>
      </c>
      <c r="C4799" t="s">
        <v>6649</v>
      </c>
      <c r="D4799" s="233">
        <v>16.34</v>
      </c>
    </row>
    <row r="4800" spans="1:4">
      <c r="A4800">
        <v>21021</v>
      </c>
      <c r="B4800" t="s">
        <v>11036</v>
      </c>
      <c r="C4800" t="s">
        <v>6649</v>
      </c>
      <c r="D4800" s="233">
        <v>25.83</v>
      </c>
    </row>
    <row r="4801" spans="1:4">
      <c r="A4801">
        <v>21024</v>
      </c>
      <c r="B4801" t="s">
        <v>11037</v>
      </c>
      <c r="C4801" t="s">
        <v>6649</v>
      </c>
      <c r="D4801" s="233">
        <v>55.34</v>
      </c>
    </row>
    <row r="4802" spans="1:4">
      <c r="A4802">
        <v>40624</v>
      </c>
      <c r="B4802" t="s">
        <v>11038</v>
      </c>
      <c r="C4802" t="s">
        <v>6649</v>
      </c>
      <c r="D4802" s="233">
        <v>42.39</v>
      </c>
    </row>
    <row r="4803" spans="1:4">
      <c r="A4803">
        <v>13127</v>
      </c>
      <c r="B4803" t="s">
        <v>11039</v>
      </c>
      <c r="C4803" t="s">
        <v>6649</v>
      </c>
      <c r="D4803" s="233">
        <v>18.899999999999999</v>
      </c>
    </row>
    <row r="4804" spans="1:4">
      <c r="A4804">
        <v>13137</v>
      </c>
      <c r="B4804" t="s">
        <v>11040</v>
      </c>
      <c r="C4804" t="s">
        <v>6649</v>
      </c>
      <c r="D4804" s="233">
        <v>25.09</v>
      </c>
    </row>
    <row r="4805" spans="1:4">
      <c r="A4805">
        <v>20989</v>
      </c>
      <c r="B4805" t="s">
        <v>11041</v>
      </c>
      <c r="C4805" t="s">
        <v>6649</v>
      </c>
      <c r="D4805" s="233">
        <v>898.92</v>
      </c>
    </row>
    <row r="4806" spans="1:4">
      <c r="A4806">
        <v>21147</v>
      </c>
      <c r="B4806" t="s">
        <v>11042</v>
      </c>
      <c r="C4806" t="s">
        <v>6649</v>
      </c>
      <c r="D4806" s="233">
        <v>84.28</v>
      </c>
    </row>
    <row r="4807" spans="1:4">
      <c r="A4807">
        <v>21148</v>
      </c>
      <c r="B4807" t="s">
        <v>11043</v>
      </c>
      <c r="C4807" t="s">
        <v>6649</v>
      </c>
      <c r="D4807" s="233">
        <v>52.02</v>
      </c>
    </row>
    <row r="4808" spans="1:4">
      <c r="A4808">
        <v>20984</v>
      </c>
      <c r="B4808" t="s">
        <v>11044</v>
      </c>
      <c r="C4808" t="s">
        <v>6649</v>
      </c>
      <c r="D4808" s="234">
        <v>1724.85</v>
      </c>
    </row>
    <row r="4809" spans="1:4">
      <c r="A4809">
        <v>13042</v>
      </c>
      <c r="B4809" t="s">
        <v>11045</v>
      </c>
      <c r="C4809" t="s">
        <v>6649</v>
      </c>
      <c r="D4809" s="233">
        <v>955.82</v>
      </c>
    </row>
    <row r="4810" spans="1:4">
      <c r="A4810">
        <v>21150</v>
      </c>
      <c r="B4810" t="s">
        <v>11046</v>
      </c>
      <c r="C4810" t="s">
        <v>6649</v>
      </c>
      <c r="D4810" s="233">
        <v>25.79</v>
      </c>
    </row>
    <row r="4811" spans="1:4">
      <c r="A4811">
        <v>13141</v>
      </c>
      <c r="B4811" t="s">
        <v>11047</v>
      </c>
      <c r="C4811" t="s">
        <v>6649</v>
      </c>
      <c r="D4811" s="233">
        <v>32.5</v>
      </c>
    </row>
    <row r="4812" spans="1:4">
      <c r="A4812">
        <v>21151</v>
      </c>
      <c r="B4812" t="s">
        <v>11048</v>
      </c>
      <c r="C4812" t="s">
        <v>6649</v>
      </c>
      <c r="D4812" s="233">
        <v>154.38999999999999</v>
      </c>
    </row>
    <row r="4813" spans="1:4">
      <c r="A4813">
        <v>13142</v>
      </c>
      <c r="B4813" t="s">
        <v>11049</v>
      </c>
      <c r="C4813" t="s">
        <v>6649</v>
      </c>
      <c r="D4813" s="233">
        <v>220.72</v>
      </c>
    </row>
    <row r="4814" spans="1:4">
      <c r="A4814">
        <v>20994</v>
      </c>
      <c r="B4814" t="s">
        <v>11050</v>
      </c>
      <c r="C4814" t="s">
        <v>6649</v>
      </c>
      <c r="D4814" s="233">
        <v>416.15</v>
      </c>
    </row>
    <row r="4815" spans="1:4">
      <c r="A4815">
        <v>7672</v>
      </c>
      <c r="B4815" t="s">
        <v>11051</v>
      </c>
      <c r="C4815" t="s">
        <v>6649</v>
      </c>
      <c r="D4815" s="233">
        <v>272.62</v>
      </c>
    </row>
    <row r="4816" spans="1:4">
      <c r="A4816">
        <v>20995</v>
      </c>
      <c r="B4816" t="s">
        <v>11052</v>
      </c>
      <c r="C4816" t="s">
        <v>6649</v>
      </c>
      <c r="D4816" s="233">
        <v>546.9</v>
      </c>
    </row>
    <row r="4817" spans="1:4">
      <c r="A4817">
        <v>7690</v>
      </c>
      <c r="B4817" t="s">
        <v>11053</v>
      </c>
      <c r="C4817" t="s">
        <v>6649</v>
      </c>
      <c r="D4817" s="233">
        <v>316.31</v>
      </c>
    </row>
    <row r="4818" spans="1:4">
      <c r="A4818">
        <v>20980</v>
      </c>
      <c r="B4818" t="s">
        <v>11054</v>
      </c>
      <c r="C4818" t="s">
        <v>6649</v>
      </c>
      <c r="D4818" s="233">
        <v>345.06</v>
      </c>
    </row>
    <row r="4819" spans="1:4">
      <c r="A4819">
        <v>7661</v>
      </c>
      <c r="B4819" t="s">
        <v>11055</v>
      </c>
      <c r="C4819" t="s">
        <v>6649</v>
      </c>
      <c r="D4819" s="233">
        <v>410.48</v>
      </c>
    </row>
    <row r="4820" spans="1:4">
      <c r="A4820">
        <v>21016</v>
      </c>
      <c r="B4820" t="s">
        <v>11056</v>
      </c>
      <c r="C4820" t="s">
        <v>6649</v>
      </c>
      <c r="D4820" s="233">
        <v>94.84</v>
      </c>
    </row>
    <row r="4821" spans="1:4">
      <c r="A4821">
        <v>21008</v>
      </c>
      <c r="B4821" t="s">
        <v>11057</v>
      </c>
      <c r="C4821" t="s">
        <v>6649</v>
      </c>
      <c r="D4821" s="233">
        <v>11.08</v>
      </c>
    </row>
    <row r="4822" spans="1:4">
      <c r="A4822">
        <v>21009</v>
      </c>
      <c r="B4822" t="s">
        <v>11058</v>
      </c>
      <c r="C4822" t="s">
        <v>6649</v>
      </c>
      <c r="D4822" s="233">
        <v>14.42</v>
      </c>
    </row>
    <row r="4823" spans="1:4">
      <c r="A4823">
        <v>21010</v>
      </c>
      <c r="B4823" t="s">
        <v>11059</v>
      </c>
      <c r="C4823" t="s">
        <v>6649</v>
      </c>
      <c r="D4823" s="233">
        <v>19.37</v>
      </c>
    </row>
    <row r="4824" spans="1:4">
      <c r="A4824">
        <v>21011</v>
      </c>
      <c r="B4824" t="s">
        <v>11060</v>
      </c>
      <c r="C4824" t="s">
        <v>6649</v>
      </c>
      <c r="D4824" s="233">
        <v>28.23</v>
      </c>
    </row>
    <row r="4825" spans="1:4">
      <c r="A4825">
        <v>21012</v>
      </c>
      <c r="B4825" t="s">
        <v>11061</v>
      </c>
      <c r="C4825" t="s">
        <v>6649</v>
      </c>
      <c r="D4825" s="233">
        <v>31.19</v>
      </c>
    </row>
    <row r="4826" spans="1:4">
      <c r="A4826">
        <v>21013</v>
      </c>
      <c r="B4826" t="s">
        <v>11062</v>
      </c>
      <c r="C4826" t="s">
        <v>6649</v>
      </c>
      <c r="D4826" s="233">
        <v>40.71</v>
      </c>
    </row>
    <row r="4827" spans="1:4">
      <c r="A4827">
        <v>21014</v>
      </c>
      <c r="B4827" t="s">
        <v>11063</v>
      </c>
      <c r="C4827" t="s">
        <v>6649</v>
      </c>
      <c r="D4827" s="233">
        <v>56.96</v>
      </c>
    </row>
    <row r="4828" spans="1:4">
      <c r="A4828">
        <v>21015</v>
      </c>
      <c r="B4828" t="s">
        <v>849</v>
      </c>
      <c r="C4828" t="s">
        <v>6649</v>
      </c>
      <c r="D4828" s="233">
        <v>65.44</v>
      </c>
    </row>
    <row r="4829" spans="1:4">
      <c r="A4829">
        <v>7697</v>
      </c>
      <c r="B4829" t="s">
        <v>11064</v>
      </c>
      <c r="C4829" t="s">
        <v>6649</v>
      </c>
      <c r="D4829" s="233">
        <v>31.23</v>
      </c>
    </row>
    <row r="4830" spans="1:4">
      <c r="A4830">
        <v>7698</v>
      </c>
      <c r="B4830" t="s">
        <v>11065</v>
      </c>
      <c r="C4830" t="s">
        <v>6649</v>
      </c>
      <c r="D4830" s="233">
        <v>26.88</v>
      </c>
    </row>
    <row r="4831" spans="1:4">
      <c r="A4831">
        <v>7691</v>
      </c>
      <c r="B4831" t="s">
        <v>11066</v>
      </c>
      <c r="C4831" t="s">
        <v>6649</v>
      </c>
      <c r="D4831" s="233">
        <v>11.36</v>
      </c>
    </row>
    <row r="4832" spans="1:4">
      <c r="A4832">
        <v>40626</v>
      </c>
      <c r="B4832" t="s">
        <v>11067</v>
      </c>
      <c r="C4832" t="s">
        <v>6649</v>
      </c>
      <c r="D4832" s="233">
        <v>21.31</v>
      </c>
    </row>
    <row r="4833" spans="1:4">
      <c r="A4833">
        <v>7701</v>
      </c>
      <c r="B4833" t="s">
        <v>854</v>
      </c>
      <c r="C4833" t="s">
        <v>6649</v>
      </c>
      <c r="D4833" s="233">
        <v>55.88</v>
      </c>
    </row>
    <row r="4834" spans="1:4">
      <c r="A4834">
        <v>7696</v>
      </c>
      <c r="B4834" t="s">
        <v>11068</v>
      </c>
      <c r="C4834" t="s">
        <v>6649</v>
      </c>
      <c r="D4834" s="233">
        <v>45.03</v>
      </c>
    </row>
    <row r="4835" spans="1:4">
      <c r="A4835">
        <v>7700</v>
      </c>
      <c r="B4835" t="s">
        <v>11069</v>
      </c>
      <c r="C4835" t="s">
        <v>6649</v>
      </c>
      <c r="D4835" s="233">
        <v>14.36</v>
      </c>
    </row>
    <row r="4836" spans="1:4">
      <c r="A4836">
        <v>7694</v>
      </c>
      <c r="B4836" t="s">
        <v>11070</v>
      </c>
      <c r="C4836" t="s">
        <v>6649</v>
      </c>
      <c r="D4836" s="233">
        <v>75.2</v>
      </c>
    </row>
    <row r="4837" spans="1:4">
      <c r="A4837">
        <v>7693</v>
      </c>
      <c r="B4837" t="s">
        <v>11071</v>
      </c>
      <c r="C4837" t="s">
        <v>6649</v>
      </c>
      <c r="D4837" s="233">
        <v>103.57</v>
      </c>
    </row>
    <row r="4838" spans="1:4">
      <c r="A4838">
        <v>7692</v>
      </c>
      <c r="B4838" t="s">
        <v>11072</v>
      </c>
      <c r="C4838" t="s">
        <v>6649</v>
      </c>
      <c r="D4838" s="233">
        <v>155.06</v>
      </c>
    </row>
    <row r="4839" spans="1:4">
      <c r="A4839">
        <v>7695</v>
      </c>
      <c r="B4839" t="s">
        <v>11073</v>
      </c>
      <c r="C4839" t="s">
        <v>6649</v>
      </c>
      <c r="D4839" s="233">
        <v>168.17</v>
      </c>
    </row>
    <row r="4840" spans="1:4">
      <c r="A4840">
        <v>13356</v>
      </c>
      <c r="B4840" t="s">
        <v>11074</v>
      </c>
      <c r="C4840" t="s">
        <v>6649</v>
      </c>
      <c r="D4840" s="233">
        <v>12.19</v>
      </c>
    </row>
    <row r="4841" spans="1:4">
      <c r="A4841">
        <v>36365</v>
      </c>
      <c r="B4841" t="s">
        <v>11075</v>
      </c>
      <c r="C4841" t="s">
        <v>6649</v>
      </c>
      <c r="D4841" s="233">
        <v>17.25</v>
      </c>
    </row>
    <row r="4842" spans="1:4">
      <c r="A4842">
        <v>41930</v>
      </c>
      <c r="B4842" t="s">
        <v>11076</v>
      </c>
      <c r="C4842" t="s">
        <v>6649</v>
      </c>
      <c r="D4842" s="233">
        <v>55.84</v>
      </c>
    </row>
    <row r="4843" spans="1:4">
      <c r="A4843">
        <v>41931</v>
      </c>
      <c r="B4843" t="s">
        <v>11077</v>
      </c>
      <c r="C4843" t="s">
        <v>6649</v>
      </c>
      <c r="D4843" s="233">
        <v>95.22</v>
      </c>
    </row>
    <row r="4844" spans="1:4">
      <c r="A4844">
        <v>41932</v>
      </c>
      <c r="B4844" t="s">
        <v>11078</v>
      </c>
      <c r="C4844" t="s">
        <v>6649</v>
      </c>
      <c r="D4844" s="233">
        <v>153.80000000000001</v>
      </c>
    </row>
    <row r="4845" spans="1:4">
      <c r="A4845">
        <v>41933</v>
      </c>
      <c r="B4845" t="s">
        <v>11079</v>
      </c>
      <c r="C4845" t="s">
        <v>6649</v>
      </c>
      <c r="D4845" s="233">
        <v>190.48</v>
      </c>
    </row>
    <row r="4846" spans="1:4">
      <c r="A4846">
        <v>41934</v>
      </c>
      <c r="B4846" t="s">
        <v>11080</v>
      </c>
      <c r="C4846" t="s">
        <v>6649</v>
      </c>
      <c r="D4846" s="233">
        <v>246.71</v>
      </c>
    </row>
    <row r="4847" spans="1:4">
      <c r="A4847">
        <v>41936</v>
      </c>
      <c r="B4847" t="s">
        <v>11081</v>
      </c>
      <c r="C4847" t="s">
        <v>6649</v>
      </c>
      <c r="D4847" s="233">
        <v>37.200000000000003</v>
      </c>
    </row>
    <row r="4848" spans="1:4">
      <c r="A4848">
        <v>7720</v>
      </c>
      <c r="B4848" t="s">
        <v>11082</v>
      </c>
      <c r="C4848" t="s">
        <v>6649</v>
      </c>
      <c r="D4848" s="233">
        <v>457.03</v>
      </c>
    </row>
    <row r="4849" spans="1:4">
      <c r="A4849">
        <v>40335</v>
      </c>
      <c r="B4849" t="s">
        <v>11083</v>
      </c>
      <c r="C4849" t="s">
        <v>6649</v>
      </c>
      <c r="D4849" s="233">
        <v>93.09</v>
      </c>
    </row>
    <row r="4850" spans="1:4">
      <c r="A4850">
        <v>7740</v>
      </c>
      <c r="B4850" t="s">
        <v>11084</v>
      </c>
      <c r="C4850" t="s">
        <v>6649</v>
      </c>
      <c r="D4850" s="233">
        <v>127</v>
      </c>
    </row>
    <row r="4851" spans="1:4">
      <c r="A4851">
        <v>7741</v>
      </c>
      <c r="B4851" t="s">
        <v>11085</v>
      </c>
      <c r="C4851" t="s">
        <v>6649</v>
      </c>
      <c r="D4851" s="233">
        <v>160.28</v>
      </c>
    </row>
    <row r="4852" spans="1:4">
      <c r="A4852">
        <v>7774</v>
      </c>
      <c r="B4852" t="s">
        <v>11086</v>
      </c>
      <c r="C4852" t="s">
        <v>6649</v>
      </c>
      <c r="D4852" s="233">
        <v>215.77</v>
      </c>
    </row>
    <row r="4853" spans="1:4">
      <c r="A4853">
        <v>7744</v>
      </c>
      <c r="B4853" t="s">
        <v>11087</v>
      </c>
      <c r="C4853" t="s">
        <v>6649</v>
      </c>
      <c r="D4853" s="233">
        <v>248.73</v>
      </c>
    </row>
    <row r="4854" spans="1:4">
      <c r="A4854">
        <v>7773</v>
      </c>
      <c r="B4854" t="s">
        <v>11088</v>
      </c>
      <c r="C4854" t="s">
        <v>6649</v>
      </c>
      <c r="D4854" s="233">
        <v>309.76</v>
      </c>
    </row>
    <row r="4855" spans="1:4">
      <c r="A4855">
        <v>7754</v>
      </c>
      <c r="B4855" t="s">
        <v>11089</v>
      </c>
      <c r="C4855" t="s">
        <v>6649</v>
      </c>
      <c r="D4855" s="233">
        <v>420.94</v>
      </c>
    </row>
    <row r="4856" spans="1:4">
      <c r="A4856">
        <v>7735</v>
      </c>
      <c r="B4856" t="s">
        <v>11090</v>
      </c>
      <c r="C4856" t="s">
        <v>6649</v>
      </c>
      <c r="D4856" s="233">
        <v>576.95000000000005</v>
      </c>
    </row>
    <row r="4857" spans="1:4">
      <c r="A4857">
        <v>7755</v>
      </c>
      <c r="B4857" t="s">
        <v>11091</v>
      </c>
      <c r="C4857" t="s">
        <v>6649</v>
      </c>
      <c r="D4857" s="233">
        <v>154.72</v>
      </c>
    </row>
    <row r="4858" spans="1:4">
      <c r="A4858">
        <v>7776</v>
      </c>
      <c r="B4858" t="s">
        <v>11092</v>
      </c>
      <c r="C4858" t="s">
        <v>6649</v>
      </c>
      <c r="D4858" s="233">
        <v>201.38</v>
      </c>
    </row>
    <row r="4859" spans="1:4">
      <c r="A4859">
        <v>7743</v>
      </c>
      <c r="B4859" t="s">
        <v>11093</v>
      </c>
      <c r="C4859" t="s">
        <v>6649</v>
      </c>
      <c r="D4859" s="233">
        <v>265.93</v>
      </c>
    </row>
    <row r="4860" spans="1:4">
      <c r="A4860">
        <v>7733</v>
      </c>
      <c r="B4860" t="s">
        <v>11094</v>
      </c>
      <c r="C4860" t="s">
        <v>6649</v>
      </c>
      <c r="D4860" s="233">
        <v>296.54000000000002</v>
      </c>
    </row>
    <row r="4861" spans="1:4">
      <c r="A4861">
        <v>7775</v>
      </c>
      <c r="B4861" t="s">
        <v>11095</v>
      </c>
      <c r="C4861" t="s">
        <v>6649</v>
      </c>
      <c r="D4861" s="233">
        <v>364.84</v>
      </c>
    </row>
    <row r="4862" spans="1:4">
      <c r="A4862">
        <v>7734</v>
      </c>
      <c r="B4862" t="s">
        <v>11096</v>
      </c>
      <c r="C4862" t="s">
        <v>6649</v>
      </c>
      <c r="D4862" s="233">
        <v>527.44000000000005</v>
      </c>
    </row>
    <row r="4863" spans="1:4">
      <c r="A4863">
        <v>7753</v>
      </c>
      <c r="B4863" t="s">
        <v>11097</v>
      </c>
      <c r="C4863" t="s">
        <v>6649</v>
      </c>
      <c r="D4863" s="233">
        <v>267.42</v>
      </c>
    </row>
    <row r="4864" spans="1:4">
      <c r="A4864">
        <v>13256</v>
      </c>
      <c r="B4864" t="s">
        <v>11098</v>
      </c>
      <c r="C4864" t="s">
        <v>6649</v>
      </c>
      <c r="D4864" s="233">
        <v>312.17</v>
      </c>
    </row>
    <row r="4865" spans="1:4">
      <c r="A4865">
        <v>7757</v>
      </c>
      <c r="B4865" t="s">
        <v>11099</v>
      </c>
      <c r="C4865" t="s">
        <v>6649</v>
      </c>
      <c r="D4865" s="233">
        <v>378.99</v>
      </c>
    </row>
    <row r="4866" spans="1:4">
      <c r="A4866">
        <v>7758</v>
      </c>
      <c r="B4866" t="s">
        <v>11100</v>
      </c>
      <c r="C4866" t="s">
        <v>6649</v>
      </c>
      <c r="D4866" s="233">
        <v>563.71</v>
      </c>
    </row>
    <row r="4867" spans="1:4">
      <c r="A4867">
        <v>7759</v>
      </c>
      <c r="B4867" t="s">
        <v>974</v>
      </c>
      <c r="C4867" t="s">
        <v>6649</v>
      </c>
      <c r="D4867" s="234">
        <v>1228.1199999999999</v>
      </c>
    </row>
    <row r="4868" spans="1:4">
      <c r="A4868">
        <v>40334</v>
      </c>
      <c r="B4868" t="s">
        <v>11101</v>
      </c>
      <c r="C4868" t="s">
        <v>6649</v>
      </c>
      <c r="D4868" s="233">
        <v>66.3</v>
      </c>
    </row>
    <row r="4869" spans="1:4">
      <c r="A4869">
        <v>7745</v>
      </c>
      <c r="B4869" t="s">
        <v>11102</v>
      </c>
      <c r="C4869" t="s">
        <v>6649</v>
      </c>
      <c r="D4869" s="233">
        <v>70.069999999999993</v>
      </c>
    </row>
    <row r="4870" spans="1:4">
      <c r="A4870">
        <v>7714</v>
      </c>
      <c r="B4870" t="s">
        <v>11103</v>
      </c>
      <c r="C4870" t="s">
        <v>6649</v>
      </c>
      <c r="D4870" s="233">
        <v>92.52</v>
      </c>
    </row>
    <row r="4871" spans="1:4">
      <c r="A4871">
        <v>7725</v>
      </c>
      <c r="B4871" t="s">
        <v>11104</v>
      </c>
      <c r="C4871" t="s">
        <v>6649</v>
      </c>
      <c r="D4871" s="233">
        <v>122.4</v>
      </c>
    </row>
    <row r="4872" spans="1:4">
      <c r="A4872">
        <v>7742</v>
      </c>
      <c r="B4872" t="s">
        <v>11105</v>
      </c>
      <c r="C4872" t="s">
        <v>6649</v>
      </c>
      <c r="D4872" s="233">
        <v>171.8</v>
      </c>
    </row>
    <row r="4873" spans="1:4">
      <c r="A4873">
        <v>7750</v>
      </c>
      <c r="B4873" t="s">
        <v>11106</v>
      </c>
      <c r="C4873" t="s">
        <v>6649</v>
      </c>
      <c r="D4873" s="233">
        <v>194.82</v>
      </c>
    </row>
    <row r="4874" spans="1:4">
      <c r="A4874">
        <v>7756</v>
      </c>
      <c r="B4874" t="s">
        <v>11107</v>
      </c>
      <c r="C4874" t="s">
        <v>6649</v>
      </c>
      <c r="D4874" s="233">
        <v>240.53</v>
      </c>
    </row>
    <row r="4875" spans="1:4">
      <c r="A4875">
        <v>7765</v>
      </c>
      <c r="B4875" t="s">
        <v>11108</v>
      </c>
      <c r="C4875" t="s">
        <v>6649</v>
      </c>
      <c r="D4875" s="233">
        <v>295.33</v>
      </c>
    </row>
    <row r="4876" spans="1:4">
      <c r="A4876">
        <v>12569</v>
      </c>
      <c r="B4876" t="s">
        <v>11109</v>
      </c>
      <c r="C4876" t="s">
        <v>6649</v>
      </c>
      <c r="D4876" s="233">
        <v>317.79000000000002</v>
      </c>
    </row>
    <row r="4877" spans="1:4">
      <c r="A4877">
        <v>7766</v>
      </c>
      <c r="B4877" t="s">
        <v>11110</v>
      </c>
      <c r="C4877" t="s">
        <v>6649</v>
      </c>
      <c r="D4877" s="233">
        <v>429.52</v>
      </c>
    </row>
    <row r="4878" spans="1:4">
      <c r="A4878">
        <v>7767</v>
      </c>
      <c r="B4878" t="s">
        <v>11111</v>
      </c>
      <c r="C4878" t="s">
        <v>6649</v>
      </c>
      <c r="D4878" s="233">
        <v>661.86</v>
      </c>
    </row>
    <row r="4879" spans="1:4">
      <c r="A4879">
        <v>7727</v>
      </c>
      <c r="B4879" t="s">
        <v>11112</v>
      </c>
      <c r="C4879" t="s">
        <v>6649</v>
      </c>
      <c r="D4879" s="234">
        <v>1437.35</v>
      </c>
    </row>
    <row r="4880" spans="1:4">
      <c r="A4880">
        <v>7760</v>
      </c>
      <c r="B4880" t="s">
        <v>11113</v>
      </c>
      <c r="C4880" t="s">
        <v>6649</v>
      </c>
      <c r="D4880" s="233">
        <v>69.73</v>
      </c>
    </row>
    <row r="4881" spans="1:4">
      <c r="A4881">
        <v>7761</v>
      </c>
      <c r="B4881" t="s">
        <v>11114</v>
      </c>
      <c r="C4881" t="s">
        <v>6649</v>
      </c>
      <c r="D4881" s="233">
        <v>74.11</v>
      </c>
    </row>
    <row r="4882" spans="1:4">
      <c r="A4882">
        <v>7752</v>
      </c>
      <c r="B4882" t="s">
        <v>11115</v>
      </c>
      <c r="C4882" t="s">
        <v>6649</v>
      </c>
      <c r="D4882" s="233">
        <v>89.77</v>
      </c>
    </row>
    <row r="4883" spans="1:4">
      <c r="A4883">
        <v>7762</v>
      </c>
      <c r="B4883" t="s">
        <v>11116</v>
      </c>
      <c r="C4883" t="s">
        <v>6649</v>
      </c>
      <c r="D4883" s="233">
        <v>117.45</v>
      </c>
    </row>
    <row r="4884" spans="1:4">
      <c r="A4884">
        <v>7722</v>
      </c>
      <c r="B4884" t="s">
        <v>11117</v>
      </c>
      <c r="C4884" t="s">
        <v>6649</v>
      </c>
      <c r="D4884" s="233">
        <v>181.12</v>
      </c>
    </row>
    <row r="4885" spans="1:4">
      <c r="A4885">
        <v>7763</v>
      </c>
      <c r="B4885" t="s">
        <v>11118</v>
      </c>
      <c r="C4885" t="s">
        <v>6649</v>
      </c>
      <c r="D4885" s="233">
        <v>201.84</v>
      </c>
    </row>
    <row r="4886" spans="1:4">
      <c r="A4886">
        <v>7764</v>
      </c>
      <c r="B4886" t="s">
        <v>11119</v>
      </c>
      <c r="C4886" t="s">
        <v>6649</v>
      </c>
      <c r="D4886" s="233">
        <v>303.19</v>
      </c>
    </row>
    <row r="4887" spans="1:4">
      <c r="A4887">
        <v>12572</v>
      </c>
      <c r="B4887" t="s">
        <v>11120</v>
      </c>
      <c r="C4887" t="s">
        <v>6649</v>
      </c>
      <c r="D4887" s="233">
        <v>397.51</v>
      </c>
    </row>
    <row r="4888" spans="1:4">
      <c r="A4888">
        <v>12573</v>
      </c>
      <c r="B4888" t="s">
        <v>11121</v>
      </c>
      <c r="C4888" t="s">
        <v>6649</v>
      </c>
      <c r="D4888" s="233">
        <v>417.73</v>
      </c>
    </row>
    <row r="4889" spans="1:4">
      <c r="A4889">
        <v>12574</v>
      </c>
      <c r="B4889" t="s">
        <v>11122</v>
      </c>
      <c r="C4889" t="s">
        <v>6649</v>
      </c>
      <c r="D4889" s="233">
        <v>542.79999999999995</v>
      </c>
    </row>
    <row r="4890" spans="1:4">
      <c r="A4890">
        <v>12575</v>
      </c>
      <c r="B4890" t="s">
        <v>11123</v>
      </c>
      <c r="C4890" t="s">
        <v>6649</v>
      </c>
      <c r="D4890" s="233">
        <v>796.72</v>
      </c>
    </row>
    <row r="4891" spans="1:4">
      <c r="A4891">
        <v>12576</v>
      </c>
      <c r="B4891" t="s">
        <v>11124</v>
      </c>
      <c r="C4891" t="s">
        <v>6649</v>
      </c>
      <c r="D4891" s="233">
        <v>84.22</v>
      </c>
    </row>
    <row r="4892" spans="1:4">
      <c r="A4892">
        <v>12577</v>
      </c>
      <c r="B4892" t="s">
        <v>11125</v>
      </c>
      <c r="C4892" t="s">
        <v>6649</v>
      </c>
      <c r="D4892" s="233">
        <v>108.92</v>
      </c>
    </row>
    <row r="4893" spans="1:4">
      <c r="A4893">
        <v>12578</v>
      </c>
      <c r="B4893" t="s">
        <v>11126</v>
      </c>
      <c r="C4893" t="s">
        <v>6649</v>
      </c>
      <c r="D4893" s="233">
        <v>146.09</v>
      </c>
    </row>
    <row r="4894" spans="1:4">
      <c r="A4894">
        <v>12579</v>
      </c>
      <c r="B4894" t="s">
        <v>11127</v>
      </c>
      <c r="C4894" t="s">
        <v>6649</v>
      </c>
      <c r="D4894" s="233">
        <v>213.92</v>
      </c>
    </row>
    <row r="4895" spans="1:4">
      <c r="A4895">
        <v>12580</v>
      </c>
      <c r="B4895" t="s">
        <v>11128</v>
      </c>
      <c r="C4895" t="s">
        <v>6649</v>
      </c>
      <c r="D4895" s="233">
        <v>276.14999999999998</v>
      </c>
    </row>
    <row r="4896" spans="1:4">
      <c r="A4896">
        <v>12581</v>
      </c>
      <c r="B4896" t="s">
        <v>11129</v>
      </c>
      <c r="C4896" t="s">
        <v>6649</v>
      </c>
      <c r="D4896" s="233">
        <v>377.86</v>
      </c>
    </row>
    <row r="4897" spans="1:4">
      <c r="A4897">
        <v>41785</v>
      </c>
      <c r="B4897" t="s">
        <v>11130</v>
      </c>
      <c r="C4897" t="s">
        <v>6649</v>
      </c>
      <c r="D4897" s="233">
        <v>983.49</v>
      </c>
    </row>
    <row r="4898" spans="1:4">
      <c r="A4898">
        <v>41781</v>
      </c>
      <c r="B4898" t="s">
        <v>11131</v>
      </c>
      <c r="C4898" t="s">
        <v>6649</v>
      </c>
      <c r="D4898" s="233">
        <v>280.39999999999998</v>
      </c>
    </row>
    <row r="4899" spans="1:4">
      <c r="A4899">
        <v>41783</v>
      </c>
      <c r="B4899" t="s">
        <v>11132</v>
      </c>
      <c r="C4899" t="s">
        <v>6649</v>
      </c>
      <c r="D4899" s="233">
        <v>739.93</v>
      </c>
    </row>
    <row r="4900" spans="1:4">
      <c r="A4900">
        <v>41786</v>
      </c>
      <c r="B4900" t="s">
        <v>11133</v>
      </c>
      <c r="C4900" t="s">
        <v>6649</v>
      </c>
      <c r="D4900" s="234">
        <v>1543.58</v>
      </c>
    </row>
    <row r="4901" spans="1:4">
      <c r="A4901">
        <v>41779</v>
      </c>
      <c r="B4901" t="s">
        <v>11134</v>
      </c>
      <c r="C4901" t="s">
        <v>6649</v>
      </c>
      <c r="D4901" s="233">
        <v>107.54</v>
      </c>
    </row>
    <row r="4902" spans="1:4">
      <c r="A4902">
        <v>41780</v>
      </c>
      <c r="B4902" t="s">
        <v>11135</v>
      </c>
      <c r="C4902" t="s">
        <v>6649</v>
      </c>
      <c r="D4902" s="233">
        <v>127.19</v>
      </c>
    </row>
    <row r="4903" spans="1:4">
      <c r="A4903">
        <v>41782</v>
      </c>
      <c r="B4903" t="s">
        <v>11136</v>
      </c>
      <c r="C4903" t="s">
        <v>6649</v>
      </c>
      <c r="D4903" s="233">
        <v>524.33000000000004</v>
      </c>
    </row>
    <row r="4904" spans="1:4">
      <c r="A4904">
        <v>38130</v>
      </c>
      <c r="B4904" t="s">
        <v>11137</v>
      </c>
      <c r="C4904" t="s">
        <v>6649</v>
      </c>
      <c r="D4904" s="233">
        <v>34.81</v>
      </c>
    </row>
    <row r="4905" spans="1:4">
      <c r="A4905">
        <v>21123</v>
      </c>
      <c r="B4905" t="s">
        <v>11138</v>
      </c>
      <c r="C4905" t="s">
        <v>6649</v>
      </c>
      <c r="D4905" s="233">
        <v>9.8800000000000008</v>
      </c>
    </row>
    <row r="4906" spans="1:4">
      <c r="A4906">
        <v>21124</v>
      </c>
      <c r="B4906" t="s">
        <v>11139</v>
      </c>
      <c r="C4906" t="s">
        <v>6649</v>
      </c>
      <c r="D4906" s="233">
        <v>17.52</v>
      </c>
    </row>
    <row r="4907" spans="1:4">
      <c r="A4907">
        <v>21125</v>
      </c>
      <c r="B4907" t="s">
        <v>11140</v>
      </c>
      <c r="C4907" t="s">
        <v>6649</v>
      </c>
      <c r="D4907" s="233">
        <v>28.12</v>
      </c>
    </row>
    <row r="4908" spans="1:4">
      <c r="A4908">
        <v>38028</v>
      </c>
      <c r="B4908" t="s">
        <v>11141</v>
      </c>
      <c r="C4908" t="s">
        <v>6649</v>
      </c>
      <c r="D4908" s="233">
        <v>47.71</v>
      </c>
    </row>
    <row r="4909" spans="1:4">
      <c r="A4909">
        <v>38029</v>
      </c>
      <c r="B4909" t="s">
        <v>11142</v>
      </c>
      <c r="C4909" t="s">
        <v>6649</v>
      </c>
      <c r="D4909" s="233">
        <v>72.73</v>
      </c>
    </row>
    <row r="4910" spans="1:4">
      <c r="A4910">
        <v>38030</v>
      </c>
      <c r="B4910" t="s">
        <v>11143</v>
      </c>
      <c r="C4910" t="s">
        <v>6649</v>
      </c>
      <c r="D4910" s="233">
        <v>111.71</v>
      </c>
    </row>
    <row r="4911" spans="1:4">
      <c r="A4911">
        <v>38031</v>
      </c>
      <c r="B4911" t="s">
        <v>11144</v>
      </c>
      <c r="C4911" t="s">
        <v>6649</v>
      </c>
      <c r="D4911" s="233">
        <v>177.03</v>
      </c>
    </row>
    <row r="4912" spans="1:4">
      <c r="A4912">
        <v>39735</v>
      </c>
      <c r="B4912" t="s">
        <v>11145</v>
      </c>
      <c r="C4912" t="s">
        <v>6649</v>
      </c>
      <c r="D4912" s="233">
        <v>72.58</v>
      </c>
    </row>
    <row r="4913" spans="1:4">
      <c r="A4913">
        <v>39734</v>
      </c>
      <c r="B4913" t="s">
        <v>11146</v>
      </c>
      <c r="C4913" t="s">
        <v>6649</v>
      </c>
      <c r="D4913" s="233">
        <v>86.09</v>
      </c>
    </row>
    <row r="4914" spans="1:4">
      <c r="A4914">
        <v>39736</v>
      </c>
      <c r="B4914" t="s">
        <v>11147</v>
      </c>
      <c r="C4914" t="s">
        <v>6649</v>
      </c>
      <c r="D4914" s="233">
        <v>98.25</v>
      </c>
    </row>
    <row r="4915" spans="1:4">
      <c r="A4915">
        <v>39737</v>
      </c>
      <c r="B4915" t="s">
        <v>11148</v>
      </c>
      <c r="C4915" t="s">
        <v>6649</v>
      </c>
      <c r="D4915" s="233">
        <v>13.21</v>
      </c>
    </row>
    <row r="4916" spans="1:4">
      <c r="A4916">
        <v>39738</v>
      </c>
      <c r="B4916" t="s">
        <v>11149</v>
      </c>
      <c r="C4916" t="s">
        <v>6649</v>
      </c>
      <c r="D4916" s="233">
        <v>4.78</v>
      </c>
    </row>
    <row r="4917" spans="1:4">
      <c r="A4917">
        <v>39739</v>
      </c>
      <c r="B4917" t="s">
        <v>11150</v>
      </c>
      <c r="C4917" t="s">
        <v>6649</v>
      </c>
      <c r="D4917" s="233">
        <v>67.95</v>
      </c>
    </row>
    <row r="4918" spans="1:4">
      <c r="A4918">
        <v>39733</v>
      </c>
      <c r="B4918" t="s">
        <v>11151</v>
      </c>
      <c r="C4918" t="s">
        <v>6649</v>
      </c>
      <c r="D4918" s="233">
        <v>117.58</v>
      </c>
    </row>
    <row r="4919" spans="1:4">
      <c r="A4919">
        <v>39854</v>
      </c>
      <c r="B4919" t="s">
        <v>11152</v>
      </c>
      <c r="C4919" t="s">
        <v>6649</v>
      </c>
      <c r="D4919" s="233">
        <v>119.25</v>
      </c>
    </row>
    <row r="4920" spans="1:4">
      <c r="A4920">
        <v>39740</v>
      </c>
      <c r="B4920" t="s">
        <v>11153</v>
      </c>
      <c r="C4920" t="s">
        <v>6649</v>
      </c>
      <c r="D4920" s="233">
        <v>65.25</v>
      </c>
    </row>
    <row r="4921" spans="1:4">
      <c r="A4921">
        <v>39741</v>
      </c>
      <c r="B4921" t="s">
        <v>11154</v>
      </c>
      <c r="C4921" t="s">
        <v>6649</v>
      </c>
      <c r="D4921" s="233">
        <v>12.02</v>
      </c>
    </row>
    <row r="4922" spans="1:4">
      <c r="A4922">
        <v>39853</v>
      </c>
      <c r="B4922" t="s">
        <v>11155</v>
      </c>
      <c r="C4922" t="s">
        <v>6649</v>
      </c>
      <c r="D4922" s="233">
        <v>15.79</v>
      </c>
    </row>
    <row r="4923" spans="1:4">
      <c r="A4923">
        <v>39742</v>
      </c>
      <c r="B4923" t="s">
        <v>11156</v>
      </c>
      <c r="C4923" t="s">
        <v>6649</v>
      </c>
      <c r="D4923" s="233">
        <v>52.44</v>
      </c>
    </row>
    <row r="4924" spans="1:4">
      <c r="A4924">
        <v>39749</v>
      </c>
      <c r="B4924" t="s">
        <v>11157</v>
      </c>
      <c r="C4924" t="s">
        <v>6649</v>
      </c>
      <c r="D4924" s="233">
        <v>55.77</v>
      </c>
    </row>
    <row r="4925" spans="1:4">
      <c r="A4925">
        <v>39751</v>
      </c>
      <c r="B4925" t="s">
        <v>11158</v>
      </c>
      <c r="C4925" t="s">
        <v>6649</v>
      </c>
      <c r="D4925" s="233">
        <v>101.34</v>
      </c>
    </row>
    <row r="4926" spans="1:4">
      <c r="A4926">
        <v>39750</v>
      </c>
      <c r="B4926" t="s">
        <v>11159</v>
      </c>
      <c r="C4926" t="s">
        <v>6649</v>
      </c>
      <c r="D4926" s="233">
        <v>84.23</v>
      </c>
    </row>
    <row r="4927" spans="1:4">
      <c r="A4927">
        <v>39747</v>
      </c>
      <c r="B4927" t="s">
        <v>11160</v>
      </c>
      <c r="C4927" t="s">
        <v>6649</v>
      </c>
      <c r="D4927" s="233">
        <v>27.09</v>
      </c>
    </row>
    <row r="4928" spans="1:4">
      <c r="A4928">
        <v>39753</v>
      </c>
      <c r="B4928" t="s">
        <v>11161</v>
      </c>
      <c r="C4928" t="s">
        <v>6649</v>
      </c>
      <c r="D4928" s="233">
        <v>186.54</v>
      </c>
    </row>
    <row r="4929" spans="1:4">
      <c r="A4929">
        <v>39754</v>
      </c>
      <c r="B4929" t="s">
        <v>11162</v>
      </c>
      <c r="C4929" t="s">
        <v>6649</v>
      </c>
      <c r="D4929" s="233">
        <v>274.83</v>
      </c>
    </row>
    <row r="4930" spans="1:4">
      <c r="A4930">
        <v>39748</v>
      </c>
      <c r="B4930" t="s">
        <v>11163</v>
      </c>
      <c r="C4930" t="s">
        <v>6649</v>
      </c>
      <c r="D4930" s="233">
        <v>43.84</v>
      </c>
    </row>
    <row r="4931" spans="1:4">
      <c r="A4931">
        <v>39755</v>
      </c>
      <c r="B4931" t="s">
        <v>11164</v>
      </c>
      <c r="C4931" t="s">
        <v>6649</v>
      </c>
      <c r="D4931" s="233">
        <v>416.71</v>
      </c>
    </row>
    <row r="4932" spans="1:4">
      <c r="A4932">
        <v>12742</v>
      </c>
      <c r="B4932" t="s">
        <v>11165</v>
      </c>
      <c r="C4932" t="s">
        <v>6649</v>
      </c>
      <c r="D4932" s="233">
        <v>329.96</v>
      </c>
    </row>
    <row r="4933" spans="1:4">
      <c r="A4933">
        <v>12713</v>
      </c>
      <c r="B4933" t="s">
        <v>11166</v>
      </c>
      <c r="C4933" t="s">
        <v>6649</v>
      </c>
      <c r="D4933" s="233">
        <v>17.5</v>
      </c>
    </row>
    <row r="4934" spans="1:4">
      <c r="A4934">
        <v>12743</v>
      </c>
      <c r="B4934" t="s">
        <v>11167</v>
      </c>
      <c r="C4934" t="s">
        <v>6649</v>
      </c>
      <c r="D4934" s="233">
        <v>30.1</v>
      </c>
    </row>
    <row r="4935" spans="1:4">
      <c r="A4935">
        <v>12744</v>
      </c>
      <c r="B4935" t="s">
        <v>11168</v>
      </c>
      <c r="C4935" t="s">
        <v>6649</v>
      </c>
      <c r="D4935" s="233">
        <v>38.200000000000003</v>
      </c>
    </row>
    <row r="4936" spans="1:4">
      <c r="A4936">
        <v>12745</v>
      </c>
      <c r="B4936" t="s">
        <v>11169</v>
      </c>
      <c r="C4936" t="s">
        <v>6649</v>
      </c>
      <c r="D4936" s="233">
        <v>55.48</v>
      </c>
    </row>
    <row r="4937" spans="1:4">
      <c r="A4937">
        <v>12746</v>
      </c>
      <c r="B4937" t="s">
        <v>11170</v>
      </c>
      <c r="C4937" t="s">
        <v>6649</v>
      </c>
      <c r="D4937" s="233">
        <v>74.92</v>
      </c>
    </row>
    <row r="4938" spans="1:4">
      <c r="A4938">
        <v>12747</v>
      </c>
      <c r="B4938" t="s">
        <v>11171</v>
      </c>
      <c r="C4938" t="s">
        <v>6649</v>
      </c>
      <c r="D4938" s="233">
        <v>108.65</v>
      </c>
    </row>
    <row r="4939" spans="1:4">
      <c r="A4939">
        <v>12748</v>
      </c>
      <c r="B4939" t="s">
        <v>11172</v>
      </c>
      <c r="C4939" t="s">
        <v>6649</v>
      </c>
      <c r="D4939" s="233">
        <v>153.07</v>
      </c>
    </row>
    <row r="4940" spans="1:4">
      <c r="A4940">
        <v>12749</v>
      </c>
      <c r="B4940" t="s">
        <v>11173</v>
      </c>
      <c r="C4940" t="s">
        <v>6649</v>
      </c>
      <c r="D4940" s="233">
        <v>223.77</v>
      </c>
    </row>
    <row r="4941" spans="1:4">
      <c r="A4941">
        <v>39726</v>
      </c>
      <c r="B4941" t="s">
        <v>11174</v>
      </c>
      <c r="C4941" t="s">
        <v>6649</v>
      </c>
      <c r="D4941" s="233">
        <v>73.5</v>
      </c>
    </row>
    <row r="4942" spans="1:4">
      <c r="A4942">
        <v>39728</v>
      </c>
      <c r="B4942" t="s">
        <v>11175</v>
      </c>
      <c r="C4942" t="s">
        <v>6649</v>
      </c>
      <c r="D4942" s="233">
        <v>129.16999999999999</v>
      </c>
    </row>
    <row r="4943" spans="1:4">
      <c r="A4943">
        <v>39727</v>
      </c>
      <c r="B4943" t="s">
        <v>11176</v>
      </c>
      <c r="C4943" t="s">
        <v>6649</v>
      </c>
      <c r="D4943" s="233">
        <v>106.3</v>
      </c>
    </row>
    <row r="4944" spans="1:4">
      <c r="A4944">
        <v>39724</v>
      </c>
      <c r="B4944" t="s">
        <v>11177</v>
      </c>
      <c r="C4944" t="s">
        <v>6649</v>
      </c>
      <c r="D4944" s="233">
        <v>32.54</v>
      </c>
    </row>
    <row r="4945" spans="1:4">
      <c r="A4945">
        <v>39729</v>
      </c>
      <c r="B4945" t="s">
        <v>11178</v>
      </c>
      <c r="C4945" t="s">
        <v>6649</v>
      </c>
      <c r="D4945" s="233">
        <v>178.88</v>
      </c>
    </row>
    <row r="4946" spans="1:4">
      <c r="A4946">
        <v>39730</v>
      </c>
      <c r="B4946" t="s">
        <v>11179</v>
      </c>
      <c r="C4946" t="s">
        <v>6649</v>
      </c>
      <c r="D4946" s="233">
        <v>232.09</v>
      </c>
    </row>
    <row r="4947" spans="1:4">
      <c r="A4947">
        <v>39731</v>
      </c>
      <c r="B4947" t="s">
        <v>11180</v>
      </c>
      <c r="C4947" t="s">
        <v>6649</v>
      </c>
      <c r="D4947" s="233">
        <v>343.75</v>
      </c>
    </row>
    <row r="4948" spans="1:4">
      <c r="A4948">
        <v>39725</v>
      </c>
      <c r="B4948" t="s">
        <v>11181</v>
      </c>
      <c r="C4948" t="s">
        <v>6649</v>
      </c>
      <c r="D4948" s="233">
        <v>53.05</v>
      </c>
    </row>
    <row r="4949" spans="1:4">
      <c r="A4949">
        <v>39732</v>
      </c>
      <c r="B4949" t="s">
        <v>11182</v>
      </c>
      <c r="C4949" t="s">
        <v>6649</v>
      </c>
      <c r="D4949" s="233">
        <v>505.98</v>
      </c>
    </row>
    <row r="4950" spans="1:4">
      <c r="A4950">
        <v>39660</v>
      </c>
      <c r="B4950" t="s">
        <v>11183</v>
      </c>
      <c r="C4950" t="s">
        <v>6649</v>
      </c>
      <c r="D4950" s="233">
        <v>23.05</v>
      </c>
    </row>
    <row r="4951" spans="1:4">
      <c r="A4951">
        <v>39662</v>
      </c>
      <c r="B4951" t="s">
        <v>11184</v>
      </c>
      <c r="C4951" t="s">
        <v>6649</v>
      </c>
      <c r="D4951" s="233">
        <v>11.05</v>
      </c>
    </row>
    <row r="4952" spans="1:4">
      <c r="A4952">
        <v>39661</v>
      </c>
      <c r="B4952" t="s">
        <v>11185</v>
      </c>
      <c r="C4952" t="s">
        <v>6649</v>
      </c>
      <c r="D4952" s="233">
        <v>7.53</v>
      </c>
    </row>
    <row r="4953" spans="1:4">
      <c r="A4953">
        <v>39666</v>
      </c>
      <c r="B4953" t="s">
        <v>11186</v>
      </c>
      <c r="C4953" t="s">
        <v>6649</v>
      </c>
      <c r="D4953" s="233">
        <v>34.68</v>
      </c>
    </row>
    <row r="4954" spans="1:4">
      <c r="A4954">
        <v>39664</v>
      </c>
      <c r="B4954" t="s">
        <v>11187</v>
      </c>
      <c r="C4954" t="s">
        <v>6649</v>
      </c>
      <c r="D4954" s="233">
        <v>17</v>
      </c>
    </row>
    <row r="4955" spans="1:4">
      <c r="A4955">
        <v>39663</v>
      </c>
      <c r="B4955" t="s">
        <v>11188</v>
      </c>
      <c r="C4955" t="s">
        <v>6649</v>
      </c>
      <c r="D4955" s="233">
        <v>13.59</v>
      </c>
    </row>
    <row r="4956" spans="1:4">
      <c r="A4956">
        <v>39665</v>
      </c>
      <c r="B4956" t="s">
        <v>11189</v>
      </c>
      <c r="C4956" t="s">
        <v>6649</v>
      </c>
      <c r="D4956" s="233">
        <v>28.68</v>
      </c>
    </row>
    <row r="4957" spans="1:4">
      <c r="A4957">
        <v>39752</v>
      </c>
      <c r="B4957" t="s">
        <v>11190</v>
      </c>
      <c r="C4957" t="s">
        <v>6649</v>
      </c>
      <c r="D4957" s="233">
        <v>144.19999999999999</v>
      </c>
    </row>
    <row r="4958" spans="1:4">
      <c r="A4958">
        <v>12583</v>
      </c>
      <c r="B4958" t="s">
        <v>11191</v>
      </c>
      <c r="C4958" t="s">
        <v>6649</v>
      </c>
      <c r="D4958" s="233">
        <v>23.1</v>
      </c>
    </row>
    <row r="4959" spans="1:4">
      <c r="A4959">
        <v>12584</v>
      </c>
      <c r="B4959" t="s">
        <v>11192</v>
      </c>
      <c r="C4959" t="s">
        <v>6649</v>
      </c>
      <c r="D4959" s="233">
        <v>22.23</v>
      </c>
    </row>
    <row r="4960" spans="1:4">
      <c r="A4960">
        <v>13159</v>
      </c>
      <c r="B4960" t="s">
        <v>11193</v>
      </c>
      <c r="C4960" t="s">
        <v>6649</v>
      </c>
      <c r="D4960" s="233">
        <v>67.33</v>
      </c>
    </row>
    <row r="4961" spans="1:4">
      <c r="A4961">
        <v>13168</v>
      </c>
      <c r="B4961" t="s">
        <v>11194</v>
      </c>
      <c r="C4961" t="s">
        <v>6649</v>
      </c>
      <c r="D4961" s="233">
        <v>101.25</v>
      </c>
    </row>
    <row r="4962" spans="1:4">
      <c r="A4962">
        <v>13173</v>
      </c>
      <c r="B4962" t="s">
        <v>11195</v>
      </c>
      <c r="C4962" t="s">
        <v>6649</v>
      </c>
      <c r="D4962" s="233">
        <v>124.84</v>
      </c>
    </row>
    <row r="4963" spans="1:4">
      <c r="A4963">
        <v>37449</v>
      </c>
      <c r="B4963" t="s">
        <v>11196</v>
      </c>
      <c r="C4963" t="s">
        <v>6649</v>
      </c>
      <c r="D4963" s="233">
        <v>20.64</v>
      </c>
    </row>
    <row r="4964" spans="1:4">
      <c r="A4964">
        <v>37450</v>
      </c>
      <c r="B4964" t="s">
        <v>11197</v>
      </c>
      <c r="C4964" t="s">
        <v>6649</v>
      </c>
      <c r="D4964" s="233">
        <v>25.16</v>
      </c>
    </row>
    <row r="4965" spans="1:4">
      <c r="A4965">
        <v>37451</v>
      </c>
      <c r="B4965" t="s">
        <v>11198</v>
      </c>
      <c r="C4965" t="s">
        <v>6649</v>
      </c>
      <c r="D4965" s="233">
        <v>38.53</v>
      </c>
    </row>
    <row r="4966" spans="1:4">
      <c r="A4966">
        <v>37452</v>
      </c>
      <c r="B4966" t="s">
        <v>11199</v>
      </c>
      <c r="C4966" t="s">
        <v>6649</v>
      </c>
      <c r="D4966" s="233">
        <v>51.11</v>
      </c>
    </row>
    <row r="4967" spans="1:4">
      <c r="A4967">
        <v>37453</v>
      </c>
      <c r="B4967" t="s">
        <v>11200</v>
      </c>
      <c r="C4967" t="s">
        <v>6649</v>
      </c>
      <c r="D4967" s="233">
        <v>64.14</v>
      </c>
    </row>
    <row r="4968" spans="1:4">
      <c r="A4968">
        <v>7778</v>
      </c>
      <c r="B4968" t="s">
        <v>11201</v>
      </c>
      <c r="C4968" t="s">
        <v>6649</v>
      </c>
      <c r="D4968" s="233">
        <v>24.08</v>
      </c>
    </row>
    <row r="4969" spans="1:4">
      <c r="A4969">
        <v>7796</v>
      </c>
      <c r="B4969" t="s">
        <v>11202</v>
      </c>
      <c r="C4969" t="s">
        <v>6649</v>
      </c>
      <c r="D4969" s="233">
        <v>29</v>
      </c>
    </row>
    <row r="4970" spans="1:4">
      <c r="A4970">
        <v>7781</v>
      </c>
      <c r="B4970" t="s">
        <v>11203</v>
      </c>
      <c r="C4970" t="s">
        <v>6649</v>
      </c>
      <c r="D4970" s="233">
        <v>38.33</v>
      </c>
    </row>
    <row r="4971" spans="1:4">
      <c r="A4971">
        <v>7795</v>
      </c>
      <c r="B4971" t="s">
        <v>11204</v>
      </c>
      <c r="C4971" t="s">
        <v>6649</v>
      </c>
      <c r="D4971" s="233">
        <v>55.54</v>
      </c>
    </row>
    <row r="4972" spans="1:4">
      <c r="A4972">
        <v>7791</v>
      </c>
      <c r="B4972" t="s">
        <v>11205</v>
      </c>
      <c r="C4972" t="s">
        <v>6649</v>
      </c>
      <c r="D4972" s="233">
        <v>70.77</v>
      </c>
    </row>
    <row r="4973" spans="1:4">
      <c r="A4973">
        <v>7783</v>
      </c>
      <c r="B4973" t="s">
        <v>11206</v>
      </c>
      <c r="C4973" t="s">
        <v>6649</v>
      </c>
      <c r="D4973" s="233">
        <v>27.03</v>
      </c>
    </row>
    <row r="4974" spans="1:4">
      <c r="A4974">
        <v>7790</v>
      </c>
      <c r="B4974" t="s">
        <v>11207</v>
      </c>
      <c r="C4974" t="s">
        <v>6649</v>
      </c>
      <c r="D4974" s="233">
        <v>31.45</v>
      </c>
    </row>
    <row r="4975" spans="1:4">
      <c r="A4975">
        <v>7785</v>
      </c>
      <c r="B4975" t="s">
        <v>11208</v>
      </c>
      <c r="C4975" t="s">
        <v>6649</v>
      </c>
      <c r="D4975" s="233">
        <v>41.28</v>
      </c>
    </row>
    <row r="4976" spans="1:4">
      <c r="A4976">
        <v>7792</v>
      </c>
      <c r="B4976" t="s">
        <v>11209</v>
      </c>
      <c r="C4976" t="s">
        <v>6649</v>
      </c>
      <c r="D4976" s="233">
        <v>59.96</v>
      </c>
    </row>
    <row r="4977" spans="1:4">
      <c r="A4977">
        <v>7793</v>
      </c>
      <c r="B4977" t="s">
        <v>11210</v>
      </c>
      <c r="C4977" t="s">
        <v>6649</v>
      </c>
      <c r="D4977" s="233">
        <v>77.39</v>
      </c>
    </row>
    <row r="4978" spans="1:4">
      <c r="A4978">
        <v>12613</v>
      </c>
      <c r="B4978" t="s">
        <v>11211</v>
      </c>
      <c r="C4978" t="s">
        <v>6636</v>
      </c>
      <c r="D4978" s="233">
        <v>14.73</v>
      </c>
    </row>
    <row r="4979" spans="1:4">
      <c r="A4979">
        <v>1031</v>
      </c>
      <c r="B4979" t="s">
        <v>11212</v>
      </c>
      <c r="C4979" t="s">
        <v>6636</v>
      </c>
      <c r="D4979" s="233">
        <v>9.39</v>
      </c>
    </row>
    <row r="4980" spans="1:4">
      <c r="A4980">
        <v>39707</v>
      </c>
      <c r="B4980" t="s">
        <v>11213</v>
      </c>
      <c r="C4980" t="s">
        <v>6649</v>
      </c>
      <c r="D4980" s="233">
        <v>2.9</v>
      </c>
    </row>
    <row r="4981" spans="1:4">
      <c r="A4981">
        <v>39708</v>
      </c>
      <c r="B4981" t="s">
        <v>11214</v>
      </c>
      <c r="C4981" t="s">
        <v>6649</v>
      </c>
      <c r="D4981" s="233">
        <v>2.81</v>
      </c>
    </row>
    <row r="4982" spans="1:4">
      <c r="A4982">
        <v>39710</v>
      </c>
      <c r="B4982" t="s">
        <v>11215</v>
      </c>
      <c r="C4982" t="s">
        <v>6649</v>
      </c>
      <c r="D4982" s="233">
        <v>1.97</v>
      </c>
    </row>
    <row r="4983" spans="1:4">
      <c r="A4983">
        <v>39709</v>
      </c>
      <c r="B4983" t="s">
        <v>11216</v>
      </c>
      <c r="C4983" t="s">
        <v>6649</v>
      </c>
      <c r="D4983" s="233">
        <v>2.74</v>
      </c>
    </row>
    <row r="4984" spans="1:4">
      <c r="A4984">
        <v>39711</v>
      </c>
      <c r="B4984" t="s">
        <v>11217</v>
      </c>
      <c r="C4984" t="s">
        <v>6649</v>
      </c>
      <c r="D4984" s="233">
        <v>3.08</v>
      </c>
    </row>
    <row r="4985" spans="1:4">
      <c r="A4985">
        <v>39712</v>
      </c>
      <c r="B4985" t="s">
        <v>11218</v>
      </c>
      <c r="C4985" t="s">
        <v>6649</v>
      </c>
      <c r="D4985" s="233">
        <v>1.08</v>
      </c>
    </row>
    <row r="4986" spans="1:4">
      <c r="A4986">
        <v>39713</v>
      </c>
      <c r="B4986" t="s">
        <v>11219</v>
      </c>
      <c r="C4986" t="s">
        <v>6649</v>
      </c>
      <c r="D4986" s="233">
        <v>0.85</v>
      </c>
    </row>
    <row r="4987" spans="1:4">
      <c r="A4987">
        <v>39714</v>
      </c>
      <c r="B4987" t="s">
        <v>11220</v>
      </c>
      <c r="C4987" t="s">
        <v>6649</v>
      </c>
      <c r="D4987" s="233">
        <v>1.95</v>
      </c>
    </row>
    <row r="4988" spans="1:4">
      <c r="A4988">
        <v>39715</v>
      </c>
      <c r="B4988" t="s">
        <v>11221</v>
      </c>
      <c r="C4988" t="s">
        <v>6649</v>
      </c>
      <c r="D4988" s="233">
        <v>1.39</v>
      </c>
    </row>
    <row r="4989" spans="1:4">
      <c r="A4989">
        <v>39716</v>
      </c>
      <c r="B4989" t="s">
        <v>11222</v>
      </c>
      <c r="C4989" t="s">
        <v>6649</v>
      </c>
      <c r="D4989" s="233">
        <v>1.05</v>
      </c>
    </row>
    <row r="4990" spans="1:4">
      <c r="A4990">
        <v>39718</v>
      </c>
      <c r="B4990" t="s">
        <v>11223</v>
      </c>
      <c r="C4990" t="s">
        <v>6649</v>
      </c>
      <c r="D4990" s="233">
        <v>1.8</v>
      </c>
    </row>
    <row r="4991" spans="1:4">
      <c r="A4991">
        <v>9813</v>
      </c>
      <c r="B4991" t="s">
        <v>11224</v>
      </c>
      <c r="C4991" t="s">
        <v>6649</v>
      </c>
      <c r="D4991" s="233">
        <v>3.6</v>
      </c>
    </row>
    <row r="4992" spans="1:4">
      <c r="A4992">
        <v>9815</v>
      </c>
      <c r="B4992" t="s">
        <v>11225</v>
      </c>
      <c r="C4992" t="s">
        <v>6649</v>
      </c>
      <c r="D4992" s="233">
        <v>7.11</v>
      </c>
    </row>
    <row r="4993" spans="1:4">
      <c r="A4993">
        <v>25876</v>
      </c>
      <c r="B4993" t="s">
        <v>11226</v>
      </c>
      <c r="C4993" t="s">
        <v>6649</v>
      </c>
      <c r="D4993" s="234">
        <v>3537.6</v>
      </c>
    </row>
    <row r="4994" spans="1:4">
      <c r="A4994">
        <v>25888</v>
      </c>
      <c r="B4994" t="s">
        <v>11227</v>
      </c>
      <c r="C4994" t="s">
        <v>6649</v>
      </c>
      <c r="D4994" s="233">
        <v>86.7</v>
      </c>
    </row>
    <row r="4995" spans="1:4">
      <c r="A4995">
        <v>25874</v>
      </c>
      <c r="B4995" t="s">
        <v>11228</v>
      </c>
      <c r="C4995" t="s">
        <v>6649</v>
      </c>
      <c r="D4995" s="234">
        <v>6204.41</v>
      </c>
    </row>
    <row r="4996" spans="1:4">
      <c r="A4996">
        <v>25877</v>
      </c>
      <c r="B4996" t="s">
        <v>11229</v>
      </c>
      <c r="C4996" t="s">
        <v>6649</v>
      </c>
      <c r="D4996" s="234">
        <v>8466.16</v>
      </c>
    </row>
    <row r="4997" spans="1:4">
      <c r="A4997">
        <v>25878</v>
      </c>
      <c r="B4997" t="s">
        <v>11230</v>
      </c>
      <c r="C4997" t="s">
        <v>6649</v>
      </c>
      <c r="D4997" s="233">
        <v>186.1</v>
      </c>
    </row>
    <row r="4998" spans="1:4">
      <c r="A4998">
        <v>25879</v>
      </c>
      <c r="B4998" t="s">
        <v>11231</v>
      </c>
      <c r="C4998" t="s">
        <v>6649</v>
      </c>
      <c r="D4998" s="234">
        <v>8031.16</v>
      </c>
    </row>
    <row r="4999" spans="1:4">
      <c r="A4999">
        <v>25887</v>
      </c>
      <c r="B4999" t="s">
        <v>11232</v>
      </c>
      <c r="C4999" t="s">
        <v>6649</v>
      </c>
      <c r="D4999" s="234">
        <v>3208.58</v>
      </c>
    </row>
    <row r="5000" spans="1:4">
      <c r="A5000">
        <v>25880</v>
      </c>
      <c r="B5000" t="s">
        <v>11233</v>
      </c>
      <c r="C5000" t="s">
        <v>6649</v>
      </c>
      <c r="D5000" s="233">
        <v>290.11</v>
      </c>
    </row>
    <row r="5001" spans="1:4">
      <c r="A5001">
        <v>25881</v>
      </c>
      <c r="B5001" t="s">
        <v>11234</v>
      </c>
      <c r="C5001" t="s">
        <v>6649</v>
      </c>
      <c r="D5001" s="233">
        <v>710.86</v>
      </c>
    </row>
    <row r="5002" spans="1:4">
      <c r="A5002">
        <v>25882</v>
      </c>
      <c r="B5002" t="s">
        <v>11235</v>
      </c>
      <c r="C5002" t="s">
        <v>6649</v>
      </c>
      <c r="D5002" s="234">
        <v>1144.94</v>
      </c>
    </row>
    <row r="5003" spans="1:4">
      <c r="A5003">
        <v>25883</v>
      </c>
      <c r="B5003" t="s">
        <v>11236</v>
      </c>
      <c r="C5003" t="s">
        <v>6649</v>
      </c>
      <c r="D5003" s="233">
        <v>18.47</v>
      </c>
    </row>
    <row r="5004" spans="1:4">
      <c r="A5004">
        <v>25884</v>
      </c>
      <c r="B5004" t="s">
        <v>11237</v>
      </c>
      <c r="C5004" t="s">
        <v>6649</v>
      </c>
      <c r="D5004" s="234">
        <v>2010.09</v>
      </c>
    </row>
    <row r="5005" spans="1:4">
      <c r="A5005">
        <v>25885</v>
      </c>
      <c r="B5005" t="s">
        <v>11238</v>
      </c>
      <c r="C5005" t="s">
        <v>6649</v>
      </c>
      <c r="D5005" s="234">
        <v>2989.56</v>
      </c>
    </row>
    <row r="5006" spans="1:4">
      <c r="A5006">
        <v>25889</v>
      </c>
      <c r="B5006" t="s">
        <v>11239</v>
      </c>
      <c r="C5006" t="s">
        <v>6649</v>
      </c>
      <c r="D5006" s="234">
        <v>1499.19</v>
      </c>
    </row>
    <row r="5007" spans="1:4">
      <c r="A5007">
        <v>25886</v>
      </c>
      <c r="B5007" t="s">
        <v>11240</v>
      </c>
      <c r="C5007" t="s">
        <v>6649</v>
      </c>
      <c r="D5007" s="233">
        <v>41.31</v>
      </c>
    </row>
    <row r="5008" spans="1:4">
      <c r="A5008">
        <v>25875</v>
      </c>
      <c r="B5008" t="s">
        <v>11241</v>
      </c>
      <c r="C5008" t="s">
        <v>6649</v>
      </c>
      <c r="D5008" s="234">
        <v>1955.94</v>
      </c>
    </row>
    <row r="5009" spans="1:4">
      <c r="A5009">
        <v>9876</v>
      </c>
      <c r="B5009" t="s">
        <v>11242</v>
      </c>
      <c r="C5009" t="s">
        <v>6649</v>
      </c>
      <c r="D5009" s="233">
        <v>14.95</v>
      </c>
    </row>
    <row r="5010" spans="1:4">
      <c r="A5010">
        <v>9877</v>
      </c>
      <c r="B5010" t="s">
        <v>11243</v>
      </c>
      <c r="C5010" t="s">
        <v>6649</v>
      </c>
      <c r="D5010" s="233">
        <v>52.37</v>
      </c>
    </row>
    <row r="5011" spans="1:4">
      <c r="A5011">
        <v>9878</v>
      </c>
      <c r="B5011" t="s">
        <v>11244</v>
      </c>
      <c r="C5011" t="s">
        <v>6649</v>
      </c>
      <c r="D5011" s="233">
        <v>68.22</v>
      </c>
    </row>
    <row r="5012" spans="1:4">
      <c r="A5012">
        <v>9879</v>
      </c>
      <c r="B5012" t="s">
        <v>11245</v>
      </c>
      <c r="C5012" t="s">
        <v>6649</v>
      </c>
      <c r="D5012" s="233">
        <v>162.83000000000001</v>
      </c>
    </row>
    <row r="5013" spans="1:4">
      <c r="A5013">
        <v>42001</v>
      </c>
      <c r="B5013" t="s">
        <v>11246</v>
      </c>
      <c r="C5013" t="s">
        <v>6649</v>
      </c>
      <c r="D5013" s="233">
        <v>363.28</v>
      </c>
    </row>
    <row r="5014" spans="1:4">
      <c r="A5014">
        <v>41998</v>
      </c>
      <c r="B5014" t="s">
        <v>11247</v>
      </c>
      <c r="C5014" t="s">
        <v>6649</v>
      </c>
      <c r="D5014" s="233">
        <v>895.23</v>
      </c>
    </row>
    <row r="5015" spans="1:4">
      <c r="A5015">
        <v>41999</v>
      </c>
      <c r="B5015" t="s">
        <v>11248</v>
      </c>
      <c r="C5015" t="s">
        <v>6649</v>
      </c>
      <c r="D5015" s="234">
        <v>1642.2</v>
      </c>
    </row>
    <row r="5016" spans="1:4">
      <c r="A5016">
        <v>42000</v>
      </c>
      <c r="B5016" t="s">
        <v>11249</v>
      </c>
      <c r="C5016" t="s">
        <v>6649</v>
      </c>
      <c r="D5016" s="234">
        <v>2804.37</v>
      </c>
    </row>
    <row r="5017" spans="1:4">
      <c r="A5017">
        <v>38053</v>
      </c>
      <c r="B5017" t="s">
        <v>11250</v>
      </c>
      <c r="C5017" t="s">
        <v>6649</v>
      </c>
      <c r="D5017" s="233">
        <v>9.6199999999999992</v>
      </c>
    </row>
    <row r="5018" spans="1:4">
      <c r="A5018">
        <v>38054</v>
      </c>
      <c r="B5018" t="s">
        <v>11251</v>
      </c>
      <c r="C5018" t="s">
        <v>6649</v>
      </c>
      <c r="D5018" s="233">
        <v>16.54</v>
      </c>
    </row>
    <row r="5019" spans="1:4">
      <c r="A5019">
        <v>38052</v>
      </c>
      <c r="B5019" t="s">
        <v>11252</v>
      </c>
      <c r="C5019" t="s">
        <v>6649</v>
      </c>
      <c r="D5019" s="233">
        <v>4.66</v>
      </c>
    </row>
    <row r="5020" spans="1:4">
      <c r="A5020">
        <v>38051</v>
      </c>
      <c r="B5020" t="s">
        <v>11253</v>
      </c>
      <c r="C5020" t="s">
        <v>6649</v>
      </c>
      <c r="D5020" s="233">
        <v>2.9</v>
      </c>
    </row>
    <row r="5021" spans="1:4">
      <c r="A5021">
        <v>38787</v>
      </c>
      <c r="B5021" t="s">
        <v>11254</v>
      </c>
      <c r="C5021" t="s">
        <v>6649</v>
      </c>
      <c r="D5021" s="233">
        <v>4.01</v>
      </c>
    </row>
    <row r="5022" spans="1:4">
      <c r="A5022">
        <v>38825</v>
      </c>
      <c r="B5022" t="s">
        <v>11255</v>
      </c>
      <c r="C5022" t="s">
        <v>6649</v>
      </c>
      <c r="D5022" s="233">
        <v>5.25</v>
      </c>
    </row>
    <row r="5023" spans="1:4">
      <c r="A5023">
        <v>38826</v>
      </c>
      <c r="B5023" t="s">
        <v>11256</v>
      </c>
      <c r="C5023" t="s">
        <v>6649</v>
      </c>
      <c r="D5023" s="233">
        <v>7.78</v>
      </c>
    </row>
    <row r="5024" spans="1:4">
      <c r="A5024">
        <v>38827</v>
      </c>
      <c r="B5024" t="s">
        <v>11257</v>
      </c>
      <c r="C5024" t="s">
        <v>6649</v>
      </c>
      <c r="D5024" s="233">
        <v>12.5</v>
      </c>
    </row>
    <row r="5025" spans="1:4">
      <c r="A5025">
        <v>38830</v>
      </c>
      <c r="B5025" t="s">
        <v>11258</v>
      </c>
      <c r="C5025" t="s">
        <v>6649</v>
      </c>
      <c r="D5025" s="233">
        <v>17.510000000000002</v>
      </c>
    </row>
    <row r="5026" spans="1:4">
      <c r="A5026">
        <v>38828</v>
      </c>
      <c r="B5026" t="s">
        <v>11259</v>
      </c>
      <c r="C5026" t="s">
        <v>6649</v>
      </c>
      <c r="D5026" s="233">
        <v>7.72</v>
      </c>
    </row>
    <row r="5027" spans="1:4">
      <c r="A5027">
        <v>38829</v>
      </c>
      <c r="B5027" t="s">
        <v>11260</v>
      </c>
      <c r="C5027" t="s">
        <v>6649</v>
      </c>
      <c r="D5027" s="233">
        <v>12.65</v>
      </c>
    </row>
    <row r="5028" spans="1:4">
      <c r="A5028">
        <v>38831</v>
      </c>
      <c r="B5028" t="s">
        <v>11261</v>
      </c>
      <c r="C5028" t="s">
        <v>6649</v>
      </c>
      <c r="D5028" s="233">
        <v>24.42</v>
      </c>
    </row>
    <row r="5029" spans="1:4">
      <c r="A5029">
        <v>36274</v>
      </c>
      <c r="B5029" t="s">
        <v>11262</v>
      </c>
      <c r="C5029" t="s">
        <v>6649</v>
      </c>
      <c r="D5029" s="233">
        <v>5.7</v>
      </c>
    </row>
    <row r="5030" spans="1:4">
      <c r="A5030">
        <v>36278</v>
      </c>
      <c r="B5030" t="s">
        <v>11263</v>
      </c>
      <c r="C5030" t="s">
        <v>6649</v>
      </c>
      <c r="D5030" s="233">
        <v>7.73</v>
      </c>
    </row>
    <row r="5031" spans="1:4">
      <c r="A5031">
        <v>38977</v>
      </c>
      <c r="B5031" t="s">
        <v>11264</v>
      </c>
      <c r="C5031" t="s">
        <v>6649</v>
      </c>
      <c r="D5031" s="233">
        <v>117.66</v>
      </c>
    </row>
    <row r="5032" spans="1:4">
      <c r="A5032">
        <v>38971</v>
      </c>
      <c r="B5032" t="s">
        <v>11265</v>
      </c>
      <c r="C5032" t="s">
        <v>6649</v>
      </c>
      <c r="D5032" s="233">
        <v>9.69</v>
      </c>
    </row>
    <row r="5033" spans="1:4">
      <c r="A5033">
        <v>38972</v>
      </c>
      <c r="B5033" t="s">
        <v>11266</v>
      </c>
      <c r="C5033" t="s">
        <v>6649</v>
      </c>
      <c r="D5033" s="233">
        <v>14.76</v>
      </c>
    </row>
    <row r="5034" spans="1:4">
      <c r="A5034">
        <v>38973</v>
      </c>
      <c r="B5034" t="s">
        <v>11267</v>
      </c>
      <c r="C5034" t="s">
        <v>6649</v>
      </c>
      <c r="D5034" s="233">
        <v>19.53</v>
      </c>
    </row>
    <row r="5035" spans="1:4">
      <c r="A5035">
        <v>38974</v>
      </c>
      <c r="B5035" t="s">
        <v>11268</v>
      </c>
      <c r="C5035" t="s">
        <v>6649</v>
      </c>
      <c r="D5035" s="233">
        <v>28.48</v>
      </c>
    </row>
    <row r="5036" spans="1:4">
      <c r="A5036">
        <v>38975</v>
      </c>
      <c r="B5036" t="s">
        <v>11269</v>
      </c>
      <c r="C5036" t="s">
        <v>6649</v>
      </c>
      <c r="D5036" s="233">
        <v>47.46</v>
      </c>
    </row>
    <row r="5037" spans="1:4">
      <c r="A5037">
        <v>38976</v>
      </c>
      <c r="B5037" t="s">
        <v>11270</v>
      </c>
      <c r="C5037" t="s">
        <v>6649</v>
      </c>
      <c r="D5037" s="233">
        <v>66.56</v>
      </c>
    </row>
    <row r="5038" spans="1:4">
      <c r="A5038">
        <v>38986</v>
      </c>
      <c r="B5038" t="s">
        <v>11271</v>
      </c>
      <c r="C5038" t="s">
        <v>6649</v>
      </c>
      <c r="D5038" s="233">
        <v>133.94999999999999</v>
      </c>
    </row>
    <row r="5039" spans="1:4">
      <c r="A5039">
        <v>38978</v>
      </c>
      <c r="B5039" t="s">
        <v>11272</v>
      </c>
      <c r="C5039" t="s">
        <v>6649</v>
      </c>
      <c r="D5039" s="233">
        <v>5.7</v>
      </c>
    </row>
    <row r="5040" spans="1:4">
      <c r="A5040">
        <v>38979</v>
      </c>
      <c r="B5040" t="s">
        <v>11273</v>
      </c>
      <c r="C5040" t="s">
        <v>6649</v>
      </c>
      <c r="D5040" s="233">
        <v>7.73</v>
      </c>
    </row>
    <row r="5041" spans="1:4">
      <c r="A5041">
        <v>38980</v>
      </c>
      <c r="B5041" t="s">
        <v>11274</v>
      </c>
      <c r="C5041" t="s">
        <v>6649</v>
      </c>
      <c r="D5041" s="233">
        <v>12.92</v>
      </c>
    </row>
    <row r="5042" spans="1:4">
      <c r="A5042">
        <v>38981</v>
      </c>
      <c r="B5042" t="s">
        <v>11275</v>
      </c>
      <c r="C5042" t="s">
        <v>6649</v>
      </c>
      <c r="D5042" s="233">
        <v>17.899999999999999</v>
      </c>
    </row>
    <row r="5043" spans="1:4">
      <c r="A5043">
        <v>38982</v>
      </c>
      <c r="B5043" t="s">
        <v>11276</v>
      </c>
      <c r="C5043" t="s">
        <v>6649</v>
      </c>
      <c r="D5043" s="233">
        <v>26.05</v>
      </c>
    </row>
    <row r="5044" spans="1:4">
      <c r="A5044">
        <v>38983</v>
      </c>
      <c r="B5044" t="s">
        <v>11277</v>
      </c>
      <c r="C5044" t="s">
        <v>6649</v>
      </c>
      <c r="D5044" s="233">
        <v>34.53</v>
      </c>
    </row>
    <row r="5045" spans="1:4">
      <c r="A5045">
        <v>38984</v>
      </c>
      <c r="B5045" t="s">
        <v>11278</v>
      </c>
      <c r="C5045" t="s">
        <v>6649</v>
      </c>
      <c r="D5045" s="233">
        <v>66.61</v>
      </c>
    </row>
    <row r="5046" spans="1:4">
      <c r="A5046">
        <v>38985</v>
      </c>
      <c r="B5046" t="s">
        <v>11279</v>
      </c>
      <c r="C5046" t="s">
        <v>6649</v>
      </c>
      <c r="D5046" s="233">
        <v>98.6</v>
      </c>
    </row>
    <row r="5047" spans="1:4">
      <c r="A5047">
        <v>9836</v>
      </c>
      <c r="B5047" t="s">
        <v>764</v>
      </c>
      <c r="C5047" t="s">
        <v>6649</v>
      </c>
      <c r="D5047" s="233">
        <v>9.75</v>
      </c>
    </row>
    <row r="5048" spans="1:4">
      <c r="A5048">
        <v>20065</v>
      </c>
      <c r="B5048" t="s">
        <v>11280</v>
      </c>
      <c r="C5048" t="s">
        <v>6649</v>
      </c>
      <c r="D5048" s="233">
        <v>24.94</v>
      </c>
    </row>
    <row r="5049" spans="1:4">
      <c r="A5049">
        <v>9835</v>
      </c>
      <c r="B5049" t="s">
        <v>11281</v>
      </c>
      <c r="C5049" t="s">
        <v>6649</v>
      </c>
      <c r="D5049" s="233">
        <v>3.51</v>
      </c>
    </row>
    <row r="5050" spans="1:4">
      <c r="A5050">
        <v>38032</v>
      </c>
      <c r="B5050" t="s">
        <v>11282</v>
      </c>
      <c r="C5050" t="s">
        <v>6649</v>
      </c>
      <c r="D5050" s="233">
        <v>28.84</v>
      </c>
    </row>
    <row r="5051" spans="1:4">
      <c r="A5051">
        <v>38033</v>
      </c>
      <c r="B5051" t="s">
        <v>11283</v>
      </c>
      <c r="C5051" t="s">
        <v>6649</v>
      </c>
      <c r="D5051" s="233">
        <v>47.19</v>
      </c>
    </row>
    <row r="5052" spans="1:4">
      <c r="A5052">
        <v>38034</v>
      </c>
      <c r="B5052" t="s">
        <v>11284</v>
      </c>
      <c r="C5052" t="s">
        <v>6649</v>
      </c>
      <c r="D5052" s="233">
        <v>78.069999999999993</v>
      </c>
    </row>
    <row r="5053" spans="1:4">
      <c r="A5053">
        <v>38035</v>
      </c>
      <c r="B5053" t="s">
        <v>11285</v>
      </c>
      <c r="C5053" t="s">
        <v>6649</v>
      </c>
      <c r="D5053" s="233">
        <v>108.79</v>
      </c>
    </row>
    <row r="5054" spans="1:4">
      <c r="A5054">
        <v>38036</v>
      </c>
      <c r="B5054" t="s">
        <v>11286</v>
      </c>
      <c r="C5054" t="s">
        <v>6649</v>
      </c>
      <c r="D5054" s="233">
        <v>153.51</v>
      </c>
    </row>
    <row r="5055" spans="1:4">
      <c r="A5055">
        <v>38037</v>
      </c>
      <c r="B5055" t="s">
        <v>11287</v>
      </c>
      <c r="C5055" t="s">
        <v>6649</v>
      </c>
      <c r="D5055" s="233">
        <v>178</v>
      </c>
    </row>
    <row r="5056" spans="1:4">
      <c r="A5056">
        <v>9850</v>
      </c>
      <c r="B5056" t="s">
        <v>11288</v>
      </c>
      <c r="C5056" t="s">
        <v>6649</v>
      </c>
      <c r="D5056" s="233">
        <v>95.5</v>
      </c>
    </row>
    <row r="5057" spans="1:4">
      <c r="A5057">
        <v>9853</v>
      </c>
      <c r="B5057" t="s">
        <v>11289</v>
      </c>
      <c r="C5057" t="s">
        <v>6649</v>
      </c>
      <c r="D5057" s="233">
        <v>169.83</v>
      </c>
    </row>
    <row r="5058" spans="1:4">
      <c r="A5058">
        <v>9854</v>
      </c>
      <c r="B5058" t="s">
        <v>11290</v>
      </c>
      <c r="C5058" t="s">
        <v>6649</v>
      </c>
      <c r="D5058" s="233">
        <v>74.41</v>
      </c>
    </row>
    <row r="5059" spans="1:4">
      <c r="A5059">
        <v>9851</v>
      </c>
      <c r="B5059" t="s">
        <v>11291</v>
      </c>
      <c r="C5059" t="s">
        <v>6649</v>
      </c>
      <c r="D5059" s="233">
        <v>129.03</v>
      </c>
    </row>
    <row r="5060" spans="1:4">
      <c r="A5060">
        <v>9855</v>
      </c>
      <c r="B5060" t="s">
        <v>11292</v>
      </c>
      <c r="C5060" t="s">
        <v>6649</v>
      </c>
      <c r="D5060" s="233">
        <v>215.81</v>
      </c>
    </row>
    <row r="5061" spans="1:4">
      <c r="A5061">
        <v>9825</v>
      </c>
      <c r="B5061" t="s">
        <v>11293</v>
      </c>
      <c r="C5061" t="s">
        <v>6649</v>
      </c>
      <c r="D5061" s="233">
        <v>32.33</v>
      </c>
    </row>
    <row r="5062" spans="1:4">
      <c r="A5062">
        <v>9828</v>
      </c>
      <c r="B5062" t="s">
        <v>11294</v>
      </c>
      <c r="C5062" t="s">
        <v>6649</v>
      </c>
      <c r="D5062" s="233">
        <v>87.01</v>
      </c>
    </row>
    <row r="5063" spans="1:4">
      <c r="A5063">
        <v>9829</v>
      </c>
      <c r="B5063" t="s">
        <v>11295</v>
      </c>
      <c r="C5063" t="s">
        <v>6649</v>
      </c>
      <c r="D5063" s="233">
        <v>147.46</v>
      </c>
    </row>
    <row r="5064" spans="1:4">
      <c r="A5064">
        <v>9826</v>
      </c>
      <c r="B5064" t="s">
        <v>11296</v>
      </c>
      <c r="C5064" t="s">
        <v>6649</v>
      </c>
      <c r="D5064" s="233">
        <v>224.48</v>
      </c>
    </row>
    <row r="5065" spans="1:4">
      <c r="A5065">
        <v>9827</v>
      </c>
      <c r="B5065" t="s">
        <v>11297</v>
      </c>
      <c r="C5065" t="s">
        <v>6649</v>
      </c>
      <c r="D5065" s="233">
        <v>318.77</v>
      </c>
    </row>
    <row r="5066" spans="1:4">
      <c r="A5066">
        <v>36374</v>
      </c>
      <c r="B5066" t="s">
        <v>11298</v>
      </c>
      <c r="C5066" t="s">
        <v>6649</v>
      </c>
      <c r="D5066" s="233">
        <v>38.75</v>
      </c>
    </row>
    <row r="5067" spans="1:4">
      <c r="A5067">
        <v>36084</v>
      </c>
      <c r="B5067" t="s">
        <v>11299</v>
      </c>
      <c r="C5067" t="s">
        <v>6649</v>
      </c>
      <c r="D5067" s="233">
        <v>11.48</v>
      </c>
    </row>
    <row r="5068" spans="1:4">
      <c r="A5068">
        <v>36373</v>
      </c>
      <c r="B5068" t="s">
        <v>11300</v>
      </c>
      <c r="C5068" t="s">
        <v>6649</v>
      </c>
      <c r="D5068" s="233">
        <v>23.84</v>
      </c>
    </row>
    <row r="5069" spans="1:4">
      <c r="A5069">
        <v>36377</v>
      </c>
      <c r="B5069" t="s">
        <v>11301</v>
      </c>
      <c r="C5069" t="s">
        <v>6649</v>
      </c>
      <c r="D5069" s="233">
        <v>46.48</v>
      </c>
    </row>
    <row r="5070" spans="1:4">
      <c r="A5070">
        <v>36375</v>
      </c>
      <c r="B5070" t="s">
        <v>11302</v>
      </c>
      <c r="C5070" t="s">
        <v>6649</v>
      </c>
      <c r="D5070" s="233">
        <v>14.16</v>
      </c>
    </row>
    <row r="5071" spans="1:4">
      <c r="A5071">
        <v>36376</v>
      </c>
      <c r="B5071" t="s">
        <v>11303</v>
      </c>
      <c r="C5071" t="s">
        <v>6649</v>
      </c>
      <c r="D5071" s="233">
        <v>27.82</v>
      </c>
    </row>
    <row r="5072" spans="1:4">
      <c r="A5072">
        <v>36380</v>
      </c>
      <c r="B5072" t="s">
        <v>11304</v>
      </c>
      <c r="C5072" t="s">
        <v>6649</v>
      </c>
      <c r="D5072" s="233">
        <v>58.12</v>
      </c>
    </row>
    <row r="5073" spans="1:4">
      <c r="A5073">
        <v>36378</v>
      </c>
      <c r="B5073" t="s">
        <v>11305</v>
      </c>
      <c r="C5073" t="s">
        <v>6649</v>
      </c>
      <c r="D5073" s="233">
        <v>17.41</v>
      </c>
    </row>
    <row r="5074" spans="1:4">
      <c r="A5074">
        <v>36379</v>
      </c>
      <c r="B5074" t="s">
        <v>11306</v>
      </c>
      <c r="C5074" t="s">
        <v>6649</v>
      </c>
      <c r="D5074" s="233">
        <v>35.11</v>
      </c>
    </row>
    <row r="5075" spans="1:4">
      <c r="A5075">
        <v>9859</v>
      </c>
      <c r="B5075" t="s">
        <v>11307</v>
      </c>
      <c r="C5075" t="s">
        <v>6649</v>
      </c>
      <c r="D5075" s="233">
        <v>7.2</v>
      </c>
    </row>
    <row r="5076" spans="1:4">
      <c r="A5076">
        <v>9838</v>
      </c>
      <c r="B5076" t="s">
        <v>11308</v>
      </c>
      <c r="C5076" t="s">
        <v>6649</v>
      </c>
      <c r="D5076" s="233">
        <v>5.98</v>
      </c>
    </row>
    <row r="5077" spans="1:4">
      <c r="A5077">
        <v>9837</v>
      </c>
      <c r="B5077" t="s">
        <v>11309</v>
      </c>
      <c r="C5077" t="s">
        <v>6649</v>
      </c>
      <c r="D5077" s="233">
        <v>8.64</v>
      </c>
    </row>
    <row r="5078" spans="1:4">
      <c r="A5078">
        <v>9833</v>
      </c>
      <c r="B5078" t="s">
        <v>11310</v>
      </c>
      <c r="C5078" t="s">
        <v>6649</v>
      </c>
      <c r="D5078" s="233">
        <v>8.7100000000000009</v>
      </c>
    </row>
    <row r="5079" spans="1:4">
      <c r="A5079">
        <v>9830</v>
      </c>
      <c r="B5079" t="s">
        <v>11311</v>
      </c>
      <c r="C5079" t="s">
        <v>6649</v>
      </c>
      <c r="D5079" s="233">
        <v>4.66</v>
      </c>
    </row>
    <row r="5080" spans="1:4">
      <c r="A5080">
        <v>9834</v>
      </c>
      <c r="B5080" t="s">
        <v>11312</v>
      </c>
      <c r="C5080" t="s">
        <v>6649</v>
      </c>
      <c r="D5080" s="233">
        <v>24.24</v>
      </c>
    </row>
    <row r="5081" spans="1:4">
      <c r="A5081">
        <v>9863</v>
      </c>
      <c r="B5081" t="s">
        <v>11313</v>
      </c>
      <c r="C5081" t="s">
        <v>6649</v>
      </c>
      <c r="D5081" s="233">
        <v>51.94</v>
      </c>
    </row>
    <row r="5082" spans="1:4">
      <c r="A5082">
        <v>9860</v>
      </c>
      <c r="B5082" t="s">
        <v>11314</v>
      </c>
      <c r="C5082" t="s">
        <v>6649</v>
      </c>
      <c r="D5082" s="233">
        <v>33.35</v>
      </c>
    </row>
    <row r="5083" spans="1:4">
      <c r="A5083">
        <v>9862</v>
      </c>
      <c r="B5083" t="s">
        <v>11315</v>
      </c>
      <c r="C5083" t="s">
        <v>6649</v>
      </c>
      <c r="D5083" s="233">
        <v>23.53</v>
      </c>
    </row>
    <row r="5084" spans="1:4">
      <c r="A5084">
        <v>9861</v>
      </c>
      <c r="B5084" t="s">
        <v>11316</v>
      </c>
      <c r="C5084" t="s">
        <v>6649</v>
      </c>
      <c r="D5084" s="233">
        <v>18.91</v>
      </c>
    </row>
    <row r="5085" spans="1:4">
      <c r="A5085">
        <v>9856</v>
      </c>
      <c r="B5085" t="s">
        <v>11317</v>
      </c>
      <c r="C5085" t="s">
        <v>6649</v>
      </c>
      <c r="D5085" s="233">
        <v>5.08</v>
      </c>
    </row>
    <row r="5086" spans="1:4">
      <c r="A5086">
        <v>9866</v>
      </c>
      <c r="B5086" t="s">
        <v>11318</v>
      </c>
      <c r="C5086" t="s">
        <v>6649</v>
      </c>
      <c r="D5086" s="233">
        <v>13.97</v>
      </c>
    </row>
    <row r="5087" spans="1:4">
      <c r="A5087">
        <v>9857</v>
      </c>
      <c r="B5087" t="s">
        <v>11319</v>
      </c>
      <c r="C5087" t="s">
        <v>6649</v>
      </c>
      <c r="D5087" s="233">
        <v>67.180000000000007</v>
      </c>
    </row>
    <row r="5088" spans="1:4">
      <c r="A5088">
        <v>9864</v>
      </c>
      <c r="B5088" t="s">
        <v>11320</v>
      </c>
      <c r="C5088" t="s">
        <v>6649</v>
      </c>
      <c r="D5088" s="233">
        <v>81.099999999999994</v>
      </c>
    </row>
    <row r="5089" spans="1:4">
      <c r="A5089">
        <v>9865</v>
      </c>
      <c r="B5089" t="s">
        <v>11321</v>
      </c>
      <c r="C5089" t="s">
        <v>6649</v>
      </c>
      <c r="D5089" s="233">
        <v>116.64</v>
      </c>
    </row>
    <row r="5090" spans="1:4">
      <c r="A5090">
        <v>9858</v>
      </c>
      <c r="B5090" t="s">
        <v>11322</v>
      </c>
      <c r="C5090" t="s">
        <v>6649</v>
      </c>
      <c r="D5090" s="233">
        <v>122.28</v>
      </c>
    </row>
    <row r="5091" spans="1:4">
      <c r="A5091">
        <v>9841</v>
      </c>
      <c r="B5091" t="s">
        <v>11323</v>
      </c>
      <c r="C5091" t="s">
        <v>6649</v>
      </c>
      <c r="D5091" s="233">
        <v>24.06</v>
      </c>
    </row>
    <row r="5092" spans="1:4">
      <c r="A5092">
        <v>9840</v>
      </c>
      <c r="B5092" t="s">
        <v>11324</v>
      </c>
      <c r="C5092" t="s">
        <v>6649</v>
      </c>
      <c r="D5092" s="233">
        <v>48.9</v>
      </c>
    </row>
    <row r="5093" spans="1:4">
      <c r="A5093">
        <v>20067</v>
      </c>
      <c r="B5093" t="s">
        <v>11325</v>
      </c>
      <c r="C5093" t="s">
        <v>6649</v>
      </c>
      <c r="D5093" s="233">
        <v>8.4</v>
      </c>
    </row>
    <row r="5094" spans="1:4">
      <c r="A5094">
        <v>20068</v>
      </c>
      <c r="B5094" t="s">
        <v>11326</v>
      </c>
      <c r="C5094" t="s">
        <v>6649</v>
      </c>
      <c r="D5094" s="233">
        <v>10.48</v>
      </c>
    </row>
    <row r="5095" spans="1:4">
      <c r="A5095">
        <v>9839</v>
      </c>
      <c r="B5095" t="s">
        <v>11327</v>
      </c>
      <c r="C5095" t="s">
        <v>6649</v>
      </c>
      <c r="D5095" s="233">
        <v>13.73</v>
      </c>
    </row>
    <row r="5096" spans="1:4">
      <c r="A5096">
        <v>9870</v>
      </c>
      <c r="B5096" t="s">
        <v>11328</v>
      </c>
      <c r="C5096" t="s">
        <v>6649</v>
      </c>
      <c r="D5096" s="233">
        <v>56.64</v>
      </c>
    </row>
    <row r="5097" spans="1:4">
      <c r="A5097">
        <v>9867</v>
      </c>
      <c r="B5097" t="s">
        <v>11329</v>
      </c>
      <c r="C5097" t="s">
        <v>6649</v>
      </c>
      <c r="D5097" s="233">
        <v>2.08</v>
      </c>
    </row>
    <row r="5098" spans="1:4">
      <c r="A5098">
        <v>9868</v>
      </c>
      <c r="B5098" t="s">
        <v>767</v>
      </c>
      <c r="C5098" t="s">
        <v>6649</v>
      </c>
      <c r="D5098" s="233">
        <v>2.67</v>
      </c>
    </row>
    <row r="5099" spans="1:4">
      <c r="A5099">
        <v>9869</v>
      </c>
      <c r="B5099" t="s">
        <v>888</v>
      </c>
      <c r="C5099" t="s">
        <v>6649</v>
      </c>
      <c r="D5099" s="233">
        <v>5.99</v>
      </c>
    </row>
    <row r="5100" spans="1:4">
      <c r="A5100">
        <v>9874</v>
      </c>
      <c r="B5100" t="s">
        <v>11330</v>
      </c>
      <c r="C5100" t="s">
        <v>6649</v>
      </c>
      <c r="D5100" s="233">
        <v>8.73</v>
      </c>
    </row>
    <row r="5101" spans="1:4">
      <c r="A5101">
        <v>9875</v>
      </c>
      <c r="B5101" t="s">
        <v>11331</v>
      </c>
      <c r="C5101" t="s">
        <v>6649</v>
      </c>
      <c r="D5101" s="233">
        <v>10</v>
      </c>
    </row>
    <row r="5102" spans="1:4">
      <c r="A5102">
        <v>9873</v>
      </c>
      <c r="B5102" t="s">
        <v>11332</v>
      </c>
      <c r="C5102" t="s">
        <v>6649</v>
      </c>
      <c r="D5102" s="233">
        <v>16.87</v>
      </c>
    </row>
    <row r="5103" spans="1:4">
      <c r="A5103">
        <v>9871</v>
      </c>
      <c r="B5103" t="s">
        <v>11333</v>
      </c>
      <c r="C5103" t="s">
        <v>6649</v>
      </c>
      <c r="D5103" s="233">
        <v>28.26</v>
      </c>
    </row>
    <row r="5104" spans="1:4">
      <c r="A5104">
        <v>9872</v>
      </c>
      <c r="B5104" t="s">
        <v>11334</v>
      </c>
      <c r="C5104" t="s">
        <v>6649</v>
      </c>
      <c r="D5104" s="233">
        <v>35.31</v>
      </c>
    </row>
    <row r="5105" spans="1:4">
      <c r="A5105">
        <v>7667</v>
      </c>
      <c r="B5105" t="s">
        <v>11335</v>
      </c>
      <c r="C5105" t="s">
        <v>6649</v>
      </c>
      <c r="D5105" s="234">
        <v>1535.49</v>
      </c>
    </row>
    <row r="5106" spans="1:4">
      <c r="A5106">
        <v>7660</v>
      </c>
      <c r="B5106" t="s">
        <v>11336</v>
      </c>
      <c r="C5106" t="s">
        <v>6649</v>
      </c>
      <c r="D5106" s="234">
        <v>1957.39</v>
      </c>
    </row>
    <row r="5107" spans="1:4">
      <c r="A5107">
        <v>7676</v>
      </c>
      <c r="B5107" t="s">
        <v>11337</v>
      </c>
      <c r="C5107" t="s">
        <v>6649</v>
      </c>
      <c r="D5107" s="234">
        <v>1979.76</v>
      </c>
    </row>
    <row r="5108" spans="1:4">
      <c r="A5108">
        <v>12426</v>
      </c>
      <c r="B5108" t="s">
        <v>11338</v>
      </c>
      <c r="C5108" t="s">
        <v>6636</v>
      </c>
      <c r="D5108" s="233">
        <v>22.55</v>
      </c>
    </row>
    <row r="5109" spans="1:4">
      <c r="A5109">
        <v>12425</v>
      </c>
      <c r="B5109" t="s">
        <v>11339</v>
      </c>
      <c r="C5109" t="s">
        <v>6636</v>
      </c>
      <c r="D5109" s="233">
        <v>30.99</v>
      </c>
    </row>
    <row r="5110" spans="1:4">
      <c r="A5110">
        <v>12427</v>
      </c>
      <c r="B5110" t="s">
        <v>11340</v>
      </c>
      <c r="C5110" t="s">
        <v>6636</v>
      </c>
      <c r="D5110" s="233">
        <v>128.63</v>
      </c>
    </row>
    <row r="5111" spans="1:4">
      <c r="A5111">
        <v>12428</v>
      </c>
      <c r="B5111" t="s">
        <v>11341</v>
      </c>
      <c r="C5111" t="s">
        <v>6636</v>
      </c>
      <c r="D5111" s="233">
        <v>82.56</v>
      </c>
    </row>
    <row r="5112" spans="1:4">
      <c r="A5112">
        <v>12430</v>
      </c>
      <c r="B5112" t="s">
        <v>11342</v>
      </c>
      <c r="C5112" t="s">
        <v>6636</v>
      </c>
      <c r="D5112" s="233">
        <v>27.65</v>
      </c>
    </row>
    <row r="5113" spans="1:4">
      <c r="A5113">
        <v>12429</v>
      </c>
      <c r="B5113" t="s">
        <v>11343</v>
      </c>
      <c r="C5113" t="s">
        <v>6636</v>
      </c>
      <c r="D5113" s="233">
        <v>208.01</v>
      </c>
    </row>
    <row r="5114" spans="1:4">
      <c r="A5114">
        <v>12431</v>
      </c>
      <c r="B5114" t="s">
        <v>11344</v>
      </c>
      <c r="C5114" t="s">
        <v>6636</v>
      </c>
      <c r="D5114" s="233">
        <v>353.99</v>
      </c>
    </row>
    <row r="5115" spans="1:4">
      <c r="A5115">
        <v>12432</v>
      </c>
      <c r="B5115" t="s">
        <v>11345</v>
      </c>
      <c r="C5115" t="s">
        <v>6636</v>
      </c>
      <c r="D5115" s="233">
        <v>72.8</v>
      </c>
    </row>
    <row r="5116" spans="1:4">
      <c r="A5116">
        <v>12434</v>
      </c>
      <c r="B5116" t="s">
        <v>11346</v>
      </c>
      <c r="C5116" t="s">
        <v>6636</v>
      </c>
      <c r="D5116" s="233">
        <v>23.72</v>
      </c>
    </row>
    <row r="5117" spans="1:4">
      <c r="A5117">
        <v>12433</v>
      </c>
      <c r="B5117" t="s">
        <v>11347</v>
      </c>
      <c r="C5117" t="s">
        <v>6636</v>
      </c>
      <c r="D5117" s="233">
        <v>46.35</v>
      </c>
    </row>
    <row r="5118" spans="1:4">
      <c r="A5118">
        <v>12435</v>
      </c>
      <c r="B5118" t="s">
        <v>11348</v>
      </c>
      <c r="C5118" t="s">
        <v>6636</v>
      </c>
      <c r="D5118" s="233">
        <v>143.44</v>
      </c>
    </row>
    <row r="5119" spans="1:4">
      <c r="A5119">
        <v>12437</v>
      </c>
      <c r="B5119" t="s">
        <v>11349</v>
      </c>
      <c r="C5119" t="s">
        <v>6636</v>
      </c>
      <c r="D5119" s="233">
        <v>115.84</v>
      </c>
    </row>
    <row r="5120" spans="1:4">
      <c r="A5120">
        <v>12439</v>
      </c>
      <c r="B5120" t="s">
        <v>11350</v>
      </c>
      <c r="C5120" t="s">
        <v>6636</v>
      </c>
      <c r="D5120" s="233">
        <v>37.18</v>
      </c>
    </row>
    <row r="5121" spans="1:4">
      <c r="A5121">
        <v>12438</v>
      </c>
      <c r="B5121" t="s">
        <v>11351</v>
      </c>
      <c r="C5121" t="s">
        <v>6636</v>
      </c>
      <c r="D5121" s="233">
        <v>209.64</v>
      </c>
    </row>
    <row r="5122" spans="1:4">
      <c r="A5122">
        <v>12436</v>
      </c>
      <c r="B5122" t="s">
        <v>11352</v>
      </c>
      <c r="C5122" t="s">
        <v>6636</v>
      </c>
      <c r="D5122" s="233">
        <v>264.82</v>
      </c>
    </row>
    <row r="5123" spans="1:4">
      <c r="A5123">
        <v>36357</v>
      </c>
      <c r="B5123" t="s">
        <v>11353</v>
      </c>
      <c r="C5123" t="s">
        <v>6636</v>
      </c>
      <c r="D5123" s="233">
        <v>101.4</v>
      </c>
    </row>
    <row r="5124" spans="1:4">
      <c r="A5124">
        <v>12424</v>
      </c>
      <c r="B5124" t="s">
        <v>11354</v>
      </c>
      <c r="C5124" t="s">
        <v>6636</v>
      </c>
      <c r="D5124" s="233">
        <v>47.72</v>
      </c>
    </row>
    <row r="5125" spans="1:4">
      <c r="A5125">
        <v>12440</v>
      </c>
      <c r="B5125" t="s">
        <v>11355</v>
      </c>
      <c r="C5125" t="s">
        <v>6636</v>
      </c>
      <c r="D5125" s="233">
        <v>46.12</v>
      </c>
    </row>
    <row r="5126" spans="1:4">
      <c r="A5126">
        <v>9884</v>
      </c>
      <c r="B5126" t="s">
        <v>11356</v>
      </c>
      <c r="C5126" t="s">
        <v>6636</v>
      </c>
      <c r="D5126" s="233">
        <v>34.4</v>
      </c>
    </row>
    <row r="5127" spans="1:4">
      <c r="A5127">
        <v>9888</v>
      </c>
      <c r="B5127" t="s">
        <v>11357</v>
      </c>
      <c r="C5127" t="s">
        <v>6636</v>
      </c>
      <c r="D5127" s="233">
        <v>27.64</v>
      </c>
    </row>
    <row r="5128" spans="1:4">
      <c r="A5128">
        <v>9883</v>
      </c>
      <c r="B5128" t="s">
        <v>11358</v>
      </c>
      <c r="C5128" t="s">
        <v>6636</v>
      </c>
      <c r="D5128" s="233">
        <v>12.06</v>
      </c>
    </row>
    <row r="5129" spans="1:4">
      <c r="A5129">
        <v>9886</v>
      </c>
      <c r="B5129" t="s">
        <v>11359</v>
      </c>
      <c r="C5129" t="s">
        <v>6636</v>
      </c>
      <c r="D5129" s="233">
        <v>16.52</v>
      </c>
    </row>
    <row r="5130" spans="1:4">
      <c r="A5130">
        <v>9889</v>
      </c>
      <c r="B5130" t="s">
        <v>11360</v>
      </c>
      <c r="C5130" t="s">
        <v>6636</v>
      </c>
      <c r="D5130" s="233">
        <v>83.7</v>
      </c>
    </row>
    <row r="5131" spans="1:4">
      <c r="A5131">
        <v>9887</v>
      </c>
      <c r="B5131" t="s">
        <v>11361</v>
      </c>
      <c r="C5131" t="s">
        <v>6636</v>
      </c>
      <c r="D5131" s="233">
        <v>50.59</v>
      </c>
    </row>
    <row r="5132" spans="1:4">
      <c r="A5132">
        <v>9885</v>
      </c>
      <c r="B5132" t="s">
        <v>11362</v>
      </c>
      <c r="C5132" t="s">
        <v>6636</v>
      </c>
      <c r="D5132" s="233">
        <v>15.97</v>
      </c>
    </row>
    <row r="5133" spans="1:4">
      <c r="A5133">
        <v>9890</v>
      </c>
      <c r="B5133" t="s">
        <v>11363</v>
      </c>
      <c r="C5133" t="s">
        <v>6636</v>
      </c>
      <c r="D5133" s="233">
        <v>129.66999999999999</v>
      </c>
    </row>
    <row r="5134" spans="1:4">
      <c r="A5134">
        <v>9891</v>
      </c>
      <c r="B5134" t="s">
        <v>11364</v>
      </c>
      <c r="C5134" t="s">
        <v>6636</v>
      </c>
      <c r="D5134" s="233">
        <v>182.04</v>
      </c>
    </row>
    <row r="5135" spans="1:4">
      <c r="A5135">
        <v>39292</v>
      </c>
      <c r="B5135" t="s">
        <v>11365</v>
      </c>
      <c r="C5135" t="s">
        <v>6636</v>
      </c>
      <c r="D5135" s="233">
        <v>7.33</v>
      </c>
    </row>
    <row r="5136" spans="1:4">
      <c r="A5136">
        <v>39293</v>
      </c>
      <c r="B5136" t="s">
        <v>11366</v>
      </c>
      <c r="C5136" t="s">
        <v>6636</v>
      </c>
      <c r="D5136" s="233">
        <v>11.84</v>
      </c>
    </row>
    <row r="5137" spans="1:4">
      <c r="A5137">
        <v>39294</v>
      </c>
      <c r="B5137" t="s">
        <v>11367</v>
      </c>
      <c r="C5137" t="s">
        <v>6636</v>
      </c>
      <c r="D5137" s="233">
        <v>11.84</v>
      </c>
    </row>
    <row r="5138" spans="1:4">
      <c r="A5138">
        <v>39295</v>
      </c>
      <c r="B5138" t="s">
        <v>11368</v>
      </c>
      <c r="C5138" t="s">
        <v>6636</v>
      </c>
      <c r="D5138" s="233">
        <v>20.190000000000001</v>
      </c>
    </row>
    <row r="5139" spans="1:4">
      <c r="A5139">
        <v>36313</v>
      </c>
      <c r="B5139" t="s">
        <v>11369</v>
      </c>
      <c r="C5139" t="s">
        <v>6636</v>
      </c>
      <c r="D5139" s="233">
        <v>24.04</v>
      </c>
    </row>
    <row r="5140" spans="1:4">
      <c r="A5140">
        <v>36316</v>
      </c>
      <c r="B5140" t="s">
        <v>11370</v>
      </c>
      <c r="C5140" t="s">
        <v>6636</v>
      </c>
      <c r="D5140" s="233">
        <v>29.15</v>
      </c>
    </row>
    <row r="5141" spans="1:4">
      <c r="A5141">
        <v>64</v>
      </c>
      <c r="B5141" t="s">
        <v>11371</v>
      </c>
      <c r="C5141" t="s">
        <v>6636</v>
      </c>
      <c r="D5141" s="233">
        <v>3.65</v>
      </c>
    </row>
    <row r="5142" spans="1:4">
      <c r="A5142">
        <v>37423</v>
      </c>
      <c r="B5142" t="s">
        <v>11372</v>
      </c>
      <c r="C5142" t="s">
        <v>6636</v>
      </c>
      <c r="D5142" s="233">
        <v>9.02</v>
      </c>
    </row>
    <row r="5143" spans="1:4">
      <c r="A5143">
        <v>39296</v>
      </c>
      <c r="B5143" t="s">
        <v>11373</v>
      </c>
      <c r="C5143" t="s">
        <v>6636</v>
      </c>
      <c r="D5143" s="233">
        <v>5.67</v>
      </c>
    </row>
    <row r="5144" spans="1:4">
      <c r="A5144">
        <v>39297</v>
      </c>
      <c r="B5144" t="s">
        <v>11374</v>
      </c>
      <c r="C5144" t="s">
        <v>6636</v>
      </c>
      <c r="D5144" s="233">
        <v>8.1</v>
      </c>
    </row>
    <row r="5145" spans="1:4">
      <c r="A5145">
        <v>39298</v>
      </c>
      <c r="B5145" t="s">
        <v>11375</v>
      </c>
      <c r="C5145" t="s">
        <v>6636</v>
      </c>
      <c r="D5145" s="233">
        <v>14.27</v>
      </c>
    </row>
    <row r="5146" spans="1:4">
      <c r="A5146">
        <v>39299</v>
      </c>
      <c r="B5146" t="s">
        <v>11376</v>
      </c>
      <c r="C5146" t="s">
        <v>6636</v>
      </c>
      <c r="D5146" s="233">
        <v>24.29</v>
      </c>
    </row>
    <row r="5147" spans="1:4">
      <c r="A5147">
        <v>9892</v>
      </c>
      <c r="B5147" t="s">
        <v>11377</v>
      </c>
      <c r="C5147" t="s">
        <v>6636</v>
      </c>
      <c r="D5147" s="233">
        <v>4.54</v>
      </c>
    </row>
    <row r="5148" spans="1:4">
      <c r="A5148">
        <v>9893</v>
      </c>
      <c r="B5148" t="s">
        <v>11378</v>
      </c>
      <c r="C5148" t="s">
        <v>6636</v>
      </c>
      <c r="D5148" s="233">
        <v>61.61</v>
      </c>
    </row>
    <row r="5149" spans="1:4">
      <c r="A5149">
        <v>9901</v>
      </c>
      <c r="B5149" t="s">
        <v>11379</v>
      </c>
      <c r="C5149" t="s">
        <v>6636</v>
      </c>
      <c r="D5149" s="233">
        <v>27.34</v>
      </c>
    </row>
    <row r="5150" spans="1:4">
      <c r="A5150">
        <v>9896</v>
      </c>
      <c r="B5150" t="s">
        <v>11380</v>
      </c>
      <c r="C5150" t="s">
        <v>6636</v>
      </c>
      <c r="D5150" s="233">
        <v>24.64</v>
      </c>
    </row>
    <row r="5151" spans="1:4">
      <c r="A5151">
        <v>9900</v>
      </c>
      <c r="B5151" t="s">
        <v>11381</v>
      </c>
      <c r="C5151" t="s">
        <v>6636</v>
      </c>
      <c r="D5151" s="233">
        <v>14.95</v>
      </c>
    </row>
    <row r="5152" spans="1:4">
      <c r="A5152">
        <v>9898</v>
      </c>
      <c r="B5152" t="s">
        <v>11382</v>
      </c>
      <c r="C5152" t="s">
        <v>6636</v>
      </c>
      <c r="D5152" s="233">
        <v>126.69</v>
      </c>
    </row>
    <row r="5153" spans="1:4">
      <c r="A5153">
        <v>9899</v>
      </c>
      <c r="B5153" t="s">
        <v>11383</v>
      </c>
      <c r="C5153" t="s">
        <v>6636</v>
      </c>
      <c r="D5153" s="233">
        <v>8.16</v>
      </c>
    </row>
    <row r="5154" spans="1:4">
      <c r="A5154">
        <v>9902</v>
      </c>
      <c r="B5154" t="s">
        <v>11384</v>
      </c>
      <c r="C5154" t="s">
        <v>6636</v>
      </c>
      <c r="D5154" s="233">
        <v>160.43</v>
      </c>
    </row>
    <row r="5155" spans="1:4">
      <c r="A5155">
        <v>9908</v>
      </c>
      <c r="B5155" t="s">
        <v>11385</v>
      </c>
      <c r="C5155" t="s">
        <v>6636</v>
      </c>
      <c r="D5155" s="233">
        <v>319.88</v>
      </c>
    </row>
    <row r="5156" spans="1:4">
      <c r="A5156">
        <v>9905</v>
      </c>
      <c r="B5156" t="s">
        <v>11386</v>
      </c>
      <c r="C5156" t="s">
        <v>6636</v>
      </c>
      <c r="D5156" s="233">
        <v>5.34</v>
      </c>
    </row>
    <row r="5157" spans="1:4">
      <c r="A5157">
        <v>9906</v>
      </c>
      <c r="B5157" t="s">
        <v>11387</v>
      </c>
      <c r="C5157" t="s">
        <v>6636</v>
      </c>
      <c r="D5157" s="233">
        <v>6.4</v>
      </c>
    </row>
    <row r="5158" spans="1:4">
      <c r="A5158">
        <v>9895</v>
      </c>
      <c r="B5158" t="s">
        <v>11388</v>
      </c>
      <c r="C5158" t="s">
        <v>6636</v>
      </c>
      <c r="D5158" s="233">
        <v>10.5</v>
      </c>
    </row>
    <row r="5159" spans="1:4">
      <c r="A5159">
        <v>9894</v>
      </c>
      <c r="B5159" t="s">
        <v>11389</v>
      </c>
      <c r="C5159" t="s">
        <v>6636</v>
      </c>
      <c r="D5159" s="233">
        <v>20.47</v>
      </c>
    </row>
    <row r="5160" spans="1:4">
      <c r="A5160">
        <v>9897</v>
      </c>
      <c r="B5160" t="s">
        <v>11390</v>
      </c>
      <c r="C5160" t="s">
        <v>6636</v>
      </c>
      <c r="D5160" s="233">
        <v>22.16</v>
      </c>
    </row>
    <row r="5161" spans="1:4">
      <c r="A5161">
        <v>9910</v>
      </c>
      <c r="B5161" t="s">
        <v>11391</v>
      </c>
      <c r="C5161" t="s">
        <v>6636</v>
      </c>
      <c r="D5161" s="233">
        <v>55.78</v>
      </c>
    </row>
    <row r="5162" spans="1:4">
      <c r="A5162">
        <v>9909</v>
      </c>
      <c r="B5162" t="s">
        <v>11392</v>
      </c>
      <c r="C5162" t="s">
        <v>6636</v>
      </c>
      <c r="D5162" s="233">
        <v>112.57</v>
      </c>
    </row>
    <row r="5163" spans="1:4">
      <c r="A5163">
        <v>9907</v>
      </c>
      <c r="B5163" t="s">
        <v>11393</v>
      </c>
      <c r="C5163" t="s">
        <v>6636</v>
      </c>
      <c r="D5163" s="233">
        <v>173.08</v>
      </c>
    </row>
    <row r="5164" spans="1:4">
      <c r="A5164">
        <v>20973</v>
      </c>
      <c r="B5164" t="s">
        <v>927</v>
      </c>
      <c r="C5164" t="s">
        <v>6636</v>
      </c>
      <c r="D5164" s="233">
        <v>62.46</v>
      </c>
    </row>
    <row r="5165" spans="1:4">
      <c r="A5165">
        <v>20974</v>
      </c>
      <c r="B5165" t="s">
        <v>932</v>
      </c>
      <c r="C5165" t="s">
        <v>6636</v>
      </c>
      <c r="D5165" s="233">
        <v>89.37</v>
      </c>
    </row>
    <row r="5166" spans="1:4">
      <c r="A5166">
        <v>37989</v>
      </c>
      <c r="B5166" t="s">
        <v>11394</v>
      </c>
      <c r="C5166" t="s">
        <v>6636</v>
      </c>
      <c r="D5166" s="233">
        <v>13.73</v>
      </c>
    </row>
    <row r="5167" spans="1:4">
      <c r="A5167">
        <v>37990</v>
      </c>
      <c r="B5167" t="s">
        <v>11395</v>
      </c>
      <c r="C5167" t="s">
        <v>6636</v>
      </c>
      <c r="D5167" s="233">
        <v>15.95</v>
      </c>
    </row>
    <row r="5168" spans="1:4">
      <c r="A5168">
        <v>37991</v>
      </c>
      <c r="B5168" t="s">
        <v>11396</v>
      </c>
      <c r="C5168" t="s">
        <v>6636</v>
      </c>
      <c r="D5168" s="233">
        <v>25.24</v>
      </c>
    </row>
    <row r="5169" spans="1:4">
      <c r="A5169">
        <v>37992</v>
      </c>
      <c r="B5169" t="s">
        <v>11397</v>
      </c>
      <c r="C5169" t="s">
        <v>6636</v>
      </c>
      <c r="D5169" s="233">
        <v>38.549999999999997</v>
      </c>
    </row>
    <row r="5170" spans="1:4">
      <c r="A5170">
        <v>37993</v>
      </c>
      <c r="B5170" t="s">
        <v>11398</v>
      </c>
      <c r="C5170" t="s">
        <v>6636</v>
      </c>
      <c r="D5170" s="233">
        <v>57.21</v>
      </c>
    </row>
    <row r="5171" spans="1:4">
      <c r="A5171">
        <v>37994</v>
      </c>
      <c r="B5171" t="s">
        <v>11399</v>
      </c>
      <c r="C5171" t="s">
        <v>6636</v>
      </c>
      <c r="D5171" s="233">
        <v>137.47999999999999</v>
      </c>
    </row>
    <row r="5172" spans="1:4">
      <c r="A5172">
        <v>37995</v>
      </c>
      <c r="B5172" t="s">
        <v>11400</v>
      </c>
      <c r="C5172" t="s">
        <v>6636</v>
      </c>
      <c r="D5172" s="233">
        <v>199.54</v>
      </c>
    </row>
    <row r="5173" spans="1:4">
      <c r="A5173">
        <v>37996</v>
      </c>
      <c r="B5173" t="s">
        <v>11401</v>
      </c>
      <c r="C5173" t="s">
        <v>6636</v>
      </c>
      <c r="D5173" s="233">
        <v>294.20999999999998</v>
      </c>
    </row>
    <row r="5174" spans="1:4">
      <c r="A5174">
        <v>13883</v>
      </c>
      <c r="B5174" t="s">
        <v>11402</v>
      </c>
      <c r="C5174" t="s">
        <v>6636</v>
      </c>
      <c r="D5174" s="234">
        <v>79853.279999999999</v>
      </c>
    </row>
    <row r="5175" spans="1:4">
      <c r="A5175">
        <v>38604</v>
      </c>
      <c r="B5175" t="s">
        <v>11403</v>
      </c>
      <c r="C5175" t="s">
        <v>6636</v>
      </c>
      <c r="D5175" s="234">
        <v>99456.21</v>
      </c>
    </row>
    <row r="5176" spans="1:4">
      <c r="A5176">
        <v>10601</v>
      </c>
      <c r="B5176" t="s">
        <v>11404</v>
      </c>
      <c r="C5176" t="s">
        <v>6636</v>
      </c>
      <c r="D5176" s="234">
        <v>1934621.64</v>
      </c>
    </row>
    <row r="5177" spans="1:4">
      <c r="A5177">
        <v>26034</v>
      </c>
      <c r="B5177" t="s">
        <v>11405</v>
      </c>
      <c r="C5177" t="s">
        <v>6636</v>
      </c>
      <c r="D5177" s="234">
        <v>5093790.5</v>
      </c>
    </row>
    <row r="5178" spans="1:4">
      <c r="A5178">
        <v>13894</v>
      </c>
      <c r="B5178" t="s">
        <v>11406</v>
      </c>
      <c r="C5178" t="s">
        <v>6636</v>
      </c>
      <c r="D5178" s="234">
        <v>392649.25</v>
      </c>
    </row>
    <row r="5179" spans="1:4">
      <c r="A5179">
        <v>13895</v>
      </c>
      <c r="B5179" t="s">
        <v>11407</v>
      </c>
      <c r="C5179" t="s">
        <v>6636</v>
      </c>
      <c r="D5179" s="234">
        <v>527982.35</v>
      </c>
    </row>
    <row r="5180" spans="1:4">
      <c r="A5180">
        <v>13892</v>
      </c>
      <c r="B5180" t="s">
        <v>11408</v>
      </c>
      <c r="C5180" t="s">
        <v>6636</v>
      </c>
      <c r="D5180" s="234">
        <v>647029.46</v>
      </c>
    </row>
    <row r="5181" spans="1:4">
      <c r="A5181">
        <v>9914</v>
      </c>
      <c r="B5181" t="s">
        <v>11409</v>
      </c>
      <c r="C5181" t="s">
        <v>6636</v>
      </c>
      <c r="D5181" s="234">
        <v>700000</v>
      </c>
    </row>
    <row r="5182" spans="1:4">
      <c r="A5182">
        <v>36485</v>
      </c>
      <c r="B5182" t="s">
        <v>11410</v>
      </c>
      <c r="C5182" t="s">
        <v>6636</v>
      </c>
      <c r="D5182" s="234">
        <v>424438.89</v>
      </c>
    </row>
    <row r="5183" spans="1:4">
      <c r="A5183">
        <v>9912</v>
      </c>
      <c r="B5183" t="s">
        <v>11411</v>
      </c>
      <c r="C5183" t="s">
        <v>6636</v>
      </c>
      <c r="D5183" s="234">
        <v>1575000</v>
      </c>
    </row>
    <row r="5184" spans="1:4">
      <c r="A5184">
        <v>9921</v>
      </c>
      <c r="B5184" t="s">
        <v>11412</v>
      </c>
      <c r="C5184" t="s">
        <v>6636</v>
      </c>
      <c r="D5184" s="234">
        <v>812459.49</v>
      </c>
    </row>
    <row r="5185" spans="1:4">
      <c r="A5185">
        <v>21112</v>
      </c>
      <c r="B5185" t="s">
        <v>11413</v>
      </c>
      <c r="C5185" t="s">
        <v>6636</v>
      </c>
      <c r="D5185" s="233">
        <v>146.66999999999999</v>
      </c>
    </row>
    <row r="5186" spans="1:4">
      <c r="A5186">
        <v>10228</v>
      </c>
      <c r="B5186" t="s">
        <v>11414</v>
      </c>
      <c r="C5186" t="s">
        <v>6636</v>
      </c>
      <c r="D5186" s="233">
        <v>170.39</v>
      </c>
    </row>
    <row r="5187" spans="1:4">
      <c r="A5187">
        <v>11781</v>
      </c>
      <c r="B5187" t="s">
        <v>11415</v>
      </c>
      <c r="C5187" t="s">
        <v>6636</v>
      </c>
      <c r="D5187" s="233">
        <v>138.03</v>
      </c>
    </row>
    <row r="5188" spans="1:4">
      <c r="A5188">
        <v>11746</v>
      </c>
      <c r="B5188" t="s">
        <v>11416</v>
      </c>
      <c r="C5188" t="s">
        <v>6636</v>
      </c>
      <c r="D5188" s="233">
        <v>53.51</v>
      </c>
    </row>
    <row r="5189" spans="1:4">
      <c r="A5189">
        <v>11751</v>
      </c>
      <c r="B5189" t="s">
        <v>11417</v>
      </c>
      <c r="C5189" t="s">
        <v>6636</v>
      </c>
      <c r="D5189" s="233">
        <v>96.11</v>
      </c>
    </row>
    <row r="5190" spans="1:4">
      <c r="A5190">
        <v>11750</v>
      </c>
      <c r="B5190" t="s">
        <v>11418</v>
      </c>
      <c r="C5190" t="s">
        <v>6636</v>
      </c>
      <c r="D5190" s="233">
        <v>79.760000000000005</v>
      </c>
    </row>
    <row r="5191" spans="1:4">
      <c r="A5191">
        <v>11748</v>
      </c>
      <c r="B5191" t="s">
        <v>11419</v>
      </c>
      <c r="C5191" t="s">
        <v>6636</v>
      </c>
      <c r="D5191" s="233">
        <v>34.340000000000003</v>
      </c>
    </row>
    <row r="5192" spans="1:4">
      <c r="A5192">
        <v>11747</v>
      </c>
      <c r="B5192" t="s">
        <v>11420</v>
      </c>
      <c r="C5192" t="s">
        <v>6636</v>
      </c>
      <c r="D5192" s="233">
        <v>148.19999999999999</v>
      </c>
    </row>
    <row r="5193" spans="1:4">
      <c r="A5193">
        <v>11749</v>
      </c>
      <c r="B5193" t="s">
        <v>964</v>
      </c>
      <c r="C5193" t="s">
        <v>6636</v>
      </c>
      <c r="D5193" s="233">
        <v>39.64</v>
      </c>
    </row>
    <row r="5194" spans="1:4">
      <c r="A5194">
        <v>10236</v>
      </c>
      <c r="B5194" t="s">
        <v>11421</v>
      </c>
      <c r="C5194" t="s">
        <v>6636</v>
      </c>
      <c r="D5194" s="233">
        <v>62.04</v>
      </c>
    </row>
    <row r="5195" spans="1:4">
      <c r="A5195">
        <v>10233</v>
      </c>
      <c r="B5195" t="s">
        <v>11422</v>
      </c>
      <c r="C5195" t="s">
        <v>6636</v>
      </c>
      <c r="D5195" s="233">
        <v>58.13</v>
      </c>
    </row>
    <row r="5196" spans="1:4">
      <c r="A5196">
        <v>10234</v>
      </c>
      <c r="B5196" t="s">
        <v>11423</v>
      </c>
      <c r="C5196" t="s">
        <v>6636</v>
      </c>
      <c r="D5196" s="233">
        <v>36.619999999999997</v>
      </c>
    </row>
    <row r="5197" spans="1:4">
      <c r="A5197">
        <v>10231</v>
      </c>
      <c r="B5197" t="s">
        <v>11424</v>
      </c>
      <c r="C5197" t="s">
        <v>6636</v>
      </c>
      <c r="D5197" s="233">
        <v>167.93</v>
      </c>
    </row>
    <row r="5198" spans="1:4">
      <c r="A5198">
        <v>10232</v>
      </c>
      <c r="B5198" t="s">
        <v>11425</v>
      </c>
      <c r="C5198" t="s">
        <v>6636</v>
      </c>
      <c r="D5198" s="233">
        <v>93.97</v>
      </c>
    </row>
    <row r="5199" spans="1:4">
      <c r="A5199">
        <v>10229</v>
      </c>
      <c r="B5199" t="s">
        <v>11426</v>
      </c>
      <c r="C5199" t="s">
        <v>6636</v>
      </c>
      <c r="D5199" s="233">
        <v>33.119999999999997</v>
      </c>
    </row>
    <row r="5200" spans="1:4">
      <c r="A5200">
        <v>10235</v>
      </c>
      <c r="B5200" t="s">
        <v>11427</v>
      </c>
      <c r="C5200" t="s">
        <v>6636</v>
      </c>
      <c r="D5200" s="233">
        <v>230.22</v>
      </c>
    </row>
    <row r="5201" spans="1:4">
      <c r="A5201">
        <v>10230</v>
      </c>
      <c r="B5201" t="s">
        <v>11428</v>
      </c>
      <c r="C5201" t="s">
        <v>6636</v>
      </c>
      <c r="D5201" s="233">
        <v>405.17</v>
      </c>
    </row>
    <row r="5202" spans="1:4">
      <c r="A5202">
        <v>10409</v>
      </c>
      <c r="B5202" t="s">
        <v>11429</v>
      </c>
      <c r="C5202" t="s">
        <v>6636</v>
      </c>
      <c r="D5202" s="233">
        <v>120.37</v>
      </c>
    </row>
    <row r="5203" spans="1:4">
      <c r="A5203">
        <v>10411</v>
      </c>
      <c r="B5203" t="s">
        <v>11430</v>
      </c>
      <c r="C5203" t="s">
        <v>6636</v>
      </c>
      <c r="D5203" s="233">
        <v>107.71</v>
      </c>
    </row>
    <row r="5204" spans="1:4">
      <c r="A5204">
        <v>10404</v>
      </c>
      <c r="B5204" t="s">
        <v>11431</v>
      </c>
      <c r="C5204" t="s">
        <v>6636</v>
      </c>
      <c r="D5204" s="233">
        <v>43.68</v>
      </c>
    </row>
    <row r="5205" spans="1:4">
      <c r="A5205">
        <v>10410</v>
      </c>
      <c r="B5205" t="s">
        <v>11432</v>
      </c>
      <c r="C5205" t="s">
        <v>6636</v>
      </c>
      <c r="D5205" s="233">
        <v>71.95</v>
      </c>
    </row>
    <row r="5206" spans="1:4">
      <c r="A5206">
        <v>10405</v>
      </c>
      <c r="B5206" t="s">
        <v>11433</v>
      </c>
      <c r="C5206" t="s">
        <v>6636</v>
      </c>
      <c r="D5206" s="233">
        <v>241.16</v>
      </c>
    </row>
    <row r="5207" spans="1:4">
      <c r="A5207">
        <v>10408</v>
      </c>
      <c r="B5207" t="s">
        <v>11434</v>
      </c>
      <c r="C5207" t="s">
        <v>6636</v>
      </c>
      <c r="D5207" s="233">
        <v>168.64</v>
      </c>
    </row>
    <row r="5208" spans="1:4">
      <c r="A5208">
        <v>10412</v>
      </c>
      <c r="B5208" t="s">
        <v>11435</v>
      </c>
      <c r="C5208" t="s">
        <v>6636</v>
      </c>
      <c r="D5208" s="233">
        <v>52.93</v>
      </c>
    </row>
    <row r="5209" spans="1:4">
      <c r="A5209">
        <v>10406</v>
      </c>
      <c r="B5209" t="s">
        <v>11436</v>
      </c>
      <c r="C5209" t="s">
        <v>6636</v>
      </c>
      <c r="D5209" s="233">
        <v>333.1</v>
      </c>
    </row>
    <row r="5210" spans="1:4">
      <c r="A5210">
        <v>10407</v>
      </c>
      <c r="B5210" t="s">
        <v>11437</v>
      </c>
      <c r="C5210" t="s">
        <v>6636</v>
      </c>
      <c r="D5210" s="233">
        <v>516.63</v>
      </c>
    </row>
    <row r="5211" spans="1:4">
      <c r="A5211">
        <v>10416</v>
      </c>
      <c r="B5211" t="s">
        <v>11438</v>
      </c>
      <c r="C5211" t="s">
        <v>6636</v>
      </c>
      <c r="D5211" s="233">
        <v>64.08</v>
      </c>
    </row>
    <row r="5212" spans="1:4">
      <c r="A5212">
        <v>10419</v>
      </c>
      <c r="B5212" t="s">
        <v>11439</v>
      </c>
      <c r="C5212" t="s">
        <v>6636</v>
      </c>
      <c r="D5212" s="233">
        <v>55.62</v>
      </c>
    </row>
    <row r="5213" spans="1:4">
      <c r="A5213">
        <v>21092</v>
      </c>
      <c r="B5213" t="s">
        <v>11440</v>
      </c>
      <c r="C5213" t="s">
        <v>6636</v>
      </c>
      <c r="D5213" s="233">
        <v>31.8</v>
      </c>
    </row>
    <row r="5214" spans="1:4">
      <c r="A5214">
        <v>10418</v>
      </c>
      <c r="B5214" t="s">
        <v>11441</v>
      </c>
      <c r="C5214" t="s">
        <v>6636</v>
      </c>
      <c r="D5214" s="233">
        <v>37.07</v>
      </c>
    </row>
    <row r="5215" spans="1:4">
      <c r="A5215">
        <v>12657</v>
      </c>
      <c r="B5215" t="s">
        <v>11442</v>
      </c>
      <c r="C5215" t="s">
        <v>6636</v>
      </c>
      <c r="D5215" s="233">
        <v>149.62</v>
      </c>
    </row>
    <row r="5216" spans="1:4">
      <c r="A5216">
        <v>10417</v>
      </c>
      <c r="B5216" t="s">
        <v>11443</v>
      </c>
      <c r="C5216" t="s">
        <v>6636</v>
      </c>
      <c r="D5216" s="233">
        <v>93.37</v>
      </c>
    </row>
    <row r="5217" spans="1:4">
      <c r="A5217">
        <v>10413</v>
      </c>
      <c r="B5217" t="s">
        <v>11444</v>
      </c>
      <c r="C5217" t="s">
        <v>6636</v>
      </c>
      <c r="D5217" s="233">
        <v>33.93</v>
      </c>
    </row>
    <row r="5218" spans="1:4">
      <c r="A5218">
        <v>10414</v>
      </c>
      <c r="B5218" t="s">
        <v>11445</v>
      </c>
      <c r="C5218" t="s">
        <v>6636</v>
      </c>
      <c r="D5218" s="233">
        <v>204.31</v>
      </c>
    </row>
    <row r="5219" spans="1:4">
      <c r="A5219">
        <v>10415</v>
      </c>
      <c r="B5219" t="s">
        <v>11446</v>
      </c>
      <c r="C5219" t="s">
        <v>6636</v>
      </c>
      <c r="D5219" s="233">
        <v>354.6</v>
      </c>
    </row>
    <row r="5220" spans="1:4">
      <c r="A5220">
        <v>38643</v>
      </c>
      <c r="B5220" t="s">
        <v>11447</v>
      </c>
      <c r="C5220" t="s">
        <v>6636</v>
      </c>
      <c r="D5220" s="233">
        <v>34.119999999999997</v>
      </c>
    </row>
    <row r="5221" spans="1:4">
      <c r="A5221">
        <v>6157</v>
      </c>
      <c r="B5221" t="s">
        <v>11448</v>
      </c>
      <c r="C5221" t="s">
        <v>6636</v>
      </c>
      <c r="D5221" s="233">
        <v>46.62</v>
      </c>
    </row>
    <row r="5222" spans="1:4">
      <c r="A5222">
        <v>37588</v>
      </c>
      <c r="B5222" t="s">
        <v>11449</v>
      </c>
      <c r="C5222" t="s">
        <v>6636</v>
      </c>
      <c r="D5222" s="233">
        <v>20.100000000000001</v>
      </c>
    </row>
    <row r="5223" spans="1:4">
      <c r="A5223">
        <v>6152</v>
      </c>
      <c r="B5223" t="s">
        <v>11450</v>
      </c>
      <c r="C5223" t="s">
        <v>6636</v>
      </c>
      <c r="D5223" s="233">
        <v>3.06</v>
      </c>
    </row>
    <row r="5224" spans="1:4">
      <c r="A5224">
        <v>6158</v>
      </c>
      <c r="B5224" t="s">
        <v>11451</v>
      </c>
      <c r="C5224" t="s">
        <v>6636</v>
      </c>
      <c r="D5224" s="233">
        <v>3.7</v>
      </c>
    </row>
    <row r="5225" spans="1:4">
      <c r="A5225">
        <v>6153</v>
      </c>
      <c r="B5225" t="s">
        <v>11452</v>
      </c>
      <c r="C5225" t="s">
        <v>6636</v>
      </c>
      <c r="D5225" s="233">
        <v>2.88</v>
      </c>
    </row>
    <row r="5226" spans="1:4">
      <c r="A5226">
        <v>6156</v>
      </c>
      <c r="B5226" t="s">
        <v>11453</v>
      </c>
      <c r="C5226" t="s">
        <v>6636</v>
      </c>
      <c r="D5226" s="233">
        <v>3.65</v>
      </c>
    </row>
    <row r="5227" spans="1:4">
      <c r="A5227">
        <v>6154</v>
      </c>
      <c r="B5227" t="s">
        <v>11454</v>
      </c>
      <c r="C5227" t="s">
        <v>6636</v>
      </c>
      <c r="D5227" s="233">
        <v>6.88</v>
      </c>
    </row>
    <row r="5228" spans="1:4">
      <c r="A5228">
        <v>6155</v>
      </c>
      <c r="B5228" t="s">
        <v>11455</v>
      </c>
      <c r="C5228" t="s">
        <v>6636</v>
      </c>
      <c r="D5228" s="233">
        <v>14.21</v>
      </c>
    </row>
    <row r="5229" spans="1:4">
      <c r="A5229">
        <v>3115</v>
      </c>
      <c r="B5229" t="s">
        <v>12724</v>
      </c>
      <c r="C5229" t="s">
        <v>6636</v>
      </c>
      <c r="D5229" s="233">
        <v>17.21</v>
      </c>
    </row>
    <row r="5230" spans="1:4">
      <c r="A5230">
        <v>3116</v>
      </c>
      <c r="B5230" t="s">
        <v>12725</v>
      </c>
      <c r="C5230" t="s">
        <v>6636</v>
      </c>
      <c r="D5230" s="233">
        <v>17.739999999999998</v>
      </c>
    </row>
    <row r="5231" spans="1:4">
      <c r="A5231">
        <v>38166</v>
      </c>
      <c r="B5231" t="s">
        <v>12726</v>
      </c>
      <c r="C5231" t="s">
        <v>6636</v>
      </c>
      <c r="D5231" s="233">
        <v>36.299999999999997</v>
      </c>
    </row>
    <row r="5232" spans="1:4">
      <c r="A5232">
        <v>38108</v>
      </c>
      <c r="B5232" t="s">
        <v>11456</v>
      </c>
      <c r="C5232" t="s">
        <v>6636</v>
      </c>
      <c r="D5232" s="233">
        <v>31.24</v>
      </c>
    </row>
    <row r="5233" spans="1:4">
      <c r="A5233">
        <v>38087</v>
      </c>
      <c r="B5233" t="s">
        <v>11457</v>
      </c>
      <c r="C5233" t="s">
        <v>6636</v>
      </c>
      <c r="D5233" s="233">
        <v>40.19</v>
      </c>
    </row>
    <row r="5234" spans="1:4">
      <c r="A5234">
        <v>38109</v>
      </c>
      <c r="B5234" t="s">
        <v>11458</v>
      </c>
      <c r="C5234" t="s">
        <v>6636</v>
      </c>
      <c r="D5234" s="233">
        <v>49.94</v>
      </c>
    </row>
    <row r="5235" spans="1:4">
      <c r="A5235">
        <v>38088</v>
      </c>
      <c r="B5235" t="s">
        <v>11459</v>
      </c>
      <c r="C5235" t="s">
        <v>6636</v>
      </c>
      <c r="D5235" s="233">
        <v>52.51</v>
      </c>
    </row>
    <row r="5236" spans="1:4">
      <c r="A5236">
        <v>38110</v>
      </c>
      <c r="B5236" t="s">
        <v>11460</v>
      </c>
      <c r="C5236" t="s">
        <v>6636</v>
      </c>
      <c r="D5236" s="233">
        <v>19.21</v>
      </c>
    </row>
    <row r="5237" spans="1:4">
      <c r="A5237">
        <v>38089</v>
      </c>
      <c r="B5237" t="s">
        <v>11461</v>
      </c>
      <c r="C5237" t="s">
        <v>6636</v>
      </c>
      <c r="D5237" s="233">
        <v>33.47</v>
      </c>
    </row>
    <row r="5238" spans="1:4">
      <c r="A5238">
        <v>38111</v>
      </c>
      <c r="B5238" t="s">
        <v>11462</v>
      </c>
      <c r="C5238" t="s">
        <v>6636</v>
      </c>
      <c r="D5238" s="233">
        <v>21.48</v>
      </c>
    </row>
    <row r="5239" spans="1:4">
      <c r="A5239">
        <v>38090</v>
      </c>
      <c r="B5239" t="s">
        <v>11463</v>
      </c>
      <c r="C5239" t="s">
        <v>6636</v>
      </c>
      <c r="D5239" s="233">
        <v>34.6</v>
      </c>
    </row>
    <row r="5240" spans="1:4">
      <c r="A5240">
        <v>11786</v>
      </c>
      <c r="B5240" t="s">
        <v>11464</v>
      </c>
      <c r="C5240" t="s">
        <v>6636</v>
      </c>
      <c r="D5240" s="233">
        <v>222.98</v>
      </c>
    </row>
    <row r="5241" spans="1:4">
      <c r="A5241">
        <v>13726</v>
      </c>
      <c r="B5241" t="s">
        <v>11465</v>
      </c>
      <c r="C5241" t="s">
        <v>6636</v>
      </c>
      <c r="D5241" s="234">
        <v>35400.400000000001</v>
      </c>
    </row>
    <row r="5242" spans="1:4">
      <c r="A5242">
        <v>38400</v>
      </c>
      <c r="B5242" t="s">
        <v>11466</v>
      </c>
      <c r="C5242" t="s">
        <v>6636</v>
      </c>
      <c r="D5242" s="233">
        <v>14.8</v>
      </c>
    </row>
    <row r="5243" spans="1:4">
      <c r="A5243">
        <v>12627</v>
      </c>
      <c r="B5243" t="s">
        <v>11467</v>
      </c>
      <c r="C5243" t="s">
        <v>6636</v>
      </c>
      <c r="D5243" s="233">
        <v>0.35</v>
      </c>
    </row>
    <row r="5244" spans="1:4">
      <c r="A5244">
        <v>6138</v>
      </c>
      <c r="B5244" t="s">
        <v>11468</v>
      </c>
      <c r="C5244" t="s">
        <v>6636</v>
      </c>
      <c r="D5244" s="233">
        <v>1.83</v>
      </c>
    </row>
    <row r="5245" spans="1:4">
      <c r="A5245">
        <v>39996</v>
      </c>
      <c r="B5245" t="s">
        <v>11469</v>
      </c>
      <c r="C5245" t="s">
        <v>6649</v>
      </c>
      <c r="D5245" s="233">
        <v>2.31</v>
      </c>
    </row>
    <row r="5246" spans="1:4">
      <c r="A5246">
        <v>10478</v>
      </c>
      <c r="B5246" t="s">
        <v>11470</v>
      </c>
      <c r="C5246" t="s">
        <v>6700</v>
      </c>
      <c r="D5246" s="233">
        <v>24.61</v>
      </c>
    </row>
    <row r="5247" spans="1:4">
      <c r="A5247">
        <v>40514</v>
      </c>
      <c r="B5247" t="s">
        <v>12727</v>
      </c>
      <c r="C5247" t="s">
        <v>6700</v>
      </c>
      <c r="D5247" s="233">
        <v>21.8</v>
      </c>
    </row>
    <row r="5248" spans="1:4">
      <c r="A5248">
        <v>10475</v>
      </c>
      <c r="B5248" t="s">
        <v>11471</v>
      </c>
      <c r="C5248" t="s">
        <v>6700</v>
      </c>
      <c r="D5248" s="233">
        <v>21.65</v>
      </c>
    </row>
    <row r="5249" spans="1:4">
      <c r="A5249">
        <v>10481</v>
      </c>
      <c r="B5249" t="s">
        <v>11472</v>
      </c>
      <c r="C5249" t="s">
        <v>6700</v>
      </c>
      <c r="D5249" s="233">
        <v>23.61</v>
      </c>
    </row>
    <row r="5250" spans="1:4">
      <c r="A5250">
        <v>4031</v>
      </c>
      <c r="B5250" t="s">
        <v>11473</v>
      </c>
      <c r="C5250" t="s">
        <v>6638</v>
      </c>
      <c r="D5250" s="233">
        <v>24.44</v>
      </c>
    </row>
    <row r="5251" spans="1:4">
      <c r="A5251">
        <v>4030</v>
      </c>
      <c r="B5251" t="s">
        <v>11474</v>
      </c>
      <c r="C5251" t="s">
        <v>6638</v>
      </c>
      <c r="D5251" s="233">
        <v>5.2</v>
      </c>
    </row>
    <row r="5252" spans="1:4">
      <c r="A5252">
        <v>39399</v>
      </c>
      <c r="B5252" t="s">
        <v>11475</v>
      </c>
      <c r="C5252" t="s">
        <v>6636</v>
      </c>
      <c r="D5252" s="233">
        <v>914.91</v>
      </c>
    </row>
    <row r="5253" spans="1:4">
      <c r="A5253">
        <v>39400</v>
      </c>
      <c r="B5253" t="s">
        <v>11476</v>
      </c>
      <c r="C5253" t="s">
        <v>6636</v>
      </c>
      <c r="D5253" s="233">
        <v>994.47</v>
      </c>
    </row>
    <row r="5254" spans="1:4">
      <c r="A5254">
        <v>39401</v>
      </c>
      <c r="B5254" t="s">
        <v>11477</v>
      </c>
      <c r="C5254" t="s">
        <v>6636</v>
      </c>
      <c r="D5254" s="234">
        <v>1115.56</v>
      </c>
    </row>
    <row r="5255" spans="1:4">
      <c r="A5255">
        <v>11652</v>
      </c>
      <c r="B5255" t="s">
        <v>11478</v>
      </c>
      <c r="C5255" t="s">
        <v>6636</v>
      </c>
      <c r="D5255" s="234">
        <v>2400</v>
      </c>
    </row>
    <row r="5256" spans="1:4">
      <c r="A5256">
        <v>13896</v>
      </c>
      <c r="B5256" t="s">
        <v>11479</v>
      </c>
      <c r="C5256" t="s">
        <v>6636</v>
      </c>
      <c r="D5256" s="234">
        <v>2153.0100000000002</v>
      </c>
    </row>
    <row r="5257" spans="1:4">
      <c r="A5257">
        <v>13475</v>
      </c>
      <c r="B5257" t="s">
        <v>11480</v>
      </c>
      <c r="C5257" t="s">
        <v>6636</v>
      </c>
      <c r="D5257" s="234">
        <v>2622.62</v>
      </c>
    </row>
    <row r="5258" spans="1:4">
      <c r="A5258">
        <v>25971</v>
      </c>
      <c r="B5258" t="s">
        <v>11481</v>
      </c>
      <c r="C5258" t="s">
        <v>6636</v>
      </c>
      <c r="D5258" s="234">
        <v>3153650.08</v>
      </c>
    </row>
    <row r="5259" spans="1:4">
      <c r="A5259">
        <v>25970</v>
      </c>
      <c r="B5259" t="s">
        <v>11482</v>
      </c>
      <c r="C5259" t="s">
        <v>6636</v>
      </c>
      <c r="D5259" s="234">
        <v>1327650.08</v>
      </c>
    </row>
    <row r="5260" spans="1:4">
      <c r="A5260">
        <v>13476</v>
      </c>
      <c r="B5260" t="s">
        <v>11483</v>
      </c>
      <c r="C5260" t="s">
        <v>6636</v>
      </c>
      <c r="D5260" s="234">
        <v>1337270.83</v>
      </c>
    </row>
    <row r="5261" spans="1:4">
      <c r="A5261">
        <v>10488</v>
      </c>
      <c r="B5261" t="s">
        <v>11484</v>
      </c>
      <c r="C5261" t="s">
        <v>6636</v>
      </c>
      <c r="D5261" s="234">
        <v>1620118</v>
      </c>
    </row>
    <row r="5262" spans="1:4">
      <c r="A5262">
        <v>13606</v>
      </c>
      <c r="B5262" t="s">
        <v>11485</v>
      </c>
      <c r="C5262" t="s">
        <v>6636</v>
      </c>
      <c r="D5262" s="234">
        <v>1435401.38</v>
      </c>
    </row>
    <row r="5263" spans="1:4">
      <c r="A5263">
        <v>10489</v>
      </c>
      <c r="B5263" t="s">
        <v>11486</v>
      </c>
      <c r="C5263" t="s">
        <v>6640</v>
      </c>
      <c r="D5263" s="233">
        <v>14.17</v>
      </c>
    </row>
    <row r="5264" spans="1:4">
      <c r="A5264">
        <v>41073</v>
      </c>
      <c r="B5264" t="s">
        <v>11487</v>
      </c>
      <c r="C5264" t="s">
        <v>6785</v>
      </c>
      <c r="D5264" s="234">
        <v>2516.7600000000002</v>
      </c>
    </row>
    <row r="5265" spans="1:4">
      <c r="A5265">
        <v>34391</v>
      </c>
      <c r="B5265" t="s">
        <v>11488</v>
      </c>
      <c r="C5265" t="s">
        <v>6638</v>
      </c>
      <c r="D5265" s="233">
        <v>497.8</v>
      </c>
    </row>
    <row r="5266" spans="1:4">
      <c r="A5266">
        <v>10496</v>
      </c>
      <c r="B5266" t="s">
        <v>11489</v>
      </c>
      <c r="C5266" t="s">
        <v>6638</v>
      </c>
      <c r="D5266" s="233">
        <v>433.33</v>
      </c>
    </row>
    <row r="5267" spans="1:4">
      <c r="A5267">
        <v>10497</v>
      </c>
      <c r="B5267" t="s">
        <v>11490</v>
      </c>
      <c r="C5267" t="s">
        <v>6638</v>
      </c>
      <c r="D5267" s="234">
        <v>1126.6600000000001</v>
      </c>
    </row>
    <row r="5268" spans="1:4">
      <c r="A5268">
        <v>10504</v>
      </c>
      <c r="B5268" t="s">
        <v>11491</v>
      </c>
      <c r="C5268" t="s">
        <v>6638</v>
      </c>
      <c r="D5268" s="234">
        <v>1317.33</v>
      </c>
    </row>
    <row r="5269" spans="1:4">
      <c r="A5269">
        <v>34390</v>
      </c>
      <c r="B5269" t="s">
        <v>11492</v>
      </c>
      <c r="C5269" t="s">
        <v>6638</v>
      </c>
      <c r="D5269" s="233">
        <v>388.26</v>
      </c>
    </row>
    <row r="5270" spans="1:4">
      <c r="A5270">
        <v>34389</v>
      </c>
      <c r="B5270" t="s">
        <v>11493</v>
      </c>
      <c r="C5270" t="s">
        <v>6638</v>
      </c>
      <c r="D5270" s="233">
        <v>121.33</v>
      </c>
    </row>
    <row r="5271" spans="1:4">
      <c r="A5271">
        <v>34388</v>
      </c>
      <c r="B5271" t="s">
        <v>11494</v>
      </c>
      <c r="C5271" t="s">
        <v>6638</v>
      </c>
      <c r="D5271" s="233">
        <v>172.44</v>
      </c>
    </row>
    <row r="5272" spans="1:4">
      <c r="A5272">
        <v>34387</v>
      </c>
      <c r="B5272" t="s">
        <v>11495</v>
      </c>
      <c r="C5272" t="s">
        <v>6638</v>
      </c>
      <c r="D5272" s="233">
        <v>279.93</v>
      </c>
    </row>
    <row r="5273" spans="1:4">
      <c r="A5273">
        <v>11188</v>
      </c>
      <c r="B5273" t="s">
        <v>11496</v>
      </c>
      <c r="C5273" t="s">
        <v>6638</v>
      </c>
      <c r="D5273" s="233">
        <v>138.66</v>
      </c>
    </row>
    <row r="5274" spans="1:4">
      <c r="A5274">
        <v>11189</v>
      </c>
      <c r="B5274" t="s">
        <v>11497</v>
      </c>
      <c r="C5274" t="s">
        <v>6638</v>
      </c>
      <c r="D5274" s="233">
        <v>208</v>
      </c>
    </row>
    <row r="5275" spans="1:4">
      <c r="A5275">
        <v>21107</v>
      </c>
      <c r="B5275" t="s">
        <v>11498</v>
      </c>
      <c r="C5275" t="s">
        <v>6638</v>
      </c>
      <c r="D5275" s="233">
        <v>149.68</v>
      </c>
    </row>
    <row r="5276" spans="1:4">
      <c r="A5276">
        <v>34386</v>
      </c>
      <c r="B5276" t="s">
        <v>11499</v>
      </c>
      <c r="C5276" t="s">
        <v>6638</v>
      </c>
      <c r="D5276" s="233">
        <v>259.99</v>
      </c>
    </row>
    <row r="5277" spans="1:4">
      <c r="A5277">
        <v>10490</v>
      </c>
      <c r="B5277" t="s">
        <v>11500</v>
      </c>
      <c r="C5277" t="s">
        <v>6638</v>
      </c>
      <c r="D5277" s="233">
        <v>78</v>
      </c>
    </row>
    <row r="5278" spans="1:4">
      <c r="A5278">
        <v>10492</v>
      </c>
      <c r="B5278" t="s">
        <v>11501</v>
      </c>
      <c r="C5278" t="s">
        <v>6638</v>
      </c>
      <c r="D5278" s="233">
        <v>103.99</v>
      </c>
    </row>
    <row r="5279" spans="1:4">
      <c r="A5279">
        <v>10493</v>
      </c>
      <c r="B5279" t="s">
        <v>11502</v>
      </c>
      <c r="C5279" t="s">
        <v>6638</v>
      </c>
      <c r="D5279" s="233">
        <v>121.33</v>
      </c>
    </row>
    <row r="5280" spans="1:4">
      <c r="A5280">
        <v>10491</v>
      </c>
      <c r="B5280" t="s">
        <v>11503</v>
      </c>
      <c r="C5280" t="s">
        <v>6638</v>
      </c>
      <c r="D5280" s="233">
        <v>147.33000000000001</v>
      </c>
    </row>
    <row r="5281" spans="1:4">
      <c r="A5281">
        <v>34385</v>
      </c>
      <c r="B5281" t="s">
        <v>11504</v>
      </c>
      <c r="C5281" t="s">
        <v>6638</v>
      </c>
      <c r="D5281" s="233">
        <v>214.93</v>
      </c>
    </row>
    <row r="5282" spans="1:4">
      <c r="A5282">
        <v>10499</v>
      </c>
      <c r="B5282" t="s">
        <v>11505</v>
      </c>
      <c r="C5282" t="s">
        <v>6638</v>
      </c>
      <c r="D5282" s="233">
        <v>86.66</v>
      </c>
    </row>
    <row r="5283" spans="1:4">
      <c r="A5283">
        <v>34384</v>
      </c>
      <c r="B5283" t="s">
        <v>11506</v>
      </c>
      <c r="C5283" t="s">
        <v>6638</v>
      </c>
      <c r="D5283" s="233">
        <v>259.99</v>
      </c>
    </row>
    <row r="5284" spans="1:4">
      <c r="A5284">
        <v>11185</v>
      </c>
      <c r="B5284" t="s">
        <v>11507</v>
      </c>
      <c r="C5284" t="s">
        <v>6638</v>
      </c>
      <c r="D5284" s="233">
        <v>268.66000000000003</v>
      </c>
    </row>
    <row r="5285" spans="1:4">
      <c r="A5285">
        <v>10507</v>
      </c>
      <c r="B5285" t="s">
        <v>11508</v>
      </c>
      <c r="C5285" t="s">
        <v>6638</v>
      </c>
      <c r="D5285" s="233">
        <v>274.02999999999997</v>
      </c>
    </row>
    <row r="5286" spans="1:4">
      <c r="A5286">
        <v>10505</v>
      </c>
      <c r="B5286" t="s">
        <v>11509</v>
      </c>
      <c r="C5286" t="s">
        <v>6638</v>
      </c>
      <c r="D5286" s="233">
        <v>161.69999999999999</v>
      </c>
    </row>
    <row r="5287" spans="1:4">
      <c r="A5287">
        <v>10506</v>
      </c>
      <c r="B5287" t="s">
        <v>11510</v>
      </c>
      <c r="C5287" t="s">
        <v>6638</v>
      </c>
      <c r="D5287" s="233">
        <v>211.08</v>
      </c>
    </row>
    <row r="5288" spans="1:4">
      <c r="A5288">
        <v>5031</v>
      </c>
      <c r="B5288" t="s">
        <v>11511</v>
      </c>
      <c r="C5288" t="s">
        <v>6638</v>
      </c>
      <c r="D5288" s="233">
        <v>296.39999999999998</v>
      </c>
    </row>
    <row r="5289" spans="1:4">
      <c r="A5289">
        <v>10502</v>
      </c>
      <c r="B5289" t="s">
        <v>11512</v>
      </c>
      <c r="C5289" t="s">
        <v>6638</v>
      </c>
      <c r="D5289" s="233">
        <v>345.37</v>
      </c>
    </row>
    <row r="5290" spans="1:4">
      <c r="A5290">
        <v>10501</v>
      </c>
      <c r="B5290" t="s">
        <v>11513</v>
      </c>
      <c r="C5290" t="s">
        <v>6638</v>
      </c>
      <c r="D5290" s="233">
        <v>195.12</v>
      </c>
    </row>
    <row r="5291" spans="1:4">
      <c r="A5291">
        <v>10503</v>
      </c>
      <c r="B5291" t="s">
        <v>11514</v>
      </c>
      <c r="C5291" t="s">
        <v>6638</v>
      </c>
      <c r="D5291" s="233">
        <v>263.61</v>
      </c>
    </row>
    <row r="5292" spans="1:4">
      <c r="A5292">
        <v>40270</v>
      </c>
      <c r="B5292" t="s">
        <v>11515</v>
      </c>
      <c r="C5292" t="s">
        <v>6649</v>
      </c>
      <c r="D5292" s="233">
        <v>45</v>
      </c>
    </row>
    <row r="5293" spans="1:4">
      <c r="A5293">
        <v>20213</v>
      </c>
      <c r="B5293" t="s">
        <v>11516</v>
      </c>
      <c r="C5293" t="s">
        <v>6649</v>
      </c>
      <c r="D5293" s="233">
        <v>12.1</v>
      </c>
    </row>
    <row r="5294" spans="1:4">
      <c r="A5294">
        <v>20211</v>
      </c>
      <c r="B5294" t="s">
        <v>11517</v>
      </c>
      <c r="C5294" t="s">
        <v>6649</v>
      </c>
      <c r="D5294" s="233">
        <v>17.88</v>
      </c>
    </row>
    <row r="5295" spans="1:4">
      <c r="A5295">
        <v>4472</v>
      </c>
      <c r="B5295" t="s">
        <v>11518</v>
      </c>
      <c r="C5295" t="s">
        <v>6649</v>
      </c>
      <c r="D5295" s="233">
        <v>15.63</v>
      </c>
    </row>
    <row r="5296" spans="1:4">
      <c r="A5296">
        <v>35272</v>
      </c>
      <c r="B5296" t="s">
        <v>11519</v>
      </c>
      <c r="C5296" t="s">
        <v>6649</v>
      </c>
      <c r="D5296" s="233">
        <v>20.53</v>
      </c>
    </row>
    <row r="5297" spans="1:4">
      <c r="A5297">
        <v>4448</v>
      </c>
      <c r="B5297" t="s">
        <v>11520</v>
      </c>
      <c r="C5297" t="s">
        <v>6649</v>
      </c>
      <c r="D5297" s="233">
        <v>32.31</v>
      </c>
    </row>
    <row r="5298" spans="1:4">
      <c r="A5298">
        <v>4425</v>
      </c>
      <c r="B5298" t="s">
        <v>768</v>
      </c>
      <c r="C5298" t="s">
        <v>6649</v>
      </c>
      <c r="D5298" s="233">
        <v>11.48</v>
      </c>
    </row>
    <row r="5299" spans="1:4">
      <c r="A5299">
        <v>4481</v>
      </c>
      <c r="B5299" t="s">
        <v>11521</v>
      </c>
      <c r="C5299" t="s">
        <v>6649</v>
      </c>
      <c r="D5299" s="233">
        <v>21.16</v>
      </c>
    </row>
    <row r="5300" spans="1:4">
      <c r="A5300">
        <v>34345</v>
      </c>
      <c r="B5300" t="s">
        <v>975</v>
      </c>
      <c r="C5300" t="s">
        <v>6640</v>
      </c>
      <c r="D5300" s="233">
        <v>11.46</v>
      </c>
    </row>
    <row r="5301" spans="1:4">
      <c r="A5301">
        <v>41096</v>
      </c>
      <c r="B5301" t="s">
        <v>11522</v>
      </c>
      <c r="C5301" t="s">
        <v>6785</v>
      </c>
      <c r="D5301" s="234">
        <v>2036.95</v>
      </c>
    </row>
    <row r="5302" spans="1:4">
      <c r="A5302">
        <v>41776</v>
      </c>
      <c r="B5302" t="s">
        <v>11523</v>
      </c>
      <c r="C5302" t="s">
        <v>6640</v>
      </c>
      <c r="D5302" s="233">
        <v>15.73</v>
      </c>
    </row>
    <row r="5303" spans="1:4">
      <c r="A5303">
        <v>4487</v>
      </c>
      <c r="B5303" t="s">
        <v>12728</v>
      </c>
      <c r="C5303" t="s">
        <v>6649</v>
      </c>
      <c r="D5303" s="233">
        <v>10.26</v>
      </c>
    </row>
    <row r="5304" spans="1:4">
      <c r="A5304">
        <v>11157</v>
      </c>
      <c r="B5304" t="s">
        <v>11524</v>
      </c>
      <c r="C5304" t="s">
        <v>8776</v>
      </c>
      <c r="D5304" s="233">
        <v>134.86000000000001</v>
      </c>
    </row>
    <row r="5305" spans="1:4">
      <c r="A5305" t="s">
        <v>12383</v>
      </c>
    </row>
    <row r="5306" spans="1:4">
      <c r="A5306" t="s">
        <v>12729</v>
      </c>
    </row>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sheetPr>
    <tabColor rgb="FF002060"/>
  </sheetPr>
  <dimension ref="A1:T59"/>
  <sheetViews>
    <sheetView workbookViewId="0">
      <selection activeCell="A16" sqref="A16:H16"/>
    </sheetView>
  </sheetViews>
  <sheetFormatPr defaultColWidth="9.140625" defaultRowHeight="15"/>
  <cols>
    <col min="1" max="7" width="9.140625" style="18"/>
    <col min="8" max="8" width="31.5703125" style="18" customWidth="1"/>
    <col min="9" max="9" width="9.5703125" style="18" bestFit="1" customWidth="1"/>
    <col min="10" max="10" width="9.140625" style="18"/>
    <col min="11" max="11" width="14.42578125" style="18" customWidth="1"/>
    <col min="12" max="18" width="9.140625" style="18"/>
    <col min="19" max="19" width="16.7109375" style="18" bestFit="1" customWidth="1"/>
    <col min="20" max="20" width="19.28515625" style="18" bestFit="1" customWidth="1"/>
    <col min="21" max="16384" width="9.140625" style="18"/>
  </cols>
  <sheetData>
    <row r="1" spans="1:20" ht="24" thickBot="1">
      <c r="A1" s="1468" t="s">
        <v>485</v>
      </c>
      <c r="B1" s="1469"/>
      <c r="C1" s="1469"/>
      <c r="D1" s="1469"/>
      <c r="E1" s="1469"/>
      <c r="F1" s="1469"/>
      <c r="G1" s="1469"/>
      <c r="H1" s="1469"/>
      <c r="I1" s="1469"/>
      <c r="J1" s="1470"/>
    </row>
    <row r="2" spans="1:20" ht="19.5" thickBot="1">
      <c r="A2" s="1399" t="s">
        <v>226</v>
      </c>
      <c r="B2" s="1400"/>
      <c r="C2" s="1400"/>
      <c r="D2" s="1400"/>
      <c r="E2" s="1400"/>
      <c r="F2" s="1400"/>
      <c r="G2" s="1400"/>
      <c r="H2" s="1400"/>
      <c r="I2" s="1401"/>
      <c r="M2" s="1443" t="s">
        <v>227</v>
      </c>
      <c r="N2" s="1444"/>
      <c r="O2" s="1444"/>
      <c r="P2" s="1444"/>
      <c r="Q2" s="1444"/>
      <c r="R2" s="1444"/>
      <c r="S2" s="1444"/>
      <c r="T2" s="1445"/>
    </row>
    <row r="3" spans="1:20" ht="18" thickBot="1">
      <c r="A3" s="1403" t="s">
        <v>172</v>
      </c>
      <c r="B3" s="1404"/>
      <c r="C3" s="1404"/>
      <c r="D3" s="1404"/>
      <c r="E3" s="1404"/>
      <c r="F3" s="1404"/>
      <c r="G3" s="1404"/>
      <c r="H3" s="1404"/>
      <c r="I3" s="1405"/>
      <c r="J3" s="39" t="s">
        <v>5</v>
      </c>
      <c r="K3" s="39" t="s">
        <v>446</v>
      </c>
      <c r="M3" s="1446" t="s">
        <v>486</v>
      </c>
      <c r="N3" s="1447"/>
      <c r="O3" s="1447"/>
      <c r="P3" s="1447"/>
      <c r="Q3" s="1447"/>
      <c r="R3" s="1447"/>
      <c r="S3" s="1447"/>
      <c r="T3" s="1447"/>
    </row>
    <row r="4" spans="1:20" ht="15.75">
      <c r="A4" s="1463" t="s">
        <v>487</v>
      </c>
      <c r="B4" s="1464"/>
      <c r="C4" s="1464"/>
      <c r="D4" s="1464"/>
      <c r="E4" s="1464"/>
      <c r="F4" s="1464"/>
      <c r="G4" s="1464"/>
      <c r="H4" s="1464"/>
      <c r="I4" s="21">
        <f>S6+S9+S12</f>
        <v>119.55600000000001</v>
      </c>
      <c r="J4" s="89" t="s">
        <v>60</v>
      </c>
      <c r="K4" s="99">
        <f>TRUNC(I4,2)</f>
        <v>119.55</v>
      </c>
      <c r="M4" s="1465" t="s">
        <v>488</v>
      </c>
      <c r="N4" s="1466"/>
      <c r="O4" s="1466"/>
      <c r="P4" s="1466"/>
      <c r="Q4" s="1466"/>
      <c r="R4" s="1466"/>
      <c r="S4" s="1466"/>
      <c r="T4" s="1467"/>
    </row>
    <row r="5" spans="1:20">
      <c r="A5" s="1473" t="s">
        <v>228</v>
      </c>
      <c r="B5" s="1474"/>
      <c r="C5" s="1474"/>
      <c r="D5" s="1474"/>
      <c r="E5" s="1474"/>
      <c r="F5" s="1474"/>
      <c r="G5" s="1474"/>
      <c r="H5" s="1474"/>
      <c r="I5" s="22">
        <f>(I29/0.15)*0.55</f>
        <v>41.506666666666668</v>
      </c>
      <c r="J5" s="90" t="s">
        <v>60</v>
      </c>
      <c r="K5" s="99">
        <f t="shared" ref="K5:K59" si="0">TRUNC(I5,2)</f>
        <v>41.5</v>
      </c>
      <c r="M5" s="26" t="s">
        <v>229</v>
      </c>
      <c r="N5" s="27" t="s">
        <v>230</v>
      </c>
      <c r="O5" s="27" t="s">
        <v>231</v>
      </c>
      <c r="P5" s="27" t="s">
        <v>232</v>
      </c>
      <c r="Q5" s="27" t="s">
        <v>473</v>
      </c>
      <c r="R5" s="27" t="s">
        <v>474</v>
      </c>
      <c r="S5" s="27" t="s">
        <v>233</v>
      </c>
      <c r="T5" s="27" t="s">
        <v>234</v>
      </c>
    </row>
    <row r="6" spans="1:20">
      <c r="A6" s="1463" t="s">
        <v>489</v>
      </c>
      <c r="B6" s="1464"/>
      <c r="C6" s="1464"/>
      <c r="D6" s="1464"/>
      <c r="E6" s="1464"/>
      <c r="F6" s="1464"/>
      <c r="G6" s="1464"/>
      <c r="H6" s="1464"/>
      <c r="I6" s="21">
        <f>(I4-I23)</f>
        <v>108.00600000000001</v>
      </c>
      <c r="J6" s="90" t="s">
        <v>60</v>
      </c>
      <c r="K6" s="99">
        <f t="shared" si="0"/>
        <v>108</v>
      </c>
      <c r="M6" s="91">
        <v>16</v>
      </c>
      <c r="N6" s="92">
        <v>1.35</v>
      </c>
      <c r="O6" s="92">
        <v>1.35</v>
      </c>
      <c r="P6" s="30">
        <f>N6*O6</f>
        <v>1.8225000000000002</v>
      </c>
      <c r="Q6" s="92">
        <v>0.45</v>
      </c>
      <c r="R6" s="92">
        <v>1.6</v>
      </c>
      <c r="S6" s="30">
        <f>P6*(Q6+R6)*M6</f>
        <v>59.778000000000013</v>
      </c>
      <c r="T6" s="30">
        <f>P6*M6</f>
        <v>29.160000000000004</v>
      </c>
    </row>
    <row r="7" spans="1:20" ht="15.75">
      <c r="A7" s="1463" t="s">
        <v>490</v>
      </c>
      <c r="B7" s="1464"/>
      <c r="C7" s="1464"/>
      <c r="D7" s="1464"/>
      <c r="E7" s="1464"/>
      <c r="F7" s="1464"/>
      <c r="G7" s="1464"/>
      <c r="H7" s="1464"/>
      <c r="I7" s="21">
        <f>(I5-I29)</f>
        <v>30.186666666666667</v>
      </c>
      <c r="J7" s="90" t="s">
        <v>60</v>
      </c>
      <c r="K7" s="99">
        <f t="shared" si="0"/>
        <v>30.18</v>
      </c>
      <c r="M7" s="1475" t="s">
        <v>491</v>
      </c>
      <c r="N7" s="1476"/>
      <c r="O7" s="1476"/>
      <c r="P7" s="1476"/>
      <c r="Q7" s="1476"/>
      <c r="R7" s="1476"/>
      <c r="S7" s="1476"/>
      <c r="T7" s="1477"/>
    </row>
    <row r="8" spans="1:20">
      <c r="A8" s="1463" t="s">
        <v>477</v>
      </c>
      <c r="B8" s="1464"/>
      <c r="C8" s="1464"/>
      <c r="D8" s="1464"/>
      <c r="E8" s="1464"/>
      <c r="F8" s="1464"/>
      <c r="G8" s="1464"/>
      <c r="H8" s="1464"/>
      <c r="I8" s="21">
        <f>I23*1.4</f>
        <v>16.170000000000002</v>
      </c>
      <c r="J8" s="90" t="s">
        <v>60</v>
      </c>
      <c r="K8" s="99">
        <f t="shared" si="0"/>
        <v>16.170000000000002</v>
      </c>
      <c r="M8" s="26" t="s">
        <v>229</v>
      </c>
      <c r="N8" s="27" t="s">
        <v>230</v>
      </c>
      <c r="O8" s="27" t="s">
        <v>231</v>
      </c>
      <c r="P8" s="27" t="s">
        <v>232</v>
      </c>
      <c r="Q8" s="27" t="s">
        <v>473</v>
      </c>
      <c r="R8" s="27" t="s">
        <v>474</v>
      </c>
      <c r="S8" s="27" t="s">
        <v>233</v>
      </c>
      <c r="T8" s="27" t="s">
        <v>234</v>
      </c>
    </row>
    <row r="9" spans="1:20">
      <c r="A9" s="1463" t="s">
        <v>492</v>
      </c>
      <c r="B9" s="1464"/>
      <c r="C9" s="1464"/>
      <c r="D9" s="1464"/>
      <c r="E9" s="1464"/>
      <c r="F9" s="1464"/>
      <c r="G9" s="1464"/>
      <c r="H9" s="1464"/>
      <c r="I9" s="21">
        <f>I29*1.4</f>
        <v>15.847999999999999</v>
      </c>
      <c r="J9" s="90" t="s">
        <v>60</v>
      </c>
      <c r="K9" s="99">
        <f t="shared" si="0"/>
        <v>15.84</v>
      </c>
      <c r="M9" s="91">
        <v>3</v>
      </c>
      <c r="N9" s="92">
        <v>1.35</v>
      </c>
      <c r="O9" s="92">
        <v>1.35</v>
      </c>
      <c r="P9" s="30">
        <f>N9*O9</f>
        <v>1.8225000000000002</v>
      </c>
      <c r="Q9" s="92">
        <v>0.45</v>
      </c>
      <c r="R9" s="92">
        <v>1.6</v>
      </c>
      <c r="S9" s="30">
        <f>P9*(Q9+R9)*M9</f>
        <v>11.208375000000002</v>
      </c>
      <c r="T9" s="30">
        <f>P9*M9</f>
        <v>5.4675000000000011</v>
      </c>
    </row>
    <row r="10" spans="1:20" ht="15.75">
      <c r="A10" s="1478" t="s">
        <v>479</v>
      </c>
      <c r="B10" s="1479"/>
      <c r="C10" s="1479"/>
      <c r="D10" s="1479"/>
      <c r="E10" s="1479"/>
      <c r="F10" s="1479"/>
      <c r="G10" s="1479"/>
      <c r="H10" s="1479"/>
      <c r="I10" s="22">
        <f>T6+T9+T12</f>
        <v>58.320000000000007</v>
      </c>
      <c r="J10" s="90" t="s">
        <v>117</v>
      </c>
      <c r="K10" s="99">
        <f t="shared" si="0"/>
        <v>58.32</v>
      </c>
      <c r="M10" s="1475" t="s">
        <v>493</v>
      </c>
      <c r="N10" s="1476"/>
      <c r="O10" s="1476"/>
      <c r="P10" s="1476"/>
      <c r="Q10" s="1476"/>
      <c r="R10" s="1476"/>
      <c r="S10" s="1476"/>
      <c r="T10" s="1477"/>
    </row>
    <row r="11" spans="1:20">
      <c r="A11" s="1480" t="s">
        <v>494</v>
      </c>
      <c r="B11" s="1481"/>
      <c r="C11" s="1481"/>
      <c r="D11" s="1481"/>
      <c r="E11" s="1481"/>
      <c r="F11" s="1481"/>
      <c r="G11" s="1481"/>
      <c r="H11" s="1481"/>
      <c r="I11" s="93">
        <f>I10</f>
        <v>58.320000000000007</v>
      </c>
      <c r="J11" s="94" t="s">
        <v>117</v>
      </c>
      <c r="K11" s="99">
        <f t="shared" si="0"/>
        <v>58.32</v>
      </c>
      <c r="M11" s="26" t="s">
        <v>229</v>
      </c>
      <c r="N11" s="27" t="s">
        <v>230</v>
      </c>
      <c r="O11" s="27" t="s">
        <v>231</v>
      </c>
      <c r="P11" s="27" t="s">
        <v>232</v>
      </c>
      <c r="Q11" s="27" t="s">
        <v>473</v>
      </c>
      <c r="R11" s="27" t="s">
        <v>474</v>
      </c>
      <c r="S11" s="27" t="s">
        <v>233</v>
      </c>
      <c r="T11" s="27" t="s">
        <v>234</v>
      </c>
    </row>
    <row r="12" spans="1:20">
      <c r="A12" s="1482" t="s">
        <v>495</v>
      </c>
      <c r="B12" s="1483"/>
      <c r="C12" s="1483"/>
      <c r="D12" s="1483"/>
      <c r="E12" s="1483"/>
      <c r="F12" s="1483"/>
      <c r="G12" s="1483"/>
      <c r="H12" s="1483"/>
      <c r="I12" s="95">
        <v>5.19</v>
      </c>
      <c r="J12" s="94" t="s">
        <v>60</v>
      </c>
      <c r="K12" s="99">
        <f t="shared" si="0"/>
        <v>5.19</v>
      </c>
      <c r="M12" s="91">
        <v>13</v>
      </c>
      <c r="N12" s="92">
        <v>1.35</v>
      </c>
      <c r="O12" s="92">
        <v>1.35</v>
      </c>
      <c r="P12" s="30">
        <f>N12*O12</f>
        <v>1.8225000000000002</v>
      </c>
      <c r="Q12" s="92">
        <v>0.45</v>
      </c>
      <c r="R12" s="92">
        <v>1.6</v>
      </c>
      <c r="S12" s="30">
        <f>P12*(Q12+R12)*M12</f>
        <v>48.569625000000009</v>
      </c>
      <c r="T12" s="30">
        <f>P12*M12</f>
        <v>23.692500000000003</v>
      </c>
    </row>
    <row r="13" spans="1:20">
      <c r="A13" s="1484" t="s">
        <v>235</v>
      </c>
      <c r="B13" s="1485"/>
      <c r="C13" s="1485"/>
      <c r="D13" s="1485"/>
      <c r="E13" s="1485"/>
      <c r="F13" s="1485"/>
      <c r="G13" s="1485"/>
      <c r="H13" s="1486"/>
      <c r="I13" s="31">
        <f>I15*0.05</f>
        <v>18.7605</v>
      </c>
      <c r="J13" s="94" t="s">
        <v>60</v>
      </c>
      <c r="K13" s="99">
        <f t="shared" si="0"/>
        <v>18.760000000000002</v>
      </c>
    </row>
    <row r="14" spans="1:20">
      <c r="A14" s="1471" t="s">
        <v>236</v>
      </c>
      <c r="B14" s="1472"/>
      <c r="C14" s="1472"/>
      <c r="D14" s="1472"/>
      <c r="E14" s="1472"/>
      <c r="F14" s="1472"/>
      <c r="G14" s="1472"/>
      <c r="H14" s="1472"/>
      <c r="I14" s="31">
        <f>I28</f>
        <v>164.36</v>
      </c>
      <c r="J14" s="94" t="s">
        <v>117</v>
      </c>
      <c r="K14" s="99">
        <f t="shared" si="0"/>
        <v>164.36</v>
      </c>
    </row>
    <row r="15" spans="1:20">
      <c r="A15" s="1474" t="s">
        <v>496</v>
      </c>
      <c r="B15" s="1474"/>
      <c r="C15" s="1474"/>
      <c r="D15" s="1474"/>
      <c r="E15" s="1474"/>
      <c r="F15" s="1474"/>
      <c r="G15" s="1474"/>
      <c r="H15" s="1474"/>
      <c r="I15" s="22">
        <f>I20</f>
        <v>375.21</v>
      </c>
      <c r="J15" s="90" t="s">
        <v>117</v>
      </c>
      <c r="K15" s="99">
        <f t="shared" si="0"/>
        <v>375.21</v>
      </c>
    </row>
    <row r="16" spans="1:20" ht="15.75" thickBot="1">
      <c r="A16" s="1487" t="s">
        <v>497</v>
      </c>
      <c r="B16" s="1488"/>
      <c r="C16" s="1488"/>
      <c r="D16" s="1488"/>
      <c r="E16" s="1488"/>
      <c r="F16" s="1488"/>
      <c r="G16" s="1488"/>
      <c r="H16" s="1489"/>
      <c r="I16" s="32">
        <f>3</f>
        <v>3</v>
      </c>
      <c r="J16" s="96" t="s">
        <v>238</v>
      </c>
      <c r="K16" s="99">
        <f t="shared" si="0"/>
        <v>3</v>
      </c>
    </row>
    <row r="17" spans="1:11" ht="18" thickBot="1">
      <c r="A17" s="1403" t="s">
        <v>67</v>
      </c>
      <c r="B17" s="1404"/>
      <c r="C17" s="1404"/>
      <c r="D17" s="1404"/>
      <c r="E17" s="1404"/>
      <c r="F17" s="1404"/>
      <c r="G17" s="1404"/>
      <c r="H17" s="1404"/>
      <c r="I17" s="1405"/>
      <c r="J17" s="39" t="s">
        <v>5</v>
      </c>
      <c r="K17" s="20"/>
    </row>
    <row r="18" spans="1:11">
      <c r="A18" s="1413" t="s">
        <v>239</v>
      </c>
      <c r="B18" s="1414"/>
      <c r="C18" s="1414"/>
      <c r="D18" s="1414"/>
      <c r="E18" s="1414"/>
      <c r="F18" s="1414"/>
      <c r="G18" s="1414"/>
      <c r="H18" s="1414"/>
      <c r="I18" s="22">
        <f>26.27</f>
        <v>26.27</v>
      </c>
      <c r="J18" s="97" t="s">
        <v>60</v>
      </c>
      <c r="K18" s="99">
        <f t="shared" si="0"/>
        <v>26.27</v>
      </c>
    </row>
    <row r="19" spans="1:11">
      <c r="A19" s="1413" t="s">
        <v>240</v>
      </c>
      <c r="B19" s="1414"/>
      <c r="C19" s="1414"/>
      <c r="D19" s="1414"/>
      <c r="E19" s="1414"/>
      <c r="F19" s="1414"/>
      <c r="G19" s="1414"/>
      <c r="H19" s="1414"/>
      <c r="I19" s="22">
        <f>I18</f>
        <v>26.27</v>
      </c>
      <c r="J19" s="25" t="s">
        <v>60</v>
      </c>
      <c r="K19" s="99">
        <f t="shared" si="0"/>
        <v>26.27</v>
      </c>
    </row>
    <row r="20" spans="1:11" ht="15.75" thickBot="1">
      <c r="A20" s="1478" t="s">
        <v>241</v>
      </c>
      <c r="B20" s="1479"/>
      <c r="C20" s="1479"/>
      <c r="D20" s="1479"/>
      <c r="E20" s="1479"/>
      <c r="F20" s="1479"/>
      <c r="G20" s="1479"/>
      <c r="H20" s="1479"/>
      <c r="I20" s="22">
        <f>375.21</f>
        <v>375.21</v>
      </c>
      <c r="J20" s="90" t="s">
        <v>117</v>
      </c>
      <c r="K20" s="99">
        <f t="shared" si="0"/>
        <v>375.21</v>
      </c>
    </row>
    <row r="21" spans="1:11" ht="18" thickBot="1">
      <c r="A21" s="1403" t="s">
        <v>174</v>
      </c>
      <c r="B21" s="1404"/>
      <c r="C21" s="1404"/>
      <c r="D21" s="1404"/>
      <c r="E21" s="1404"/>
      <c r="F21" s="1404"/>
      <c r="G21" s="1404"/>
      <c r="H21" s="1404"/>
      <c r="I21" s="1405"/>
      <c r="J21" s="39" t="s">
        <v>5</v>
      </c>
      <c r="K21" s="20"/>
    </row>
    <row r="22" spans="1:11">
      <c r="A22" s="1490" t="s">
        <v>243</v>
      </c>
      <c r="B22" s="1491"/>
      <c r="C22" s="1491"/>
      <c r="D22" s="1491"/>
      <c r="E22" s="1491"/>
      <c r="F22" s="1491"/>
      <c r="G22" s="1491"/>
      <c r="H22" s="1491"/>
      <c r="I22" s="21">
        <f>48.64</f>
        <v>48.64</v>
      </c>
      <c r="J22" s="89" t="s">
        <v>117</v>
      </c>
      <c r="K22" s="99">
        <f t="shared" si="0"/>
        <v>48.64</v>
      </c>
    </row>
    <row r="23" spans="1:11">
      <c r="A23" s="1480" t="s">
        <v>244</v>
      </c>
      <c r="B23" s="1481"/>
      <c r="C23" s="1481"/>
      <c r="D23" s="1481"/>
      <c r="E23" s="1481"/>
      <c r="F23" s="1481"/>
      <c r="G23" s="1481"/>
      <c r="H23" s="1481"/>
      <c r="I23" s="22">
        <f>11.55</f>
        <v>11.55</v>
      </c>
      <c r="J23" s="90" t="s">
        <v>60</v>
      </c>
      <c r="K23" s="99">
        <f t="shared" si="0"/>
        <v>11.55</v>
      </c>
    </row>
    <row r="24" spans="1:11">
      <c r="A24" s="1480" t="s">
        <v>240</v>
      </c>
      <c r="B24" s="1481"/>
      <c r="C24" s="1481"/>
      <c r="D24" s="1481"/>
      <c r="E24" s="1481"/>
      <c r="F24" s="1481"/>
      <c r="G24" s="1481"/>
      <c r="H24" s="1481"/>
      <c r="I24" s="22">
        <f>I23</f>
        <v>11.55</v>
      </c>
      <c r="J24" s="90" t="s">
        <v>60</v>
      </c>
      <c r="K24" s="99">
        <f t="shared" si="0"/>
        <v>11.55</v>
      </c>
    </row>
    <row r="25" spans="1:11">
      <c r="A25" s="1480" t="s">
        <v>246</v>
      </c>
      <c r="B25" s="1481"/>
      <c r="C25" s="1481"/>
      <c r="D25" s="1481"/>
      <c r="E25" s="1481"/>
      <c r="F25" s="1481"/>
      <c r="G25" s="1481"/>
      <c r="H25" s="1481"/>
      <c r="I25" s="22">
        <f>13.28</f>
        <v>13.28</v>
      </c>
      <c r="J25" s="90" t="s">
        <v>34</v>
      </c>
      <c r="K25" s="99">
        <f t="shared" si="0"/>
        <v>13.28</v>
      </c>
    </row>
    <row r="26" spans="1:11" ht="15.75" thickBot="1">
      <c r="A26" s="1480" t="s">
        <v>247</v>
      </c>
      <c r="B26" s="1481"/>
      <c r="C26" s="1481"/>
      <c r="D26" s="1481"/>
      <c r="E26" s="1481"/>
      <c r="F26" s="1481"/>
      <c r="G26" s="1481"/>
      <c r="H26" s="1481"/>
      <c r="I26" s="22">
        <f>665.92-88</f>
        <v>577.91999999999996</v>
      </c>
      <c r="J26" s="90" t="s">
        <v>34</v>
      </c>
      <c r="K26" s="99">
        <f t="shared" si="0"/>
        <v>577.91999999999996</v>
      </c>
    </row>
    <row r="27" spans="1:11" ht="18" thickBot="1">
      <c r="A27" s="1494" t="s">
        <v>173</v>
      </c>
      <c r="B27" s="1495"/>
      <c r="C27" s="1495"/>
      <c r="D27" s="1495"/>
      <c r="E27" s="1495"/>
      <c r="F27" s="1495"/>
      <c r="G27" s="1495"/>
      <c r="H27" s="1495"/>
      <c r="I27" s="1496"/>
      <c r="J27" s="39" t="s">
        <v>5</v>
      </c>
      <c r="K27" s="20"/>
    </row>
    <row r="28" spans="1:11">
      <c r="A28" s="1492" t="s">
        <v>245</v>
      </c>
      <c r="B28" s="1493"/>
      <c r="C28" s="1493"/>
      <c r="D28" s="1493"/>
      <c r="E28" s="1493"/>
      <c r="F28" s="1493"/>
      <c r="G28" s="1493"/>
      <c r="H28" s="1493"/>
      <c r="I28" s="21">
        <f>26+138.36</f>
        <v>164.36</v>
      </c>
      <c r="J28" s="89" t="s">
        <v>117</v>
      </c>
      <c r="K28" s="99">
        <f t="shared" si="0"/>
        <v>164.36</v>
      </c>
    </row>
    <row r="29" spans="1:11">
      <c r="A29" s="1478" t="s">
        <v>244</v>
      </c>
      <c r="B29" s="1479"/>
      <c r="C29" s="1479"/>
      <c r="D29" s="1479"/>
      <c r="E29" s="1479"/>
      <c r="F29" s="1479"/>
      <c r="G29" s="1479"/>
      <c r="H29" s="1479"/>
      <c r="I29" s="22">
        <f>11.32</f>
        <v>11.32</v>
      </c>
      <c r="J29" s="90" t="s">
        <v>60</v>
      </c>
      <c r="K29" s="99">
        <f t="shared" si="0"/>
        <v>11.32</v>
      </c>
    </row>
    <row r="30" spans="1:11">
      <c r="A30" s="1478" t="s">
        <v>240</v>
      </c>
      <c r="B30" s="1479"/>
      <c r="C30" s="1479"/>
      <c r="D30" s="1479"/>
      <c r="E30" s="1479"/>
      <c r="F30" s="1479"/>
      <c r="G30" s="1479"/>
      <c r="H30" s="1479"/>
      <c r="I30" s="22">
        <f>I29</f>
        <v>11.32</v>
      </c>
      <c r="J30" s="90" t="s">
        <v>60</v>
      </c>
      <c r="K30" s="99">
        <f t="shared" si="0"/>
        <v>11.32</v>
      </c>
    </row>
    <row r="31" spans="1:11">
      <c r="A31" s="1478" t="s">
        <v>246</v>
      </c>
      <c r="B31" s="1479"/>
      <c r="C31" s="1479"/>
      <c r="D31" s="1479"/>
      <c r="E31" s="1479"/>
      <c r="F31" s="1479"/>
      <c r="G31" s="1479"/>
      <c r="H31" s="1479"/>
      <c r="I31" s="22">
        <f>100.4+68.1</f>
        <v>168.5</v>
      </c>
      <c r="J31" s="90" t="s">
        <v>34</v>
      </c>
      <c r="K31" s="99">
        <f t="shared" si="0"/>
        <v>168.5</v>
      </c>
    </row>
    <row r="32" spans="1:11">
      <c r="A32" s="1478" t="s">
        <v>255</v>
      </c>
      <c r="B32" s="1479"/>
      <c r="C32" s="1479"/>
      <c r="D32" s="1479"/>
      <c r="E32" s="1479"/>
      <c r="F32" s="1479"/>
      <c r="G32" s="1479"/>
      <c r="H32" s="1479"/>
      <c r="I32" s="22">
        <f>2.4</f>
        <v>2.4</v>
      </c>
      <c r="J32" s="90" t="s">
        <v>34</v>
      </c>
      <c r="K32" s="99">
        <f t="shared" si="0"/>
        <v>2.4</v>
      </c>
    </row>
    <row r="33" spans="1:13">
      <c r="A33" s="1478" t="s">
        <v>251</v>
      </c>
      <c r="B33" s="1479"/>
      <c r="C33" s="1479"/>
      <c r="D33" s="1479"/>
      <c r="E33" s="1479"/>
      <c r="F33" s="1479"/>
      <c r="G33" s="1479"/>
      <c r="H33" s="1479"/>
      <c r="I33" s="35">
        <f>128.8</f>
        <v>128.80000000000001</v>
      </c>
      <c r="J33" s="90" t="s">
        <v>34</v>
      </c>
      <c r="K33" s="99">
        <f t="shared" si="0"/>
        <v>128.80000000000001</v>
      </c>
    </row>
    <row r="34" spans="1:13">
      <c r="A34" s="1478" t="s">
        <v>247</v>
      </c>
      <c r="B34" s="1479"/>
      <c r="C34" s="1479"/>
      <c r="D34" s="1479"/>
      <c r="E34" s="1479"/>
      <c r="F34" s="1479"/>
      <c r="G34" s="1479"/>
      <c r="H34" s="1479"/>
      <c r="I34" s="35">
        <f>101.2+129.6</f>
        <v>230.8</v>
      </c>
      <c r="J34" s="90" t="s">
        <v>34</v>
      </c>
      <c r="K34" s="99">
        <f t="shared" si="0"/>
        <v>230.8</v>
      </c>
    </row>
    <row r="35" spans="1:13" ht="15.75" thickBot="1">
      <c r="A35" s="1497" t="s">
        <v>248</v>
      </c>
      <c r="B35" s="1498"/>
      <c r="C35" s="1498"/>
      <c r="D35" s="1498"/>
      <c r="E35" s="1498"/>
      <c r="F35" s="1498"/>
      <c r="G35" s="1498"/>
      <c r="H35" s="1498"/>
      <c r="I35" s="36">
        <f>64.7</f>
        <v>64.7</v>
      </c>
      <c r="J35" s="96" t="s">
        <v>34</v>
      </c>
      <c r="K35" s="99">
        <f t="shared" si="0"/>
        <v>64.7</v>
      </c>
    </row>
    <row r="36" spans="1:13" ht="18" thickBot="1">
      <c r="A36" s="1429" t="s">
        <v>254</v>
      </c>
      <c r="B36" s="1430"/>
      <c r="C36" s="1430"/>
      <c r="D36" s="1430"/>
      <c r="E36" s="1430"/>
      <c r="F36" s="1430"/>
      <c r="G36" s="1430"/>
      <c r="H36" s="1430"/>
      <c r="I36" s="1431"/>
      <c r="K36" s="20"/>
    </row>
    <row r="37" spans="1:13" ht="18" thickBot="1">
      <c r="A37" s="1403" t="s">
        <v>65</v>
      </c>
      <c r="B37" s="1404"/>
      <c r="C37" s="1404"/>
      <c r="D37" s="1404"/>
      <c r="E37" s="1404"/>
      <c r="F37" s="1404"/>
      <c r="G37" s="1404"/>
      <c r="H37" s="1404"/>
      <c r="I37" s="1405"/>
      <c r="J37" s="39" t="s">
        <v>5</v>
      </c>
      <c r="K37" s="20"/>
    </row>
    <row r="38" spans="1:13">
      <c r="A38" s="1492" t="s">
        <v>245</v>
      </c>
      <c r="B38" s="1493"/>
      <c r="C38" s="1493"/>
      <c r="D38" s="1493"/>
      <c r="E38" s="1493"/>
      <c r="F38" s="1493"/>
      <c r="G38" s="1493"/>
      <c r="H38" s="1493"/>
      <c r="I38" s="21">
        <f>36.48+82.08</f>
        <v>118.56</v>
      </c>
      <c r="J38" s="89" t="s">
        <v>117</v>
      </c>
      <c r="K38" s="99">
        <f t="shared" si="0"/>
        <v>118.56</v>
      </c>
    </row>
    <row r="39" spans="1:13">
      <c r="A39" s="1478" t="s">
        <v>244</v>
      </c>
      <c r="B39" s="1479"/>
      <c r="C39" s="1479"/>
      <c r="D39" s="1479"/>
      <c r="E39" s="1479"/>
      <c r="F39" s="1479"/>
      <c r="G39" s="1479"/>
      <c r="H39" s="1479"/>
      <c r="I39" s="22">
        <f>1.92+4.48</f>
        <v>6.4</v>
      </c>
      <c r="J39" s="90" t="s">
        <v>60</v>
      </c>
      <c r="K39" s="99">
        <f t="shared" si="0"/>
        <v>6.4</v>
      </c>
    </row>
    <row r="40" spans="1:13">
      <c r="A40" s="1478" t="s">
        <v>240</v>
      </c>
      <c r="B40" s="1479"/>
      <c r="C40" s="1479"/>
      <c r="D40" s="1479"/>
      <c r="E40" s="1479"/>
      <c r="F40" s="1479"/>
      <c r="G40" s="1479"/>
      <c r="H40" s="1479"/>
      <c r="I40" s="22">
        <f>I39</f>
        <v>6.4</v>
      </c>
      <c r="J40" s="90" t="s">
        <v>60</v>
      </c>
      <c r="K40" s="99">
        <f t="shared" si="0"/>
        <v>6.4</v>
      </c>
    </row>
    <row r="41" spans="1:13">
      <c r="A41" s="1478" t="s">
        <v>246</v>
      </c>
      <c r="B41" s="1479"/>
      <c r="C41" s="1479"/>
      <c r="D41" s="1479"/>
      <c r="E41" s="1479"/>
      <c r="F41" s="1479"/>
      <c r="G41" s="1479"/>
      <c r="H41" s="1479"/>
      <c r="I41" s="22">
        <f>185.6</f>
        <v>185.6</v>
      </c>
      <c r="J41" s="90" t="s">
        <v>34</v>
      </c>
      <c r="K41" s="99">
        <f t="shared" si="0"/>
        <v>185.6</v>
      </c>
    </row>
    <row r="42" spans="1:13" ht="15.75" thickBot="1">
      <c r="A42" s="1478" t="s">
        <v>247</v>
      </c>
      <c r="B42" s="1479"/>
      <c r="C42" s="1479"/>
      <c r="D42" s="1479"/>
      <c r="E42" s="1479"/>
      <c r="F42" s="1479"/>
      <c r="G42" s="1479"/>
      <c r="H42" s="1479"/>
      <c r="I42" s="35">
        <f>546</f>
        <v>546</v>
      </c>
      <c r="J42" s="90" t="s">
        <v>34</v>
      </c>
      <c r="K42" s="99">
        <f t="shared" si="0"/>
        <v>546</v>
      </c>
    </row>
    <row r="43" spans="1:13" ht="18" thickBot="1">
      <c r="A43" s="1403" t="s">
        <v>66</v>
      </c>
      <c r="B43" s="1404"/>
      <c r="C43" s="1404"/>
      <c r="D43" s="1404"/>
      <c r="E43" s="1404"/>
      <c r="F43" s="1404"/>
      <c r="G43" s="1404"/>
      <c r="H43" s="1404"/>
      <c r="I43" s="1405"/>
      <c r="J43" s="39" t="s">
        <v>5</v>
      </c>
      <c r="K43" s="20"/>
    </row>
    <row r="44" spans="1:13">
      <c r="A44" s="1423" t="s">
        <v>245</v>
      </c>
      <c r="B44" s="1424"/>
      <c r="C44" s="1424"/>
      <c r="D44" s="1424"/>
      <c r="E44" s="1424"/>
      <c r="F44" s="1424"/>
      <c r="G44" s="1424"/>
      <c r="H44" s="1424"/>
      <c r="I44" s="21">
        <f>21.74+96.97</f>
        <v>118.71</v>
      </c>
      <c r="J44" s="24" t="s">
        <v>117</v>
      </c>
      <c r="K44" s="99">
        <f t="shared" si="0"/>
        <v>118.71</v>
      </c>
    </row>
    <row r="45" spans="1:13">
      <c r="A45" s="1413" t="s">
        <v>244</v>
      </c>
      <c r="B45" s="1414"/>
      <c r="C45" s="1414"/>
      <c r="D45" s="1414"/>
      <c r="E45" s="1414"/>
      <c r="F45" s="1414"/>
      <c r="G45" s="1414"/>
      <c r="H45" s="1414"/>
      <c r="I45" s="22">
        <f>9.49</f>
        <v>9.49</v>
      </c>
      <c r="J45" s="25" t="s">
        <v>60</v>
      </c>
      <c r="K45" s="99">
        <f t="shared" si="0"/>
        <v>9.49</v>
      </c>
    </row>
    <row r="46" spans="1:13">
      <c r="A46" s="1413" t="s">
        <v>240</v>
      </c>
      <c r="B46" s="1414"/>
      <c r="C46" s="1414"/>
      <c r="D46" s="1414"/>
      <c r="E46" s="1414"/>
      <c r="F46" s="1414"/>
      <c r="G46" s="1414"/>
      <c r="H46" s="1414"/>
      <c r="I46" s="22">
        <f>I45</f>
        <v>9.49</v>
      </c>
      <c r="J46" s="25" t="s">
        <v>60</v>
      </c>
      <c r="K46" s="99">
        <f t="shared" si="0"/>
        <v>9.49</v>
      </c>
    </row>
    <row r="47" spans="1:13">
      <c r="A47" s="1413" t="s">
        <v>246</v>
      </c>
      <c r="B47" s="1414"/>
      <c r="C47" s="1414"/>
      <c r="D47" s="1414"/>
      <c r="E47" s="1414"/>
      <c r="F47" s="1414"/>
      <c r="G47" s="1414"/>
      <c r="H47" s="1414"/>
      <c r="I47" s="22">
        <f>84.4+56.6</f>
        <v>141</v>
      </c>
      <c r="J47" s="25" t="s">
        <v>34</v>
      </c>
      <c r="K47" s="99">
        <f t="shared" si="0"/>
        <v>141</v>
      </c>
    </row>
    <row r="48" spans="1:13">
      <c r="A48" s="1413" t="s">
        <v>255</v>
      </c>
      <c r="B48" s="1414"/>
      <c r="C48" s="1414"/>
      <c r="D48" s="1414"/>
      <c r="E48" s="1414"/>
      <c r="F48" s="1414"/>
      <c r="G48" s="1414"/>
      <c r="H48" s="1414"/>
      <c r="I48" s="22">
        <f>9.2</f>
        <v>9.1999999999999993</v>
      </c>
      <c r="J48" s="25" t="s">
        <v>34</v>
      </c>
      <c r="K48" s="99">
        <f t="shared" si="0"/>
        <v>9.1999999999999993</v>
      </c>
      <c r="M48" s="20"/>
    </row>
    <row r="49" spans="1:11">
      <c r="A49" s="1413" t="s">
        <v>251</v>
      </c>
      <c r="B49" s="1414"/>
      <c r="C49" s="1414"/>
      <c r="D49" s="1414"/>
      <c r="E49" s="1414"/>
      <c r="F49" s="1414"/>
      <c r="G49" s="1414"/>
      <c r="H49" s="1414"/>
      <c r="I49" s="35">
        <f>100.7+20.6</f>
        <v>121.30000000000001</v>
      </c>
      <c r="J49" s="25" t="s">
        <v>34</v>
      </c>
      <c r="K49" s="99">
        <f t="shared" si="0"/>
        <v>121.3</v>
      </c>
    </row>
    <row r="50" spans="1:11" ht="15.75" thickBot="1">
      <c r="A50" s="1435" t="s">
        <v>247</v>
      </c>
      <c r="B50" s="1436"/>
      <c r="C50" s="1436"/>
      <c r="D50" s="1436"/>
      <c r="E50" s="1436"/>
      <c r="F50" s="1436"/>
      <c r="G50" s="1436"/>
      <c r="H50" s="1436"/>
      <c r="I50" s="36">
        <f>45.1+11.7</f>
        <v>56.8</v>
      </c>
      <c r="J50" s="33" t="s">
        <v>34</v>
      </c>
      <c r="K50" s="99">
        <f t="shared" si="0"/>
        <v>56.8</v>
      </c>
    </row>
    <row r="51" spans="1:11" ht="15.75" thickBot="1">
      <c r="A51" s="1435" t="s">
        <v>256</v>
      </c>
      <c r="B51" s="1436"/>
      <c r="C51" s="1436"/>
      <c r="D51" s="1436"/>
      <c r="E51" s="1436"/>
      <c r="F51" s="1436"/>
      <c r="G51" s="1436"/>
      <c r="H51" s="1436"/>
      <c r="I51" s="36">
        <f>72.3+166</f>
        <v>238.3</v>
      </c>
      <c r="J51" s="33" t="s">
        <v>34</v>
      </c>
      <c r="K51" s="99">
        <f t="shared" si="0"/>
        <v>238.3</v>
      </c>
    </row>
    <row r="52" spans="1:11" ht="18" thickBot="1">
      <c r="A52" s="1403" t="s">
        <v>498</v>
      </c>
      <c r="B52" s="1404"/>
      <c r="C52" s="1404"/>
      <c r="D52" s="1404"/>
      <c r="E52" s="1404"/>
      <c r="F52" s="1404"/>
      <c r="G52" s="1404"/>
      <c r="H52" s="1404"/>
      <c r="I52" s="1405"/>
      <c r="J52" s="39" t="s">
        <v>5</v>
      </c>
      <c r="K52" s="20"/>
    </row>
    <row r="53" spans="1:11">
      <c r="A53" s="1423" t="s">
        <v>499</v>
      </c>
      <c r="B53" s="1424"/>
      <c r="C53" s="1424"/>
      <c r="D53" s="1424"/>
      <c r="E53" s="1424"/>
      <c r="F53" s="1424"/>
      <c r="G53" s="1424"/>
      <c r="H53" s="1424"/>
      <c r="I53" s="21">
        <f>135.34</f>
        <v>135.34</v>
      </c>
      <c r="J53" s="24" t="s">
        <v>117</v>
      </c>
      <c r="K53" s="99">
        <f t="shared" si="0"/>
        <v>135.34</v>
      </c>
    </row>
    <row r="54" spans="1:11" ht="15.75" thickBot="1">
      <c r="A54" s="1480" t="s">
        <v>500</v>
      </c>
      <c r="B54" s="1481"/>
      <c r="C54" s="1481"/>
      <c r="D54" s="1481"/>
      <c r="E54" s="1481"/>
      <c r="F54" s="1481"/>
      <c r="G54" s="1481"/>
      <c r="H54" s="1481"/>
      <c r="I54" s="22">
        <f>I53*1.2</f>
        <v>162.40799999999999</v>
      </c>
      <c r="J54" s="90" t="s">
        <v>117</v>
      </c>
      <c r="K54" s="99">
        <f t="shared" si="0"/>
        <v>162.4</v>
      </c>
    </row>
    <row r="55" spans="1:11" ht="18" thickBot="1">
      <c r="A55" s="1429" t="s">
        <v>258</v>
      </c>
      <c r="B55" s="1430"/>
      <c r="C55" s="1430"/>
      <c r="D55" s="1430"/>
      <c r="E55" s="1430"/>
      <c r="F55" s="1430"/>
      <c r="G55" s="1430"/>
      <c r="H55" s="1430"/>
      <c r="I55" s="1431"/>
      <c r="K55" s="20"/>
    </row>
    <row r="56" spans="1:11" ht="18" thickBot="1">
      <c r="A56" s="1403" t="s">
        <v>484</v>
      </c>
      <c r="B56" s="1404"/>
      <c r="C56" s="1404"/>
      <c r="D56" s="1404"/>
      <c r="E56" s="1404"/>
      <c r="F56" s="1404"/>
      <c r="G56" s="1404"/>
      <c r="H56" s="1404"/>
      <c r="I56" s="1405"/>
      <c r="J56" s="19" t="s">
        <v>5</v>
      </c>
      <c r="K56" s="20"/>
    </row>
    <row r="57" spans="1:11">
      <c r="A57" s="1423" t="s">
        <v>501</v>
      </c>
      <c r="B57" s="1424"/>
      <c r="C57" s="1424"/>
      <c r="D57" s="1424"/>
      <c r="E57" s="1424"/>
      <c r="F57" s="1424"/>
      <c r="G57" s="1424"/>
      <c r="H57" s="1424"/>
      <c r="I57" s="21">
        <f>5381.97+49.38+35.17</f>
        <v>5466.52</v>
      </c>
      <c r="J57" s="25" t="s">
        <v>34</v>
      </c>
      <c r="K57" s="99">
        <f t="shared" si="0"/>
        <v>5466.52</v>
      </c>
    </row>
    <row r="58" spans="1:11">
      <c r="A58" s="1413" t="s">
        <v>260</v>
      </c>
      <c r="B58" s="1414"/>
      <c r="C58" s="1414"/>
      <c r="D58" s="1414"/>
      <c r="E58" s="1414"/>
      <c r="F58" s="1414"/>
      <c r="G58" s="1414"/>
      <c r="H58" s="1414"/>
      <c r="I58" s="22">
        <f>536.01</f>
        <v>536.01</v>
      </c>
      <c r="J58" s="25" t="s">
        <v>117</v>
      </c>
      <c r="K58" s="99">
        <f t="shared" si="0"/>
        <v>536.01</v>
      </c>
    </row>
    <row r="59" spans="1:11" ht="15.75" thickBot="1">
      <c r="A59" s="1435" t="s">
        <v>502</v>
      </c>
      <c r="B59" s="1436"/>
      <c r="C59" s="1436"/>
      <c r="D59" s="1436"/>
      <c r="E59" s="1436"/>
      <c r="F59" s="1436"/>
      <c r="G59" s="1436"/>
      <c r="H59" s="1436"/>
      <c r="I59" s="22">
        <f>36.24</f>
        <v>36.24</v>
      </c>
      <c r="J59" s="25" t="s">
        <v>34</v>
      </c>
      <c r="K59" s="99">
        <f t="shared" si="0"/>
        <v>36.24</v>
      </c>
    </row>
  </sheetData>
  <mergeCells count="64">
    <mergeCell ref="A57:H57"/>
    <mergeCell ref="A58:H58"/>
    <mergeCell ref="A59:H59"/>
    <mergeCell ref="A51:H51"/>
    <mergeCell ref="A52:I52"/>
    <mergeCell ref="A53:H53"/>
    <mergeCell ref="A54:H54"/>
    <mergeCell ref="A55:I55"/>
    <mergeCell ref="A56:I56"/>
    <mergeCell ref="A50:H50"/>
    <mergeCell ref="A39:H39"/>
    <mergeCell ref="A40:H40"/>
    <mergeCell ref="A41:H41"/>
    <mergeCell ref="A42:H42"/>
    <mergeCell ref="A43:I43"/>
    <mergeCell ref="A44:H44"/>
    <mergeCell ref="A45:H45"/>
    <mergeCell ref="A46:H46"/>
    <mergeCell ref="A47:H47"/>
    <mergeCell ref="A48:H48"/>
    <mergeCell ref="A49:H49"/>
    <mergeCell ref="A38:H38"/>
    <mergeCell ref="A27:I27"/>
    <mergeCell ref="A28:H28"/>
    <mergeCell ref="A29:H29"/>
    <mergeCell ref="A30:H30"/>
    <mergeCell ref="A31:H31"/>
    <mergeCell ref="A32:H32"/>
    <mergeCell ref="A33:H33"/>
    <mergeCell ref="A34:H34"/>
    <mergeCell ref="A35:H35"/>
    <mergeCell ref="A36:I36"/>
    <mergeCell ref="A37:I37"/>
    <mergeCell ref="A26:H26"/>
    <mergeCell ref="A15:H15"/>
    <mergeCell ref="A16:H16"/>
    <mergeCell ref="A17:I17"/>
    <mergeCell ref="A18:H18"/>
    <mergeCell ref="A19:H19"/>
    <mergeCell ref="A20:H20"/>
    <mergeCell ref="A21:I21"/>
    <mergeCell ref="A22:H22"/>
    <mergeCell ref="A23:H23"/>
    <mergeCell ref="A24:H24"/>
    <mergeCell ref="A25:H25"/>
    <mergeCell ref="A14:H14"/>
    <mergeCell ref="A5:H5"/>
    <mergeCell ref="A6:H6"/>
    <mergeCell ref="A7:H7"/>
    <mergeCell ref="M7:T7"/>
    <mergeCell ref="A8:H8"/>
    <mergeCell ref="A9:H9"/>
    <mergeCell ref="A10:H10"/>
    <mergeCell ref="M10:T10"/>
    <mergeCell ref="A11:H11"/>
    <mergeCell ref="A12:H12"/>
    <mergeCell ref="A13:H13"/>
    <mergeCell ref="A4:H4"/>
    <mergeCell ref="M4:T4"/>
    <mergeCell ref="A1:J1"/>
    <mergeCell ref="A2:I2"/>
    <mergeCell ref="M2:T2"/>
    <mergeCell ref="A3:I3"/>
    <mergeCell ref="M3:T3"/>
  </mergeCell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sheetPr>
    <tabColor theme="0" tint="-0.499984740745262"/>
  </sheetPr>
  <dimension ref="A1:J8"/>
  <sheetViews>
    <sheetView workbookViewId="0">
      <selection activeCell="Q30" sqref="Q30"/>
    </sheetView>
  </sheetViews>
  <sheetFormatPr defaultColWidth="9.140625" defaultRowHeight="15"/>
  <cols>
    <col min="1" max="7" width="9.140625" style="18"/>
    <col min="8" max="8" width="33.5703125" style="18" customWidth="1"/>
    <col min="9" max="9" width="9.5703125" style="18" bestFit="1" customWidth="1"/>
    <col min="10" max="16" width="9.140625" style="18"/>
    <col min="17" max="17" width="14.85546875" style="18" customWidth="1"/>
    <col min="18" max="18" width="16.7109375" style="18" bestFit="1" customWidth="1"/>
    <col min="19" max="19" width="19.28515625" style="18" bestFit="1" customWidth="1"/>
    <col min="20" max="16384" width="9.140625" style="18"/>
  </cols>
  <sheetData>
    <row r="1" spans="1:10" ht="86.25" customHeight="1" thickBot="1">
      <c r="A1" s="1396" t="s">
        <v>463</v>
      </c>
      <c r="B1" s="1397"/>
      <c r="C1" s="1397"/>
      <c r="D1" s="1397"/>
      <c r="E1" s="1397"/>
      <c r="F1" s="1397"/>
      <c r="G1" s="1397"/>
      <c r="H1" s="1397"/>
      <c r="I1" s="1397"/>
      <c r="J1" s="1398"/>
    </row>
    <row r="2" spans="1:10" ht="18" thickBot="1">
      <c r="A2" s="1429" t="s">
        <v>258</v>
      </c>
      <c r="B2" s="1430"/>
      <c r="C2" s="1430"/>
      <c r="D2" s="1430"/>
      <c r="E2" s="1430"/>
      <c r="F2" s="1430"/>
      <c r="G2" s="1430"/>
      <c r="H2" s="1430"/>
      <c r="I2" s="1431"/>
    </row>
    <row r="3" spans="1:10" ht="18" thickBot="1">
      <c r="A3" s="1403" t="s">
        <v>31</v>
      </c>
      <c r="B3" s="1404"/>
      <c r="C3" s="1404"/>
      <c r="D3" s="1404"/>
      <c r="E3" s="1404"/>
      <c r="F3" s="1404"/>
      <c r="G3" s="1404"/>
      <c r="H3" s="1404"/>
      <c r="I3" s="1499"/>
      <c r="J3" s="82" t="s">
        <v>5</v>
      </c>
    </row>
    <row r="4" spans="1:10">
      <c r="A4" s="1423" t="s">
        <v>259</v>
      </c>
      <c r="B4" s="1424"/>
      <c r="C4" s="1424"/>
      <c r="D4" s="1424"/>
      <c r="E4" s="1424"/>
      <c r="F4" s="1424"/>
      <c r="G4" s="1424"/>
      <c r="H4" s="1424"/>
      <c r="I4" s="100">
        <f>10.38+447.62+10.38+447.62+11.16+11.16+6.74+6.74+251.98+251.98+11.16+11.16+9.83+9.83+505.25+505.25+62.8+62.8+73.66+6390.05+30.62+135.81</f>
        <v>9263.98</v>
      </c>
      <c r="J4" s="25" t="s">
        <v>34</v>
      </c>
    </row>
    <row r="5" spans="1:10">
      <c r="A5" s="1413" t="s">
        <v>260</v>
      </c>
      <c r="B5" s="1414"/>
      <c r="C5" s="1414"/>
      <c r="D5" s="1414"/>
      <c r="E5" s="1414"/>
      <c r="F5" s="1414"/>
      <c r="G5" s="1414"/>
      <c r="H5" s="1414"/>
      <c r="I5" s="101">
        <f>58.26+58.26+32.85+32.85+65.57+65.57+773.92</f>
        <v>1087.28</v>
      </c>
      <c r="J5" s="25" t="s">
        <v>117</v>
      </c>
    </row>
    <row r="6" spans="1:10">
      <c r="A6" s="1448" t="s">
        <v>464</v>
      </c>
      <c r="B6" s="1449"/>
      <c r="C6" s="1449"/>
      <c r="D6" s="1449"/>
      <c r="E6" s="1449"/>
      <c r="F6" s="1449"/>
      <c r="G6" s="1449"/>
      <c r="H6" s="1449"/>
      <c r="I6" s="102">
        <f>60.49</f>
        <v>60.49</v>
      </c>
      <c r="J6" s="83" t="s">
        <v>34</v>
      </c>
    </row>
    <row r="7" spans="1:10">
      <c r="A7" s="1448" t="s">
        <v>261</v>
      </c>
      <c r="B7" s="1449"/>
      <c r="C7" s="1449"/>
      <c r="D7" s="1449"/>
      <c r="E7" s="1449"/>
      <c r="F7" s="1449"/>
      <c r="G7" s="1449"/>
      <c r="H7" s="1449"/>
      <c r="I7" s="102">
        <f>7.2+7.2+15.6</f>
        <v>30</v>
      </c>
      <c r="J7" s="83" t="s">
        <v>34</v>
      </c>
    </row>
    <row r="8" spans="1:10" ht="15.75" thickBot="1">
      <c r="A8" s="1435" t="s">
        <v>465</v>
      </c>
      <c r="B8" s="1436"/>
      <c r="C8" s="1436"/>
      <c r="D8" s="1436"/>
      <c r="E8" s="1436"/>
      <c r="F8" s="1436"/>
      <c r="G8" s="1436"/>
      <c r="H8" s="1436"/>
      <c r="I8" s="103">
        <f>36+36+36+36</f>
        <v>144</v>
      </c>
      <c r="J8" s="33" t="s">
        <v>5</v>
      </c>
    </row>
  </sheetData>
  <mergeCells count="8">
    <mergeCell ref="A7:H7"/>
    <mergeCell ref="A8:H8"/>
    <mergeCell ref="A1:J1"/>
    <mergeCell ref="A2:I2"/>
    <mergeCell ref="A3:I3"/>
    <mergeCell ref="A4:H4"/>
    <mergeCell ref="A5:H5"/>
    <mergeCell ref="A6:H6"/>
  </mergeCell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sheetPr>
    <tabColor theme="0" tint="-0.499984740745262"/>
  </sheetPr>
  <dimension ref="A1:J6"/>
  <sheetViews>
    <sheetView workbookViewId="0">
      <selection activeCell="I6" sqref="I4:I6"/>
    </sheetView>
  </sheetViews>
  <sheetFormatPr defaultColWidth="9.140625" defaultRowHeight="15"/>
  <cols>
    <col min="1" max="7" width="9.140625" style="18"/>
    <col min="8" max="8" width="33.5703125" style="18" customWidth="1"/>
    <col min="9" max="9" width="9.5703125" style="18" bestFit="1" customWidth="1"/>
    <col min="10" max="16" width="9.140625" style="18"/>
    <col min="17" max="17" width="14.85546875" style="18" customWidth="1"/>
    <col min="18" max="18" width="16.7109375" style="18" bestFit="1" customWidth="1"/>
    <col min="19" max="19" width="19.28515625" style="18" bestFit="1" customWidth="1"/>
    <col min="20" max="16384" width="9.140625" style="18"/>
  </cols>
  <sheetData>
    <row r="1" spans="1:10" ht="61.5" customHeight="1" thickBot="1">
      <c r="A1" s="1396" t="s">
        <v>466</v>
      </c>
      <c r="B1" s="1397"/>
      <c r="C1" s="1397"/>
      <c r="D1" s="1397"/>
      <c r="E1" s="1397"/>
      <c r="F1" s="1397"/>
      <c r="G1" s="1397"/>
      <c r="H1" s="1397"/>
      <c r="I1" s="1397"/>
      <c r="J1" s="1398"/>
    </row>
    <row r="2" spans="1:10" ht="18" thickBot="1">
      <c r="A2" s="1429" t="s">
        <v>258</v>
      </c>
      <c r="B2" s="1430"/>
      <c r="C2" s="1430"/>
      <c r="D2" s="1430"/>
      <c r="E2" s="1430"/>
      <c r="F2" s="1430"/>
      <c r="G2" s="1430"/>
      <c r="H2" s="1430"/>
      <c r="I2" s="1431"/>
    </row>
    <row r="3" spans="1:10" ht="18" thickBot="1">
      <c r="A3" s="1500" t="s">
        <v>31</v>
      </c>
      <c r="B3" s="1501"/>
      <c r="C3" s="1501"/>
      <c r="D3" s="1501"/>
      <c r="E3" s="1501"/>
      <c r="F3" s="1501"/>
      <c r="G3" s="1501"/>
      <c r="H3" s="1501"/>
      <c r="I3" s="1502"/>
      <c r="J3" s="84" t="s">
        <v>5</v>
      </c>
    </row>
    <row r="4" spans="1:10">
      <c r="A4" s="1425" t="s">
        <v>467</v>
      </c>
      <c r="B4" s="1426"/>
      <c r="C4" s="1426"/>
      <c r="D4" s="1426"/>
      <c r="E4" s="1426"/>
      <c r="F4" s="1426"/>
      <c r="G4" s="1426"/>
      <c r="H4" s="1426"/>
      <c r="I4" s="104">
        <f>16.8+1892.96+6.28+18.38+1933.83+6.28</f>
        <v>3874.53</v>
      </c>
      <c r="J4" s="24" t="s">
        <v>34</v>
      </c>
    </row>
    <row r="5" spans="1:10">
      <c r="A5" s="1413" t="s">
        <v>260</v>
      </c>
      <c r="B5" s="1414"/>
      <c r="C5" s="1414"/>
      <c r="D5" s="1414"/>
      <c r="E5" s="1414"/>
      <c r="F5" s="1414"/>
      <c r="G5" s="1414"/>
      <c r="H5" s="1414"/>
      <c r="I5" s="101">
        <f>170.54+174.55</f>
        <v>345.09000000000003</v>
      </c>
      <c r="J5" s="25" t="s">
        <v>117</v>
      </c>
    </row>
    <row r="6" spans="1:10" ht="15.75" thickBot="1">
      <c r="A6" s="1435" t="s">
        <v>468</v>
      </c>
      <c r="B6" s="1436"/>
      <c r="C6" s="1436"/>
      <c r="D6" s="1436"/>
      <c r="E6" s="1436"/>
      <c r="F6" s="1436"/>
      <c r="G6" s="1436"/>
      <c r="H6" s="1436"/>
      <c r="I6" s="103">
        <f>12.41+12.41</f>
        <v>24.82</v>
      </c>
      <c r="J6" s="33" t="s">
        <v>34</v>
      </c>
    </row>
  </sheetData>
  <mergeCells count="6">
    <mergeCell ref="A6:H6"/>
    <mergeCell ref="A1:J1"/>
    <mergeCell ref="A2:I2"/>
    <mergeCell ref="A3:I3"/>
    <mergeCell ref="A4:H4"/>
    <mergeCell ref="A5:H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sheetPr>
    <tabColor theme="8" tint="0.59999389629810485"/>
  </sheetPr>
  <dimension ref="A1:D6470"/>
  <sheetViews>
    <sheetView topLeftCell="A5447" zoomScale="85" zoomScaleNormal="85" workbookViewId="0">
      <selection activeCell="A5460" sqref="A5460"/>
    </sheetView>
  </sheetViews>
  <sheetFormatPr defaultRowHeight="15"/>
  <cols>
    <col min="1" max="4" width="20" customWidth="1"/>
  </cols>
  <sheetData>
    <row r="1" spans="1:4">
      <c r="A1" s="302">
        <v>97141</v>
      </c>
      <c r="B1" s="301" t="s">
        <v>1152</v>
      </c>
      <c r="C1" s="301" t="s">
        <v>35</v>
      </c>
      <c r="D1" s="303">
        <v>5.51</v>
      </c>
    </row>
    <row r="2" spans="1:4">
      <c r="A2" s="302">
        <v>97142</v>
      </c>
      <c r="B2" s="301" t="s">
        <v>1153</v>
      </c>
      <c r="C2" s="301" t="s">
        <v>35</v>
      </c>
      <c r="D2" s="303">
        <v>6.16</v>
      </c>
    </row>
    <row r="3" spans="1:4">
      <c r="A3" s="302">
        <v>97143</v>
      </c>
      <c r="B3" s="301" t="s">
        <v>1154</v>
      </c>
      <c r="C3" s="301" t="s">
        <v>35</v>
      </c>
      <c r="D3" s="303">
        <v>7.8</v>
      </c>
    </row>
    <row r="4" spans="1:4">
      <c r="A4" s="302">
        <v>97144</v>
      </c>
      <c r="B4" s="301" t="s">
        <v>1155</v>
      </c>
      <c r="C4" s="301" t="s">
        <v>35</v>
      </c>
      <c r="D4" s="303">
        <v>9.41</v>
      </c>
    </row>
    <row r="5" spans="1:4">
      <c r="A5" s="302">
        <v>97145</v>
      </c>
      <c r="B5" s="301" t="s">
        <v>1156</v>
      </c>
      <c r="C5" s="301" t="s">
        <v>35</v>
      </c>
      <c r="D5" s="303">
        <v>11.05</v>
      </c>
    </row>
    <row r="6" spans="1:4">
      <c r="A6" s="302">
        <v>97146</v>
      </c>
      <c r="B6" s="301" t="s">
        <v>1157</v>
      </c>
      <c r="C6" s="301" t="s">
        <v>35</v>
      </c>
      <c r="D6" s="303">
        <v>12.7</v>
      </c>
    </row>
    <row r="7" spans="1:4">
      <c r="A7" s="302">
        <v>97147</v>
      </c>
      <c r="B7" s="301" t="s">
        <v>1158</v>
      </c>
      <c r="C7" s="301" t="s">
        <v>35</v>
      </c>
      <c r="D7" s="303">
        <v>14.34</v>
      </c>
    </row>
    <row r="8" spans="1:4">
      <c r="A8" s="302">
        <v>97148</v>
      </c>
      <c r="B8" s="301" t="s">
        <v>1159</v>
      </c>
      <c r="C8" s="301" t="s">
        <v>35</v>
      </c>
      <c r="D8" s="303">
        <v>16</v>
      </c>
    </row>
    <row r="9" spans="1:4">
      <c r="A9" s="302">
        <v>97149</v>
      </c>
      <c r="B9" s="301" t="s">
        <v>1160</v>
      </c>
      <c r="C9" s="301" t="s">
        <v>35</v>
      </c>
      <c r="D9" s="303">
        <v>17.66</v>
      </c>
    </row>
    <row r="10" spans="1:4">
      <c r="A10" s="302">
        <v>97150</v>
      </c>
      <c r="B10" s="301" t="s">
        <v>1161</v>
      </c>
      <c r="C10" s="301" t="s">
        <v>35</v>
      </c>
      <c r="D10" s="303">
        <v>21.38</v>
      </c>
    </row>
    <row r="11" spans="1:4">
      <c r="A11" s="302">
        <v>97151</v>
      </c>
      <c r="B11" s="301" t="s">
        <v>1162</v>
      </c>
      <c r="C11" s="301" t="s">
        <v>35</v>
      </c>
      <c r="D11" s="303">
        <v>25.01</v>
      </c>
    </row>
    <row r="12" spans="1:4">
      <c r="A12" s="302">
        <v>97152</v>
      </c>
      <c r="B12" s="301" t="s">
        <v>1163</v>
      </c>
      <c r="C12" s="301" t="s">
        <v>35</v>
      </c>
      <c r="D12" s="303">
        <v>28.39</v>
      </c>
    </row>
    <row r="13" spans="1:4">
      <c r="A13" s="302">
        <v>97153</v>
      </c>
      <c r="B13" s="301" t="s">
        <v>1164</v>
      </c>
      <c r="C13" s="301" t="s">
        <v>35</v>
      </c>
      <c r="D13" s="303">
        <v>31.91</v>
      </c>
    </row>
    <row r="14" spans="1:4">
      <c r="A14" s="302">
        <v>97154</v>
      </c>
      <c r="B14" s="301" t="s">
        <v>1165</v>
      </c>
      <c r="C14" s="301" t="s">
        <v>35</v>
      </c>
      <c r="D14" s="303">
        <v>35.47</v>
      </c>
    </row>
    <row r="15" spans="1:4">
      <c r="A15" s="302">
        <v>97155</v>
      </c>
      <c r="B15" s="301" t="s">
        <v>1166</v>
      </c>
      <c r="C15" s="301" t="s">
        <v>35</v>
      </c>
      <c r="D15" s="303">
        <v>39.049999999999997</v>
      </c>
    </row>
    <row r="16" spans="1:4">
      <c r="A16" s="302">
        <v>97156</v>
      </c>
      <c r="B16" s="301" t="s">
        <v>1167</v>
      </c>
      <c r="C16" s="301" t="s">
        <v>35</v>
      </c>
      <c r="D16" s="303">
        <v>46.58</v>
      </c>
    </row>
    <row r="17" spans="1:4">
      <c r="A17" s="302">
        <v>97157</v>
      </c>
      <c r="B17" s="301" t="s">
        <v>1168</v>
      </c>
      <c r="C17" s="301" t="s">
        <v>35</v>
      </c>
      <c r="D17" s="303">
        <v>3.38</v>
      </c>
    </row>
    <row r="18" spans="1:4">
      <c r="A18" s="302">
        <v>97158</v>
      </c>
      <c r="B18" s="301" t="s">
        <v>1169</v>
      </c>
      <c r="C18" s="301" t="s">
        <v>35</v>
      </c>
      <c r="D18" s="303">
        <v>3.78</v>
      </c>
    </row>
    <row r="19" spans="1:4">
      <c r="A19" s="302">
        <v>97159</v>
      </c>
      <c r="B19" s="301" t="s">
        <v>1170</v>
      </c>
      <c r="C19" s="301" t="s">
        <v>35</v>
      </c>
      <c r="D19" s="303">
        <v>4.79</v>
      </c>
    </row>
    <row r="20" spans="1:4">
      <c r="A20" s="302">
        <v>97160</v>
      </c>
      <c r="B20" s="301" t="s">
        <v>1171</v>
      </c>
      <c r="C20" s="301" t="s">
        <v>35</v>
      </c>
      <c r="D20" s="303">
        <v>5.79</v>
      </c>
    </row>
    <row r="21" spans="1:4">
      <c r="A21" s="302">
        <v>97161</v>
      </c>
      <c r="B21" s="301" t="s">
        <v>1172</v>
      </c>
      <c r="C21" s="301" t="s">
        <v>35</v>
      </c>
      <c r="D21" s="303">
        <v>6.82</v>
      </c>
    </row>
    <row r="22" spans="1:4">
      <c r="A22" s="302">
        <v>97162</v>
      </c>
      <c r="B22" s="301" t="s">
        <v>1173</v>
      </c>
      <c r="C22" s="301" t="s">
        <v>35</v>
      </c>
      <c r="D22" s="303">
        <v>7.83</v>
      </c>
    </row>
    <row r="23" spans="1:4">
      <c r="A23" s="302">
        <v>97163</v>
      </c>
      <c r="B23" s="301" t="s">
        <v>1174</v>
      </c>
      <c r="C23" s="301" t="s">
        <v>35</v>
      </c>
      <c r="D23" s="303">
        <v>8.86</v>
      </c>
    </row>
    <row r="24" spans="1:4">
      <c r="A24" s="302">
        <v>97164</v>
      </c>
      <c r="B24" s="301" t="s">
        <v>1175</v>
      </c>
      <c r="C24" s="301" t="s">
        <v>35</v>
      </c>
      <c r="D24" s="303">
        <v>9.8800000000000008</v>
      </c>
    </row>
    <row r="25" spans="1:4">
      <c r="A25" s="302">
        <v>97165</v>
      </c>
      <c r="B25" s="301" t="s">
        <v>1176</v>
      </c>
      <c r="C25" s="301" t="s">
        <v>35</v>
      </c>
      <c r="D25" s="303">
        <v>10.92</v>
      </c>
    </row>
    <row r="26" spans="1:4">
      <c r="A26" s="302">
        <v>97166</v>
      </c>
      <c r="B26" s="301" t="s">
        <v>1177</v>
      </c>
      <c r="C26" s="301" t="s">
        <v>35</v>
      </c>
      <c r="D26" s="303">
        <v>13.23</v>
      </c>
    </row>
    <row r="27" spans="1:4">
      <c r="A27" s="302">
        <v>97167</v>
      </c>
      <c r="B27" s="301" t="s">
        <v>1178</v>
      </c>
      <c r="C27" s="301" t="s">
        <v>35</v>
      </c>
      <c r="D27" s="303">
        <v>15.49</v>
      </c>
    </row>
    <row r="28" spans="1:4">
      <c r="A28" s="302">
        <v>97168</v>
      </c>
      <c r="B28" s="301" t="s">
        <v>1179</v>
      </c>
      <c r="C28" s="301" t="s">
        <v>35</v>
      </c>
      <c r="D28" s="303">
        <v>17.53</v>
      </c>
    </row>
    <row r="29" spans="1:4">
      <c r="A29" s="302">
        <v>97169</v>
      </c>
      <c r="B29" s="301" t="s">
        <v>1180</v>
      </c>
      <c r="C29" s="301" t="s">
        <v>35</v>
      </c>
      <c r="D29" s="303">
        <v>19.690000000000001</v>
      </c>
    </row>
    <row r="30" spans="1:4">
      <c r="A30" s="302">
        <v>97170</v>
      </c>
      <c r="B30" s="301" t="s">
        <v>1181</v>
      </c>
      <c r="C30" s="301" t="s">
        <v>35</v>
      </c>
      <c r="D30" s="303">
        <v>21.89</v>
      </c>
    </row>
    <row r="31" spans="1:4">
      <c r="A31" s="302">
        <v>97171</v>
      </c>
      <c r="B31" s="301" t="s">
        <v>1182</v>
      </c>
      <c r="C31" s="301" t="s">
        <v>35</v>
      </c>
      <c r="D31" s="303">
        <v>24.12</v>
      </c>
    </row>
    <row r="32" spans="1:4">
      <c r="A32" s="302">
        <v>97172</v>
      </c>
      <c r="B32" s="301" t="s">
        <v>1183</v>
      </c>
      <c r="C32" s="301" t="s">
        <v>35</v>
      </c>
      <c r="D32" s="303">
        <v>28.93</v>
      </c>
    </row>
    <row r="33" spans="1:4">
      <c r="A33" s="302">
        <v>97173</v>
      </c>
      <c r="B33" s="301" t="s">
        <v>1184</v>
      </c>
      <c r="C33" s="301" t="s">
        <v>35</v>
      </c>
      <c r="D33" s="303">
        <v>22.54</v>
      </c>
    </row>
    <row r="34" spans="1:4">
      <c r="A34" s="302">
        <v>97174</v>
      </c>
      <c r="B34" s="301" t="s">
        <v>1185</v>
      </c>
      <c r="C34" s="301" t="s">
        <v>35</v>
      </c>
      <c r="D34" s="303">
        <v>26.05</v>
      </c>
    </row>
    <row r="35" spans="1:4">
      <c r="A35" s="302">
        <v>97175</v>
      </c>
      <c r="B35" s="301" t="s">
        <v>1186</v>
      </c>
      <c r="C35" s="301" t="s">
        <v>35</v>
      </c>
      <c r="D35" s="303">
        <v>29.58</v>
      </c>
    </row>
    <row r="36" spans="1:4">
      <c r="A36" s="302">
        <v>97176</v>
      </c>
      <c r="B36" s="301" t="s">
        <v>1187</v>
      </c>
      <c r="C36" s="301" t="s">
        <v>35</v>
      </c>
      <c r="D36" s="303">
        <v>33.07</v>
      </c>
    </row>
    <row r="37" spans="1:4">
      <c r="A37" s="302">
        <v>97177</v>
      </c>
      <c r="B37" s="301" t="s">
        <v>1188</v>
      </c>
      <c r="C37" s="301" t="s">
        <v>35</v>
      </c>
      <c r="D37" s="303">
        <v>40.1</v>
      </c>
    </row>
    <row r="38" spans="1:4">
      <c r="A38" s="302">
        <v>97178</v>
      </c>
      <c r="B38" s="301" t="s">
        <v>1189</v>
      </c>
      <c r="C38" s="301" t="s">
        <v>35</v>
      </c>
      <c r="D38" s="303">
        <v>47.15</v>
      </c>
    </row>
    <row r="39" spans="1:4">
      <c r="A39" s="302">
        <v>97179</v>
      </c>
      <c r="B39" s="301" t="s">
        <v>1190</v>
      </c>
      <c r="C39" s="301" t="s">
        <v>35</v>
      </c>
      <c r="D39" s="303">
        <v>54.17</v>
      </c>
    </row>
    <row r="40" spans="1:4">
      <c r="A40" s="302">
        <v>97180</v>
      </c>
      <c r="B40" s="301" t="s">
        <v>1191</v>
      </c>
      <c r="C40" s="301" t="s">
        <v>35</v>
      </c>
      <c r="D40" s="303">
        <v>61.19</v>
      </c>
    </row>
    <row r="41" spans="1:4">
      <c r="A41" s="302">
        <v>97181</v>
      </c>
      <c r="B41" s="301" t="s">
        <v>1192</v>
      </c>
      <c r="C41" s="301" t="s">
        <v>35</v>
      </c>
      <c r="D41" s="303">
        <v>70.77</v>
      </c>
    </row>
    <row r="42" spans="1:4">
      <c r="A42" s="302">
        <v>97182</v>
      </c>
      <c r="B42" s="301" t="s">
        <v>1193</v>
      </c>
      <c r="C42" s="301" t="s">
        <v>35</v>
      </c>
      <c r="D42" s="303">
        <v>78.06</v>
      </c>
    </row>
    <row r="43" spans="1:4">
      <c r="A43" s="302">
        <v>97183</v>
      </c>
      <c r="B43" s="301" t="s">
        <v>1194</v>
      </c>
      <c r="C43" s="301" t="s">
        <v>35</v>
      </c>
      <c r="D43" s="303">
        <v>18.399999999999999</v>
      </c>
    </row>
    <row r="44" spans="1:4">
      <c r="A44" s="302">
        <v>97184</v>
      </c>
      <c r="B44" s="301" t="s">
        <v>1195</v>
      </c>
      <c r="C44" s="301" t="s">
        <v>35</v>
      </c>
      <c r="D44" s="303">
        <v>21.32</v>
      </c>
    </row>
    <row r="45" spans="1:4">
      <c r="A45" s="302">
        <v>97185</v>
      </c>
      <c r="B45" s="301" t="s">
        <v>1196</v>
      </c>
      <c r="C45" s="301" t="s">
        <v>35</v>
      </c>
      <c r="D45" s="303">
        <v>24.24</v>
      </c>
    </row>
    <row r="46" spans="1:4">
      <c r="A46" s="302">
        <v>97186</v>
      </c>
      <c r="B46" s="301" t="s">
        <v>1197</v>
      </c>
      <c r="C46" s="301" t="s">
        <v>35</v>
      </c>
      <c r="D46" s="303">
        <v>27.16</v>
      </c>
    </row>
    <row r="47" spans="1:4">
      <c r="A47" s="302">
        <v>97187</v>
      </c>
      <c r="B47" s="301" t="s">
        <v>1198</v>
      </c>
      <c r="C47" s="301" t="s">
        <v>35</v>
      </c>
      <c r="D47" s="303">
        <v>33.01</v>
      </c>
    </row>
    <row r="48" spans="1:4">
      <c r="A48" s="302">
        <v>97188</v>
      </c>
      <c r="B48" s="301" t="s">
        <v>1199</v>
      </c>
      <c r="C48" s="301" t="s">
        <v>35</v>
      </c>
      <c r="D48" s="303">
        <v>38.85</v>
      </c>
    </row>
    <row r="49" spans="1:4">
      <c r="A49" s="302">
        <v>97189</v>
      </c>
      <c r="B49" s="301" t="s">
        <v>1200</v>
      </c>
      <c r="C49" s="301" t="s">
        <v>35</v>
      </c>
      <c r="D49" s="303">
        <v>44.7</v>
      </c>
    </row>
    <row r="50" spans="1:4">
      <c r="A50" s="302">
        <v>97190</v>
      </c>
      <c r="B50" s="301" t="s">
        <v>1201</v>
      </c>
      <c r="C50" s="301" t="s">
        <v>35</v>
      </c>
      <c r="D50" s="303">
        <v>50.53</v>
      </c>
    </row>
    <row r="51" spans="1:4">
      <c r="A51" s="302">
        <v>97191</v>
      </c>
      <c r="B51" s="301" t="s">
        <v>1202</v>
      </c>
      <c r="C51" s="301" t="s">
        <v>35</v>
      </c>
      <c r="D51" s="303">
        <v>58.34</v>
      </c>
    </row>
    <row r="52" spans="1:4">
      <c r="A52" s="302">
        <v>97192</v>
      </c>
      <c r="B52" s="301" t="s">
        <v>1203</v>
      </c>
      <c r="C52" s="301" t="s">
        <v>35</v>
      </c>
      <c r="D52" s="303">
        <v>64.39</v>
      </c>
    </row>
    <row r="53" spans="1:4">
      <c r="A53" s="302">
        <v>90694</v>
      </c>
      <c r="B53" s="301" t="s">
        <v>1204</v>
      </c>
      <c r="C53" s="301" t="s">
        <v>35</v>
      </c>
      <c r="D53" s="303">
        <v>20.309999999999999</v>
      </c>
    </row>
    <row r="54" spans="1:4">
      <c r="A54" s="302">
        <v>90695</v>
      </c>
      <c r="B54" s="301" t="s">
        <v>1205</v>
      </c>
      <c r="C54" s="301" t="s">
        <v>35</v>
      </c>
      <c r="D54" s="303">
        <v>41.79</v>
      </c>
    </row>
    <row r="55" spans="1:4">
      <c r="A55" s="302">
        <v>90696</v>
      </c>
      <c r="B55" s="301" t="s">
        <v>1206</v>
      </c>
      <c r="C55" s="301" t="s">
        <v>35</v>
      </c>
      <c r="D55" s="303">
        <v>61.85</v>
      </c>
    </row>
    <row r="56" spans="1:4">
      <c r="A56" s="302">
        <v>90697</v>
      </c>
      <c r="B56" s="301" t="s">
        <v>1207</v>
      </c>
      <c r="C56" s="301" t="s">
        <v>35</v>
      </c>
      <c r="D56" s="303">
        <v>103.75</v>
      </c>
    </row>
    <row r="57" spans="1:4">
      <c r="A57" s="302">
        <v>90698</v>
      </c>
      <c r="B57" s="301" t="s">
        <v>1208</v>
      </c>
      <c r="C57" s="301" t="s">
        <v>35</v>
      </c>
      <c r="D57" s="303">
        <v>165.8</v>
      </c>
    </row>
    <row r="58" spans="1:4">
      <c r="A58" s="302">
        <v>90699</v>
      </c>
      <c r="B58" s="301" t="s">
        <v>1209</v>
      </c>
      <c r="C58" s="301" t="s">
        <v>35</v>
      </c>
      <c r="D58" s="303">
        <v>204.84</v>
      </c>
    </row>
    <row r="59" spans="1:4">
      <c r="A59" s="302">
        <v>90700</v>
      </c>
      <c r="B59" s="301" t="s">
        <v>1210</v>
      </c>
      <c r="C59" s="301" t="s">
        <v>35</v>
      </c>
      <c r="D59" s="303">
        <v>269.36</v>
      </c>
    </row>
    <row r="60" spans="1:4">
      <c r="A60" s="302">
        <v>90701</v>
      </c>
      <c r="B60" s="301" t="s">
        <v>1211</v>
      </c>
      <c r="C60" s="301" t="s">
        <v>35</v>
      </c>
      <c r="D60" s="303">
        <v>36.74</v>
      </c>
    </row>
    <row r="61" spans="1:4">
      <c r="A61" s="302">
        <v>90702</v>
      </c>
      <c r="B61" s="301" t="s">
        <v>1212</v>
      </c>
      <c r="C61" s="301" t="s">
        <v>35</v>
      </c>
      <c r="D61" s="303">
        <v>56.83</v>
      </c>
    </row>
    <row r="62" spans="1:4">
      <c r="A62" s="302">
        <v>90703</v>
      </c>
      <c r="B62" s="301" t="s">
        <v>1213</v>
      </c>
      <c r="C62" s="301" t="s">
        <v>35</v>
      </c>
      <c r="D62" s="303">
        <v>91.83</v>
      </c>
    </row>
    <row r="63" spans="1:4">
      <c r="A63" s="302">
        <v>90704</v>
      </c>
      <c r="B63" s="301" t="s">
        <v>1214</v>
      </c>
      <c r="C63" s="301" t="s">
        <v>35</v>
      </c>
      <c r="D63" s="303">
        <v>125.98</v>
      </c>
    </row>
    <row r="64" spans="1:4">
      <c r="A64" s="302">
        <v>90705</v>
      </c>
      <c r="B64" s="301" t="s">
        <v>1215</v>
      </c>
      <c r="C64" s="301" t="s">
        <v>35</v>
      </c>
      <c r="D64" s="303">
        <v>176.43</v>
      </c>
    </row>
    <row r="65" spans="1:4">
      <c r="A65" s="302">
        <v>90706</v>
      </c>
      <c r="B65" s="301" t="s">
        <v>1216</v>
      </c>
      <c r="C65" s="301" t="s">
        <v>35</v>
      </c>
      <c r="D65" s="303">
        <v>212.01</v>
      </c>
    </row>
    <row r="66" spans="1:4">
      <c r="A66" s="302">
        <v>90708</v>
      </c>
      <c r="B66" s="301" t="s">
        <v>1217</v>
      </c>
      <c r="C66" s="301" t="s">
        <v>35</v>
      </c>
      <c r="D66" s="303">
        <v>562.71</v>
      </c>
    </row>
    <row r="67" spans="1:4">
      <c r="A67" s="302">
        <v>90709</v>
      </c>
      <c r="B67" s="301" t="s">
        <v>1218</v>
      </c>
      <c r="C67" s="301" t="s">
        <v>35</v>
      </c>
      <c r="D67" s="303">
        <v>21.84</v>
      </c>
    </row>
    <row r="68" spans="1:4">
      <c r="A68" s="302">
        <v>90710</v>
      </c>
      <c r="B68" s="301" t="s">
        <v>1219</v>
      </c>
      <c r="C68" s="301" t="s">
        <v>35</v>
      </c>
      <c r="D68" s="303">
        <v>43.34</v>
      </c>
    </row>
    <row r="69" spans="1:4">
      <c r="A69" s="302">
        <v>90711</v>
      </c>
      <c r="B69" s="301" t="s">
        <v>1220</v>
      </c>
      <c r="C69" s="301" t="s">
        <v>35</v>
      </c>
      <c r="D69" s="303">
        <v>63.39</v>
      </c>
    </row>
    <row r="70" spans="1:4">
      <c r="A70" s="302">
        <v>90712</v>
      </c>
      <c r="B70" s="301" t="s">
        <v>1221</v>
      </c>
      <c r="C70" s="301" t="s">
        <v>35</v>
      </c>
      <c r="D70" s="303">
        <v>105.28</v>
      </c>
    </row>
    <row r="71" spans="1:4">
      <c r="A71" s="302">
        <v>90713</v>
      </c>
      <c r="B71" s="301" t="s">
        <v>1222</v>
      </c>
      <c r="C71" s="301" t="s">
        <v>35</v>
      </c>
      <c r="D71" s="303">
        <v>167.33</v>
      </c>
    </row>
    <row r="72" spans="1:4">
      <c r="A72" s="302">
        <v>90714</v>
      </c>
      <c r="B72" s="301" t="s">
        <v>1223</v>
      </c>
      <c r="C72" s="301" t="s">
        <v>35</v>
      </c>
      <c r="D72" s="303">
        <v>206.37</v>
      </c>
    </row>
    <row r="73" spans="1:4">
      <c r="A73" s="302">
        <v>90715</v>
      </c>
      <c r="B73" s="301" t="s">
        <v>1224</v>
      </c>
      <c r="C73" s="301" t="s">
        <v>35</v>
      </c>
      <c r="D73" s="303">
        <v>272.57</v>
      </c>
    </row>
    <row r="74" spans="1:4">
      <c r="A74" s="302">
        <v>90716</v>
      </c>
      <c r="B74" s="301" t="s">
        <v>1225</v>
      </c>
      <c r="C74" s="301" t="s">
        <v>35</v>
      </c>
      <c r="D74" s="303">
        <v>38.28</v>
      </c>
    </row>
    <row r="75" spans="1:4">
      <c r="A75" s="302">
        <v>90717</v>
      </c>
      <c r="B75" s="301" t="s">
        <v>1226</v>
      </c>
      <c r="C75" s="301" t="s">
        <v>35</v>
      </c>
      <c r="D75" s="303">
        <v>58.37</v>
      </c>
    </row>
    <row r="76" spans="1:4">
      <c r="A76" s="302">
        <v>90718</v>
      </c>
      <c r="B76" s="301" t="s">
        <v>1227</v>
      </c>
      <c r="C76" s="301" t="s">
        <v>35</v>
      </c>
      <c r="D76" s="303">
        <v>93.38</v>
      </c>
    </row>
    <row r="77" spans="1:4">
      <c r="A77" s="302">
        <v>90719</v>
      </c>
      <c r="B77" s="301" t="s">
        <v>1228</v>
      </c>
      <c r="C77" s="301" t="s">
        <v>35</v>
      </c>
      <c r="D77" s="303">
        <v>127.52</v>
      </c>
    </row>
    <row r="78" spans="1:4">
      <c r="A78" s="302">
        <v>90720</v>
      </c>
      <c r="B78" s="301" t="s">
        <v>1229</v>
      </c>
      <c r="C78" s="301" t="s">
        <v>35</v>
      </c>
      <c r="D78" s="303">
        <v>177.96</v>
      </c>
    </row>
    <row r="79" spans="1:4">
      <c r="A79" s="302">
        <v>90721</v>
      </c>
      <c r="B79" s="301" t="s">
        <v>1230</v>
      </c>
      <c r="C79" s="301" t="s">
        <v>35</v>
      </c>
      <c r="D79" s="303">
        <v>215.22</v>
      </c>
    </row>
    <row r="80" spans="1:4">
      <c r="A80" s="302">
        <v>90723</v>
      </c>
      <c r="B80" s="301" t="s">
        <v>1231</v>
      </c>
      <c r="C80" s="301" t="s">
        <v>35</v>
      </c>
      <c r="D80" s="303">
        <v>564.70000000000005</v>
      </c>
    </row>
    <row r="81" spans="1:4">
      <c r="A81" s="302">
        <v>90724</v>
      </c>
      <c r="B81" s="301" t="s">
        <v>1232</v>
      </c>
      <c r="C81" s="301" t="s">
        <v>28</v>
      </c>
      <c r="D81" s="303">
        <v>18.12</v>
      </c>
    </row>
    <row r="82" spans="1:4">
      <c r="A82" s="302">
        <v>90725</v>
      </c>
      <c r="B82" s="301" t="s">
        <v>1233</v>
      </c>
      <c r="C82" s="301" t="s">
        <v>28</v>
      </c>
      <c r="D82" s="303">
        <v>22.41</v>
      </c>
    </row>
    <row r="83" spans="1:4">
      <c r="A83" s="302">
        <v>90726</v>
      </c>
      <c r="B83" s="301" t="s">
        <v>1234</v>
      </c>
      <c r="C83" s="301" t="s">
        <v>28</v>
      </c>
      <c r="D83" s="303">
        <v>26.69</v>
      </c>
    </row>
    <row r="84" spans="1:4">
      <c r="A84" s="302">
        <v>90727</v>
      </c>
      <c r="B84" s="301" t="s">
        <v>1235</v>
      </c>
      <c r="C84" s="301" t="s">
        <v>28</v>
      </c>
      <c r="D84" s="303">
        <v>30.98</v>
      </c>
    </row>
    <row r="85" spans="1:4">
      <c r="A85" s="302">
        <v>90728</v>
      </c>
      <c r="B85" s="301" t="s">
        <v>1236</v>
      </c>
      <c r="C85" s="301" t="s">
        <v>28</v>
      </c>
      <c r="D85" s="303">
        <v>35.26</v>
      </c>
    </row>
    <row r="86" spans="1:4">
      <c r="A86" s="302">
        <v>90729</v>
      </c>
      <c r="B86" s="301" t="s">
        <v>1237</v>
      </c>
      <c r="C86" s="301" t="s">
        <v>28</v>
      </c>
      <c r="D86" s="303">
        <v>39.54</v>
      </c>
    </row>
    <row r="87" spans="1:4">
      <c r="A87" s="302">
        <v>90730</v>
      </c>
      <c r="B87" s="301" t="s">
        <v>1238</v>
      </c>
      <c r="C87" s="301" t="s">
        <v>28</v>
      </c>
      <c r="D87" s="303">
        <v>43.87</v>
      </c>
    </row>
    <row r="88" spans="1:4">
      <c r="A88" s="302">
        <v>90731</v>
      </c>
      <c r="B88" s="301" t="s">
        <v>1239</v>
      </c>
      <c r="C88" s="301" t="s">
        <v>28</v>
      </c>
      <c r="D88" s="303">
        <v>48.16</v>
      </c>
    </row>
    <row r="89" spans="1:4">
      <c r="A89" s="302">
        <v>90732</v>
      </c>
      <c r="B89" s="301" t="s">
        <v>1240</v>
      </c>
      <c r="C89" s="301" t="s">
        <v>28</v>
      </c>
      <c r="D89" s="303">
        <v>61.01</v>
      </c>
    </row>
    <row r="90" spans="1:4">
      <c r="A90" s="302">
        <v>90733</v>
      </c>
      <c r="B90" s="301" t="s">
        <v>1241</v>
      </c>
      <c r="C90" s="301" t="s">
        <v>35</v>
      </c>
      <c r="D90" s="303">
        <v>1.94</v>
      </c>
    </row>
    <row r="91" spans="1:4">
      <c r="A91" s="302">
        <v>90734</v>
      </c>
      <c r="B91" s="301" t="s">
        <v>1242</v>
      </c>
      <c r="C91" s="301" t="s">
        <v>35</v>
      </c>
      <c r="D91" s="303">
        <v>2.36</v>
      </c>
    </row>
    <row r="92" spans="1:4">
      <c r="A92" s="302">
        <v>90735</v>
      </c>
      <c r="B92" s="301" t="s">
        <v>1243</v>
      </c>
      <c r="C92" s="301" t="s">
        <v>35</v>
      </c>
      <c r="D92" s="303">
        <v>2.8</v>
      </c>
    </row>
    <row r="93" spans="1:4">
      <c r="A93" s="302">
        <v>90736</v>
      </c>
      <c r="B93" s="301" t="s">
        <v>1244</v>
      </c>
      <c r="C93" s="301" t="s">
        <v>35</v>
      </c>
      <c r="D93" s="303">
        <v>3.24</v>
      </c>
    </row>
    <row r="94" spans="1:4">
      <c r="A94" s="302">
        <v>90737</v>
      </c>
      <c r="B94" s="301" t="s">
        <v>1245</v>
      </c>
      <c r="C94" s="301" t="s">
        <v>35</v>
      </c>
      <c r="D94" s="303">
        <v>3.67</v>
      </c>
    </row>
    <row r="95" spans="1:4">
      <c r="A95" s="302">
        <v>90738</v>
      </c>
      <c r="B95" s="301" t="s">
        <v>1246</v>
      </c>
      <c r="C95" s="301" t="s">
        <v>35</v>
      </c>
      <c r="D95" s="303">
        <v>4.0999999999999996</v>
      </c>
    </row>
    <row r="96" spans="1:4">
      <c r="A96" s="302">
        <v>90739</v>
      </c>
      <c r="B96" s="301" t="s">
        <v>1247</v>
      </c>
      <c r="C96" s="301" t="s">
        <v>35</v>
      </c>
      <c r="D96" s="303">
        <v>9.4700000000000006</v>
      </c>
    </row>
    <row r="97" spans="1:4">
      <c r="A97" s="302">
        <v>90740</v>
      </c>
      <c r="B97" s="301" t="s">
        <v>1248</v>
      </c>
      <c r="C97" s="301" t="s">
        <v>35</v>
      </c>
      <c r="D97" s="303">
        <v>4.32</v>
      </c>
    </row>
    <row r="98" spans="1:4">
      <c r="A98" s="302">
        <v>90741</v>
      </c>
      <c r="B98" s="301" t="s">
        <v>1249</v>
      </c>
      <c r="C98" s="301" t="s">
        <v>35</v>
      </c>
      <c r="D98" s="303">
        <v>4.75</v>
      </c>
    </row>
    <row r="99" spans="1:4">
      <c r="A99" s="302">
        <v>90742</v>
      </c>
      <c r="B99" s="301" t="s">
        <v>1250</v>
      </c>
      <c r="C99" s="301" t="s">
        <v>35</v>
      </c>
      <c r="D99" s="303">
        <v>5.18</v>
      </c>
    </row>
    <row r="100" spans="1:4">
      <c r="A100" s="302">
        <v>90743</v>
      </c>
      <c r="B100" s="301" t="s">
        <v>1251</v>
      </c>
      <c r="C100" s="301" t="s">
        <v>35</v>
      </c>
      <c r="D100" s="303">
        <v>5.62</v>
      </c>
    </row>
    <row r="101" spans="1:4">
      <c r="A101" s="302">
        <v>90744</v>
      </c>
      <c r="B101" s="301" t="s">
        <v>1252</v>
      </c>
      <c r="C101" s="301" t="s">
        <v>35</v>
      </c>
      <c r="D101" s="303">
        <v>6.06</v>
      </c>
    </row>
    <row r="102" spans="1:4">
      <c r="A102" s="302">
        <v>90745</v>
      </c>
      <c r="B102" s="301" t="s">
        <v>1253</v>
      </c>
      <c r="C102" s="301" t="s">
        <v>35</v>
      </c>
      <c r="D102" s="303">
        <v>13.55</v>
      </c>
    </row>
    <row r="103" spans="1:4">
      <c r="A103" s="302">
        <v>90746</v>
      </c>
      <c r="B103" s="301" t="s">
        <v>1254</v>
      </c>
      <c r="C103" s="301" t="s">
        <v>35</v>
      </c>
      <c r="D103" s="303">
        <v>2.63</v>
      </c>
    </row>
    <row r="104" spans="1:4">
      <c r="A104" s="302">
        <v>90747</v>
      </c>
      <c r="B104" s="301" t="s">
        <v>1255</v>
      </c>
      <c r="C104" s="301" t="s">
        <v>35</v>
      </c>
      <c r="D104" s="303">
        <v>10.4</v>
      </c>
    </row>
    <row r="105" spans="1:4">
      <c r="A105" s="302">
        <v>90748</v>
      </c>
      <c r="B105" s="301" t="s">
        <v>1256</v>
      </c>
      <c r="C105" s="301" t="s">
        <v>35</v>
      </c>
      <c r="D105" s="303">
        <v>3.47</v>
      </c>
    </row>
    <row r="106" spans="1:4">
      <c r="A106" s="302">
        <v>90749</v>
      </c>
      <c r="B106" s="301" t="s">
        <v>1257</v>
      </c>
      <c r="C106" s="301" t="s">
        <v>35</v>
      </c>
      <c r="D106" s="303">
        <v>3.91</v>
      </c>
    </row>
    <row r="107" spans="1:4">
      <c r="A107" s="302">
        <v>90750</v>
      </c>
      <c r="B107" s="301" t="s">
        <v>1258</v>
      </c>
      <c r="C107" s="301" t="s">
        <v>35</v>
      </c>
      <c r="D107" s="303">
        <v>4.34</v>
      </c>
    </row>
    <row r="108" spans="1:4">
      <c r="A108" s="302">
        <v>90751</v>
      </c>
      <c r="B108" s="301" t="s">
        <v>1259</v>
      </c>
      <c r="C108" s="301" t="s">
        <v>35</v>
      </c>
      <c r="D108" s="303">
        <v>4.7699999999999996</v>
      </c>
    </row>
    <row r="109" spans="1:4">
      <c r="A109" s="302">
        <v>90752</v>
      </c>
      <c r="B109" s="301" t="s">
        <v>1260</v>
      </c>
      <c r="C109" s="301" t="s">
        <v>35</v>
      </c>
      <c r="D109" s="303">
        <v>5.2</v>
      </c>
    </row>
    <row r="110" spans="1:4">
      <c r="A110" s="302">
        <v>90753</v>
      </c>
      <c r="B110" s="301" t="s">
        <v>1261</v>
      </c>
      <c r="C110" s="301" t="s">
        <v>35</v>
      </c>
      <c r="D110" s="303">
        <v>5.63</v>
      </c>
    </row>
    <row r="111" spans="1:4">
      <c r="A111" s="302">
        <v>90754</v>
      </c>
      <c r="B111" s="301" t="s">
        <v>1262</v>
      </c>
      <c r="C111" s="301" t="s">
        <v>35</v>
      </c>
      <c r="D111" s="303">
        <v>12.68</v>
      </c>
    </row>
    <row r="112" spans="1:4">
      <c r="A112" s="302">
        <v>90755</v>
      </c>
      <c r="B112" s="301" t="s">
        <v>1263</v>
      </c>
      <c r="C112" s="301" t="s">
        <v>35</v>
      </c>
      <c r="D112" s="303">
        <v>5.86</v>
      </c>
    </row>
    <row r="113" spans="1:4">
      <c r="A113" s="302">
        <v>90756</v>
      </c>
      <c r="B113" s="301" t="s">
        <v>1264</v>
      </c>
      <c r="C113" s="301" t="s">
        <v>35</v>
      </c>
      <c r="D113" s="303">
        <v>6.29</v>
      </c>
    </row>
    <row r="114" spans="1:4">
      <c r="A114" s="302">
        <v>90757</v>
      </c>
      <c r="B114" s="301" t="s">
        <v>1265</v>
      </c>
      <c r="C114" s="301" t="s">
        <v>35</v>
      </c>
      <c r="D114" s="303">
        <v>6.73</v>
      </c>
    </row>
    <row r="115" spans="1:4">
      <c r="A115" s="302">
        <v>90758</v>
      </c>
      <c r="B115" s="301" t="s">
        <v>1266</v>
      </c>
      <c r="C115" s="301" t="s">
        <v>35</v>
      </c>
      <c r="D115" s="303">
        <v>7.16</v>
      </c>
    </row>
    <row r="116" spans="1:4">
      <c r="A116" s="302">
        <v>90759</v>
      </c>
      <c r="B116" s="301" t="s">
        <v>1267</v>
      </c>
      <c r="C116" s="301" t="s">
        <v>35</v>
      </c>
      <c r="D116" s="303">
        <v>7.59</v>
      </c>
    </row>
    <row r="117" spans="1:4">
      <c r="A117" s="302">
        <v>90760</v>
      </c>
      <c r="B117" s="301" t="s">
        <v>1268</v>
      </c>
      <c r="C117" s="301" t="s">
        <v>35</v>
      </c>
      <c r="D117" s="303">
        <v>16.760000000000002</v>
      </c>
    </row>
    <row r="118" spans="1:4">
      <c r="A118" s="302">
        <v>90761</v>
      </c>
      <c r="B118" s="301" t="s">
        <v>1269</v>
      </c>
      <c r="C118" s="301" t="s">
        <v>35</v>
      </c>
      <c r="D118" s="303">
        <v>3.22</v>
      </c>
    </row>
    <row r="119" spans="1:4">
      <c r="A119" s="302">
        <v>90762</v>
      </c>
      <c r="B119" s="301" t="s">
        <v>1270</v>
      </c>
      <c r="C119" s="301" t="s">
        <v>35</v>
      </c>
      <c r="D119" s="303">
        <v>12.39</v>
      </c>
    </row>
    <row r="120" spans="1:4">
      <c r="A120" s="302">
        <v>94869</v>
      </c>
      <c r="B120" s="301" t="s">
        <v>1271</v>
      </c>
      <c r="C120" s="301" t="s">
        <v>35</v>
      </c>
      <c r="D120" s="303">
        <v>114.52</v>
      </c>
    </row>
    <row r="121" spans="1:4">
      <c r="A121" s="302">
        <v>94870</v>
      </c>
      <c r="B121" s="301" t="s">
        <v>1272</v>
      </c>
      <c r="C121" s="301" t="s">
        <v>35</v>
      </c>
      <c r="D121" s="303">
        <v>0.64</v>
      </c>
    </row>
    <row r="122" spans="1:4">
      <c r="A122" s="302">
        <v>94871</v>
      </c>
      <c r="B122" s="301" t="s">
        <v>1273</v>
      </c>
      <c r="C122" s="301" t="s">
        <v>35</v>
      </c>
      <c r="D122" s="303">
        <v>135.72</v>
      </c>
    </row>
    <row r="123" spans="1:4">
      <c r="A123" s="302">
        <v>94872</v>
      </c>
      <c r="B123" s="301" t="s">
        <v>1274</v>
      </c>
      <c r="C123" s="301" t="s">
        <v>35</v>
      </c>
      <c r="D123" s="303">
        <v>1.1200000000000001</v>
      </c>
    </row>
    <row r="124" spans="1:4">
      <c r="A124" s="302">
        <v>94875</v>
      </c>
      <c r="B124" s="301" t="s">
        <v>1275</v>
      </c>
      <c r="C124" s="301" t="s">
        <v>35</v>
      </c>
      <c r="D124" s="303">
        <v>795.32</v>
      </c>
    </row>
    <row r="125" spans="1:4">
      <c r="A125" s="302">
        <v>94876</v>
      </c>
      <c r="B125" s="301" t="s">
        <v>1276</v>
      </c>
      <c r="C125" s="301" t="s">
        <v>35</v>
      </c>
      <c r="D125" s="303">
        <v>15.74</v>
      </c>
    </row>
    <row r="126" spans="1:4">
      <c r="A126" s="302">
        <v>94878</v>
      </c>
      <c r="B126" s="301" t="s">
        <v>1277</v>
      </c>
      <c r="C126" s="301" t="s">
        <v>35</v>
      </c>
      <c r="D126" s="303">
        <v>18.489999999999998</v>
      </c>
    </row>
    <row r="127" spans="1:4">
      <c r="A127" s="302">
        <v>94879</v>
      </c>
      <c r="B127" s="301" t="s">
        <v>1278</v>
      </c>
      <c r="C127" s="301" t="s">
        <v>35</v>
      </c>
      <c r="D127" s="304">
        <v>1060.6400000000001</v>
      </c>
    </row>
    <row r="128" spans="1:4">
      <c r="A128" s="302">
        <v>94880</v>
      </c>
      <c r="B128" s="301" t="s">
        <v>1279</v>
      </c>
      <c r="C128" s="301" t="s">
        <v>35</v>
      </c>
      <c r="D128" s="303">
        <v>22.65</v>
      </c>
    </row>
    <row r="129" spans="1:4">
      <c r="A129" s="302">
        <v>94881</v>
      </c>
      <c r="B129" s="301" t="s">
        <v>1280</v>
      </c>
      <c r="C129" s="301" t="s">
        <v>35</v>
      </c>
      <c r="D129" s="304">
        <v>1652.93</v>
      </c>
    </row>
    <row r="130" spans="1:4">
      <c r="A130" s="302">
        <v>94882</v>
      </c>
      <c r="B130" s="301" t="s">
        <v>1281</v>
      </c>
      <c r="C130" s="301" t="s">
        <v>35</v>
      </c>
      <c r="D130" s="303">
        <v>26.85</v>
      </c>
    </row>
    <row r="131" spans="1:4">
      <c r="A131" s="302">
        <v>94884</v>
      </c>
      <c r="B131" s="301" t="s">
        <v>1282</v>
      </c>
      <c r="C131" s="301" t="s">
        <v>35</v>
      </c>
      <c r="D131" s="303">
        <v>35.4</v>
      </c>
    </row>
    <row r="132" spans="1:4">
      <c r="A132" s="302">
        <v>94885</v>
      </c>
      <c r="B132" s="301" t="s">
        <v>1283</v>
      </c>
      <c r="C132" s="301" t="s">
        <v>35</v>
      </c>
      <c r="D132" s="303">
        <v>114.71</v>
      </c>
    </row>
    <row r="133" spans="1:4">
      <c r="A133" s="302">
        <v>94886</v>
      </c>
      <c r="B133" s="301" t="s">
        <v>1284</v>
      </c>
      <c r="C133" s="301" t="s">
        <v>35</v>
      </c>
      <c r="D133" s="303">
        <v>0.83</v>
      </c>
    </row>
    <row r="134" spans="1:4">
      <c r="A134" s="302">
        <v>94887</v>
      </c>
      <c r="B134" s="301" t="s">
        <v>1285</v>
      </c>
      <c r="C134" s="301" t="s">
        <v>35</v>
      </c>
      <c r="D134" s="303">
        <v>136.03</v>
      </c>
    </row>
    <row r="135" spans="1:4">
      <c r="A135" s="302">
        <v>94888</v>
      </c>
      <c r="B135" s="301" t="s">
        <v>1286</v>
      </c>
      <c r="C135" s="301" t="s">
        <v>35</v>
      </c>
      <c r="D135" s="303">
        <v>1.43</v>
      </c>
    </row>
    <row r="136" spans="1:4">
      <c r="A136" s="302">
        <v>94891</v>
      </c>
      <c r="B136" s="301" t="s">
        <v>1287</v>
      </c>
      <c r="C136" s="301" t="s">
        <v>35</v>
      </c>
      <c r="D136" s="303">
        <v>797.87</v>
      </c>
    </row>
    <row r="137" spans="1:4">
      <c r="A137" s="302">
        <v>94892</v>
      </c>
      <c r="B137" s="301" t="s">
        <v>1288</v>
      </c>
      <c r="C137" s="301" t="s">
        <v>35</v>
      </c>
      <c r="D137" s="303">
        <v>18.29</v>
      </c>
    </row>
    <row r="138" spans="1:4">
      <c r="A138" s="302">
        <v>94894</v>
      </c>
      <c r="B138" s="301" t="s">
        <v>1289</v>
      </c>
      <c r="C138" s="301" t="s">
        <v>35</v>
      </c>
      <c r="D138" s="303">
        <v>21.25</v>
      </c>
    </row>
    <row r="139" spans="1:4">
      <c r="A139" s="302">
        <v>94895</v>
      </c>
      <c r="B139" s="301" t="s">
        <v>1290</v>
      </c>
      <c r="C139" s="301" t="s">
        <v>35</v>
      </c>
      <c r="D139" s="304">
        <v>1063.6600000000001</v>
      </c>
    </row>
    <row r="140" spans="1:4">
      <c r="A140" s="302">
        <v>94896</v>
      </c>
      <c r="B140" s="301" t="s">
        <v>1291</v>
      </c>
      <c r="C140" s="301" t="s">
        <v>35</v>
      </c>
      <c r="D140" s="303">
        <v>25.67</v>
      </c>
    </row>
    <row r="141" spans="1:4">
      <c r="A141" s="302">
        <v>94897</v>
      </c>
      <c r="B141" s="301" t="s">
        <v>1292</v>
      </c>
      <c r="C141" s="301" t="s">
        <v>35</v>
      </c>
      <c r="D141" s="304">
        <v>1656.19</v>
      </c>
    </row>
    <row r="142" spans="1:4">
      <c r="A142" s="302">
        <v>94898</v>
      </c>
      <c r="B142" s="301" t="s">
        <v>1293</v>
      </c>
      <c r="C142" s="301" t="s">
        <v>35</v>
      </c>
      <c r="D142" s="303">
        <v>30.11</v>
      </c>
    </row>
    <row r="143" spans="1:4">
      <c r="A143" s="302">
        <v>94900</v>
      </c>
      <c r="B143" s="301" t="s">
        <v>1294</v>
      </c>
      <c r="C143" s="301" t="s">
        <v>35</v>
      </c>
      <c r="D143" s="303">
        <v>38.97</v>
      </c>
    </row>
    <row r="144" spans="1:4">
      <c r="A144" s="302">
        <v>97121</v>
      </c>
      <c r="B144" s="301" t="s">
        <v>1295</v>
      </c>
      <c r="C144" s="301" t="s">
        <v>35</v>
      </c>
      <c r="D144" s="303">
        <v>1.48</v>
      </c>
    </row>
    <row r="145" spans="1:4">
      <c r="A145" s="302">
        <v>97122</v>
      </c>
      <c r="B145" s="301" t="s">
        <v>1296</v>
      </c>
      <c r="C145" s="301" t="s">
        <v>35</v>
      </c>
      <c r="D145" s="303">
        <v>2.0699999999999998</v>
      </c>
    </row>
    <row r="146" spans="1:4">
      <c r="A146" s="302">
        <v>97123</v>
      </c>
      <c r="B146" s="301" t="s">
        <v>1297</v>
      </c>
      <c r="C146" s="301" t="s">
        <v>35</v>
      </c>
      <c r="D146" s="303">
        <v>2.62</v>
      </c>
    </row>
    <row r="147" spans="1:4">
      <c r="A147" s="302">
        <v>97124</v>
      </c>
      <c r="B147" s="301" t="s">
        <v>1298</v>
      </c>
      <c r="C147" s="301" t="s">
        <v>35</v>
      </c>
      <c r="D147" s="303">
        <v>0.68</v>
      </c>
    </row>
    <row r="148" spans="1:4">
      <c r="A148" s="302">
        <v>97125</v>
      </c>
      <c r="B148" s="301" t="s">
        <v>1299</v>
      </c>
      <c r="C148" s="301" t="s">
        <v>35</v>
      </c>
      <c r="D148" s="303">
        <v>0.96</v>
      </c>
    </row>
    <row r="149" spans="1:4">
      <c r="A149" s="302">
        <v>97126</v>
      </c>
      <c r="B149" s="301" t="s">
        <v>1300</v>
      </c>
      <c r="C149" s="301" t="s">
        <v>35</v>
      </c>
      <c r="D149" s="303">
        <v>1.22</v>
      </c>
    </row>
    <row r="150" spans="1:4">
      <c r="A150" s="302">
        <v>92833</v>
      </c>
      <c r="B150" s="301" t="s">
        <v>1301</v>
      </c>
      <c r="C150" s="301" t="s">
        <v>35</v>
      </c>
      <c r="D150" s="303">
        <v>141.13999999999999</v>
      </c>
    </row>
    <row r="151" spans="1:4">
      <c r="A151" s="302">
        <v>92834</v>
      </c>
      <c r="B151" s="301" t="s">
        <v>1302</v>
      </c>
      <c r="C151" s="301" t="s">
        <v>35</v>
      </c>
      <c r="D151" s="303">
        <v>5.75</v>
      </c>
    </row>
    <row r="152" spans="1:4">
      <c r="A152" s="302">
        <v>92835</v>
      </c>
      <c r="B152" s="301" t="s">
        <v>1303</v>
      </c>
      <c r="C152" s="301" t="s">
        <v>35</v>
      </c>
      <c r="D152" s="303">
        <v>184.93</v>
      </c>
    </row>
    <row r="153" spans="1:4">
      <c r="A153" s="302">
        <v>92836</v>
      </c>
      <c r="B153" s="301" t="s">
        <v>1304</v>
      </c>
      <c r="C153" s="301" t="s">
        <v>35</v>
      </c>
      <c r="D153" s="303">
        <v>7.36</v>
      </c>
    </row>
    <row r="154" spans="1:4">
      <c r="A154" s="302">
        <v>92837</v>
      </c>
      <c r="B154" s="301" t="s">
        <v>1305</v>
      </c>
      <c r="C154" s="301" t="s">
        <v>35</v>
      </c>
      <c r="D154" s="303">
        <v>233.21</v>
      </c>
    </row>
    <row r="155" spans="1:4">
      <c r="A155" s="302">
        <v>92838</v>
      </c>
      <c r="B155" s="301" t="s">
        <v>1306</v>
      </c>
      <c r="C155" s="301" t="s">
        <v>35</v>
      </c>
      <c r="D155" s="303">
        <v>8.84</v>
      </c>
    </row>
    <row r="156" spans="1:4">
      <c r="A156" s="302">
        <v>92839</v>
      </c>
      <c r="B156" s="301" t="s">
        <v>1307</v>
      </c>
      <c r="C156" s="301" t="s">
        <v>35</v>
      </c>
      <c r="D156" s="303">
        <v>305.45999999999998</v>
      </c>
    </row>
    <row r="157" spans="1:4">
      <c r="A157" s="302">
        <v>92840</v>
      </c>
      <c r="B157" s="301" t="s">
        <v>1308</v>
      </c>
      <c r="C157" s="301" t="s">
        <v>35</v>
      </c>
      <c r="D157" s="303">
        <v>10.47</v>
      </c>
    </row>
    <row r="158" spans="1:4">
      <c r="A158" s="302">
        <v>92841</v>
      </c>
      <c r="B158" s="301" t="s">
        <v>1309</v>
      </c>
      <c r="C158" s="301" t="s">
        <v>35</v>
      </c>
      <c r="D158" s="303">
        <v>345.06</v>
      </c>
    </row>
    <row r="159" spans="1:4">
      <c r="A159" s="302">
        <v>92842</v>
      </c>
      <c r="B159" s="301" t="s">
        <v>1310</v>
      </c>
      <c r="C159" s="301" t="s">
        <v>35</v>
      </c>
      <c r="D159" s="303">
        <v>11.96</v>
      </c>
    </row>
    <row r="160" spans="1:4">
      <c r="A160" s="302">
        <v>92844</v>
      </c>
      <c r="B160" s="301" t="s">
        <v>1311</v>
      </c>
      <c r="C160" s="301" t="s">
        <v>35</v>
      </c>
      <c r="D160" s="303">
        <v>13.59</v>
      </c>
    </row>
    <row r="161" spans="1:4">
      <c r="A161" s="302">
        <v>92846</v>
      </c>
      <c r="B161" s="301" t="s">
        <v>1312</v>
      </c>
      <c r="C161" s="301" t="s">
        <v>35</v>
      </c>
      <c r="D161" s="303">
        <v>15.07</v>
      </c>
    </row>
    <row r="162" spans="1:4">
      <c r="A162" s="302">
        <v>92847</v>
      </c>
      <c r="B162" s="301" t="s">
        <v>1313</v>
      </c>
      <c r="C162" s="301" t="s">
        <v>35</v>
      </c>
      <c r="D162" s="303">
        <v>599.14</v>
      </c>
    </row>
    <row r="163" spans="1:4">
      <c r="A163" s="302">
        <v>92848</v>
      </c>
      <c r="B163" s="301" t="s">
        <v>1314</v>
      </c>
      <c r="C163" s="301" t="s">
        <v>35</v>
      </c>
      <c r="D163" s="303">
        <v>16.71</v>
      </c>
    </row>
    <row r="164" spans="1:4">
      <c r="A164" s="302">
        <v>92849</v>
      </c>
      <c r="B164" s="301" t="s">
        <v>1315</v>
      </c>
      <c r="C164" s="301" t="s">
        <v>35</v>
      </c>
      <c r="D164" s="303">
        <v>146.19999999999999</v>
      </c>
    </row>
    <row r="165" spans="1:4">
      <c r="A165" s="302">
        <v>92850</v>
      </c>
      <c r="B165" s="301" t="s">
        <v>1316</v>
      </c>
      <c r="C165" s="301" t="s">
        <v>35</v>
      </c>
      <c r="D165" s="303">
        <v>10.89</v>
      </c>
    </row>
    <row r="166" spans="1:4">
      <c r="A166" s="302">
        <v>92851</v>
      </c>
      <c r="B166" s="301" t="s">
        <v>1317</v>
      </c>
      <c r="C166" s="301" t="s">
        <v>35</v>
      </c>
      <c r="D166" s="303">
        <v>191.26</v>
      </c>
    </row>
    <row r="167" spans="1:4">
      <c r="A167" s="302">
        <v>92852</v>
      </c>
      <c r="B167" s="301" t="s">
        <v>1318</v>
      </c>
      <c r="C167" s="301" t="s">
        <v>35</v>
      </c>
      <c r="D167" s="303">
        <v>13.78</v>
      </c>
    </row>
    <row r="168" spans="1:4">
      <c r="A168" s="302">
        <v>92853</v>
      </c>
      <c r="B168" s="301" t="s">
        <v>1319</v>
      </c>
      <c r="C168" s="301" t="s">
        <v>35</v>
      </c>
      <c r="D168" s="303">
        <v>241.03</v>
      </c>
    </row>
    <row r="169" spans="1:4">
      <c r="A169" s="302">
        <v>92854</v>
      </c>
      <c r="B169" s="301" t="s">
        <v>1320</v>
      </c>
      <c r="C169" s="301" t="s">
        <v>35</v>
      </c>
      <c r="D169" s="303">
        <v>16.78</v>
      </c>
    </row>
    <row r="170" spans="1:4">
      <c r="A170" s="302">
        <v>92855</v>
      </c>
      <c r="B170" s="301" t="s">
        <v>1321</v>
      </c>
      <c r="C170" s="301" t="s">
        <v>35</v>
      </c>
      <c r="D170" s="303">
        <v>314.61</v>
      </c>
    </row>
    <row r="171" spans="1:4">
      <c r="A171" s="302">
        <v>92856</v>
      </c>
      <c r="B171" s="301" t="s">
        <v>1322</v>
      </c>
      <c r="C171" s="301" t="s">
        <v>35</v>
      </c>
      <c r="D171" s="303">
        <v>19.760000000000002</v>
      </c>
    </row>
    <row r="172" spans="1:4">
      <c r="A172" s="302">
        <v>92857</v>
      </c>
      <c r="B172" s="301" t="s">
        <v>1323</v>
      </c>
      <c r="C172" s="301" t="s">
        <v>35</v>
      </c>
      <c r="D172" s="303">
        <v>355.57</v>
      </c>
    </row>
    <row r="173" spans="1:4">
      <c r="A173" s="302">
        <v>92858</v>
      </c>
      <c r="B173" s="301" t="s">
        <v>1324</v>
      </c>
      <c r="C173" s="301" t="s">
        <v>35</v>
      </c>
      <c r="D173" s="303">
        <v>22.64</v>
      </c>
    </row>
    <row r="174" spans="1:4">
      <c r="A174" s="302">
        <v>92860</v>
      </c>
      <c r="B174" s="301" t="s">
        <v>1325</v>
      </c>
      <c r="C174" s="301" t="s">
        <v>35</v>
      </c>
      <c r="D174" s="303">
        <v>25.69</v>
      </c>
    </row>
    <row r="175" spans="1:4">
      <c r="A175" s="302">
        <v>92862</v>
      </c>
      <c r="B175" s="301" t="s">
        <v>1326</v>
      </c>
      <c r="C175" s="301" t="s">
        <v>35</v>
      </c>
      <c r="D175" s="303">
        <v>28.68</v>
      </c>
    </row>
    <row r="176" spans="1:4">
      <c r="A176" s="302">
        <v>92863</v>
      </c>
      <c r="B176" s="301" t="s">
        <v>1327</v>
      </c>
      <c r="C176" s="301" t="s">
        <v>35</v>
      </c>
      <c r="D176" s="303">
        <v>613.88</v>
      </c>
    </row>
    <row r="177" spans="1:4">
      <c r="A177" s="302">
        <v>92864</v>
      </c>
      <c r="B177" s="301" t="s">
        <v>1328</v>
      </c>
      <c r="C177" s="301" t="s">
        <v>35</v>
      </c>
      <c r="D177" s="303">
        <v>31.67</v>
      </c>
    </row>
    <row r="178" spans="1:4">
      <c r="A178" s="302">
        <v>92210</v>
      </c>
      <c r="B178" s="301" t="s">
        <v>1329</v>
      </c>
      <c r="C178" s="301" t="s">
        <v>35</v>
      </c>
      <c r="D178" s="303">
        <v>105.56</v>
      </c>
    </row>
    <row r="179" spans="1:4">
      <c r="A179" s="302">
        <v>92211</v>
      </c>
      <c r="B179" s="301" t="s">
        <v>1330</v>
      </c>
      <c r="C179" s="301" t="s">
        <v>35</v>
      </c>
      <c r="D179" s="303">
        <v>135.96</v>
      </c>
    </row>
    <row r="180" spans="1:4">
      <c r="A180" s="302">
        <v>92212</v>
      </c>
      <c r="B180" s="301" t="s">
        <v>1331</v>
      </c>
      <c r="C180" s="301" t="s">
        <v>35</v>
      </c>
      <c r="D180" s="303">
        <v>174.56</v>
      </c>
    </row>
    <row r="181" spans="1:4">
      <c r="A181" s="302">
        <v>92213</v>
      </c>
      <c r="B181" s="301" t="s">
        <v>1332</v>
      </c>
      <c r="C181" s="301" t="s">
        <v>35</v>
      </c>
      <c r="D181" s="303">
        <v>233.16</v>
      </c>
    </row>
    <row r="182" spans="1:4">
      <c r="A182" s="302">
        <v>92214</v>
      </c>
      <c r="B182" s="301" t="s">
        <v>1333</v>
      </c>
      <c r="C182" s="301" t="s">
        <v>35</v>
      </c>
      <c r="D182" s="303">
        <v>266.01</v>
      </c>
    </row>
    <row r="183" spans="1:4">
      <c r="A183" s="302">
        <v>92215</v>
      </c>
      <c r="B183" s="301" t="s">
        <v>1334</v>
      </c>
      <c r="C183" s="301" t="s">
        <v>35</v>
      </c>
      <c r="D183" s="303">
        <v>322.69</v>
      </c>
    </row>
    <row r="184" spans="1:4">
      <c r="A184" s="302">
        <v>92216</v>
      </c>
      <c r="B184" s="301" t="s">
        <v>1335</v>
      </c>
      <c r="C184" s="301" t="s">
        <v>35</v>
      </c>
      <c r="D184" s="303">
        <v>361.57</v>
      </c>
    </row>
    <row r="185" spans="1:4">
      <c r="A185" s="302">
        <v>92219</v>
      </c>
      <c r="B185" s="301" t="s">
        <v>1336</v>
      </c>
      <c r="C185" s="301" t="s">
        <v>35</v>
      </c>
      <c r="D185" s="303">
        <v>111.99</v>
      </c>
    </row>
    <row r="186" spans="1:4">
      <c r="A186" s="302">
        <v>92220</v>
      </c>
      <c r="B186" s="301" t="s">
        <v>1337</v>
      </c>
      <c r="C186" s="301" t="s">
        <v>35</v>
      </c>
      <c r="D186" s="303">
        <v>143.9</v>
      </c>
    </row>
    <row r="187" spans="1:4">
      <c r="A187" s="302">
        <v>92221</v>
      </c>
      <c r="B187" s="301" t="s">
        <v>1338</v>
      </c>
      <c r="C187" s="301" t="s">
        <v>35</v>
      </c>
      <c r="D187" s="303">
        <v>183.87</v>
      </c>
    </row>
    <row r="188" spans="1:4">
      <c r="A188" s="302">
        <v>92222</v>
      </c>
      <c r="B188" s="301" t="s">
        <v>1339</v>
      </c>
      <c r="C188" s="301" t="s">
        <v>35</v>
      </c>
      <c r="D188" s="303">
        <v>243.97</v>
      </c>
    </row>
    <row r="189" spans="1:4">
      <c r="A189" s="302">
        <v>92223</v>
      </c>
      <c r="B189" s="301" t="s">
        <v>1340</v>
      </c>
      <c r="C189" s="301" t="s">
        <v>35</v>
      </c>
      <c r="D189" s="303">
        <v>278.12</v>
      </c>
    </row>
    <row r="190" spans="1:4">
      <c r="A190" s="302">
        <v>92224</v>
      </c>
      <c r="B190" s="301" t="s">
        <v>1341</v>
      </c>
      <c r="C190" s="301" t="s">
        <v>35</v>
      </c>
      <c r="D190" s="303">
        <v>336.14</v>
      </c>
    </row>
    <row r="191" spans="1:4">
      <c r="A191" s="302">
        <v>92226</v>
      </c>
      <c r="B191" s="301" t="s">
        <v>1342</v>
      </c>
      <c r="C191" s="301" t="s">
        <v>35</v>
      </c>
      <c r="D191" s="303">
        <v>376.59</v>
      </c>
    </row>
    <row r="192" spans="1:4">
      <c r="A192" s="302">
        <v>92808</v>
      </c>
      <c r="B192" s="301" t="s">
        <v>1343</v>
      </c>
      <c r="C192" s="301" t="s">
        <v>35</v>
      </c>
      <c r="D192" s="303">
        <v>26.01</v>
      </c>
    </row>
    <row r="193" spans="1:4">
      <c r="A193" s="302">
        <v>92809</v>
      </c>
      <c r="B193" s="301" t="s">
        <v>1344</v>
      </c>
      <c r="C193" s="301" t="s">
        <v>35</v>
      </c>
      <c r="D193" s="303">
        <v>33.39</v>
      </c>
    </row>
    <row r="194" spans="1:4">
      <c r="A194" s="302">
        <v>92810</v>
      </c>
      <c r="B194" s="301" t="s">
        <v>1345</v>
      </c>
      <c r="C194" s="301" t="s">
        <v>35</v>
      </c>
      <c r="D194" s="303">
        <v>40.67</v>
      </c>
    </row>
    <row r="195" spans="1:4">
      <c r="A195" s="302">
        <v>92811</v>
      </c>
      <c r="B195" s="301" t="s">
        <v>1346</v>
      </c>
      <c r="C195" s="301" t="s">
        <v>35</v>
      </c>
      <c r="D195" s="303">
        <v>48.49</v>
      </c>
    </row>
    <row r="196" spans="1:4">
      <c r="A196" s="302">
        <v>92812</v>
      </c>
      <c r="B196" s="301" t="s">
        <v>1347</v>
      </c>
      <c r="C196" s="301" t="s">
        <v>35</v>
      </c>
      <c r="D196" s="303">
        <v>56.21</v>
      </c>
    </row>
    <row r="197" spans="1:4">
      <c r="A197" s="302">
        <v>92813</v>
      </c>
      <c r="B197" s="301" t="s">
        <v>1348</v>
      </c>
      <c r="C197" s="301" t="s">
        <v>35</v>
      </c>
      <c r="D197" s="303">
        <v>65.349999999999994</v>
      </c>
    </row>
    <row r="198" spans="1:4">
      <c r="A198" s="302">
        <v>92814</v>
      </c>
      <c r="B198" s="301" t="s">
        <v>1349</v>
      </c>
      <c r="C198" s="301" t="s">
        <v>35</v>
      </c>
      <c r="D198" s="303">
        <v>74.95</v>
      </c>
    </row>
    <row r="199" spans="1:4">
      <c r="A199" s="302">
        <v>92815</v>
      </c>
      <c r="B199" s="301" t="s">
        <v>1350</v>
      </c>
      <c r="C199" s="301" t="s">
        <v>35</v>
      </c>
      <c r="D199" s="303">
        <v>86.13</v>
      </c>
    </row>
    <row r="200" spans="1:4">
      <c r="A200" s="302">
        <v>92816</v>
      </c>
      <c r="B200" s="301" t="s">
        <v>1351</v>
      </c>
      <c r="C200" s="301" t="s">
        <v>35</v>
      </c>
      <c r="D200" s="303">
        <v>498.13</v>
      </c>
    </row>
    <row r="201" spans="1:4">
      <c r="A201" s="302">
        <v>92817</v>
      </c>
      <c r="B201" s="301" t="s">
        <v>1352</v>
      </c>
      <c r="C201" s="301" t="s">
        <v>35</v>
      </c>
      <c r="D201" s="303">
        <v>107.78</v>
      </c>
    </row>
    <row r="202" spans="1:4">
      <c r="A202" s="302">
        <v>92818</v>
      </c>
      <c r="B202" s="301" t="s">
        <v>1353</v>
      </c>
      <c r="C202" s="301" t="s">
        <v>35</v>
      </c>
      <c r="D202" s="303">
        <v>725.71</v>
      </c>
    </row>
    <row r="203" spans="1:4">
      <c r="A203" s="302">
        <v>92819</v>
      </c>
      <c r="B203" s="301" t="s">
        <v>1354</v>
      </c>
      <c r="C203" s="301" t="s">
        <v>35</v>
      </c>
      <c r="D203" s="303">
        <v>145.09</v>
      </c>
    </row>
    <row r="204" spans="1:4">
      <c r="A204" s="302">
        <v>92820</v>
      </c>
      <c r="B204" s="301" t="s">
        <v>1355</v>
      </c>
      <c r="C204" s="301" t="s">
        <v>35</v>
      </c>
      <c r="D204" s="303">
        <v>31.03</v>
      </c>
    </row>
    <row r="205" spans="1:4">
      <c r="A205" s="302">
        <v>92821</v>
      </c>
      <c r="B205" s="301" t="s">
        <v>1356</v>
      </c>
      <c r="C205" s="301" t="s">
        <v>35</v>
      </c>
      <c r="D205" s="303">
        <v>39.82</v>
      </c>
    </row>
    <row r="206" spans="1:4">
      <c r="A206" s="302">
        <v>92822</v>
      </c>
      <c r="B206" s="301" t="s">
        <v>1357</v>
      </c>
      <c r="C206" s="301" t="s">
        <v>35</v>
      </c>
      <c r="D206" s="303">
        <v>48.61</v>
      </c>
    </row>
    <row r="207" spans="1:4">
      <c r="A207" s="302">
        <v>92824</v>
      </c>
      <c r="B207" s="301" t="s">
        <v>1358</v>
      </c>
      <c r="C207" s="301" t="s">
        <v>35</v>
      </c>
      <c r="D207" s="303">
        <v>57.8</v>
      </c>
    </row>
    <row r="208" spans="1:4">
      <c r="A208" s="302">
        <v>92825</v>
      </c>
      <c r="B208" s="301" t="s">
        <v>1359</v>
      </c>
      <c r="C208" s="301" t="s">
        <v>35</v>
      </c>
      <c r="D208" s="303">
        <v>67.02</v>
      </c>
    </row>
    <row r="209" spans="1:4">
      <c r="A209" s="302">
        <v>92826</v>
      </c>
      <c r="B209" s="301" t="s">
        <v>1360</v>
      </c>
      <c r="C209" s="301" t="s">
        <v>35</v>
      </c>
      <c r="D209" s="303">
        <v>77.459999999999994</v>
      </c>
    </row>
    <row r="210" spans="1:4">
      <c r="A210" s="302">
        <v>92827</v>
      </c>
      <c r="B210" s="301" t="s">
        <v>1361</v>
      </c>
      <c r="C210" s="301" t="s">
        <v>35</v>
      </c>
      <c r="D210" s="303">
        <v>88.4</v>
      </c>
    </row>
    <row r="211" spans="1:4">
      <c r="A211" s="302">
        <v>92828</v>
      </c>
      <c r="B211" s="301" t="s">
        <v>1362</v>
      </c>
      <c r="C211" s="301" t="s">
        <v>35</v>
      </c>
      <c r="D211" s="303">
        <v>101.15</v>
      </c>
    </row>
    <row r="212" spans="1:4">
      <c r="A212" s="302">
        <v>92829</v>
      </c>
      <c r="B212" s="301" t="s">
        <v>1363</v>
      </c>
      <c r="C212" s="301" t="s">
        <v>35</v>
      </c>
      <c r="D212" s="303">
        <v>515.84</v>
      </c>
    </row>
    <row r="213" spans="1:4">
      <c r="A213" s="302">
        <v>92830</v>
      </c>
      <c r="B213" s="301" t="s">
        <v>1364</v>
      </c>
      <c r="C213" s="301" t="s">
        <v>35</v>
      </c>
      <c r="D213" s="303">
        <v>125.49</v>
      </c>
    </row>
    <row r="214" spans="1:4">
      <c r="A214" s="302">
        <v>92831</v>
      </c>
      <c r="B214" s="301" t="s">
        <v>1365</v>
      </c>
      <c r="C214" s="301" t="s">
        <v>35</v>
      </c>
      <c r="D214" s="303">
        <v>747.43</v>
      </c>
    </row>
    <row r="215" spans="1:4">
      <c r="A215" s="302">
        <v>92832</v>
      </c>
      <c r="B215" s="301" t="s">
        <v>1366</v>
      </c>
      <c r="C215" s="301" t="s">
        <v>35</v>
      </c>
      <c r="D215" s="303">
        <v>166.81</v>
      </c>
    </row>
    <row r="216" spans="1:4">
      <c r="A216" s="302">
        <v>95565</v>
      </c>
      <c r="B216" s="301" t="s">
        <v>1367</v>
      </c>
      <c r="C216" s="301" t="s">
        <v>35</v>
      </c>
      <c r="D216" s="303">
        <v>93.9</v>
      </c>
    </row>
    <row r="217" spans="1:4">
      <c r="A217" s="302">
        <v>95566</v>
      </c>
      <c r="B217" s="301" t="s">
        <v>1368</v>
      </c>
      <c r="C217" s="301" t="s">
        <v>35</v>
      </c>
      <c r="D217" s="303">
        <v>98.85</v>
      </c>
    </row>
    <row r="218" spans="1:4">
      <c r="A218" s="302">
        <v>95567</v>
      </c>
      <c r="B218" s="301" t="s">
        <v>1369</v>
      </c>
      <c r="C218" s="301" t="s">
        <v>35</v>
      </c>
      <c r="D218" s="303">
        <v>55.49</v>
      </c>
    </row>
    <row r="219" spans="1:4">
      <c r="A219" s="302">
        <v>95568</v>
      </c>
      <c r="B219" s="301" t="s">
        <v>1370</v>
      </c>
      <c r="C219" s="301" t="s">
        <v>35</v>
      </c>
      <c r="D219" s="303">
        <v>72.36</v>
      </c>
    </row>
    <row r="220" spans="1:4">
      <c r="A220" s="302">
        <v>95569</v>
      </c>
      <c r="B220" s="301" t="s">
        <v>1371</v>
      </c>
      <c r="C220" s="301" t="s">
        <v>35</v>
      </c>
      <c r="D220" s="303">
        <v>97.27</v>
      </c>
    </row>
    <row r="221" spans="1:4">
      <c r="A221" s="302">
        <v>95570</v>
      </c>
      <c r="B221" s="301" t="s">
        <v>1372</v>
      </c>
      <c r="C221" s="301" t="s">
        <v>35</v>
      </c>
      <c r="D221" s="303">
        <v>60.44</v>
      </c>
    </row>
    <row r="222" spans="1:4">
      <c r="A222" s="302">
        <v>95571</v>
      </c>
      <c r="B222" s="301" t="s">
        <v>1373</v>
      </c>
      <c r="C222" s="301" t="s">
        <v>35</v>
      </c>
      <c r="D222" s="303">
        <v>78.7</v>
      </c>
    </row>
    <row r="223" spans="1:4">
      <c r="A223" s="302">
        <v>95572</v>
      </c>
      <c r="B223" s="301" t="s">
        <v>1374</v>
      </c>
      <c r="C223" s="301" t="s">
        <v>35</v>
      </c>
      <c r="D223" s="303">
        <v>105.09</v>
      </c>
    </row>
    <row r="224" spans="1:4">
      <c r="A224" s="302">
        <v>73606</v>
      </c>
      <c r="B224" s="301" t="s">
        <v>12384</v>
      </c>
      <c r="C224" s="301" t="s">
        <v>28</v>
      </c>
      <c r="D224" s="303">
        <v>121.2</v>
      </c>
    </row>
    <row r="225" spans="1:4">
      <c r="A225" s="302">
        <v>73607</v>
      </c>
      <c r="B225" s="301" t="s">
        <v>12385</v>
      </c>
      <c r="C225" s="301" t="s">
        <v>28</v>
      </c>
      <c r="D225" s="303">
        <v>80.8</v>
      </c>
    </row>
    <row r="226" spans="1:4">
      <c r="A226" s="302">
        <v>83623</v>
      </c>
      <c r="B226" s="301" t="s">
        <v>12386</v>
      </c>
      <c r="C226" s="301" t="s">
        <v>35</v>
      </c>
      <c r="D226" s="303">
        <v>196.97</v>
      </c>
    </row>
    <row r="227" spans="1:4">
      <c r="A227" s="302">
        <v>83624</v>
      </c>
      <c r="B227" s="301" t="s">
        <v>12387</v>
      </c>
      <c r="C227" s="301" t="s">
        <v>35</v>
      </c>
      <c r="D227" s="303">
        <v>138.86000000000001</v>
      </c>
    </row>
    <row r="228" spans="1:4">
      <c r="A228" s="302">
        <v>83626</v>
      </c>
      <c r="B228" s="301" t="s">
        <v>12388</v>
      </c>
      <c r="C228" s="301" t="s">
        <v>35</v>
      </c>
      <c r="D228" s="303">
        <v>109.81</v>
      </c>
    </row>
    <row r="229" spans="1:4">
      <c r="A229" s="302">
        <v>83627</v>
      </c>
      <c r="B229" s="301" t="s">
        <v>12389</v>
      </c>
      <c r="C229" s="301" t="s">
        <v>28</v>
      </c>
      <c r="D229" s="303">
        <v>390.28</v>
      </c>
    </row>
    <row r="230" spans="1:4">
      <c r="A230" s="302">
        <v>83724</v>
      </c>
      <c r="B230" s="301" t="s">
        <v>12390</v>
      </c>
      <c r="C230" s="301" t="s">
        <v>34</v>
      </c>
      <c r="D230" s="303">
        <v>1.4</v>
      </c>
    </row>
    <row r="231" spans="1:4">
      <c r="A231" s="302">
        <v>83725</v>
      </c>
      <c r="B231" s="301" t="s">
        <v>12391</v>
      </c>
      <c r="C231" s="301" t="s">
        <v>34</v>
      </c>
      <c r="D231" s="303">
        <v>0.96</v>
      </c>
    </row>
    <row r="232" spans="1:4">
      <c r="A232" s="302">
        <v>83726</v>
      </c>
      <c r="B232" s="301" t="s">
        <v>12392</v>
      </c>
      <c r="C232" s="301" t="s">
        <v>34</v>
      </c>
      <c r="D232" s="303">
        <v>0.69</v>
      </c>
    </row>
    <row r="233" spans="1:4">
      <c r="A233" s="302">
        <v>97127</v>
      </c>
      <c r="B233" s="301" t="s">
        <v>1375</v>
      </c>
      <c r="C233" s="301" t="s">
        <v>35</v>
      </c>
      <c r="D233" s="303">
        <v>3.77</v>
      </c>
    </row>
    <row r="234" spans="1:4">
      <c r="A234" s="302">
        <v>97128</v>
      </c>
      <c r="B234" s="301" t="s">
        <v>1376</v>
      </c>
      <c r="C234" s="301" t="s">
        <v>35</v>
      </c>
      <c r="D234" s="303">
        <v>7.05</v>
      </c>
    </row>
    <row r="235" spans="1:4">
      <c r="A235" s="302">
        <v>97129</v>
      </c>
      <c r="B235" s="301" t="s">
        <v>1377</v>
      </c>
      <c r="C235" s="301" t="s">
        <v>35</v>
      </c>
      <c r="D235" s="303">
        <v>8.67</v>
      </c>
    </row>
    <row r="236" spans="1:4">
      <c r="A236" s="302">
        <v>97130</v>
      </c>
      <c r="B236" s="301" t="s">
        <v>1378</v>
      </c>
      <c r="C236" s="301" t="s">
        <v>35</v>
      </c>
      <c r="D236" s="303">
        <v>10.29</v>
      </c>
    </row>
    <row r="237" spans="1:4">
      <c r="A237" s="302">
        <v>97131</v>
      </c>
      <c r="B237" s="301" t="s">
        <v>1379</v>
      </c>
      <c r="C237" s="301" t="s">
        <v>35</v>
      </c>
      <c r="D237" s="303">
        <v>11.91</v>
      </c>
    </row>
    <row r="238" spans="1:4">
      <c r="A238" s="302">
        <v>97132</v>
      </c>
      <c r="B238" s="301" t="s">
        <v>1380</v>
      </c>
      <c r="C238" s="301" t="s">
        <v>35</v>
      </c>
      <c r="D238" s="303">
        <v>13.52</v>
      </c>
    </row>
    <row r="239" spans="1:4">
      <c r="A239" s="302">
        <v>97133</v>
      </c>
      <c r="B239" s="301" t="s">
        <v>1381</v>
      </c>
      <c r="C239" s="301" t="s">
        <v>35</v>
      </c>
      <c r="D239" s="303">
        <v>16.77</v>
      </c>
    </row>
    <row r="240" spans="1:4">
      <c r="A240" s="302">
        <v>97134</v>
      </c>
      <c r="B240" s="301" t="s">
        <v>1382</v>
      </c>
      <c r="C240" s="301" t="s">
        <v>35</v>
      </c>
      <c r="D240" s="303">
        <v>1.77</v>
      </c>
    </row>
    <row r="241" spans="1:4">
      <c r="A241" s="302">
        <v>97135</v>
      </c>
      <c r="B241" s="301" t="s">
        <v>1383</v>
      </c>
      <c r="C241" s="301" t="s">
        <v>35</v>
      </c>
      <c r="D241" s="303">
        <v>3.61</v>
      </c>
    </row>
    <row r="242" spans="1:4">
      <c r="A242" s="302">
        <v>97136</v>
      </c>
      <c r="B242" s="301" t="s">
        <v>1384</v>
      </c>
      <c r="C242" s="301" t="s">
        <v>35</v>
      </c>
      <c r="D242" s="303">
        <v>4.45</v>
      </c>
    </row>
    <row r="243" spans="1:4">
      <c r="A243" s="302">
        <v>97137</v>
      </c>
      <c r="B243" s="301" t="s">
        <v>1385</v>
      </c>
      <c r="C243" s="301" t="s">
        <v>35</v>
      </c>
      <c r="D243" s="303">
        <v>5.29</v>
      </c>
    </row>
    <row r="244" spans="1:4">
      <c r="A244" s="302">
        <v>97138</v>
      </c>
      <c r="B244" s="301" t="s">
        <v>1386</v>
      </c>
      <c r="C244" s="301" t="s">
        <v>35</v>
      </c>
      <c r="D244" s="303">
        <v>6.12</v>
      </c>
    </row>
    <row r="245" spans="1:4">
      <c r="A245" s="302">
        <v>97139</v>
      </c>
      <c r="B245" s="301" t="s">
        <v>1387</v>
      </c>
      <c r="C245" s="301" t="s">
        <v>35</v>
      </c>
      <c r="D245" s="303">
        <v>6.94</v>
      </c>
    </row>
    <row r="246" spans="1:4">
      <c r="A246" s="302">
        <v>97140</v>
      </c>
      <c r="B246" s="301" t="s">
        <v>1388</v>
      </c>
      <c r="C246" s="301" t="s">
        <v>35</v>
      </c>
      <c r="D246" s="303">
        <v>8.6199999999999992</v>
      </c>
    </row>
    <row r="247" spans="1:4">
      <c r="A247" s="302">
        <v>83520</v>
      </c>
      <c r="B247" s="301" t="s">
        <v>12393</v>
      </c>
      <c r="C247" s="301" t="s">
        <v>28</v>
      </c>
      <c r="D247" s="303">
        <v>80.12</v>
      </c>
    </row>
    <row r="248" spans="1:4">
      <c r="A248" s="302">
        <v>83531</v>
      </c>
      <c r="B248" s="301" t="s">
        <v>12394</v>
      </c>
      <c r="C248" s="301" t="s">
        <v>28</v>
      </c>
      <c r="D248" s="303">
        <v>336.21</v>
      </c>
    </row>
    <row r="249" spans="1:4">
      <c r="A249" s="302">
        <v>83535</v>
      </c>
      <c r="B249" s="301" t="s">
        <v>12395</v>
      </c>
      <c r="C249" s="301" t="s">
        <v>28</v>
      </c>
      <c r="D249" s="303">
        <v>279.2</v>
      </c>
    </row>
    <row r="250" spans="1:4">
      <c r="A250" s="302">
        <v>92235</v>
      </c>
      <c r="B250" s="301" t="s">
        <v>12396</v>
      </c>
      <c r="C250" s="301" t="s">
        <v>117</v>
      </c>
      <c r="D250" s="303">
        <v>56.98</v>
      </c>
    </row>
    <row r="251" spans="1:4">
      <c r="A251" s="302">
        <v>93206</v>
      </c>
      <c r="B251" s="301" t="s">
        <v>1389</v>
      </c>
      <c r="C251" s="301" t="s">
        <v>117</v>
      </c>
      <c r="D251" s="303">
        <v>804.47</v>
      </c>
    </row>
    <row r="252" spans="1:4">
      <c r="A252" s="302">
        <v>93207</v>
      </c>
      <c r="B252" s="301" t="s">
        <v>1390</v>
      </c>
      <c r="C252" s="301" t="s">
        <v>117</v>
      </c>
      <c r="D252" s="303">
        <v>692.49</v>
      </c>
    </row>
    <row r="253" spans="1:4">
      <c r="A253" s="302">
        <v>93208</v>
      </c>
      <c r="B253" s="301" t="s">
        <v>58</v>
      </c>
      <c r="C253" s="301" t="s">
        <v>117</v>
      </c>
      <c r="D253" s="303">
        <v>518.76</v>
      </c>
    </row>
    <row r="254" spans="1:4">
      <c r="A254" s="302">
        <v>93209</v>
      </c>
      <c r="B254" s="301" t="s">
        <v>1391</v>
      </c>
      <c r="C254" s="301" t="s">
        <v>117</v>
      </c>
      <c r="D254" s="303">
        <v>628.39</v>
      </c>
    </row>
    <row r="255" spans="1:4">
      <c r="A255" s="302">
        <v>93210</v>
      </c>
      <c r="B255" s="301" t="s">
        <v>59</v>
      </c>
      <c r="C255" s="301" t="s">
        <v>117</v>
      </c>
      <c r="D255" s="303">
        <v>356.85</v>
      </c>
    </row>
    <row r="256" spans="1:4">
      <c r="A256" s="302">
        <v>93211</v>
      </c>
      <c r="B256" s="301" t="s">
        <v>1392</v>
      </c>
      <c r="C256" s="301" t="s">
        <v>117</v>
      </c>
      <c r="D256" s="303">
        <v>379.49</v>
      </c>
    </row>
    <row r="257" spans="1:4">
      <c r="A257" s="302">
        <v>93212</v>
      </c>
      <c r="B257" s="301" t="s">
        <v>1393</v>
      </c>
      <c r="C257" s="301" t="s">
        <v>117</v>
      </c>
      <c r="D257" s="303">
        <v>621.66999999999996</v>
      </c>
    </row>
    <row r="258" spans="1:4">
      <c r="A258" s="302">
        <v>93213</v>
      </c>
      <c r="B258" s="301" t="s">
        <v>1394</v>
      </c>
      <c r="C258" s="301" t="s">
        <v>117</v>
      </c>
      <c r="D258" s="303">
        <v>714.36</v>
      </c>
    </row>
    <row r="259" spans="1:4">
      <c r="A259" s="302">
        <v>93214</v>
      </c>
      <c r="B259" s="301" t="s">
        <v>1395</v>
      </c>
      <c r="C259" s="301" t="s">
        <v>28</v>
      </c>
      <c r="D259" s="304">
        <v>3492.07</v>
      </c>
    </row>
    <row r="260" spans="1:4">
      <c r="A260" s="302">
        <v>93243</v>
      </c>
      <c r="B260" s="301" t="s">
        <v>1396</v>
      </c>
      <c r="C260" s="301" t="s">
        <v>28</v>
      </c>
      <c r="D260" s="304">
        <v>5234.76</v>
      </c>
    </row>
    <row r="261" spans="1:4">
      <c r="A261" s="302">
        <v>93582</v>
      </c>
      <c r="B261" s="301" t="s">
        <v>1397</v>
      </c>
      <c r="C261" s="301" t="s">
        <v>117</v>
      </c>
      <c r="D261" s="303">
        <v>168.99</v>
      </c>
    </row>
    <row r="262" spans="1:4">
      <c r="A262" s="302">
        <v>93583</v>
      </c>
      <c r="B262" s="301" t="s">
        <v>1398</v>
      </c>
      <c r="C262" s="301" t="s">
        <v>117</v>
      </c>
      <c r="D262" s="303">
        <v>284.70999999999998</v>
      </c>
    </row>
    <row r="263" spans="1:4">
      <c r="A263" s="302">
        <v>93584</v>
      </c>
      <c r="B263" s="301" t="s">
        <v>1399</v>
      </c>
      <c r="C263" s="301" t="s">
        <v>117</v>
      </c>
      <c r="D263" s="303">
        <v>527.67999999999995</v>
      </c>
    </row>
    <row r="264" spans="1:4">
      <c r="A264" s="302">
        <v>93585</v>
      </c>
      <c r="B264" s="301" t="s">
        <v>1400</v>
      </c>
      <c r="C264" s="301" t="s">
        <v>117</v>
      </c>
      <c r="D264" s="303">
        <v>727.61</v>
      </c>
    </row>
    <row r="265" spans="1:4">
      <c r="A265" s="302">
        <v>98441</v>
      </c>
      <c r="B265" s="301" t="s">
        <v>1401</v>
      </c>
      <c r="C265" s="301" t="s">
        <v>117</v>
      </c>
      <c r="D265" s="303">
        <v>73.069999999999993</v>
      </c>
    </row>
    <row r="266" spans="1:4">
      <c r="A266" s="302">
        <v>98442</v>
      </c>
      <c r="B266" s="301" t="s">
        <v>1402</v>
      </c>
      <c r="C266" s="301" t="s">
        <v>117</v>
      </c>
      <c r="D266" s="303">
        <v>75.53</v>
      </c>
    </row>
    <row r="267" spans="1:4">
      <c r="A267" s="302">
        <v>98443</v>
      </c>
      <c r="B267" s="301" t="s">
        <v>1403</v>
      </c>
      <c r="C267" s="301" t="s">
        <v>117</v>
      </c>
      <c r="D267" s="303">
        <v>61.79</v>
      </c>
    </row>
    <row r="268" spans="1:4">
      <c r="A268" s="302">
        <v>98444</v>
      </c>
      <c r="B268" s="301" t="s">
        <v>1404</v>
      </c>
      <c r="C268" s="301" t="s">
        <v>117</v>
      </c>
      <c r="D268" s="303">
        <v>63.54</v>
      </c>
    </row>
    <row r="269" spans="1:4">
      <c r="A269" s="302">
        <v>98445</v>
      </c>
      <c r="B269" s="301" t="s">
        <v>1405</v>
      </c>
      <c r="C269" s="301" t="s">
        <v>117</v>
      </c>
      <c r="D269" s="303">
        <v>88.18</v>
      </c>
    </row>
    <row r="270" spans="1:4">
      <c r="A270" s="302">
        <v>98446</v>
      </c>
      <c r="B270" s="301" t="s">
        <v>1406</v>
      </c>
      <c r="C270" s="301" t="s">
        <v>117</v>
      </c>
      <c r="D270" s="303">
        <v>115.35</v>
      </c>
    </row>
    <row r="271" spans="1:4">
      <c r="A271" s="302">
        <v>98447</v>
      </c>
      <c r="B271" s="301" t="s">
        <v>1407</v>
      </c>
      <c r="C271" s="301" t="s">
        <v>117</v>
      </c>
      <c r="D271" s="303">
        <v>72.650000000000006</v>
      </c>
    </row>
    <row r="272" spans="1:4">
      <c r="A272" s="302">
        <v>98448</v>
      </c>
      <c r="B272" s="301" t="s">
        <v>1408</v>
      </c>
      <c r="C272" s="301" t="s">
        <v>117</v>
      </c>
      <c r="D272" s="303">
        <v>93.06</v>
      </c>
    </row>
    <row r="273" spans="1:4">
      <c r="A273" s="302">
        <v>98449</v>
      </c>
      <c r="B273" s="301" t="s">
        <v>1409</v>
      </c>
      <c r="C273" s="301" t="s">
        <v>117</v>
      </c>
      <c r="D273" s="303">
        <v>93.77</v>
      </c>
    </row>
    <row r="274" spans="1:4">
      <c r="A274" s="302">
        <v>98450</v>
      </c>
      <c r="B274" s="301" t="s">
        <v>1410</v>
      </c>
      <c r="C274" s="301" t="s">
        <v>117</v>
      </c>
      <c r="D274" s="303">
        <v>97.35</v>
      </c>
    </row>
    <row r="275" spans="1:4">
      <c r="A275" s="302">
        <v>98451</v>
      </c>
      <c r="B275" s="301" t="s">
        <v>1411</v>
      </c>
      <c r="C275" s="301" t="s">
        <v>117</v>
      </c>
      <c r="D275" s="303">
        <v>80.38</v>
      </c>
    </row>
    <row r="276" spans="1:4">
      <c r="A276" s="302">
        <v>98452</v>
      </c>
      <c r="B276" s="301" t="s">
        <v>1412</v>
      </c>
      <c r="C276" s="301" t="s">
        <v>117</v>
      </c>
      <c r="D276" s="303">
        <v>82.56</v>
      </c>
    </row>
    <row r="277" spans="1:4">
      <c r="A277" s="302">
        <v>98453</v>
      </c>
      <c r="B277" s="301" t="s">
        <v>1413</v>
      </c>
      <c r="C277" s="301" t="s">
        <v>117</v>
      </c>
      <c r="D277" s="303">
        <v>113</v>
      </c>
    </row>
    <row r="278" spans="1:4">
      <c r="A278" s="302">
        <v>98454</v>
      </c>
      <c r="B278" s="301" t="s">
        <v>1414</v>
      </c>
      <c r="C278" s="301" t="s">
        <v>117</v>
      </c>
      <c r="D278" s="303">
        <v>150.29</v>
      </c>
    </row>
    <row r="279" spans="1:4">
      <c r="A279" s="302">
        <v>98455</v>
      </c>
      <c r="B279" s="301" t="s">
        <v>1415</v>
      </c>
      <c r="C279" s="301" t="s">
        <v>117</v>
      </c>
      <c r="D279" s="303">
        <v>95.37</v>
      </c>
    </row>
    <row r="280" spans="1:4">
      <c r="A280" s="302">
        <v>98456</v>
      </c>
      <c r="B280" s="301" t="s">
        <v>1416</v>
      </c>
      <c r="C280" s="301" t="s">
        <v>117</v>
      </c>
      <c r="D280" s="303">
        <v>125.2</v>
      </c>
    </row>
    <row r="281" spans="1:4">
      <c r="A281" s="302">
        <v>98458</v>
      </c>
      <c r="B281" s="301" t="s">
        <v>1417</v>
      </c>
      <c r="C281" s="301" t="s">
        <v>117</v>
      </c>
      <c r="D281" s="303">
        <v>69.09</v>
      </c>
    </row>
    <row r="282" spans="1:4">
      <c r="A282" s="302">
        <v>98459</v>
      </c>
      <c r="B282" s="301" t="s">
        <v>1418</v>
      </c>
      <c r="C282" s="301" t="s">
        <v>117</v>
      </c>
      <c r="D282" s="303">
        <v>57.14</v>
      </c>
    </row>
    <row r="283" spans="1:4">
      <c r="A283" s="302">
        <v>98460</v>
      </c>
      <c r="B283" s="301" t="s">
        <v>1419</v>
      </c>
      <c r="C283" s="301" t="s">
        <v>117</v>
      </c>
      <c r="D283" s="303">
        <v>66.62</v>
      </c>
    </row>
    <row r="284" spans="1:4">
      <c r="A284" s="302">
        <v>98461</v>
      </c>
      <c r="B284" s="301" t="s">
        <v>1420</v>
      </c>
      <c r="C284" s="301" t="s">
        <v>28</v>
      </c>
      <c r="D284" s="304">
        <v>2957.1</v>
      </c>
    </row>
    <row r="285" spans="1:4">
      <c r="A285" s="302">
        <v>98462</v>
      </c>
      <c r="B285" s="301" t="s">
        <v>1421</v>
      </c>
      <c r="C285" s="301" t="s">
        <v>28</v>
      </c>
      <c r="D285" s="304">
        <v>4334.84</v>
      </c>
    </row>
    <row r="286" spans="1:4">
      <c r="A286" s="301" t="s">
        <v>1422</v>
      </c>
      <c r="B286" s="301" t="s">
        <v>12397</v>
      </c>
      <c r="C286" s="301" t="s">
        <v>117</v>
      </c>
      <c r="D286" s="303">
        <v>410.76</v>
      </c>
    </row>
    <row r="287" spans="1:4">
      <c r="A287" s="302">
        <v>5631</v>
      </c>
      <c r="B287" s="301" t="s">
        <v>972</v>
      </c>
      <c r="C287" s="301" t="s">
        <v>791</v>
      </c>
      <c r="D287" s="303">
        <v>118.79</v>
      </c>
    </row>
    <row r="288" spans="1:4">
      <c r="A288" s="302">
        <v>5678</v>
      </c>
      <c r="B288" s="301" t="s">
        <v>1423</v>
      </c>
      <c r="C288" s="301" t="s">
        <v>791</v>
      </c>
      <c r="D288" s="303">
        <v>87.7</v>
      </c>
    </row>
    <row r="289" spans="1:4">
      <c r="A289" s="302">
        <v>5680</v>
      </c>
      <c r="B289" s="301" t="s">
        <v>1424</v>
      </c>
      <c r="C289" s="301" t="s">
        <v>791</v>
      </c>
      <c r="D289" s="303">
        <v>81.28</v>
      </c>
    </row>
    <row r="290" spans="1:4">
      <c r="A290" s="302">
        <v>5684</v>
      </c>
      <c r="B290" s="301" t="s">
        <v>1425</v>
      </c>
      <c r="C290" s="301" t="s">
        <v>791</v>
      </c>
      <c r="D290" s="303">
        <v>90.69</v>
      </c>
    </row>
    <row r="291" spans="1:4">
      <c r="A291" s="302">
        <v>5689</v>
      </c>
      <c r="B291" s="301" t="s">
        <v>1426</v>
      </c>
      <c r="C291" s="301" t="s">
        <v>791</v>
      </c>
      <c r="D291" s="303">
        <v>3.14</v>
      </c>
    </row>
    <row r="292" spans="1:4">
      <c r="A292" s="302">
        <v>5795</v>
      </c>
      <c r="B292" s="301" t="s">
        <v>1427</v>
      </c>
      <c r="C292" s="301" t="s">
        <v>791</v>
      </c>
      <c r="D292" s="303">
        <v>15.53</v>
      </c>
    </row>
    <row r="293" spans="1:4">
      <c r="A293" s="302">
        <v>5811</v>
      </c>
      <c r="B293" s="301" t="s">
        <v>1428</v>
      </c>
      <c r="C293" s="301" t="s">
        <v>791</v>
      </c>
      <c r="D293" s="303">
        <v>122.84</v>
      </c>
    </row>
    <row r="294" spans="1:4">
      <c r="A294" s="302">
        <v>5823</v>
      </c>
      <c r="B294" s="301" t="s">
        <v>1429</v>
      </c>
      <c r="C294" s="301" t="s">
        <v>791</v>
      </c>
      <c r="D294" s="303">
        <v>165.55</v>
      </c>
    </row>
    <row r="295" spans="1:4">
      <c r="A295" s="302">
        <v>5824</v>
      </c>
      <c r="B295" s="301" t="s">
        <v>1430</v>
      </c>
      <c r="C295" s="301" t="s">
        <v>791</v>
      </c>
      <c r="D295" s="303">
        <v>119.59</v>
      </c>
    </row>
    <row r="296" spans="1:4">
      <c r="A296" s="302">
        <v>5835</v>
      </c>
      <c r="B296" s="301" t="s">
        <v>1431</v>
      </c>
      <c r="C296" s="301" t="s">
        <v>791</v>
      </c>
      <c r="D296" s="303">
        <v>259.13</v>
      </c>
    </row>
    <row r="297" spans="1:4">
      <c r="A297" s="302">
        <v>5839</v>
      </c>
      <c r="B297" s="301" t="s">
        <v>1432</v>
      </c>
      <c r="C297" s="301" t="s">
        <v>791</v>
      </c>
      <c r="D297" s="303">
        <v>4.71</v>
      </c>
    </row>
    <row r="298" spans="1:4">
      <c r="A298" s="302">
        <v>5843</v>
      </c>
      <c r="B298" s="301" t="s">
        <v>1433</v>
      </c>
      <c r="C298" s="301" t="s">
        <v>791</v>
      </c>
      <c r="D298" s="303">
        <v>154.19</v>
      </c>
    </row>
    <row r="299" spans="1:4">
      <c r="A299" s="302">
        <v>5847</v>
      </c>
      <c r="B299" s="301" t="s">
        <v>1434</v>
      </c>
      <c r="C299" s="301" t="s">
        <v>791</v>
      </c>
      <c r="D299" s="303">
        <v>156.44</v>
      </c>
    </row>
    <row r="300" spans="1:4">
      <c r="A300" s="302">
        <v>5851</v>
      </c>
      <c r="B300" s="301" t="s">
        <v>1435</v>
      </c>
      <c r="C300" s="301" t="s">
        <v>791</v>
      </c>
      <c r="D300" s="303">
        <v>148.34</v>
      </c>
    </row>
    <row r="301" spans="1:4">
      <c r="A301" s="302">
        <v>5855</v>
      </c>
      <c r="B301" s="301" t="s">
        <v>1436</v>
      </c>
      <c r="C301" s="301" t="s">
        <v>791</v>
      </c>
      <c r="D301" s="303">
        <v>390.03</v>
      </c>
    </row>
    <row r="302" spans="1:4">
      <c r="A302" s="302">
        <v>5863</v>
      </c>
      <c r="B302" s="301" t="s">
        <v>1437</v>
      </c>
      <c r="C302" s="301" t="s">
        <v>791</v>
      </c>
      <c r="D302" s="303">
        <v>11.09</v>
      </c>
    </row>
    <row r="303" spans="1:4">
      <c r="A303" s="302">
        <v>5867</v>
      </c>
      <c r="B303" s="301" t="s">
        <v>1438</v>
      </c>
      <c r="C303" s="301" t="s">
        <v>791</v>
      </c>
      <c r="D303" s="303">
        <v>88.33</v>
      </c>
    </row>
    <row r="304" spans="1:4">
      <c r="A304" s="302">
        <v>5875</v>
      </c>
      <c r="B304" s="301" t="s">
        <v>1439</v>
      </c>
      <c r="C304" s="301" t="s">
        <v>791</v>
      </c>
      <c r="D304" s="303">
        <v>80.989999999999995</v>
      </c>
    </row>
    <row r="305" spans="1:4">
      <c r="A305" s="302">
        <v>5879</v>
      </c>
      <c r="B305" s="301" t="s">
        <v>1440</v>
      </c>
      <c r="C305" s="301" t="s">
        <v>791</v>
      </c>
      <c r="D305" s="303">
        <v>73.349999999999994</v>
      </c>
    </row>
    <row r="306" spans="1:4">
      <c r="A306" s="302">
        <v>5882</v>
      </c>
      <c r="B306" s="301" t="s">
        <v>1441</v>
      </c>
      <c r="C306" s="301" t="s">
        <v>791</v>
      </c>
      <c r="D306" s="303">
        <v>79.599999999999994</v>
      </c>
    </row>
    <row r="307" spans="1:4">
      <c r="A307" s="302">
        <v>5890</v>
      </c>
      <c r="B307" s="301" t="s">
        <v>1442</v>
      </c>
      <c r="C307" s="301" t="s">
        <v>791</v>
      </c>
      <c r="D307" s="303">
        <v>120.42</v>
      </c>
    </row>
    <row r="308" spans="1:4">
      <c r="A308" s="302">
        <v>5894</v>
      </c>
      <c r="B308" s="301" t="s">
        <v>1443</v>
      </c>
      <c r="C308" s="301" t="s">
        <v>791</v>
      </c>
      <c r="D308" s="303">
        <v>117.86</v>
      </c>
    </row>
    <row r="309" spans="1:4">
      <c r="A309" s="302">
        <v>5901</v>
      </c>
      <c r="B309" s="301" t="s">
        <v>1444</v>
      </c>
      <c r="C309" s="301" t="s">
        <v>791</v>
      </c>
      <c r="D309" s="303">
        <v>185.6</v>
      </c>
    </row>
    <row r="310" spans="1:4">
      <c r="A310" s="302">
        <v>5909</v>
      </c>
      <c r="B310" s="301" t="s">
        <v>1445</v>
      </c>
      <c r="C310" s="301" t="s">
        <v>791</v>
      </c>
      <c r="D310" s="303">
        <v>24.19</v>
      </c>
    </row>
    <row r="311" spans="1:4">
      <c r="A311" s="302">
        <v>5921</v>
      </c>
      <c r="B311" s="301" t="s">
        <v>1446</v>
      </c>
      <c r="C311" s="301" t="s">
        <v>791</v>
      </c>
      <c r="D311" s="303">
        <v>2.4500000000000002</v>
      </c>
    </row>
    <row r="312" spans="1:4">
      <c r="A312" s="302">
        <v>5928</v>
      </c>
      <c r="B312" s="301" t="s">
        <v>940</v>
      </c>
      <c r="C312" s="301" t="s">
        <v>791</v>
      </c>
      <c r="D312" s="303">
        <v>156.34</v>
      </c>
    </row>
    <row r="313" spans="1:4">
      <c r="A313" s="302">
        <v>5932</v>
      </c>
      <c r="B313" s="301" t="s">
        <v>1447</v>
      </c>
      <c r="C313" s="301" t="s">
        <v>791</v>
      </c>
      <c r="D313" s="303">
        <v>138.44</v>
      </c>
    </row>
    <row r="314" spans="1:4">
      <c r="A314" s="302">
        <v>5940</v>
      </c>
      <c r="B314" s="301" t="s">
        <v>1448</v>
      </c>
      <c r="C314" s="301" t="s">
        <v>791</v>
      </c>
      <c r="D314" s="303">
        <v>119.46</v>
      </c>
    </row>
    <row r="315" spans="1:4">
      <c r="A315" s="302">
        <v>5944</v>
      </c>
      <c r="B315" s="301" t="s">
        <v>1449</v>
      </c>
      <c r="C315" s="301" t="s">
        <v>791</v>
      </c>
      <c r="D315" s="303">
        <v>131.83000000000001</v>
      </c>
    </row>
    <row r="316" spans="1:4">
      <c r="A316" s="302">
        <v>5953</v>
      </c>
      <c r="B316" s="301" t="s">
        <v>1450</v>
      </c>
      <c r="C316" s="301" t="s">
        <v>791</v>
      </c>
      <c r="D316" s="303">
        <v>37.72</v>
      </c>
    </row>
    <row r="317" spans="1:4">
      <c r="A317" s="302">
        <v>6259</v>
      </c>
      <c r="B317" s="301" t="s">
        <v>1451</v>
      </c>
      <c r="C317" s="301" t="s">
        <v>791</v>
      </c>
      <c r="D317" s="303">
        <v>153.66999999999999</v>
      </c>
    </row>
    <row r="318" spans="1:4">
      <c r="A318" s="302">
        <v>6879</v>
      </c>
      <c r="B318" s="301" t="s">
        <v>1452</v>
      </c>
      <c r="C318" s="301" t="s">
        <v>791</v>
      </c>
      <c r="D318" s="303">
        <v>116.36</v>
      </c>
    </row>
    <row r="319" spans="1:4">
      <c r="A319" s="302">
        <v>7030</v>
      </c>
      <c r="B319" s="301" t="s">
        <v>1453</v>
      </c>
      <c r="C319" s="301" t="s">
        <v>791</v>
      </c>
      <c r="D319" s="303">
        <v>154.26</v>
      </c>
    </row>
    <row r="320" spans="1:4">
      <c r="A320" s="302">
        <v>7042</v>
      </c>
      <c r="B320" s="301" t="s">
        <v>1454</v>
      </c>
      <c r="C320" s="301" t="s">
        <v>791</v>
      </c>
      <c r="D320" s="303">
        <v>8.34</v>
      </c>
    </row>
    <row r="321" spans="1:4">
      <c r="A321" s="302">
        <v>7049</v>
      </c>
      <c r="B321" s="301" t="s">
        <v>1455</v>
      </c>
      <c r="C321" s="301" t="s">
        <v>791</v>
      </c>
      <c r="D321" s="303">
        <v>126.8</v>
      </c>
    </row>
    <row r="322" spans="1:4">
      <c r="A322" s="302">
        <v>67826</v>
      </c>
      <c r="B322" s="301" t="s">
        <v>1456</v>
      </c>
      <c r="C322" s="301" t="s">
        <v>791</v>
      </c>
      <c r="D322" s="303">
        <v>107.58</v>
      </c>
    </row>
    <row r="323" spans="1:4">
      <c r="A323" s="302">
        <v>73417</v>
      </c>
      <c r="B323" s="301" t="s">
        <v>1457</v>
      </c>
      <c r="C323" s="301" t="s">
        <v>791</v>
      </c>
      <c r="D323" s="303">
        <v>129.36000000000001</v>
      </c>
    </row>
    <row r="324" spans="1:4">
      <c r="A324" s="302">
        <v>73436</v>
      </c>
      <c r="B324" s="301" t="s">
        <v>1458</v>
      </c>
      <c r="C324" s="301" t="s">
        <v>791</v>
      </c>
      <c r="D324" s="303">
        <v>122.09</v>
      </c>
    </row>
    <row r="325" spans="1:4">
      <c r="A325" s="302">
        <v>73467</v>
      </c>
      <c r="B325" s="301" t="s">
        <v>1132</v>
      </c>
      <c r="C325" s="301" t="s">
        <v>791</v>
      </c>
      <c r="D325" s="303">
        <v>100.32</v>
      </c>
    </row>
    <row r="326" spans="1:4">
      <c r="A326" s="302">
        <v>73536</v>
      </c>
      <c r="B326" s="301" t="s">
        <v>1459</v>
      </c>
      <c r="C326" s="301" t="s">
        <v>791</v>
      </c>
      <c r="D326" s="303">
        <v>7.07</v>
      </c>
    </row>
    <row r="327" spans="1:4">
      <c r="A327" s="302">
        <v>83362</v>
      </c>
      <c r="B327" s="301" t="s">
        <v>1460</v>
      </c>
      <c r="C327" s="301" t="s">
        <v>791</v>
      </c>
      <c r="D327" s="303">
        <v>189.95</v>
      </c>
    </row>
    <row r="328" spans="1:4">
      <c r="A328" s="302">
        <v>83765</v>
      </c>
      <c r="B328" s="301" t="s">
        <v>1461</v>
      </c>
      <c r="C328" s="301" t="s">
        <v>791</v>
      </c>
      <c r="D328" s="303">
        <v>75.23</v>
      </c>
    </row>
    <row r="329" spans="1:4">
      <c r="A329" s="302">
        <v>87445</v>
      </c>
      <c r="B329" s="301" t="s">
        <v>1462</v>
      </c>
      <c r="C329" s="301" t="s">
        <v>791</v>
      </c>
      <c r="D329" s="303">
        <v>3.57</v>
      </c>
    </row>
    <row r="330" spans="1:4">
      <c r="A330" s="302">
        <v>88386</v>
      </c>
      <c r="B330" s="301" t="s">
        <v>1463</v>
      </c>
      <c r="C330" s="301" t="s">
        <v>791</v>
      </c>
      <c r="D330" s="303">
        <v>3.38</v>
      </c>
    </row>
    <row r="331" spans="1:4">
      <c r="A331" s="302">
        <v>88393</v>
      </c>
      <c r="B331" s="301" t="s">
        <v>1464</v>
      </c>
      <c r="C331" s="301" t="s">
        <v>791</v>
      </c>
      <c r="D331" s="303">
        <v>4.5999999999999996</v>
      </c>
    </row>
    <row r="332" spans="1:4">
      <c r="A332" s="302">
        <v>88399</v>
      </c>
      <c r="B332" s="301" t="s">
        <v>1465</v>
      </c>
      <c r="C332" s="301" t="s">
        <v>791</v>
      </c>
      <c r="D332" s="303">
        <v>2.56</v>
      </c>
    </row>
    <row r="333" spans="1:4">
      <c r="A333" s="302">
        <v>88418</v>
      </c>
      <c r="B333" s="301" t="s">
        <v>1466</v>
      </c>
      <c r="C333" s="301" t="s">
        <v>791</v>
      </c>
      <c r="D333" s="303">
        <v>11.73</v>
      </c>
    </row>
    <row r="334" spans="1:4">
      <c r="A334" s="302">
        <v>88433</v>
      </c>
      <c r="B334" s="301" t="s">
        <v>1467</v>
      </c>
      <c r="C334" s="301" t="s">
        <v>791</v>
      </c>
      <c r="D334" s="303">
        <v>14.63</v>
      </c>
    </row>
    <row r="335" spans="1:4">
      <c r="A335" s="302">
        <v>88830</v>
      </c>
      <c r="B335" s="301" t="s">
        <v>1468</v>
      </c>
      <c r="C335" s="301" t="s">
        <v>791</v>
      </c>
      <c r="D335" s="303">
        <v>1.22</v>
      </c>
    </row>
    <row r="336" spans="1:4">
      <c r="A336" s="302">
        <v>88843</v>
      </c>
      <c r="B336" s="301" t="s">
        <v>1469</v>
      </c>
      <c r="C336" s="301" t="s">
        <v>791</v>
      </c>
      <c r="D336" s="303">
        <v>124.33</v>
      </c>
    </row>
    <row r="337" spans="1:4">
      <c r="A337" s="302">
        <v>88907</v>
      </c>
      <c r="B337" s="301" t="s">
        <v>1470</v>
      </c>
      <c r="C337" s="301" t="s">
        <v>791</v>
      </c>
      <c r="D337" s="303">
        <v>142.52000000000001</v>
      </c>
    </row>
    <row r="338" spans="1:4">
      <c r="A338" s="302">
        <v>89021</v>
      </c>
      <c r="B338" s="301" t="s">
        <v>1471</v>
      </c>
      <c r="C338" s="301" t="s">
        <v>791</v>
      </c>
      <c r="D338" s="303">
        <v>1.7</v>
      </c>
    </row>
    <row r="339" spans="1:4">
      <c r="A339" s="302">
        <v>89028</v>
      </c>
      <c r="B339" s="301" t="s">
        <v>1472</v>
      </c>
      <c r="C339" s="301" t="s">
        <v>791</v>
      </c>
      <c r="D339" s="303">
        <v>142.72999999999999</v>
      </c>
    </row>
    <row r="340" spans="1:4">
      <c r="A340" s="302">
        <v>89032</v>
      </c>
      <c r="B340" s="301" t="s">
        <v>1473</v>
      </c>
      <c r="C340" s="301" t="s">
        <v>791</v>
      </c>
      <c r="D340" s="303">
        <v>111.14</v>
      </c>
    </row>
    <row r="341" spans="1:4">
      <c r="A341" s="302">
        <v>89035</v>
      </c>
      <c r="B341" s="301" t="s">
        <v>1474</v>
      </c>
      <c r="C341" s="301" t="s">
        <v>791</v>
      </c>
      <c r="D341" s="303">
        <v>112.81</v>
      </c>
    </row>
    <row r="342" spans="1:4">
      <c r="A342" s="302">
        <v>89225</v>
      </c>
      <c r="B342" s="301" t="s">
        <v>859</v>
      </c>
      <c r="C342" s="301" t="s">
        <v>791</v>
      </c>
      <c r="D342" s="303">
        <v>3.52</v>
      </c>
    </row>
    <row r="343" spans="1:4">
      <c r="A343" s="302">
        <v>89234</v>
      </c>
      <c r="B343" s="301" t="s">
        <v>1475</v>
      </c>
      <c r="C343" s="301" t="s">
        <v>791</v>
      </c>
      <c r="D343" s="303">
        <v>397.69</v>
      </c>
    </row>
    <row r="344" spans="1:4">
      <c r="A344" s="302">
        <v>89242</v>
      </c>
      <c r="B344" s="301" t="s">
        <v>1476</v>
      </c>
      <c r="C344" s="301" t="s">
        <v>791</v>
      </c>
      <c r="D344" s="303">
        <v>940.4</v>
      </c>
    </row>
    <row r="345" spans="1:4">
      <c r="A345" s="302">
        <v>89250</v>
      </c>
      <c r="B345" s="301" t="s">
        <v>1477</v>
      </c>
      <c r="C345" s="301" t="s">
        <v>791</v>
      </c>
      <c r="D345" s="303">
        <v>814.5</v>
      </c>
    </row>
    <row r="346" spans="1:4">
      <c r="A346" s="302">
        <v>89257</v>
      </c>
      <c r="B346" s="301" t="s">
        <v>1478</v>
      </c>
      <c r="C346" s="301" t="s">
        <v>791</v>
      </c>
      <c r="D346" s="303">
        <v>223.61</v>
      </c>
    </row>
    <row r="347" spans="1:4">
      <c r="A347" s="302">
        <v>89272</v>
      </c>
      <c r="B347" s="301" t="s">
        <v>810</v>
      </c>
      <c r="C347" s="301" t="s">
        <v>791</v>
      </c>
      <c r="D347" s="303">
        <v>109.74</v>
      </c>
    </row>
    <row r="348" spans="1:4">
      <c r="A348" s="302">
        <v>89278</v>
      </c>
      <c r="B348" s="301" t="s">
        <v>1479</v>
      </c>
      <c r="C348" s="301" t="s">
        <v>791</v>
      </c>
      <c r="D348" s="303">
        <v>8.2899999999999991</v>
      </c>
    </row>
    <row r="349" spans="1:4">
      <c r="A349" s="302">
        <v>89843</v>
      </c>
      <c r="B349" s="301" t="s">
        <v>1480</v>
      </c>
      <c r="C349" s="301" t="s">
        <v>791</v>
      </c>
      <c r="D349" s="303">
        <v>128.04</v>
      </c>
    </row>
    <row r="350" spans="1:4">
      <c r="A350" s="302">
        <v>89876</v>
      </c>
      <c r="B350" s="301" t="s">
        <v>1481</v>
      </c>
      <c r="C350" s="301" t="s">
        <v>791</v>
      </c>
      <c r="D350" s="303">
        <v>196.21</v>
      </c>
    </row>
    <row r="351" spans="1:4">
      <c r="A351" s="302">
        <v>89883</v>
      </c>
      <c r="B351" s="301" t="s">
        <v>1482</v>
      </c>
      <c r="C351" s="301" t="s">
        <v>791</v>
      </c>
      <c r="D351" s="303">
        <v>217.9</v>
      </c>
    </row>
    <row r="352" spans="1:4">
      <c r="A352" s="302">
        <v>90586</v>
      </c>
      <c r="B352" s="301" t="s">
        <v>794</v>
      </c>
      <c r="C352" s="301" t="s">
        <v>791</v>
      </c>
      <c r="D352" s="303">
        <v>1.24</v>
      </c>
    </row>
    <row r="353" spans="1:4">
      <c r="A353" s="302">
        <v>90625</v>
      </c>
      <c r="B353" s="301" t="s">
        <v>1483</v>
      </c>
      <c r="C353" s="301" t="s">
        <v>791</v>
      </c>
      <c r="D353" s="303">
        <v>5.7</v>
      </c>
    </row>
    <row r="354" spans="1:4">
      <c r="A354" s="302">
        <v>90631</v>
      </c>
      <c r="B354" s="301" t="s">
        <v>1484</v>
      </c>
      <c r="C354" s="301" t="s">
        <v>791</v>
      </c>
      <c r="D354" s="303">
        <v>80.09</v>
      </c>
    </row>
    <row r="355" spans="1:4">
      <c r="A355" s="302">
        <v>90637</v>
      </c>
      <c r="B355" s="301" t="s">
        <v>1485</v>
      </c>
      <c r="C355" s="301" t="s">
        <v>791</v>
      </c>
      <c r="D355" s="303">
        <v>10.55</v>
      </c>
    </row>
    <row r="356" spans="1:4">
      <c r="A356" s="302">
        <v>90643</v>
      </c>
      <c r="B356" s="301" t="s">
        <v>1486</v>
      </c>
      <c r="C356" s="301" t="s">
        <v>791</v>
      </c>
      <c r="D356" s="303">
        <v>16.54</v>
      </c>
    </row>
    <row r="357" spans="1:4">
      <c r="A357" s="302">
        <v>90650</v>
      </c>
      <c r="B357" s="301" t="s">
        <v>1487</v>
      </c>
      <c r="C357" s="301" t="s">
        <v>791</v>
      </c>
      <c r="D357" s="303">
        <v>6.87</v>
      </c>
    </row>
    <row r="358" spans="1:4">
      <c r="A358" s="302">
        <v>90656</v>
      </c>
      <c r="B358" s="301" t="s">
        <v>1488</v>
      </c>
      <c r="C358" s="301" t="s">
        <v>791</v>
      </c>
      <c r="D358" s="303">
        <v>10.42</v>
      </c>
    </row>
    <row r="359" spans="1:4">
      <c r="A359" s="302">
        <v>90662</v>
      </c>
      <c r="B359" s="301" t="s">
        <v>1489</v>
      </c>
      <c r="C359" s="301" t="s">
        <v>791</v>
      </c>
      <c r="D359" s="303">
        <v>10.9</v>
      </c>
    </row>
    <row r="360" spans="1:4">
      <c r="A360" s="302">
        <v>90668</v>
      </c>
      <c r="B360" s="301" t="s">
        <v>1490</v>
      </c>
      <c r="C360" s="301" t="s">
        <v>791</v>
      </c>
      <c r="D360" s="303">
        <v>18.52</v>
      </c>
    </row>
    <row r="361" spans="1:4">
      <c r="A361" s="302">
        <v>90674</v>
      </c>
      <c r="B361" s="301" t="s">
        <v>1491</v>
      </c>
      <c r="C361" s="301" t="s">
        <v>791</v>
      </c>
      <c r="D361" s="303">
        <v>360.66</v>
      </c>
    </row>
    <row r="362" spans="1:4">
      <c r="A362" s="302">
        <v>90680</v>
      </c>
      <c r="B362" s="301" t="s">
        <v>1492</v>
      </c>
      <c r="C362" s="301" t="s">
        <v>791</v>
      </c>
      <c r="D362" s="303">
        <v>219.79</v>
      </c>
    </row>
    <row r="363" spans="1:4">
      <c r="A363" s="302">
        <v>90686</v>
      </c>
      <c r="B363" s="301" t="s">
        <v>1493</v>
      </c>
      <c r="C363" s="301" t="s">
        <v>791</v>
      </c>
      <c r="D363" s="303">
        <v>100.97</v>
      </c>
    </row>
    <row r="364" spans="1:4">
      <c r="A364" s="302">
        <v>90692</v>
      </c>
      <c r="B364" s="301" t="s">
        <v>1494</v>
      </c>
      <c r="C364" s="301" t="s">
        <v>791</v>
      </c>
      <c r="D364" s="303">
        <v>78.930000000000007</v>
      </c>
    </row>
    <row r="365" spans="1:4">
      <c r="A365" s="302">
        <v>90964</v>
      </c>
      <c r="B365" s="301" t="s">
        <v>1495</v>
      </c>
      <c r="C365" s="301" t="s">
        <v>791</v>
      </c>
      <c r="D365" s="303">
        <v>17.63</v>
      </c>
    </row>
    <row r="366" spans="1:4">
      <c r="A366" s="302">
        <v>90972</v>
      </c>
      <c r="B366" s="301" t="s">
        <v>1496</v>
      </c>
      <c r="C366" s="301" t="s">
        <v>791</v>
      </c>
      <c r="D366" s="303">
        <v>48.79</v>
      </c>
    </row>
    <row r="367" spans="1:4">
      <c r="A367" s="302">
        <v>90979</v>
      </c>
      <c r="B367" s="301" t="s">
        <v>1497</v>
      </c>
      <c r="C367" s="301" t="s">
        <v>791</v>
      </c>
      <c r="D367" s="303">
        <v>126.17</v>
      </c>
    </row>
    <row r="368" spans="1:4">
      <c r="A368" s="302">
        <v>90991</v>
      </c>
      <c r="B368" s="301" t="s">
        <v>1498</v>
      </c>
      <c r="C368" s="301" t="s">
        <v>791</v>
      </c>
      <c r="D368" s="303">
        <v>115.78</v>
      </c>
    </row>
    <row r="369" spans="1:4">
      <c r="A369" s="302">
        <v>90999</v>
      </c>
      <c r="B369" s="301" t="s">
        <v>1499</v>
      </c>
      <c r="C369" s="301" t="s">
        <v>791</v>
      </c>
      <c r="D369" s="303">
        <v>64.98</v>
      </c>
    </row>
    <row r="370" spans="1:4">
      <c r="A370" s="302">
        <v>91031</v>
      </c>
      <c r="B370" s="301" t="s">
        <v>1500</v>
      </c>
      <c r="C370" s="301" t="s">
        <v>791</v>
      </c>
      <c r="D370" s="303">
        <v>147.4</v>
      </c>
    </row>
    <row r="371" spans="1:4">
      <c r="A371" s="302">
        <v>91277</v>
      </c>
      <c r="B371" s="301" t="s">
        <v>1501</v>
      </c>
      <c r="C371" s="301" t="s">
        <v>791</v>
      </c>
      <c r="D371" s="303">
        <v>7.77</v>
      </c>
    </row>
    <row r="372" spans="1:4">
      <c r="A372" s="302">
        <v>91283</v>
      </c>
      <c r="B372" s="301" t="s">
        <v>790</v>
      </c>
      <c r="C372" s="301" t="s">
        <v>791</v>
      </c>
      <c r="D372" s="303">
        <v>18.190000000000001</v>
      </c>
    </row>
    <row r="373" spans="1:4">
      <c r="A373" s="302">
        <v>91386</v>
      </c>
      <c r="B373" s="301" t="s">
        <v>1502</v>
      </c>
      <c r="C373" s="301" t="s">
        <v>791</v>
      </c>
      <c r="D373" s="303">
        <v>155.44</v>
      </c>
    </row>
    <row r="374" spans="1:4">
      <c r="A374" s="302">
        <v>91533</v>
      </c>
      <c r="B374" s="301" t="s">
        <v>1503</v>
      </c>
      <c r="C374" s="301" t="s">
        <v>791</v>
      </c>
      <c r="D374" s="303">
        <v>21.39</v>
      </c>
    </row>
    <row r="375" spans="1:4">
      <c r="A375" s="302">
        <v>91634</v>
      </c>
      <c r="B375" s="301" t="s">
        <v>1504</v>
      </c>
      <c r="C375" s="301" t="s">
        <v>791</v>
      </c>
      <c r="D375" s="303">
        <v>137.47</v>
      </c>
    </row>
    <row r="376" spans="1:4">
      <c r="A376" s="302">
        <v>91645</v>
      </c>
      <c r="B376" s="301" t="s">
        <v>1505</v>
      </c>
      <c r="C376" s="301" t="s">
        <v>791</v>
      </c>
      <c r="D376" s="303">
        <v>290.33999999999997</v>
      </c>
    </row>
    <row r="377" spans="1:4">
      <c r="A377" s="302">
        <v>91692</v>
      </c>
      <c r="B377" s="301" t="s">
        <v>1506</v>
      </c>
      <c r="C377" s="301" t="s">
        <v>791</v>
      </c>
      <c r="D377" s="303">
        <v>17.04</v>
      </c>
    </row>
    <row r="378" spans="1:4">
      <c r="A378" s="302">
        <v>92043</v>
      </c>
      <c r="B378" s="301" t="s">
        <v>1507</v>
      </c>
      <c r="C378" s="301" t="s">
        <v>791</v>
      </c>
      <c r="D378" s="303">
        <v>8</v>
      </c>
    </row>
    <row r="379" spans="1:4">
      <c r="A379" s="302">
        <v>92106</v>
      </c>
      <c r="B379" s="301" t="s">
        <v>1508</v>
      </c>
      <c r="C379" s="301" t="s">
        <v>791</v>
      </c>
      <c r="D379" s="303">
        <v>191.08</v>
      </c>
    </row>
    <row r="380" spans="1:4">
      <c r="A380" s="302">
        <v>92112</v>
      </c>
      <c r="B380" s="301" t="s">
        <v>1509</v>
      </c>
      <c r="C380" s="301" t="s">
        <v>791</v>
      </c>
      <c r="D380" s="303">
        <v>2.09</v>
      </c>
    </row>
    <row r="381" spans="1:4">
      <c r="A381" s="302">
        <v>92118</v>
      </c>
      <c r="B381" s="301" t="s">
        <v>1510</v>
      </c>
      <c r="C381" s="301" t="s">
        <v>791</v>
      </c>
      <c r="D381" s="303">
        <v>0.18</v>
      </c>
    </row>
    <row r="382" spans="1:4">
      <c r="A382" s="302">
        <v>92138</v>
      </c>
      <c r="B382" s="301" t="s">
        <v>1511</v>
      </c>
      <c r="C382" s="301" t="s">
        <v>791</v>
      </c>
      <c r="D382" s="303">
        <v>61.14</v>
      </c>
    </row>
    <row r="383" spans="1:4">
      <c r="A383" s="302">
        <v>92145</v>
      </c>
      <c r="B383" s="301" t="s">
        <v>1512</v>
      </c>
      <c r="C383" s="301" t="s">
        <v>791</v>
      </c>
      <c r="D383" s="303">
        <v>52.62</v>
      </c>
    </row>
    <row r="384" spans="1:4">
      <c r="A384" s="302">
        <v>92242</v>
      </c>
      <c r="B384" s="301" t="s">
        <v>1513</v>
      </c>
      <c r="C384" s="301" t="s">
        <v>791</v>
      </c>
      <c r="D384" s="303">
        <v>255.67</v>
      </c>
    </row>
    <row r="385" spans="1:4">
      <c r="A385" s="302">
        <v>92716</v>
      </c>
      <c r="B385" s="301" t="s">
        <v>1514</v>
      </c>
      <c r="C385" s="301" t="s">
        <v>791</v>
      </c>
      <c r="D385" s="303">
        <v>26.68</v>
      </c>
    </row>
    <row r="386" spans="1:4">
      <c r="A386" s="302">
        <v>92960</v>
      </c>
      <c r="B386" s="301" t="s">
        <v>1515</v>
      </c>
      <c r="C386" s="301" t="s">
        <v>791</v>
      </c>
      <c r="D386" s="303">
        <v>17.399999999999999</v>
      </c>
    </row>
    <row r="387" spans="1:4">
      <c r="A387" s="302">
        <v>92966</v>
      </c>
      <c r="B387" s="301" t="s">
        <v>1516</v>
      </c>
      <c r="C387" s="301" t="s">
        <v>791</v>
      </c>
      <c r="D387" s="303">
        <v>15.62</v>
      </c>
    </row>
    <row r="388" spans="1:4">
      <c r="A388" s="302">
        <v>93224</v>
      </c>
      <c r="B388" s="301" t="s">
        <v>1517</v>
      </c>
      <c r="C388" s="301" t="s">
        <v>791</v>
      </c>
      <c r="D388" s="303">
        <v>532.19000000000005</v>
      </c>
    </row>
    <row r="389" spans="1:4">
      <c r="A389" s="302">
        <v>93233</v>
      </c>
      <c r="B389" s="301" t="s">
        <v>1518</v>
      </c>
      <c r="C389" s="301" t="s">
        <v>791</v>
      </c>
      <c r="D389" s="303">
        <v>7.48</v>
      </c>
    </row>
    <row r="390" spans="1:4">
      <c r="A390" s="302">
        <v>93272</v>
      </c>
      <c r="B390" s="301" t="s">
        <v>1519</v>
      </c>
      <c r="C390" s="301" t="s">
        <v>791</v>
      </c>
      <c r="D390" s="303">
        <v>73.459999999999994</v>
      </c>
    </row>
    <row r="391" spans="1:4">
      <c r="A391" s="302">
        <v>93281</v>
      </c>
      <c r="B391" s="301" t="s">
        <v>1520</v>
      </c>
      <c r="C391" s="301" t="s">
        <v>791</v>
      </c>
      <c r="D391" s="303">
        <v>15.42</v>
      </c>
    </row>
    <row r="392" spans="1:4">
      <c r="A392" s="302">
        <v>93287</v>
      </c>
      <c r="B392" s="301" t="s">
        <v>823</v>
      </c>
      <c r="C392" s="301" t="s">
        <v>791</v>
      </c>
      <c r="D392" s="303">
        <v>290.56</v>
      </c>
    </row>
    <row r="393" spans="1:4">
      <c r="A393" s="302">
        <v>93402</v>
      </c>
      <c r="B393" s="301" t="s">
        <v>1521</v>
      </c>
      <c r="C393" s="301" t="s">
        <v>791</v>
      </c>
      <c r="D393" s="303">
        <v>154.04</v>
      </c>
    </row>
    <row r="394" spans="1:4">
      <c r="A394" s="302">
        <v>93408</v>
      </c>
      <c r="B394" s="301" t="s">
        <v>11720</v>
      </c>
      <c r="C394" s="301" t="s">
        <v>791</v>
      </c>
      <c r="D394" s="303">
        <v>62.28</v>
      </c>
    </row>
    <row r="395" spans="1:4">
      <c r="A395" s="302">
        <v>93415</v>
      </c>
      <c r="B395" s="301" t="s">
        <v>1522</v>
      </c>
      <c r="C395" s="301" t="s">
        <v>791</v>
      </c>
      <c r="D395" s="303">
        <v>12.21</v>
      </c>
    </row>
    <row r="396" spans="1:4">
      <c r="A396" s="302">
        <v>93421</v>
      </c>
      <c r="B396" s="301" t="s">
        <v>1523</v>
      </c>
      <c r="C396" s="301" t="s">
        <v>791</v>
      </c>
      <c r="D396" s="303">
        <v>51.16</v>
      </c>
    </row>
    <row r="397" spans="1:4">
      <c r="A397" s="302">
        <v>93427</v>
      </c>
      <c r="B397" s="301" t="s">
        <v>1524</v>
      </c>
      <c r="C397" s="301" t="s">
        <v>791</v>
      </c>
      <c r="D397" s="303">
        <v>117</v>
      </c>
    </row>
    <row r="398" spans="1:4">
      <c r="A398" s="302">
        <v>93433</v>
      </c>
      <c r="B398" s="301" t="s">
        <v>1525</v>
      </c>
      <c r="C398" s="301" t="s">
        <v>791</v>
      </c>
      <c r="D398" s="304">
        <v>2213.4899999999998</v>
      </c>
    </row>
    <row r="399" spans="1:4">
      <c r="A399" s="302">
        <v>93439</v>
      </c>
      <c r="B399" s="301" t="s">
        <v>1526</v>
      </c>
      <c r="C399" s="301" t="s">
        <v>791</v>
      </c>
      <c r="D399" s="303">
        <v>110.23</v>
      </c>
    </row>
    <row r="400" spans="1:4">
      <c r="A400" s="302">
        <v>95121</v>
      </c>
      <c r="B400" s="301" t="s">
        <v>1527</v>
      </c>
      <c r="C400" s="301" t="s">
        <v>791</v>
      </c>
      <c r="D400" s="303">
        <v>196.04</v>
      </c>
    </row>
    <row r="401" spans="1:4">
      <c r="A401" s="302">
        <v>95127</v>
      </c>
      <c r="B401" s="301" t="s">
        <v>1528</v>
      </c>
      <c r="C401" s="301" t="s">
        <v>791</v>
      </c>
      <c r="D401" s="303">
        <v>141.05000000000001</v>
      </c>
    </row>
    <row r="402" spans="1:4">
      <c r="A402" s="302">
        <v>95133</v>
      </c>
      <c r="B402" s="301" t="s">
        <v>1529</v>
      </c>
      <c r="C402" s="301" t="s">
        <v>791</v>
      </c>
      <c r="D402" s="303">
        <v>100.93</v>
      </c>
    </row>
    <row r="403" spans="1:4">
      <c r="A403" s="302">
        <v>95139</v>
      </c>
      <c r="B403" s="301" t="s">
        <v>1530</v>
      </c>
      <c r="C403" s="301" t="s">
        <v>791</v>
      </c>
      <c r="D403" s="303">
        <v>0.06</v>
      </c>
    </row>
    <row r="404" spans="1:4">
      <c r="A404" s="302">
        <v>95212</v>
      </c>
      <c r="B404" s="301" t="s">
        <v>1531</v>
      </c>
      <c r="C404" s="301" t="s">
        <v>791</v>
      </c>
      <c r="D404" s="303">
        <v>80.58</v>
      </c>
    </row>
    <row r="405" spans="1:4">
      <c r="A405" s="302">
        <v>95218</v>
      </c>
      <c r="B405" s="301" t="s">
        <v>1532</v>
      </c>
      <c r="C405" s="301" t="s">
        <v>791</v>
      </c>
      <c r="D405" s="303">
        <v>22.2</v>
      </c>
    </row>
    <row r="406" spans="1:4">
      <c r="A406" s="302">
        <v>95258</v>
      </c>
      <c r="B406" s="301" t="s">
        <v>1533</v>
      </c>
      <c r="C406" s="301" t="s">
        <v>791</v>
      </c>
      <c r="D406" s="303">
        <v>15.2</v>
      </c>
    </row>
    <row r="407" spans="1:4">
      <c r="A407" s="302">
        <v>95264</v>
      </c>
      <c r="B407" s="301" t="s">
        <v>1534</v>
      </c>
      <c r="C407" s="301" t="s">
        <v>791</v>
      </c>
      <c r="D407" s="303">
        <v>5.42</v>
      </c>
    </row>
    <row r="408" spans="1:4">
      <c r="A408" s="302">
        <v>95270</v>
      </c>
      <c r="B408" s="301" t="s">
        <v>1535</v>
      </c>
      <c r="C408" s="301" t="s">
        <v>791</v>
      </c>
      <c r="D408" s="303">
        <v>7.59</v>
      </c>
    </row>
    <row r="409" spans="1:4">
      <c r="A409" s="302">
        <v>95276</v>
      </c>
      <c r="B409" s="301" t="s">
        <v>1536</v>
      </c>
      <c r="C409" s="301" t="s">
        <v>791</v>
      </c>
      <c r="D409" s="303">
        <v>2.16</v>
      </c>
    </row>
    <row r="410" spans="1:4">
      <c r="A410" s="302">
        <v>95282</v>
      </c>
      <c r="B410" s="301" t="s">
        <v>1537</v>
      </c>
      <c r="C410" s="301" t="s">
        <v>791</v>
      </c>
      <c r="D410" s="303">
        <v>7.58</v>
      </c>
    </row>
    <row r="411" spans="1:4">
      <c r="A411" s="302">
        <v>95620</v>
      </c>
      <c r="B411" s="301" t="s">
        <v>1538</v>
      </c>
      <c r="C411" s="301" t="s">
        <v>791</v>
      </c>
      <c r="D411" s="303">
        <v>14.74</v>
      </c>
    </row>
    <row r="412" spans="1:4">
      <c r="A412" s="302">
        <v>95631</v>
      </c>
      <c r="B412" s="301" t="s">
        <v>1539</v>
      </c>
      <c r="C412" s="301" t="s">
        <v>791</v>
      </c>
      <c r="D412" s="303">
        <v>130.83000000000001</v>
      </c>
    </row>
    <row r="413" spans="1:4">
      <c r="A413" s="302">
        <v>95702</v>
      </c>
      <c r="B413" s="301" t="s">
        <v>1540</v>
      </c>
      <c r="C413" s="301" t="s">
        <v>791</v>
      </c>
      <c r="D413" s="303">
        <v>25.43</v>
      </c>
    </row>
    <row r="414" spans="1:4">
      <c r="A414" s="302">
        <v>95708</v>
      </c>
      <c r="B414" s="301" t="s">
        <v>1541</v>
      </c>
      <c r="C414" s="301" t="s">
        <v>791</v>
      </c>
      <c r="D414" s="303">
        <v>90.79</v>
      </c>
    </row>
    <row r="415" spans="1:4">
      <c r="A415" s="302">
        <v>95714</v>
      </c>
      <c r="B415" s="301" t="s">
        <v>1542</v>
      </c>
      <c r="C415" s="301" t="s">
        <v>791</v>
      </c>
      <c r="D415" s="303">
        <v>145.9</v>
      </c>
    </row>
    <row r="416" spans="1:4">
      <c r="A416" s="302">
        <v>95720</v>
      </c>
      <c r="B416" s="301" t="s">
        <v>1543</v>
      </c>
      <c r="C416" s="301" t="s">
        <v>791</v>
      </c>
      <c r="D416" s="303">
        <v>143.43</v>
      </c>
    </row>
    <row r="417" spans="1:4">
      <c r="A417" s="302">
        <v>95872</v>
      </c>
      <c r="B417" s="301" t="s">
        <v>1544</v>
      </c>
      <c r="C417" s="301" t="s">
        <v>791</v>
      </c>
      <c r="D417" s="303">
        <v>198.52</v>
      </c>
    </row>
    <row r="418" spans="1:4">
      <c r="A418" s="302">
        <v>96013</v>
      </c>
      <c r="B418" s="301" t="s">
        <v>1545</v>
      </c>
      <c r="C418" s="301" t="s">
        <v>791</v>
      </c>
      <c r="D418" s="303">
        <v>158.38999999999999</v>
      </c>
    </row>
    <row r="419" spans="1:4">
      <c r="A419" s="302">
        <v>96020</v>
      </c>
      <c r="B419" s="301" t="s">
        <v>1546</v>
      </c>
      <c r="C419" s="301" t="s">
        <v>791</v>
      </c>
      <c r="D419" s="303">
        <v>158.15</v>
      </c>
    </row>
    <row r="420" spans="1:4">
      <c r="A420" s="302">
        <v>96028</v>
      </c>
      <c r="B420" s="301" t="s">
        <v>1547</v>
      </c>
      <c r="C420" s="301" t="s">
        <v>791</v>
      </c>
      <c r="D420" s="303">
        <v>116.77</v>
      </c>
    </row>
    <row r="421" spans="1:4">
      <c r="A421" s="302">
        <v>96035</v>
      </c>
      <c r="B421" s="301" t="s">
        <v>1548</v>
      </c>
      <c r="C421" s="301" t="s">
        <v>791</v>
      </c>
      <c r="D421" s="303">
        <v>162.61000000000001</v>
      </c>
    </row>
    <row r="422" spans="1:4">
      <c r="A422" s="302">
        <v>96157</v>
      </c>
      <c r="B422" s="301" t="s">
        <v>1549</v>
      </c>
      <c r="C422" s="301" t="s">
        <v>791</v>
      </c>
      <c r="D422" s="303">
        <v>117.01</v>
      </c>
    </row>
    <row r="423" spans="1:4">
      <c r="A423" s="302">
        <v>96158</v>
      </c>
      <c r="B423" s="301" t="s">
        <v>1550</v>
      </c>
      <c r="C423" s="301" t="s">
        <v>791</v>
      </c>
      <c r="D423" s="303">
        <v>85.58</v>
      </c>
    </row>
    <row r="424" spans="1:4">
      <c r="A424" s="302">
        <v>96245</v>
      </c>
      <c r="B424" s="301" t="s">
        <v>1551</v>
      </c>
      <c r="C424" s="301" t="s">
        <v>791</v>
      </c>
      <c r="D424" s="303">
        <v>59.67</v>
      </c>
    </row>
    <row r="425" spans="1:4">
      <c r="A425" s="302">
        <v>96303</v>
      </c>
      <c r="B425" s="301" t="s">
        <v>1552</v>
      </c>
      <c r="C425" s="301" t="s">
        <v>791</v>
      </c>
      <c r="D425" s="303">
        <v>134.58000000000001</v>
      </c>
    </row>
    <row r="426" spans="1:4">
      <c r="A426" s="302">
        <v>96309</v>
      </c>
      <c r="B426" s="301" t="s">
        <v>1553</v>
      </c>
      <c r="C426" s="301" t="s">
        <v>791</v>
      </c>
      <c r="D426" s="303">
        <v>1</v>
      </c>
    </row>
    <row r="427" spans="1:4">
      <c r="A427" s="302">
        <v>96463</v>
      </c>
      <c r="B427" s="301" t="s">
        <v>1554</v>
      </c>
      <c r="C427" s="301" t="s">
        <v>791</v>
      </c>
      <c r="D427" s="303">
        <v>119.48</v>
      </c>
    </row>
    <row r="428" spans="1:4">
      <c r="A428" s="302">
        <v>98764</v>
      </c>
      <c r="B428" s="301" t="s">
        <v>1555</v>
      </c>
      <c r="C428" s="301" t="s">
        <v>791</v>
      </c>
      <c r="D428" s="303">
        <v>2.92</v>
      </c>
    </row>
    <row r="429" spans="1:4">
      <c r="A429" s="302">
        <v>99833</v>
      </c>
      <c r="B429" s="301" t="s">
        <v>1556</v>
      </c>
      <c r="C429" s="301" t="s">
        <v>791</v>
      </c>
      <c r="D429" s="303">
        <v>1.39</v>
      </c>
    </row>
    <row r="430" spans="1:4">
      <c r="A430" s="302">
        <v>100641</v>
      </c>
      <c r="B430" s="301" t="s">
        <v>11721</v>
      </c>
      <c r="C430" s="301" t="s">
        <v>791</v>
      </c>
      <c r="D430" s="303">
        <v>371.95</v>
      </c>
    </row>
    <row r="431" spans="1:4">
      <c r="A431" s="302">
        <v>100647</v>
      </c>
      <c r="B431" s="301" t="s">
        <v>11722</v>
      </c>
      <c r="C431" s="301" t="s">
        <v>791</v>
      </c>
      <c r="D431" s="303">
        <v>784.39</v>
      </c>
    </row>
    <row r="432" spans="1:4">
      <c r="A432" s="302">
        <v>5632</v>
      </c>
      <c r="B432" s="301" t="s">
        <v>973</v>
      </c>
      <c r="C432" s="301" t="s">
        <v>793</v>
      </c>
      <c r="D432" s="303">
        <v>45.29</v>
      </c>
    </row>
    <row r="433" spans="1:4">
      <c r="A433" s="302">
        <v>5679</v>
      </c>
      <c r="B433" s="301" t="s">
        <v>1557</v>
      </c>
      <c r="C433" s="301" t="s">
        <v>793</v>
      </c>
      <c r="D433" s="303">
        <v>34.08</v>
      </c>
    </row>
    <row r="434" spans="1:4">
      <c r="A434" s="302">
        <v>5681</v>
      </c>
      <c r="B434" s="301" t="s">
        <v>1558</v>
      </c>
      <c r="C434" s="301" t="s">
        <v>793</v>
      </c>
      <c r="D434" s="303">
        <v>32.35</v>
      </c>
    </row>
    <row r="435" spans="1:4">
      <c r="A435" s="302">
        <v>5685</v>
      </c>
      <c r="B435" s="301" t="s">
        <v>1559</v>
      </c>
      <c r="C435" s="301" t="s">
        <v>793</v>
      </c>
      <c r="D435" s="303">
        <v>32.479999999999997</v>
      </c>
    </row>
    <row r="436" spans="1:4">
      <c r="A436" s="302">
        <v>5690</v>
      </c>
      <c r="B436" s="301" t="s">
        <v>1560</v>
      </c>
      <c r="C436" s="301" t="s">
        <v>793</v>
      </c>
      <c r="D436" s="303">
        <v>1.95</v>
      </c>
    </row>
    <row r="437" spans="1:4">
      <c r="A437" s="302">
        <v>5806</v>
      </c>
      <c r="B437" s="301" t="s">
        <v>1561</v>
      </c>
      <c r="C437" s="301" t="s">
        <v>793</v>
      </c>
      <c r="D437" s="303">
        <v>0.16</v>
      </c>
    </row>
    <row r="438" spans="1:4">
      <c r="A438" s="302">
        <v>5826</v>
      </c>
      <c r="B438" s="301" t="s">
        <v>1562</v>
      </c>
      <c r="C438" s="301" t="s">
        <v>793</v>
      </c>
      <c r="D438" s="303">
        <v>25.73</v>
      </c>
    </row>
    <row r="439" spans="1:4">
      <c r="A439" s="302">
        <v>5829</v>
      </c>
      <c r="B439" s="301" t="s">
        <v>1563</v>
      </c>
      <c r="C439" s="301" t="s">
        <v>793</v>
      </c>
      <c r="D439" s="303">
        <v>116.51</v>
      </c>
    </row>
    <row r="440" spans="1:4">
      <c r="A440" s="302">
        <v>5837</v>
      </c>
      <c r="B440" s="301" t="s">
        <v>1564</v>
      </c>
      <c r="C440" s="301" t="s">
        <v>793</v>
      </c>
      <c r="D440" s="303">
        <v>94.25</v>
      </c>
    </row>
    <row r="441" spans="1:4">
      <c r="A441" s="302">
        <v>5841</v>
      </c>
      <c r="B441" s="301" t="s">
        <v>1565</v>
      </c>
      <c r="C441" s="301" t="s">
        <v>793</v>
      </c>
      <c r="D441" s="303">
        <v>2.2400000000000002</v>
      </c>
    </row>
    <row r="442" spans="1:4">
      <c r="A442" s="302">
        <v>5845</v>
      </c>
      <c r="B442" s="301" t="s">
        <v>1566</v>
      </c>
      <c r="C442" s="301" t="s">
        <v>793</v>
      </c>
      <c r="D442" s="303">
        <v>26.25</v>
      </c>
    </row>
    <row r="443" spans="1:4">
      <c r="A443" s="302">
        <v>5849</v>
      </c>
      <c r="B443" s="301" t="s">
        <v>1567</v>
      </c>
      <c r="C443" s="301" t="s">
        <v>793</v>
      </c>
      <c r="D443" s="303">
        <v>43.09</v>
      </c>
    </row>
    <row r="444" spans="1:4">
      <c r="A444" s="302">
        <v>5853</v>
      </c>
      <c r="B444" s="301" t="s">
        <v>1568</v>
      </c>
      <c r="C444" s="301" t="s">
        <v>793</v>
      </c>
      <c r="D444" s="303">
        <v>43.27</v>
      </c>
    </row>
    <row r="445" spans="1:4">
      <c r="A445" s="302">
        <v>5857</v>
      </c>
      <c r="B445" s="301" t="s">
        <v>1569</v>
      </c>
      <c r="C445" s="301" t="s">
        <v>793</v>
      </c>
      <c r="D445" s="303">
        <v>107.42</v>
      </c>
    </row>
    <row r="446" spans="1:4">
      <c r="A446" s="302">
        <v>5865</v>
      </c>
      <c r="B446" s="301" t="s">
        <v>1570</v>
      </c>
      <c r="C446" s="301" t="s">
        <v>793</v>
      </c>
      <c r="D446" s="303">
        <v>5.28</v>
      </c>
    </row>
    <row r="447" spans="1:4">
      <c r="A447" s="302">
        <v>5869</v>
      </c>
      <c r="B447" s="301" t="s">
        <v>1571</v>
      </c>
      <c r="C447" s="301" t="s">
        <v>793</v>
      </c>
      <c r="D447" s="303">
        <v>36.47</v>
      </c>
    </row>
    <row r="448" spans="1:4">
      <c r="A448" s="302">
        <v>5877</v>
      </c>
      <c r="B448" s="301" t="s">
        <v>1572</v>
      </c>
      <c r="C448" s="301" t="s">
        <v>793</v>
      </c>
      <c r="D448" s="303">
        <v>33.53</v>
      </c>
    </row>
    <row r="449" spans="1:4">
      <c r="A449" s="302">
        <v>5881</v>
      </c>
      <c r="B449" s="301" t="s">
        <v>1573</v>
      </c>
      <c r="C449" s="301" t="s">
        <v>793</v>
      </c>
      <c r="D449" s="303">
        <v>38.89</v>
      </c>
    </row>
    <row r="450" spans="1:4">
      <c r="A450" s="302">
        <v>5884</v>
      </c>
      <c r="B450" s="301" t="s">
        <v>1574</v>
      </c>
      <c r="C450" s="301" t="s">
        <v>793</v>
      </c>
      <c r="D450" s="303">
        <v>33.51</v>
      </c>
    </row>
    <row r="451" spans="1:4">
      <c r="A451" s="302">
        <v>5892</v>
      </c>
      <c r="B451" s="301" t="s">
        <v>1575</v>
      </c>
      <c r="C451" s="301" t="s">
        <v>793</v>
      </c>
      <c r="D451" s="303">
        <v>26.75</v>
      </c>
    </row>
    <row r="452" spans="1:4">
      <c r="A452" s="302">
        <v>5896</v>
      </c>
      <c r="B452" s="301" t="s">
        <v>1576</v>
      </c>
      <c r="C452" s="301" t="s">
        <v>793</v>
      </c>
      <c r="D452" s="303">
        <v>25.03</v>
      </c>
    </row>
    <row r="453" spans="1:4">
      <c r="A453" s="302">
        <v>5903</v>
      </c>
      <c r="B453" s="301" t="s">
        <v>1577</v>
      </c>
      <c r="C453" s="301" t="s">
        <v>793</v>
      </c>
      <c r="D453" s="303">
        <v>31.53</v>
      </c>
    </row>
    <row r="454" spans="1:4">
      <c r="A454" s="302">
        <v>5911</v>
      </c>
      <c r="B454" s="301" t="s">
        <v>1578</v>
      </c>
      <c r="C454" s="301" t="s">
        <v>793</v>
      </c>
      <c r="D454" s="303">
        <v>18.899999999999999</v>
      </c>
    </row>
    <row r="455" spans="1:4">
      <c r="A455" s="302">
        <v>5923</v>
      </c>
      <c r="B455" s="301" t="s">
        <v>1579</v>
      </c>
      <c r="C455" s="301" t="s">
        <v>793</v>
      </c>
      <c r="D455" s="303">
        <v>1.52</v>
      </c>
    </row>
    <row r="456" spans="1:4">
      <c r="A456" s="302">
        <v>5930</v>
      </c>
      <c r="B456" s="301" t="s">
        <v>1580</v>
      </c>
      <c r="C456" s="301" t="s">
        <v>793</v>
      </c>
      <c r="D456" s="303">
        <v>30.4</v>
      </c>
    </row>
    <row r="457" spans="1:4">
      <c r="A457" s="302">
        <v>5934</v>
      </c>
      <c r="B457" s="301" t="s">
        <v>1581</v>
      </c>
      <c r="C457" s="301" t="s">
        <v>793</v>
      </c>
      <c r="D457" s="303">
        <v>46.2</v>
      </c>
    </row>
    <row r="458" spans="1:4">
      <c r="A458" s="302">
        <v>5942</v>
      </c>
      <c r="B458" s="301" t="s">
        <v>1582</v>
      </c>
      <c r="C458" s="301" t="s">
        <v>793</v>
      </c>
      <c r="D458" s="303">
        <v>39.26</v>
      </c>
    </row>
    <row r="459" spans="1:4">
      <c r="A459" s="302">
        <v>5946</v>
      </c>
      <c r="B459" s="301" t="s">
        <v>1583</v>
      </c>
      <c r="C459" s="301" t="s">
        <v>793</v>
      </c>
      <c r="D459" s="303">
        <v>48.27</v>
      </c>
    </row>
    <row r="460" spans="1:4">
      <c r="A460" s="302">
        <v>5952</v>
      </c>
      <c r="B460" s="301" t="s">
        <v>1584</v>
      </c>
      <c r="C460" s="301" t="s">
        <v>793</v>
      </c>
      <c r="D460" s="303">
        <v>14</v>
      </c>
    </row>
    <row r="461" spans="1:4">
      <c r="A461" s="302">
        <v>5954</v>
      </c>
      <c r="B461" s="301" t="s">
        <v>1585</v>
      </c>
      <c r="C461" s="301" t="s">
        <v>793</v>
      </c>
      <c r="D461" s="303">
        <v>2.65</v>
      </c>
    </row>
    <row r="462" spans="1:4">
      <c r="A462" s="302">
        <v>5961</v>
      </c>
      <c r="B462" s="301" t="s">
        <v>1586</v>
      </c>
      <c r="C462" s="301" t="s">
        <v>793</v>
      </c>
      <c r="D462" s="303">
        <v>30.62</v>
      </c>
    </row>
    <row r="463" spans="1:4">
      <c r="A463" s="302">
        <v>6260</v>
      </c>
      <c r="B463" s="301" t="s">
        <v>1587</v>
      </c>
      <c r="C463" s="301" t="s">
        <v>793</v>
      </c>
      <c r="D463" s="303">
        <v>28.04</v>
      </c>
    </row>
    <row r="464" spans="1:4">
      <c r="A464" s="302">
        <v>6880</v>
      </c>
      <c r="B464" s="301" t="s">
        <v>1588</v>
      </c>
      <c r="C464" s="301" t="s">
        <v>793</v>
      </c>
      <c r="D464" s="303">
        <v>42.34</v>
      </c>
    </row>
    <row r="465" spans="1:4">
      <c r="A465" s="302">
        <v>7031</v>
      </c>
      <c r="B465" s="301" t="s">
        <v>1589</v>
      </c>
      <c r="C465" s="301" t="s">
        <v>793</v>
      </c>
      <c r="D465" s="303">
        <v>3.27</v>
      </c>
    </row>
    <row r="466" spans="1:4">
      <c r="A466" s="302">
        <v>7043</v>
      </c>
      <c r="B466" s="301" t="s">
        <v>1590</v>
      </c>
      <c r="C466" s="301" t="s">
        <v>793</v>
      </c>
      <c r="D466" s="303">
        <v>0.2</v>
      </c>
    </row>
    <row r="467" spans="1:4">
      <c r="A467" s="302">
        <v>7050</v>
      </c>
      <c r="B467" s="301" t="s">
        <v>1591</v>
      </c>
      <c r="C467" s="301" t="s">
        <v>793</v>
      </c>
      <c r="D467" s="303">
        <v>39.25</v>
      </c>
    </row>
    <row r="468" spans="1:4">
      <c r="A468" s="302">
        <v>67827</v>
      </c>
      <c r="B468" s="301" t="s">
        <v>1592</v>
      </c>
      <c r="C468" s="301" t="s">
        <v>793</v>
      </c>
      <c r="D468" s="303">
        <v>29.92</v>
      </c>
    </row>
    <row r="469" spans="1:4">
      <c r="A469" s="302">
        <v>73395</v>
      </c>
      <c r="B469" s="301" t="s">
        <v>1593</v>
      </c>
      <c r="C469" s="301" t="s">
        <v>793</v>
      </c>
      <c r="D469" s="303">
        <v>4.92</v>
      </c>
    </row>
    <row r="470" spans="1:4">
      <c r="A470" s="302">
        <v>83766</v>
      </c>
      <c r="B470" s="301" t="s">
        <v>1594</v>
      </c>
      <c r="C470" s="301" t="s">
        <v>793</v>
      </c>
      <c r="D470" s="303">
        <v>29.87</v>
      </c>
    </row>
    <row r="471" spans="1:4">
      <c r="A471" s="302">
        <v>84013</v>
      </c>
      <c r="B471" s="301" t="s">
        <v>1595</v>
      </c>
      <c r="C471" s="301" t="s">
        <v>793</v>
      </c>
      <c r="D471" s="303">
        <v>44.05</v>
      </c>
    </row>
    <row r="472" spans="1:4">
      <c r="A472" s="302">
        <v>87446</v>
      </c>
      <c r="B472" s="301" t="s">
        <v>1596</v>
      </c>
      <c r="C472" s="301" t="s">
        <v>793</v>
      </c>
      <c r="D472" s="303">
        <v>0.37</v>
      </c>
    </row>
    <row r="473" spans="1:4">
      <c r="A473" s="302">
        <v>88392</v>
      </c>
      <c r="B473" s="301" t="s">
        <v>1597</v>
      </c>
      <c r="C473" s="301" t="s">
        <v>793</v>
      </c>
      <c r="D473" s="303">
        <v>0.72</v>
      </c>
    </row>
    <row r="474" spans="1:4">
      <c r="A474" s="302">
        <v>88398</v>
      </c>
      <c r="B474" s="301" t="s">
        <v>1598</v>
      </c>
      <c r="C474" s="301" t="s">
        <v>793</v>
      </c>
      <c r="D474" s="303">
        <v>0.87</v>
      </c>
    </row>
    <row r="475" spans="1:4">
      <c r="A475" s="302">
        <v>88404</v>
      </c>
      <c r="B475" s="301" t="s">
        <v>1599</v>
      </c>
      <c r="C475" s="301" t="s">
        <v>793</v>
      </c>
      <c r="D475" s="303">
        <v>0.69</v>
      </c>
    </row>
    <row r="476" spans="1:4">
      <c r="A476" s="302">
        <v>88430</v>
      </c>
      <c r="B476" s="301" t="s">
        <v>1600</v>
      </c>
      <c r="C476" s="301" t="s">
        <v>793</v>
      </c>
      <c r="D476" s="303">
        <v>4.51</v>
      </c>
    </row>
    <row r="477" spans="1:4">
      <c r="A477" s="302">
        <v>88438</v>
      </c>
      <c r="B477" s="301" t="s">
        <v>1601</v>
      </c>
      <c r="C477" s="301" t="s">
        <v>793</v>
      </c>
      <c r="D477" s="303">
        <v>5.98</v>
      </c>
    </row>
    <row r="478" spans="1:4">
      <c r="A478" s="302">
        <v>88831</v>
      </c>
      <c r="B478" s="301" t="s">
        <v>1602</v>
      </c>
      <c r="C478" s="301" t="s">
        <v>793</v>
      </c>
      <c r="D478" s="303">
        <v>0.26</v>
      </c>
    </row>
    <row r="479" spans="1:4">
      <c r="A479" s="302">
        <v>88844</v>
      </c>
      <c r="B479" s="301" t="s">
        <v>1603</v>
      </c>
      <c r="C479" s="301" t="s">
        <v>793</v>
      </c>
      <c r="D479" s="303">
        <v>37.840000000000003</v>
      </c>
    </row>
    <row r="480" spans="1:4">
      <c r="A480" s="302">
        <v>88908</v>
      </c>
      <c r="B480" s="301" t="s">
        <v>1604</v>
      </c>
      <c r="C480" s="301" t="s">
        <v>793</v>
      </c>
      <c r="D480" s="303">
        <v>48.31</v>
      </c>
    </row>
    <row r="481" spans="1:4">
      <c r="A481" s="302">
        <v>89022</v>
      </c>
      <c r="B481" s="301" t="s">
        <v>1605</v>
      </c>
      <c r="C481" s="301" t="s">
        <v>793</v>
      </c>
      <c r="D481" s="303">
        <v>0.28999999999999998</v>
      </c>
    </row>
    <row r="482" spans="1:4">
      <c r="A482" s="302">
        <v>89027</v>
      </c>
      <c r="B482" s="301" t="s">
        <v>1606</v>
      </c>
      <c r="C482" s="301" t="s">
        <v>793</v>
      </c>
      <c r="D482" s="303">
        <v>2.66</v>
      </c>
    </row>
    <row r="483" spans="1:4">
      <c r="A483" s="302">
        <v>89031</v>
      </c>
      <c r="B483" s="301" t="s">
        <v>1607</v>
      </c>
      <c r="C483" s="301" t="s">
        <v>793</v>
      </c>
      <c r="D483" s="303">
        <v>36.82</v>
      </c>
    </row>
    <row r="484" spans="1:4">
      <c r="A484" s="302">
        <v>89036</v>
      </c>
      <c r="B484" s="301" t="s">
        <v>1608</v>
      </c>
      <c r="C484" s="301" t="s">
        <v>793</v>
      </c>
      <c r="D484" s="303">
        <v>23.26</v>
      </c>
    </row>
    <row r="485" spans="1:4">
      <c r="A485" s="302">
        <v>89218</v>
      </c>
      <c r="B485" s="301" t="s">
        <v>1609</v>
      </c>
      <c r="C485" s="301" t="s">
        <v>793</v>
      </c>
      <c r="D485" s="303">
        <v>50.47</v>
      </c>
    </row>
    <row r="486" spans="1:4">
      <c r="A486" s="302">
        <v>89226</v>
      </c>
      <c r="B486" s="301" t="s">
        <v>1610</v>
      </c>
      <c r="C486" s="301" t="s">
        <v>793</v>
      </c>
      <c r="D486" s="303">
        <v>1.1100000000000001</v>
      </c>
    </row>
    <row r="487" spans="1:4">
      <c r="A487" s="302">
        <v>89235</v>
      </c>
      <c r="B487" s="301" t="s">
        <v>1611</v>
      </c>
      <c r="C487" s="301" t="s">
        <v>793</v>
      </c>
      <c r="D487" s="303">
        <v>122.5</v>
      </c>
    </row>
    <row r="488" spans="1:4">
      <c r="A488" s="302">
        <v>89243</v>
      </c>
      <c r="B488" s="301" t="s">
        <v>1612</v>
      </c>
      <c r="C488" s="301" t="s">
        <v>793</v>
      </c>
      <c r="D488" s="303">
        <v>262.41000000000003</v>
      </c>
    </row>
    <row r="489" spans="1:4">
      <c r="A489" s="302">
        <v>89251</v>
      </c>
      <c r="B489" s="301" t="s">
        <v>1613</v>
      </c>
      <c r="C489" s="301" t="s">
        <v>793</v>
      </c>
      <c r="D489" s="303">
        <v>230.34</v>
      </c>
    </row>
    <row r="490" spans="1:4">
      <c r="A490" s="302">
        <v>89258</v>
      </c>
      <c r="B490" s="301" t="s">
        <v>1614</v>
      </c>
      <c r="C490" s="301" t="s">
        <v>793</v>
      </c>
      <c r="D490" s="303">
        <v>80.44</v>
      </c>
    </row>
    <row r="491" spans="1:4">
      <c r="A491" s="302">
        <v>89273</v>
      </c>
      <c r="B491" s="301" t="s">
        <v>1615</v>
      </c>
      <c r="C491" s="301" t="s">
        <v>793</v>
      </c>
      <c r="D491" s="303">
        <v>47.48</v>
      </c>
    </row>
    <row r="492" spans="1:4">
      <c r="A492" s="302">
        <v>89279</v>
      </c>
      <c r="B492" s="301" t="s">
        <v>1616</v>
      </c>
      <c r="C492" s="301" t="s">
        <v>793</v>
      </c>
      <c r="D492" s="303">
        <v>1.36</v>
      </c>
    </row>
    <row r="493" spans="1:4">
      <c r="A493" s="302">
        <v>89877</v>
      </c>
      <c r="B493" s="301" t="s">
        <v>1617</v>
      </c>
      <c r="C493" s="301" t="s">
        <v>793</v>
      </c>
      <c r="D493" s="303">
        <v>39.54</v>
      </c>
    </row>
    <row r="494" spans="1:4">
      <c r="A494" s="302">
        <v>89884</v>
      </c>
      <c r="B494" s="301" t="s">
        <v>1618</v>
      </c>
      <c r="C494" s="301" t="s">
        <v>793</v>
      </c>
      <c r="D494" s="303">
        <v>40.83</v>
      </c>
    </row>
    <row r="495" spans="1:4">
      <c r="A495" s="302">
        <v>90587</v>
      </c>
      <c r="B495" s="301" t="s">
        <v>795</v>
      </c>
      <c r="C495" s="301" t="s">
        <v>793</v>
      </c>
      <c r="D495" s="303">
        <v>0.3</v>
      </c>
    </row>
    <row r="496" spans="1:4">
      <c r="A496" s="302">
        <v>90626</v>
      </c>
      <c r="B496" s="301" t="s">
        <v>1619</v>
      </c>
      <c r="C496" s="301" t="s">
        <v>793</v>
      </c>
      <c r="D496" s="303">
        <v>1.82</v>
      </c>
    </row>
    <row r="497" spans="1:4">
      <c r="A497" s="302">
        <v>90632</v>
      </c>
      <c r="B497" s="301" t="s">
        <v>1620</v>
      </c>
      <c r="C497" s="301" t="s">
        <v>793</v>
      </c>
      <c r="D497" s="303">
        <v>42.49</v>
      </c>
    </row>
    <row r="498" spans="1:4">
      <c r="A498" s="302">
        <v>90638</v>
      </c>
      <c r="B498" s="301" t="s">
        <v>1621</v>
      </c>
      <c r="C498" s="301" t="s">
        <v>793</v>
      </c>
      <c r="D498" s="303">
        <v>3.46</v>
      </c>
    </row>
    <row r="499" spans="1:4">
      <c r="A499" s="302">
        <v>90644</v>
      </c>
      <c r="B499" s="301" t="s">
        <v>1622</v>
      </c>
      <c r="C499" s="301" t="s">
        <v>793</v>
      </c>
      <c r="D499" s="303">
        <v>5.19</v>
      </c>
    </row>
    <row r="500" spans="1:4">
      <c r="A500" s="302">
        <v>90651</v>
      </c>
      <c r="B500" s="301" t="s">
        <v>1623</v>
      </c>
      <c r="C500" s="301" t="s">
        <v>793</v>
      </c>
      <c r="D500" s="303">
        <v>0.59</v>
      </c>
    </row>
    <row r="501" spans="1:4">
      <c r="A501" s="302">
        <v>90657</v>
      </c>
      <c r="B501" s="301" t="s">
        <v>1624</v>
      </c>
      <c r="C501" s="301" t="s">
        <v>793</v>
      </c>
      <c r="D501" s="303">
        <v>3.37</v>
      </c>
    </row>
    <row r="502" spans="1:4">
      <c r="A502" s="302">
        <v>90663</v>
      </c>
      <c r="B502" s="301" t="s">
        <v>1625</v>
      </c>
      <c r="C502" s="301" t="s">
        <v>793</v>
      </c>
      <c r="D502" s="303">
        <v>3.61</v>
      </c>
    </row>
    <row r="503" spans="1:4">
      <c r="A503" s="302">
        <v>90669</v>
      </c>
      <c r="B503" s="301" t="s">
        <v>1626</v>
      </c>
      <c r="C503" s="301" t="s">
        <v>793</v>
      </c>
      <c r="D503" s="303">
        <v>4.2</v>
      </c>
    </row>
    <row r="504" spans="1:4">
      <c r="A504" s="302">
        <v>90675</v>
      </c>
      <c r="B504" s="301" t="s">
        <v>1627</v>
      </c>
      <c r="C504" s="301" t="s">
        <v>793</v>
      </c>
      <c r="D504" s="303">
        <v>140.80000000000001</v>
      </c>
    </row>
    <row r="505" spans="1:4">
      <c r="A505" s="302">
        <v>90681</v>
      </c>
      <c r="B505" s="301" t="s">
        <v>1628</v>
      </c>
      <c r="C505" s="301" t="s">
        <v>793</v>
      </c>
      <c r="D505" s="303">
        <v>84.41</v>
      </c>
    </row>
    <row r="506" spans="1:4">
      <c r="A506" s="302">
        <v>90687</v>
      </c>
      <c r="B506" s="301" t="s">
        <v>1629</v>
      </c>
      <c r="C506" s="301" t="s">
        <v>793</v>
      </c>
      <c r="D506" s="303">
        <v>39.32</v>
      </c>
    </row>
    <row r="507" spans="1:4">
      <c r="A507" s="302">
        <v>90693</v>
      </c>
      <c r="B507" s="301" t="s">
        <v>1630</v>
      </c>
      <c r="C507" s="301" t="s">
        <v>793</v>
      </c>
      <c r="D507" s="303">
        <v>28.71</v>
      </c>
    </row>
    <row r="508" spans="1:4">
      <c r="A508" s="302">
        <v>90965</v>
      </c>
      <c r="B508" s="301" t="s">
        <v>1631</v>
      </c>
      <c r="C508" s="301" t="s">
        <v>793</v>
      </c>
      <c r="D508" s="303">
        <v>3.54</v>
      </c>
    </row>
    <row r="509" spans="1:4">
      <c r="A509" s="302">
        <v>90973</v>
      </c>
      <c r="B509" s="301" t="s">
        <v>1632</v>
      </c>
      <c r="C509" s="301" t="s">
        <v>793</v>
      </c>
      <c r="D509" s="303">
        <v>3.55</v>
      </c>
    </row>
    <row r="510" spans="1:4">
      <c r="A510" s="302">
        <v>90982</v>
      </c>
      <c r="B510" s="301" t="s">
        <v>1633</v>
      </c>
      <c r="C510" s="301" t="s">
        <v>793</v>
      </c>
      <c r="D510" s="303">
        <v>9.0299999999999994</v>
      </c>
    </row>
    <row r="511" spans="1:4">
      <c r="A511" s="302">
        <v>91001</v>
      </c>
      <c r="B511" s="301" t="s">
        <v>1634</v>
      </c>
      <c r="C511" s="301" t="s">
        <v>793</v>
      </c>
      <c r="D511" s="303">
        <v>4.21</v>
      </c>
    </row>
    <row r="512" spans="1:4">
      <c r="A512" s="302">
        <v>91032</v>
      </c>
      <c r="B512" s="301" t="s">
        <v>1635</v>
      </c>
      <c r="C512" s="301" t="s">
        <v>793</v>
      </c>
      <c r="D512" s="303">
        <v>29.86</v>
      </c>
    </row>
    <row r="513" spans="1:4">
      <c r="A513" s="302">
        <v>91278</v>
      </c>
      <c r="B513" s="301" t="s">
        <v>1636</v>
      </c>
      <c r="C513" s="301" t="s">
        <v>793</v>
      </c>
      <c r="D513" s="303">
        <v>0.48</v>
      </c>
    </row>
    <row r="514" spans="1:4">
      <c r="A514" s="302">
        <v>91285</v>
      </c>
      <c r="B514" s="301" t="s">
        <v>792</v>
      </c>
      <c r="C514" s="301" t="s">
        <v>793</v>
      </c>
      <c r="D514" s="303">
        <v>0.95</v>
      </c>
    </row>
    <row r="515" spans="1:4">
      <c r="A515" s="302">
        <v>91387</v>
      </c>
      <c r="B515" s="301" t="s">
        <v>1637</v>
      </c>
      <c r="C515" s="301" t="s">
        <v>793</v>
      </c>
      <c r="D515" s="303">
        <v>32.630000000000003</v>
      </c>
    </row>
    <row r="516" spans="1:4">
      <c r="A516" s="302">
        <v>91395</v>
      </c>
      <c r="B516" s="301" t="s">
        <v>1638</v>
      </c>
      <c r="C516" s="301" t="s">
        <v>793</v>
      </c>
      <c r="D516" s="303">
        <v>27.6</v>
      </c>
    </row>
    <row r="517" spans="1:4">
      <c r="A517" s="302">
        <v>91486</v>
      </c>
      <c r="B517" s="301" t="s">
        <v>1639</v>
      </c>
      <c r="C517" s="301" t="s">
        <v>793</v>
      </c>
      <c r="D517" s="303">
        <v>33.1</v>
      </c>
    </row>
    <row r="518" spans="1:4">
      <c r="A518" s="302">
        <v>91534</v>
      </c>
      <c r="B518" s="301" t="s">
        <v>1640</v>
      </c>
      <c r="C518" s="301" t="s">
        <v>793</v>
      </c>
      <c r="D518" s="303">
        <v>15.7</v>
      </c>
    </row>
    <row r="519" spans="1:4">
      <c r="A519" s="302">
        <v>91635</v>
      </c>
      <c r="B519" s="301" t="s">
        <v>1641</v>
      </c>
      <c r="C519" s="301" t="s">
        <v>793</v>
      </c>
      <c r="D519" s="303">
        <v>29.46</v>
      </c>
    </row>
    <row r="520" spans="1:4">
      <c r="A520" s="302">
        <v>91646</v>
      </c>
      <c r="B520" s="301" t="s">
        <v>1642</v>
      </c>
      <c r="C520" s="301" t="s">
        <v>793</v>
      </c>
      <c r="D520" s="303">
        <v>46.36</v>
      </c>
    </row>
    <row r="521" spans="1:4">
      <c r="A521" s="302">
        <v>91693</v>
      </c>
      <c r="B521" s="301" t="s">
        <v>1643</v>
      </c>
      <c r="C521" s="301" t="s">
        <v>793</v>
      </c>
      <c r="D521" s="303">
        <v>15.11</v>
      </c>
    </row>
    <row r="522" spans="1:4">
      <c r="A522" s="302">
        <v>92044</v>
      </c>
      <c r="B522" s="301" t="s">
        <v>1644</v>
      </c>
      <c r="C522" s="301" t="s">
        <v>793</v>
      </c>
      <c r="D522" s="303">
        <v>4.5599999999999996</v>
      </c>
    </row>
    <row r="523" spans="1:4">
      <c r="A523" s="302">
        <v>92107</v>
      </c>
      <c r="B523" s="301" t="s">
        <v>1645</v>
      </c>
      <c r="C523" s="301" t="s">
        <v>793</v>
      </c>
      <c r="D523" s="303">
        <v>33.76</v>
      </c>
    </row>
    <row r="524" spans="1:4">
      <c r="A524" s="302">
        <v>92113</v>
      </c>
      <c r="B524" s="301" t="s">
        <v>1646</v>
      </c>
      <c r="C524" s="301" t="s">
        <v>793</v>
      </c>
      <c r="D524" s="303">
        <v>0.8</v>
      </c>
    </row>
    <row r="525" spans="1:4">
      <c r="A525" s="302">
        <v>92119</v>
      </c>
      <c r="B525" s="301" t="s">
        <v>1647</v>
      </c>
      <c r="C525" s="301" t="s">
        <v>793</v>
      </c>
      <c r="D525" s="303">
        <v>0.08</v>
      </c>
    </row>
    <row r="526" spans="1:4">
      <c r="A526" s="302">
        <v>92139</v>
      </c>
      <c r="B526" s="301" t="s">
        <v>1648</v>
      </c>
      <c r="C526" s="301" t="s">
        <v>793</v>
      </c>
      <c r="D526" s="303">
        <v>24.42</v>
      </c>
    </row>
    <row r="527" spans="1:4">
      <c r="A527" s="302">
        <v>92146</v>
      </c>
      <c r="B527" s="301" t="s">
        <v>1649</v>
      </c>
      <c r="C527" s="301" t="s">
        <v>793</v>
      </c>
      <c r="D527" s="303">
        <v>17.82</v>
      </c>
    </row>
    <row r="528" spans="1:4">
      <c r="A528" s="302">
        <v>92243</v>
      </c>
      <c r="B528" s="301" t="s">
        <v>1650</v>
      </c>
      <c r="C528" s="301" t="s">
        <v>793</v>
      </c>
      <c r="D528" s="303">
        <v>39.18</v>
      </c>
    </row>
    <row r="529" spans="1:4">
      <c r="A529" s="302">
        <v>92717</v>
      </c>
      <c r="B529" s="301" t="s">
        <v>1651</v>
      </c>
      <c r="C529" s="301" t="s">
        <v>793</v>
      </c>
      <c r="D529" s="303">
        <v>0.27</v>
      </c>
    </row>
    <row r="530" spans="1:4">
      <c r="A530" s="302">
        <v>92961</v>
      </c>
      <c r="B530" s="301" t="s">
        <v>1652</v>
      </c>
      <c r="C530" s="301" t="s">
        <v>793</v>
      </c>
      <c r="D530" s="303">
        <v>5.6</v>
      </c>
    </row>
    <row r="531" spans="1:4">
      <c r="A531" s="302">
        <v>92967</v>
      </c>
      <c r="B531" s="301" t="s">
        <v>1653</v>
      </c>
      <c r="C531" s="301" t="s">
        <v>793</v>
      </c>
      <c r="D531" s="303">
        <v>14.04</v>
      </c>
    </row>
    <row r="532" spans="1:4">
      <c r="A532" s="302">
        <v>93225</v>
      </c>
      <c r="B532" s="301" t="s">
        <v>1654</v>
      </c>
      <c r="C532" s="301" t="s">
        <v>793</v>
      </c>
      <c r="D532" s="303">
        <v>210.64</v>
      </c>
    </row>
    <row r="533" spans="1:4">
      <c r="A533" s="302">
        <v>93234</v>
      </c>
      <c r="B533" s="301" t="s">
        <v>1655</v>
      </c>
      <c r="C533" s="301" t="s">
        <v>793</v>
      </c>
      <c r="D533" s="303">
        <v>0.34</v>
      </c>
    </row>
    <row r="534" spans="1:4">
      <c r="A534" s="302">
        <v>93244</v>
      </c>
      <c r="B534" s="301" t="s">
        <v>1656</v>
      </c>
      <c r="C534" s="301" t="s">
        <v>793</v>
      </c>
      <c r="D534" s="303">
        <v>33.18</v>
      </c>
    </row>
    <row r="535" spans="1:4">
      <c r="A535" s="302">
        <v>93274</v>
      </c>
      <c r="B535" s="301" t="s">
        <v>1657</v>
      </c>
      <c r="C535" s="301" t="s">
        <v>793</v>
      </c>
      <c r="D535" s="303">
        <v>41.51</v>
      </c>
    </row>
    <row r="536" spans="1:4">
      <c r="A536" s="302">
        <v>93282</v>
      </c>
      <c r="B536" s="301" t="s">
        <v>1658</v>
      </c>
      <c r="C536" s="301" t="s">
        <v>793</v>
      </c>
      <c r="D536" s="303">
        <v>14.7</v>
      </c>
    </row>
    <row r="537" spans="1:4">
      <c r="A537" s="302">
        <v>93288</v>
      </c>
      <c r="B537" s="301" t="s">
        <v>824</v>
      </c>
      <c r="C537" s="301" t="s">
        <v>793</v>
      </c>
      <c r="D537" s="303">
        <v>78.48</v>
      </c>
    </row>
    <row r="538" spans="1:4">
      <c r="A538" s="302">
        <v>93403</v>
      </c>
      <c r="B538" s="301" t="s">
        <v>1659</v>
      </c>
      <c r="C538" s="301" t="s">
        <v>793</v>
      </c>
      <c r="D538" s="303">
        <v>29.46</v>
      </c>
    </row>
    <row r="539" spans="1:4">
      <c r="A539" s="302">
        <v>93409</v>
      </c>
      <c r="B539" s="301" t="s">
        <v>11723</v>
      </c>
      <c r="C539" s="301" t="s">
        <v>793</v>
      </c>
      <c r="D539" s="303">
        <v>24.64</v>
      </c>
    </row>
    <row r="540" spans="1:4">
      <c r="A540" s="302">
        <v>93416</v>
      </c>
      <c r="B540" s="301" t="s">
        <v>1660</v>
      </c>
      <c r="C540" s="301" t="s">
        <v>793</v>
      </c>
      <c r="D540" s="303">
        <v>0.23</v>
      </c>
    </row>
    <row r="541" spans="1:4">
      <c r="A541" s="302">
        <v>93422</v>
      </c>
      <c r="B541" s="301" t="s">
        <v>1661</v>
      </c>
      <c r="C541" s="301" t="s">
        <v>793</v>
      </c>
      <c r="D541" s="303">
        <v>3.09</v>
      </c>
    </row>
    <row r="542" spans="1:4">
      <c r="A542" s="302">
        <v>93428</v>
      </c>
      <c r="B542" s="301" t="s">
        <v>1662</v>
      </c>
      <c r="C542" s="301" t="s">
        <v>793</v>
      </c>
      <c r="D542" s="303">
        <v>4.38</v>
      </c>
    </row>
    <row r="543" spans="1:4">
      <c r="A543" s="302">
        <v>93434</v>
      </c>
      <c r="B543" s="301" t="s">
        <v>1663</v>
      </c>
      <c r="C543" s="301" t="s">
        <v>793</v>
      </c>
      <c r="D543" s="303">
        <v>153.82</v>
      </c>
    </row>
    <row r="544" spans="1:4">
      <c r="A544" s="302">
        <v>93440</v>
      </c>
      <c r="B544" s="301" t="s">
        <v>1664</v>
      </c>
      <c r="C544" s="301" t="s">
        <v>793</v>
      </c>
      <c r="D544" s="303">
        <v>83.6</v>
      </c>
    </row>
    <row r="545" spans="1:4">
      <c r="A545" s="302">
        <v>95122</v>
      </c>
      <c r="B545" s="301" t="s">
        <v>1665</v>
      </c>
      <c r="C545" s="301" t="s">
        <v>793</v>
      </c>
      <c r="D545" s="303">
        <v>117.81</v>
      </c>
    </row>
    <row r="546" spans="1:4">
      <c r="A546" s="302">
        <v>95128</v>
      </c>
      <c r="B546" s="301" t="s">
        <v>1666</v>
      </c>
      <c r="C546" s="301" t="s">
        <v>793</v>
      </c>
      <c r="D546" s="303">
        <v>28.18</v>
      </c>
    </row>
    <row r="547" spans="1:4">
      <c r="A547" s="302">
        <v>95140</v>
      </c>
      <c r="B547" s="301" t="s">
        <v>1667</v>
      </c>
      <c r="C547" s="301" t="s">
        <v>793</v>
      </c>
      <c r="D547" s="303">
        <v>0.04</v>
      </c>
    </row>
    <row r="548" spans="1:4">
      <c r="A548" s="302">
        <v>95213</v>
      </c>
      <c r="B548" s="301" t="s">
        <v>1668</v>
      </c>
      <c r="C548" s="301" t="s">
        <v>793</v>
      </c>
      <c r="D548" s="303">
        <v>45.11</v>
      </c>
    </row>
    <row r="549" spans="1:4">
      <c r="A549" s="302">
        <v>95219</v>
      </c>
      <c r="B549" s="301" t="s">
        <v>1669</v>
      </c>
      <c r="C549" s="301" t="s">
        <v>793</v>
      </c>
      <c r="D549" s="303">
        <v>21.48</v>
      </c>
    </row>
    <row r="550" spans="1:4">
      <c r="A550" s="302">
        <v>95259</v>
      </c>
      <c r="B550" s="301" t="s">
        <v>1670</v>
      </c>
      <c r="C550" s="301" t="s">
        <v>793</v>
      </c>
      <c r="D550" s="303">
        <v>13.84</v>
      </c>
    </row>
    <row r="551" spans="1:4">
      <c r="A551" s="302">
        <v>95265</v>
      </c>
      <c r="B551" s="301" t="s">
        <v>1671</v>
      </c>
      <c r="C551" s="301" t="s">
        <v>793</v>
      </c>
      <c r="D551" s="303">
        <v>0.63</v>
      </c>
    </row>
    <row r="552" spans="1:4">
      <c r="A552" s="302">
        <v>95271</v>
      </c>
      <c r="B552" s="301" t="s">
        <v>1672</v>
      </c>
      <c r="C552" s="301" t="s">
        <v>793</v>
      </c>
      <c r="D552" s="303">
        <v>0.39</v>
      </c>
    </row>
    <row r="553" spans="1:4">
      <c r="A553" s="302">
        <v>95277</v>
      </c>
      <c r="B553" s="301" t="s">
        <v>1673</v>
      </c>
      <c r="C553" s="301" t="s">
        <v>793</v>
      </c>
      <c r="D553" s="303">
        <v>0.39</v>
      </c>
    </row>
    <row r="554" spans="1:4">
      <c r="A554" s="302">
        <v>95283</v>
      </c>
      <c r="B554" s="301" t="s">
        <v>1674</v>
      </c>
      <c r="C554" s="301" t="s">
        <v>793</v>
      </c>
      <c r="D554" s="303">
        <v>0.43</v>
      </c>
    </row>
    <row r="555" spans="1:4">
      <c r="A555" s="302">
        <v>95621</v>
      </c>
      <c r="B555" s="301" t="s">
        <v>1675</v>
      </c>
      <c r="C555" s="301" t="s">
        <v>793</v>
      </c>
      <c r="D555" s="303">
        <v>13.62</v>
      </c>
    </row>
    <row r="556" spans="1:4">
      <c r="A556" s="302">
        <v>95632</v>
      </c>
      <c r="B556" s="301" t="s">
        <v>1676</v>
      </c>
      <c r="C556" s="301" t="s">
        <v>793</v>
      </c>
      <c r="D556" s="303">
        <v>41.17</v>
      </c>
    </row>
    <row r="557" spans="1:4">
      <c r="A557" s="302">
        <v>95703</v>
      </c>
      <c r="B557" s="301" t="s">
        <v>1677</v>
      </c>
      <c r="C557" s="301" t="s">
        <v>793</v>
      </c>
      <c r="D557" s="303">
        <v>19.05</v>
      </c>
    </row>
    <row r="558" spans="1:4">
      <c r="A558" s="302">
        <v>95709</v>
      </c>
      <c r="B558" s="301" t="s">
        <v>1678</v>
      </c>
      <c r="C558" s="301" t="s">
        <v>793</v>
      </c>
      <c r="D558" s="303">
        <v>41.35</v>
      </c>
    </row>
    <row r="559" spans="1:4">
      <c r="A559" s="302">
        <v>95715</v>
      </c>
      <c r="B559" s="301" t="s">
        <v>1679</v>
      </c>
      <c r="C559" s="301" t="s">
        <v>793</v>
      </c>
      <c r="D559" s="303">
        <v>49.92</v>
      </c>
    </row>
    <row r="560" spans="1:4">
      <c r="A560" s="302">
        <v>95721</v>
      </c>
      <c r="B560" s="301" t="s">
        <v>1680</v>
      </c>
      <c r="C560" s="301" t="s">
        <v>793</v>
      </c>
      <c r="D560" s="303">
        <v>48.74</v>
      </c>
    </row>
    <row r="561" spans="1:4">
      <c r="A561" s="302">
        <v>95873</v>
      </c>
      <c r="B561" s="301" t="s">
        <v>1681</v>
      </c>
      <c r="C561" s="301" t="s">
        <v>793</v>
      </c>
      <c r="D561" s="303">
        <v>7.01</v>
      </c>
    </row>
    <row r="562" spans="1:4">
      <c r="A562" s="302">
        <v>96014</v>
      </c>
      <c r="B562" s="301" t="s">
        <v>1682</v>
      </c>
      <c r="C562" s="301" t="s">
        <v>793</v>
      </c>
      <c r="D562" s="303">
        <v>28.39</v>
      </c>
    </row>
    <row r="563" spans="1:4">
      <c r="A563" s="302">
        <v>96021</v>
      </c>
      <c r="B563" s="301" t="s">
        <v>1683</v>
      </c>
      <c r="C563" s="301" t="s">
        <v>793</v>
      </c>
      <c r="D563" s="303">
        <v>28.27</v>
      </c>
    </row>
    <row r="564" spans="1:4">
      <c r="A564" s="302">
        <v>96029</v>
      </c>
      <c r="B564" s="301" t="s">
        <v>1684</v>
      </c>
      <c r="C564" s="301" t="s">
        <v>793</v>
      </c>
      <c r="D564" s="303">
        <v>25.28</v>
      </c>
    </row>
    <row r="565" spans="1:4">
      <c r="A565" s="302">
        <v>96036</v>
      </c>
      <c r="B565" s="301" t="s">
        <v>1685</v>
      </c>
      <c r="C565" s="301" t="s">
        <v>793</v>
      </c>
      <c r="D565" s="303">
        <v>35.5</v>
      </c>
    </row>
    <row r="566" spans="1:4">
      <c r="A566" s="302">
        <v>96155</v>
      </c>
      <c r="B566" s="301" t="s">
        <v>1686</v>
      </c>
      <c r="C566" s="301" t="s">
        <v>793</v>
      </c>
      <c r="D566" s="303">
        <v>25.4</v>
      </c>
    </row>
    <row r="567" spans="1:4">
      <c r="A567" s="302">
        <v>96156</v>
      </c>
      <c r="B567" s="301" t="s">
        <v>1687</v>
      </c>
      <c r="C567" s="301" t="s">
        <v>793</v>
      </c>
      <c r="D567" s="303">
        <v>31.82</v>
      </c>
    </row>
    <row r="568" spans="1:4">
      <c r="A568" s="302">
        <v>96159</v>
      </c>
      <c r="B568" s="301" t="s">
        <v>1688</v>
      </c>
      <c r="C568" s="301" t="s">
        <v>793</v>
      </c>
      <c r="D568" s="303">
        <v>41</v>
      </c>
    </row>
    <row r="569" spans="1:4">
      <c r="A569" s="302">
        <v>96246</v>
      </c>
      <c r="B569" s="301" t="s">
        <v>1689</v>
      </c>
      <c r="C569" s="301" t="s">
        <v>793</v>
      </c>
      <c r="D569" s="303">
        <v>32.409999999999997</v>
      </c>
    </row>
    <row r="570" spans="1:4">
      <c r="A570" s="302">
        <v>96302</v>
      </c>
      <c r="B570" s="301" t="s">
        <v>1690</v>
      </c>
      <c r="C570" s="301" t="s">
        <v>793</v>
      </c>
      <c r="D570" s="303">
        <v>56.01</v>
      </c>
    </row>
    <row r="571" spans="1:4">
      <c r="A571" s="302">
        <v>96308</v>
      </c>
      <c r="B571" s="301" t="s">
        <v>1691</v>
      </c>
      <c r="C571" s="301" t="s">
        <v>793</v>
      </c>
      <c r="D571" s="303">
        <v>0.12</v>
      </c>
    </row>
    <row r="572" spans="1:4">
      <c r="A572" s="302">
        <v>96464</v>
      </c>
      <c r="B572" s="301" t="s">
        <v>1692</v>
      </c>
      <c r="C572" s="301" t="s">
        <v>793</v>
      </c>
      <c r="D572" s="303">
        <v>44.02</v>
      </c>
    </row>
    <row r="573" spans="1:4">
      <c r="A573" s="302">
        <v>98765</v>
      </c>
      <c r="B573" s="301" t="s">
        <v>1693</v>
      </c>
      <c r="C573" s="301" t="s">
        <v>793</v>
      </c>
      <c r="D573" s="303">
        <v>0.11</v>
      </c>
    </row>
    <row r="574" spans="1:4">
      <c r="A574" s="302">
        <v>99834</v>
      </c>
      <c r="B574" s="301" t="s">
        <v>1694</v>
      </c>
      <c r="C574" s="301" t="s">
        <v>793</v>
      </c>
      <c r="D574" s="303">
        <v>0.3</v>
      </c>
    </row>
    <row r="575" spans="1:4">
      <c r="A575" s="302">
        <v>100642</v>
      </c>
      <c r="B575" s="301" t="s">
        <v>11724</v>
      </c>
      <c r="C575" s="301" t="s">
        <v>793</v>
      </c>
      <c r="D575" s="303">
        <v>107.14</v>
      </c>
    </row>
    <row r="576" spans="1:4">
      <c r="A576" s="302">
        <v>100648</v>
      </c>
      <c r="B576" s="301" t="s">
        <v>11725</v>
      </c>
      <c r="C576" s="301" t="s">
        <v>793</v>
      </c>
      <c r="D576" s="303">
        <v>256.26</v>
      </c>
    </row>
    <row r="577" spans="1:4">
      <c r="A577" s="302">
        <v>5089</v>
      </c>
      <c r="B577" s="301" t="s">
        <v>1695</v>
      </c>
      <c r="C577" s="301" t="s">
        <v>753</v>
      </c>
      <c r="D577" s="303">
        <v>20.010000000000002</v>
      </c>
    </row>
    <row r="578" spans="1:4">
      <c r="A578" s="302">
        <v>5627</v>
      </c>
      <c r="B578" s="301" t="s">
        <v>1696</v>
      </c>
      <c r="C578" s="301" t="s">
        <v>753</v>
      </c>
      <c r="D578" s="303">
        <v>23.65</v>
      </c>
    </row>
    <row r="579" spans="1:4">
      <c r="A579" s="302">
        <v>5628</v>
      </c>
      <c r="B579" s="301" t="s">
        <v>1697</v>
      </c>
      <c r="C579" s="301" t="s">
        <v>753</v>
      </c>
      <c r="D579" s="303">
        <v>3.21</v>
      </c>
    </row>
    <row r="580" spans="1:4">
      <c r="A580" s="302">
        <v>5629</v>
      </c>
      <c r="B580" s="301" t="s">
        <v>1698</v>
      </c>
      <c r="C580" s="301" t="s">
        <v>753</v>
      </c>
      <c r="D580" s="303">
        <v>29.56</v>
      </c>
    </row>
    <row r="581" spans="1:4">
      <c r="A581" s="302">
        <v>5630</v>
      </c>
      <c r="B581" s="301" t="s">
        <v>1699</v>
      </c>
      <c r="C581" s="301" t="s">
        <v>753</v>
      </c>
      <c r="D581" s="303">
        <v>43.94</v>
      </c>
    </row>
    <row r="582" spans="1:4">
      <c r="A582" s="302">
        <v>5658</v>
      </c>
      <c r="B582" s="301" t="s">
        <v>1700</v>
      </c>
      <c r="C582" s="301" t="s">
        <v>753</v>
      </c>
      <c r="D582" s="303">
        <v>1.19</v>
      </c>
    </row>
    <row r="583" spans="1:4">
      <c r="A583" s="302">
        <v>5664</v>
      </c>
      <c r="B583" s="301" t="s">
        <v>1701</v>
      </c>
      <c r="C583" s="301" t="s">
        <v>753</v>
      </c>
      <c r="D583" s="303">
        <v>17.23</v>
      </c>
    </row>
    <row r="584" spans="1:4">
      <c r="A584" s="302">
        <v>5667</v>
      </c>
      <c r="B584" s="301" t="s">
        <v>1702</v>
      </c>
      <c r="C584" s="301" t="s">
        <v>753</v>
      </c>
      <c r="D584" s="303">
        <v>15.32</v>
      </c>
    </row>
    <row r="585" spans="1:4">
      <c r="A585" s="302">
        <v>5668</v>
      </c>
      <c r="B585" s="301" t="s">
        <v>1703</v>
      </c>
      <c r="C585" s="301" t="s">
        <v>753</v>
      </c>
      <c r="D585" s="303">
        <v>33.61</v>
      </c>
    </row>
    <row r="586" spans="1:4">
      <c r="A586" s="302">
        <v>5674</v>
      </c>
      <c r="B586" s="301" t="s">
        <v>1704</v>
      </c>
      <c r="C586" s="301" t="s">
        <v>753</v>
      </c>
      <c r="D586" s="303">
        <v>19.25</v>
      </c>
    </row>
    <row r="587" spans="1:4">
      <c r="A587" s="302">
        <v>5692</v>
      </c>
      <c r="B587" s="301" t="s">
        <v>1705</v>
      </c>
      <c r="C587" s="301" t="s">
        <v>753</v>
      </c>
      <c r="D587" s="303">
        <v>0.16</v>
      </c>
    </row>
    <row r="588" spans="1:4">
      <c r="A588" s="302">
        <v>5693</v>
      </c>
      <c r="B588" s="301" t="s">
        <v>1706</v>
      </c>
      <c r="C588" s="301" t="s">
        <v>753</v>
      </c>
      <c r="D588" s="303">
        <v>6.75</v>
      </c>
    </row>
    <row r="589" spans="1:4">
      <c r="A589" s="302">
        <v>5695</v>
      </c>
      <c r="B589" s="301" t="s">
        <v>1707</v>
      </c>
      <c r="C589" s="301" t="s">
        <v>753</v>
      </c>
      <c r="D589" s="303">
        <v>23.15</v>
      </c>
    </row>
    <row r="590" spans="1:4">
      <c r="A590" s="302">
        <v>5703</v>
      </c>
      <c r="B590" s="301" t="s">
        <v>1708</v>
      </c>
      <c r="C590" s="301" t="s">
        <v>753</v>
      </c>
      <c r="D590" s="303">
        <v>14.04</v>
      </c>
    </row>
    <row r="591" spans="1:4">
      <c r="A591" s="302">
        <v>5705</v>
      </c>
      <c r="B591" s="301" t="s">
        <v>1709</v>
      </c>
      <c r="C591" s="301" t="s">
        <v>753</v>
      </c>
      <c r="D591" s="303">
        <v>14.43</v>
      </c>
    </row>
    <row r="592" spans="1:4">
      <c r="A592" s="302">
        <v>5707</v>
      </c>
      <c r="B592" s="301" t="s">
        <v>1710</v>
      </c>
      <c r="C592" s="301" t="s">
        <v>753</v>
      </c>
      <c r="D592" s="303">
        <v>40.619999999999997</v>
      </c>
    </row>
    <row r="593" spans="1:4">
      <c r="A593" s="302">
        <v>5710</v>
      </c>
      <c r="B593" s="301" t="s">
        <v>1711</v>
      </c>
      <c r="C593" s="301" t="s">
        <v>753</v>
      </c>
      <c r="D593" s="303">
        <v>104.17</v>
      </c>
    </row>
    <row r="594" spans="1:4">
      <c r="A594" s="302">
        <v>5711</v>
      </c>
      <c r="B594" s="301" t="s">
        <v>1712</v>
      </c>
      <c r="C594" s="301" t="s">
        <v>753</v>
      </c>
      <c r="D594" s="303">
        <v>60.71</v>
      </c>
    </row>
    <row r="595" spans="1:4">
      <c r="A595" s="302">
        <v>5714</v>
      </c>
      <c r="B595" s="301" t="s">
        <v>1713</v>
      </c>
      <c r="C595" s="301" t="s">
        <v>753</v>
      </c>
      <c r="D595" s="303">
        <v>7.87</v>
      </c>
    </row>
    <row r="596" spans="1:4">
      <c r="A596" s="302">
        <v>5715</v>
      </c>
      <c r="B596" s="301" t="s">
        <v>1714</v>
      </c>
      <c r="C596" s="301" t="s">
        <v>753</v>
      </c>
      <c r="D596" s="303">
        <v>81.680000000000007</v>
      </c>
    </row>
    <row r="597" spans="1:4">
      <c r="A597" s="302">
        <v>5718</v>
      </c>
      <c r="B597" s="301" t="s">
        <v>1715</v>
      </c>
      <c r="C597" s="301" t="s">
        <v>753</v>
      </c>
      <c r="D597" s="303">
        <v>72.459999999999994</v>
      </c>
    </row>
    <row r="598" spans="1:4">
      <c r="A598" s="302">
        <v>5721</v>
      </c>
      <c r="B598" s="301" t="s">
        <v>1716</v>
      </c>
      <c r="C598" s="301" t="s">
        <v>753</v>
      </c>
      <c r="D598" s="303">
        <v>63.93</v>
      </c>
    </row>
    <row r="599" spans="1:4">
      <c r="A599" s="302">
        <v>5722</v>
      </c>
      <c r="B599" s="301" t="s">
        <v>1717</v>
      </c>
      <c r="C599" s="301" t="s">
        <v>753</v>
      </c>
      <c r="D599" s="303">
        <v>147.85</v>
      </c>
    </row>
    <row r="600" spans="1:4">
      <c r="A600" s="302">
        <v>5724</v>
      </c>
      <c r="B600" s="301" t="s">
        <v>1718</v>
      </c>
      <c r="C600" s="301" t="s">
        <v>753</v>
      </c>
      <c r="D600" s="303">
        <v>31.73</v>
      </c>
    </row>
    <row r="601" spans="1:4">
      <c r="A601" s="302">
        <v>5727</v>
      </c>
      <c r="B601" s="301" t="s">
        <v>1719</v>
      </c>
      <c r="C601" s="301" t="s">
        <v>753</v>
      </c>
      <c r="D601" s="303">
        <v>5.81</v>
      </c>
    </row>
    <row r="602" spans="1:4">
      <c r="A602" s="302">
        <v>5729</v>
      </c>
      <c r="B602" s="301" t="s">
        <v>1720</v>
      </c>
      <c r="C602" s="301" t="s">
        <v>753</v>
      </c>
      <c r="D602" s="303">
        <v>23.63</v>
      </c>
    </row>
    <row r="603" spans="1:4">
      <c r="A603" s="302">
        <v>5730</v>
      </c>
      <c r="B603" s="301" t="s">
        <v>1721</v>
      </c>
      <c r="C603" s="301" t="s">
        <v>753</v>
      </c>
      <c r="D603" s="303">
        <v>28.23</v>
      </c>
    </row>
    <row r="604" spans="1:4">
      <c r="A604" s="302">
        <v>5735</v>
      </c>
      <c r="B604" s="301" t="s">
        <v>1722</v>
      </c>
      <c r="C604" s="301" t="s">
        <v>753</v>
      </c>
      <c r="D604" s="303">
        <v>16.62</v>
      </c>
    </row>
    <row r="605" spans="1:4">
      <c r="A605" s="302">
        <v>5736</v>
      </c>
      <c r="B605" s="301" t="s">
        <v>1723</v>
      </c>
      <c r="C605" s="301" t="s">
        <v>753</v>
      </c>
      <c r="D605" s="303">
        <v>30.84</v>
      </c>
    </row>
    <row r="606" spans="1:4">
      <c r="A606" s="302">
        <v>5738</v>
      </c>
      <c r="B606" s="301" t="s">
        <v>1724</v>
      </c>
      <c r="C606" s="301" t="s">
        <v>753</v>
      </c>
      <c r="D606" s="303">
        <v>21.01</v>
      </c>
    </row>
    <row r="607" spans="1:4">
      <c r="A607" s="302">
        <v>5739</v>
      </c>
      <c r="B607" s="301" t="s">
        <v>1725</v>
      </c>
      <c r="C607" s="301" t="s">
        <v>753</v>
      </c>
      <c r="D607" s="303">
        <v>26.3</v>
      </c>
    </row>
    <row r="608" spans="1:4">
      <c r="A608" s="302">
        <v>5741</v>
      </c>
      <c r="B608" s="301" t="s">
        <v>1726</v>
      </c>
      <c r="C608" s="301" t="s">
        <v>753</v>
      </c>
      <c r="D608" s="303">
        <v>27.29</v>
      </c>
    </row>
    <row r="609" spans="1:4">
      <c r="A609" s="302">
        <v>5742</v>
      </c>
      <c r="B609" s="301" t="s">
        <v>1727</v>
      </c>
      <c r="C609" s="301" t="s">
        <v>753</v>
      </c>
      <c r="D609" s="303">
        <v>18.8</v>
      </c>
    </row>
    <row r="610" spans="1:4">
      <c r="A610" s="302">
        <v>5747</v>
      </c>
      <c r="B610" s="301" t="s">
        <v>1728</v>
      </c>
      <c r="C610" s="301" t="s">
        <v>753</v>
      </c>
      <c r="D610" s="303">
        <v>107.83</v>
      </c>
    </row>
    <row r="611" spans="1:4">
      <c r="A611" s="302">
        <v>5751</v>
      </c>
      <c r="B611" s="301" t="s">
        <v>1729</v>
      </c>
      <c r="C611" s="301" t="s">
        <v>753</v>
      </c>
      <c r="D611" s="303">
        <v>15.91</v>
      </c>
    </row>
    <row r="612" spans="1:4">
      <c r="A612" s="302">
        <v>5754</v>
      </c>
      <c r="B612" s="301" t="s">
        <v>1730</v>
      </c>
      <c r="C612" s="301" t="s">
        <v>753</v>
      </c>
      <c r="D612" s="303">
        <v>13.4</v>
      </c>
    </row>
    <row r="613" spans="1:4">
      <c r="A613" s="302">
        <v>5763</v>
      </c>
      <c r="B613" s="301" t="s">
        <v>1731</v>
      </c>
      <c r="C613" s="301" t="s">
        <v>753</v>
      </c>
      <c r="D613" s="303">
        <v>22.86</v>
      </c>
    </row>
    <row r="614" spans="1:4">
      <c r="A614" s="302">
        <v>5765</v>
      </c>
      <c r="B614" s="301" t="s">
        <v>1732</v>
      </c>
      <c r="C614" s="301" t="s">
        <v>753</v>
      </c>
      <c r="D614" s="303">
        <v>1.92</v>
      </c>
    </row>
    <row r="615" spans="1:4">
      <c r="A615" s="302">
        <v>5766</v>
      </c>
      <c r="B615" s="301" t="s">
        <v>1733</v>
      </c>
      <c r="C615" s="301" t="s">
        <v>753</v>
      </c>
      <c r="D615" s="303">
        <v>3.37</v>
      </c>
    </row>
    <row r="616" spans="1:4">
      <c r="A616" s="302">
        <v>5779</v>
      </c>
      <c r="B616" s="301" t="s">
        <v>1734</v>
      </c>
      <c r="C616" s="301" t="s">
        <v>753</v>
      </c>
      <c r="D616" s="303">
        <v>35.17</v>
      </c>
    </row>
    <row r="617" spans="1:4">
      <c r="A617" s="302">
        <v>5787</v>
      </c>
      <c r="B617" s="301" t="s">
        <v>1735</v>
      </c>
      <c r="C617" s="301" t="s">
        <v>753</v>
      </c>
      <c r="D617" s="303">
        <v>47.98</v>
      </c>
    </row>
    <row r="618" spans="1:4">
      <c r="A618" s="302">
        <v>5797</v>
      </c>
      <c r="B618" s="301" t="s">
        <v>1736</v>
      </c>
      <c r="C618" s="301" t="s">
        <v>753</v>
      </c>
      <c r="D618" s="303">
        <v>2.92</v>
      </c>
    </row>
    <row r="619" spans="1:4">
      <c r="A619" s="302">
        <v>5800</v>
      </c>
      <c r="B619" s="301" t="s">
        <v>1737</v>
      </c>
      <c r="C619" s="301" t="s">
        <v>753</v>
      </c>
      <c r="D619" s="303">
        <v>0.28999999999999998</v>
      </c>
    </row>
    <row r="620" spans="1:4">
      <c r="A620" s="302">
        <v>7032</v>
      </c>
      <c r="B620" s="301" t="s">
        <v>1738</v>
      </c>
      <c r="C620" s="301" t="s">
        <v>753</v>
      </c>
      <c r="D620" s="303">
        <v>2.81</v>
      </c>
    </row>
    <row r="621" spans="1:4">
      <c r="A621" s="302">
        <v>7033</v>
      </c>
      <c r="B621" s="301" t="s">
        <v>1739</v>
      </c>
      <c r="C621" s="301" t="s">
        <v>753</v>
      </c>
      <c r="D621" s="303">
        <v>0.46</v>
      </c>
    </row>
    <row r="622" spans="1:4">
      <c r="A622" s="302">
        <v>7034</v>
      </c>
      <c r="B622" s="301" t="s">
        <v>1740</v>
      </c>
      <c r="C622" s="301" t="s">
        <v>753</v>
      </c>
      <c r="D622" s="303">
        <v>5.27</v>
      </c>
    </row>
    <row r="623" spans="1:4">
      <c r="A623" s="302">
        <v>7035</v>
      </c>
      <c r="B623" s="301" t="s">
        <v>1741</v>
      </c>
      <c r="C623" s="301" t="s">
        <v>753</v>
      </c>
      <c r="D623" s="303">
        <v>145.72</v>
      </c>
    </row>
    <row r="624" spans="1:4">
      <c r="A624" s="302">
        <v>7038</v>
      </c>
      <c r="B624" s="301" t="s">
        <v>1742</v>
      </c>
      <c r="C624" s="301" t="s">
        <v>753</v>
      </c>
      <c r="D624" s="303">
        <v>24.04</v>
      </c>
    </row>
    <row r="625" spans="1:4">
      <c r="A625" s="302">
        <v>7039</v>
      </c>
      <c r="B625" s="301" t="s">
        <v>1743</v>
      </c>
      <c r="C625" s="301" t="s">
        <v>753</v>
      </c>
      <c r="D625" s="303">
        <v>3.33</v>
      </c>
    </row>
    <row r="626" spans="1:4">
      <c r="A626" s="302">
        <v>7040</v>
      </c>
      <c r="B626" s="301" t="s">
        <v>1744</v>
      </c>
      <c r="C626" s="301" t="s">
        <v>753</v>
      </c>
      <c r="D626" s="303">
        <v>30.08</v>
      </c>
    </row>
    <row r="627" spans="1:4">
      <c r="A627" s="302">
        <v>7044</v>
      </c>
      <c r="B627" s="301" t="s">
        <v>1745</v>
      </c>
      <c r="C627" s="301" t="s">
        <v>753</v>
      </c>
      <c r="D627" s="303">
        <v>0.18</v>
      </c>
    </row>
    <row r="628" spans="1:4">
      <c r="A628" s="302">
        <v>7045</v>
      </c>
      <c r="B628" s="301" t="s">
        <v>1746</v>
      </c>
      <c r="C628" s="301" t="s">
        <v>753</v>
      </c>
      <c r="D628" s="303">
        <v>0.02</v>
      </c>
    </row>
    <row r="629" spans="1:4">
      <c r="A629" s="302">
        <v>7046</v>
      </c>
      <c r="B629" s="301" t="s">
        <v>1747</v>
      </c>
      <c r="C629" s="301" t="s">
        <v>753</v>
      </c>
      <c r="D629" s="303">
        <v>0.2</v>
      </c>
    </row>
    <row r="630" spans="1:4">
      <c r="A630" s="302">
        <v>7047</v>
      </c>
      <c r="B630" s="301" t="s">
        <v>1748</v>
      </c>
      <c r="C630" s="301" t="s">
        <v>753</v>
      </c>
      <c r="D630" s="303">
        <v>7.94</v>
      </c>
    </row>
    <row r="631" spans="1:4">
      <c r="A631" s="302">
        <v>7051</v>
      </c>
      <c r="B631" s="301" t="s">
        <v>1749</v>
      </c>
      <c r="C631" s="301" t="s">
        <v>753</v>
      </c>
      <c r="D631" s="303">
        <v>21.32</v>
      </c>
    </row>
    <row r="632" spans="1:4">
      <c r="A632" s="302">
        <v>7052</v>
      </c>
      <c r="B632" s="301" t="s">
        <v>1750</v>
      </c>
      <c r="C632" s="301" t="s">
        <v>753</v>
      </c>
      <c r="D632" s="303">
        <v>2.96</v>
      </c>
    </row>
    <row r="633" spans="1:4">
      <c r="A633" s="302">
        <v>7053</v>
      </c>
      <c r="B633" s="301" t="s">
        <v>1751</v>
      </c>
      <c r="C633" s="301" t="s">
        <v>753</v>
      </c>
      <c r="D633" s="303">
        <v>26.68</v>
      </c>
    </row>
    <row r="634" spans="1:4">
      <c r="A634" s="302">
        <v>7054</v>
      </c>
      <c r="B634" s="301" t="s">
        <v>1752</v>
      </c>
      <c r="C634" s="301" t="s">
        <v>753</v>
      </c>
      <c r="D634" s="303">
        <v>60.87</v>
      </c>
    </row>
    <row r="635" spans="1:4">
      <c r="A635" s="302">
        <v>7058</v>
      </c>
      <c r="B635" s="301" t="s">
        <v>1753</v>
      </c>
      <c r="C635" s="301" t="s">
        <v>753</v>
      </c>
      <c r="D635" s="303">
        <v>11.78</v>
      </c>
    </row>
    <row r="636" spans="1:4">
      <c r="A636" s="302">
        <v>7059</v>
      </c>
      <c r="B636" s="301" t="s">
        <v>1754</v>
      </c>
      <c r="C636" s="301" t="s">
        <v>753</v>
      </c>
      <c r="D636" s="303">
        <v>2.17</v>
      </c>
    </row>
    <row r="637" spans="1:4">
      <c r="A637" s="302">
        <v>7060</v>
      </c>
      <c r="B637" s="301" t="s">
        <v>1755</v>
      </c>
      <c r="C637" s="301" t="s">
        <v>753</v>
      </c>
      <c r="D637" s="303">
        <v>22.1</v>
      </c>
    </row>
    <row r="638" spans="1:4">
      <c r="A638" s="302">
        <v>7061</v>
      </c>
      <c r="B638" s="301" t="s">
        <v>1756</v>
      </c>
      <c r="C638" s="301" t="s">
        <v>753</v>
      </c>
      <c r="D638" s="303">
        <v>55.56</v>
      </c>
    </row>
    <row r="639" spans="1:4">
      <c r="A639" s="302">
        <v>7063</v>
      </c>
      <c r="B639" s="301" t="s">
        <v>1757</v>
      </c>
      <c r="C639" s="301" t="s">
        <v>753</v>
      </c>
      <c r="D639" s="303">
        <v>9.81</v>
      </c>
    </row>
    <row r="640" spans="1:4">
      <c r="A640" s="302">
        <v>7064</v>
      </c>
      <c r="B640" s="301" t="s">
        <v>1758</v>
      </c>
      <c r="C640" s="301" t="s">
        <v>753</v>
      </c>
      <c r="D640" s="303">
        <v>1.36</v>
      </c>
    </row>
    <row r="641" spans="1:4">
      <c r="A641" s="302">
        <v>7065</v>
      </c>
      <c r="B641" s="301" t="s">
        <v>1759</v>
      </c>
      <c r="C641" s="301" t="s">
        <v>753</v>
      </c>
      <c r="D641" s="303">
        <v>10.73</v>
      </c>
    </row>
    <row r="642" spans="1:4">
      <c r="A642" s="302">
        <v>7066</v>
      </c>
      <c r="B642" s="301" t="s">
        <v>1760</v>
      </c>
      <c r="C642" s="301" t="s">
        <v>753</v>
      </c>
      <c r="D642" s="303">
        <v>117.21</v>
      </c>
    </row>
    <row r="643" spans="1:4">
      <c r="A643" s="302">
        <v>53786</v>
      </c>
      <c r="B643" s="301" t="s">
        <v>1761</v>
      </c>
      <c r="C643" s="301" t="s">
        <v>753</v>
      </c>
      <c r="D643" s="303">
        <v>36.39</v>
      </c>
    </row>
    <row r="644" spans="1:4">
      <c r="A644" s="302">
        <v>53788</v>
      </c>
      <c r="B644" s="301" t="s">
        <v>1762</v>
      </c>
      <c r="C644" s="301" t="s">
        <v>753</v>
      </c>
      <c r="D644" s="303">
        <v>38.96</v>
      </c>
    </row>
    <row r="645" spans="1:4">
      <c r="A645" s="302">
        <v>53792</v>
      </c>
      <c r="B645" s="301" t="s">
        <v>1763</v>
      </c>
      <c r="C645" s="301" t="s">
        <v>753</v>
      </c>
      <c r="D645" s="303">
        <v>69.069999999999993</v>
      </c>
    </row>
    <row r="646" spans="1:4">
      <c r="A646" s="302">
        <v>53794</v>
      </c>
      <c r="B646" s="301" t="s">
        <v>1764</v>
      </c>
      <c r="C646" s="301" t="s">
        <v>753</v>
      </c>
      <c r="D646" s="303">
        <v>35</v>
      </c>
    </row>
    <row r="647" spans="1:4">
      <c r="A647" s="302">
        <v>53797</v>
      </c>
      <c r="B647" s="301" t="s">
        <v>1765</v>
      </c>
      <c r="C647" s="301" t="s">
        <v>753</v>
      </c>
      <c r="D647" s="303">
        <v>79.430000000000007</v>
      </c>
    </row>
    <row r="648" spans="1:4">
      <c r="A648" s="302">
        <v>53804</v>
      </c>
      <c r="B648" s="301" t="s">
        <v>1766</v>
      </c>
      <c r="C648" s="301" t="s">
        <v>753</v>
      </c>
      <c r="D648" s="303">
        <v>2.4700000000000002</v>
      </c>
    </row>
    <row r="649" spans="1:4">
      <c r="A649" s="302">
        <v>53806</v>
      </c>
      <c r="B649" s="301" t="s">
        <v>1767</v>
      </c>
      <c r="C649" s="301" t="s">
        <v>753</v>
      </c>
      <c r="D649" s="303">
        <v>40.89</v>
      </c>
    </row>
    <row r="650" spans="1:4">
      <c r="A650" s="302">
        <v>53810</v>
      </c>
      <c r="B650" s="301" t="s">
        <v>1768</v>
      </c>
      <c r="C650" s="301" t="s">
        <v>753</v>
      </c>
      <c r="D650" s="303">
        <v>41.14</v>
      </c>
    </row>
    <row r="651" spans="1:4">
      <c r="A651" s="302">
        <v>53814</v>
      </c>
      <c r="B651" s="301" t="s">
        <v>1769</v>
      </c>
      <c r="C651" s="301" t="s">
        <v>753</v>
      </c>
      <c r="D651" s="303">
        <v>134.76</v>
      </c>
    </row>
    <row r="652" spans="1:4">
      <c r="A652" s="302">
        <v>53817</v>
      </c>
      <c r="B652" s="301" t="s">
        <v>1770</v>
      </c>
      <c r="C652" s="301" t="s">
        <v>753</v>
      </c>
      <c r="D652" s="303">
        <v>42.59</v>
      </c>
    </row>
    <row r="653" spans="1:4">
      <c r="A653" s="302">
        <v>53818</v>
      </c>
      <c r="B653" s="301" t="s">
        <v>1771</v>
      </c>
      <c r="C653" s="301" t="s">
        <v>753</v>
      </c>
      <c r="D653" s="303">
        <v>4.6399999999999997</v>
      </c>
    </row>
    <row r="654" spans="1:4">
      <c r="A654" s="302">
        <v>53827</v>
      </c>
      <c r="B654" s="301" t="s">
        <v>1772</v>
      </c>
      <c r="C654" s="301" t="s">
        <v>753</v>
      </c>
      <c r="D654" s="303">
        <v>77.760000000000005</v>
      </c>
    </row>
    <row r="655" spans="1:4">
      <c r="A655" s="302">
        <v>53829</v>
      </c>
      <c r="B655" s="301" t="s">
        <v>1773</v>
      </c>
      <c r="C655" s="301" t="s">
        <v>753</v>
      </c>
      <c r="D655" s="303">
        <v>79.430000000000007</v>
      </c>
    </row>
    <row r="656" spans="1:4">
      <c r="A656" s="302">
        <v>53831</v>
      </c>
      <c r="B656" s="301" t="s">
        <v>1774</v>
      </c>
      <c r="C656" s="301" t="s">
        <v>753</v>
      </c>
      <c r="D656" s="303">
        <v>131.21</v>
      </c>
    </row>
    <row r="657" spans="1:4">
      <c r="A657" s="302">
        <v>53840</v>
      </c>
      <c r="B657" s="301" t="s">
        <v>1775</v>
      </c>
      <c r="C657" s="301" t="s">
        <v>753</v>
      </c>
      <c r="D657" s="303">
        <v>1.34</v>
      </c>
    </row>
    <row r="658" spans="1:4">
      <c r="A658" s="302">
        <v>53841</v>
      </c>
      <c r="B658" s="301" t="s">
        <v>1776</v>
      </c>
      <c r="C658" s="301" t="s">
        <v>753</v>
      </c>
      <c r="D658" s="303">
        <v>0.93</v>
      </c>
    </row>
    <row r="659" spans="1:4">
      <c r="A659" s="302">
        <v>53849</v>
      </c>
      <c r="B659" s="301" t="s">
        <v>1777</v>
      </c>
      <c r="C659" s="301" t="s">
        <v>753</v>
      </c>
      <c r="D659" s="303">
        <v>57.07</v>
      </c>
    </row>
    <row r="660" spans="1:4">
      <c r="A660" s="302">
        <v>53857</v>
      </c>
      <c r="B660" s="301" t="s">
        <v>1778</v>
      </c>
      <c r="C660" s="301" t="s">
        <v>753</v>
      </c>
      <c r="D660" s="303">
        <v>25.66</v>
      </c>
    </row>
    <row r="661" spans="1:4">
      <c r="A661" s="302">
        <v>53858</v>
      </c>
      <c r="B661" s="301" t="s">
        <v>1779</v>
      </c>
      <c r="C661" s="301" t="s">
        <v>753</v>
      </c>
      <c r="D661" s="303">
        <v>54.54</v>
      </c>
    </row>
    <row r="662" spans="1:4">
      <c r="A662" s="302">
        <v>53861</v>
      </c>
      <c r="B662" s="301" t="s">
        <v>1780</v>
      </c>
      <c r="C662" s="301" t="s">
        <v>753</v>
      </c>
      <c r="D662" s="303">
        <v>35.58</v>
      </c>
    </row>
    <row r="663" spans="1:4">
      <c r="A663" s="302">
        <v>53863</v>
      </c>
      <c r="B663" s="301" t="s">
        <v>1781</v>
      </c>
      <c r="C663" s="301" t="s">
        <v>753</v>
      </c>
      <c r="D663" s="303">
        <v>1.53</v>
      </c>
    </row>
    <row r="664" spans="1:4">
      <c r="A664" s="302">
        <v>53865</v>
      </c>
      <c r="B664" s="301" t="s">
        <v>1782</v>
      </c>
      <c r="C664" s="301" t="s">
        <v>753</v>
      </c>
      <c r="D664" s="303">
        <v>32.15</v>
      </c>
    </row>
    <row r="665" spans="1:4">
      <c r="A665" s="302">
        <v>53866</v>
      </c>
      <c r="B665" s="301" t="s">
        <v>1783</v>
      </c>
      <c r="C665" s="301" t="s">
        <v>753</v>
      </c>
      <c r="D665" s="303">
        <v>1.1200000000000001</v>
      </c>
    </row>
    <row r="666" spans="1:4">
      <c r="A666" s="302">
        <v>53882</v>
      </c>
      <c r="B666" s="301" t="s">
        <v>1784</v>
      </c>
      <c r="C666" s="301" t="s">
        <v>753</v>
      </c>
      <c r="D666" s="303">
        <v>17.8</v>
      </c>
    </row>
    <row r="667" spans="1:4">
      <c r="A667" s="302">
        <v>55263</v>
      </c>
      <c r="B667" s="301" t="s">
        <v>1785</v>
      </c>
      <c r="C667" s="301" t="s">
        <v>753</v>
      </c>
      <c r="D667" s="303">
        <v>43.94</v>
      </c>
    </row>
    <row r="668" spans="1:4">
      <c r="A668" s="302">
        <v>73303</v>
      </c>
      <c r="B668" s="301" t="s">
        <v>1786</v>
      </c>
      <c r="C668" s="301" t="s">
        <v>753</v>
      </c>
      <c r="D668" s="303">
        <v>4.17</v>
      </c>
    </row>
    <row r="669" spans="1:4">
      <c r="A669" s="302">
        <v>73307</v>
      </c>
      <c r="B669" s="301" t="s">
        <v>1787</v>
      </c>
      <c r="C669" s="301" t="s">
        <v>753</v>
      </c>
      <c r="D669" s="303">
        <v>3.73</v>
      </c>
    </row>
    <row r="670" spans="1:4">
      <c r="A670" s="302">
        <v>73309</v>
      </c>
      <c r="B670" s="301" t="s">
        <v>1788</v>
      </c>
      <c r="C670" s="301" t="s">
        <v>753</v>
      </c>
      <c r="D670" s="303">
        <v>15.99</v>
      </c>
    </row>
    <row r="671" spans="1:4">
      <c r="A671" s="302">
        <v>73311</v>
      </c>
      <c r="B671" s="301" t="s">
        <v>1789</v>
      </c>
      <c r="C671" s="301" t="s">
        <v>753</v>
      </c>
      <c r="D671" s="303">
        <v>121.46</v>
      </c>
    </row>
    <row r="672" spans="1:4">
      <c r="A672" s="302">
        <v>73313</v>
      </c>
      <c r="B672" s="301" t="s">
        <v>1790</v>
      </c>
      <c r="C672" s="301" t="s">
        <v>753</v>
      </c>
      <c r="D672" s="303">
        <v>2.2200000000000002</v>
      </c>
    </row>
    <row r="673" spans="1:4">
      <c r="A673" s="302">
        <v>73315</v>
      </c>
      <c r="B673" s="301" t="s">
        <v>1791</v>
      </c>
      <c r="C673" s="301" t="s">
        <v>753</v>
      </c>
      <c r="D673" s="303">
        <v>38.96</v>
      </c>
    </row>
    <row r="674" spans="1:4">
      <c r="A674" s="302">
        <v>73335</v>
      </c>
      <c r="B674" s="301" t="s">
        <v>1792</v>
      </c>
      <c r="C674" s="301" t="s">
        <v>753</v>
      </c>
      <c r="D674" s="303">
        <v>17.16</v>
      </c>
    </row>
    <row r="675" spans="1:4">
      <c r="A675" s="302">
        <v>73340</v>
      </c>
      <c r="B675" s="301" t="s">
        <v>1793</v>
      </c>
      <c r="C675" s="301" t="s">
        <v>753</v>
      </c>
      <c r="D675" s="303">
        <v>55.56</v>
      </c>
    </row>
    <row r="676" spans="1:4">
      <c r="A676" s="302">
        <v>83361</v>
      </c>
      <c r="B676" s="301" t="s">
        <v>1794</v>
      </c>
      <c r="C676" s="301" t="s">
        <v>753</v>
      </c>
      <c r="D676" s="303">
        <v>10.51</v>
      </c>
    </row>
    <row r="677" spans="1:4">
      <c r="A677" s="302">
        <v>83761</v>
      </c>
      <c r="B677" s="301" t="s">
        <v>1795</v>
      </c>
      <c r="C677" s="301" t="s">
        <v>753</v>
      </c>
      <c r="D677" s="303">
        <v>8.91</v>
      </c>
    </row>
    <row r="678" spans="1:4">
      <c r="A678" s="302">
        <v>83762</v>
      </c>
      <c r="B678" s="301" t="s">
        <v>1796</v>
      </c>
      <c r="C678" s="301" t="s">
        <v>753</v>
      </c>
      <c r="D678" s="303">
        <v>11.13</v>
      </c>
    </row>
    <row r="679" spans="1:4">
      <c r="A679" s="302">
        <v>83763</v>
      </c>
      <c r="B679" s="301" t="s">
        <v>1797</v>
      </c>
      <c r="C679" s="301" t="s">
        <v>753</v>
      </c>
      <c r="D679" s="303">
        <v>34.229999999999997</v>
      </c>
    </row>
    <row r="680" spans="1:4">
      <c r="A680" s="302">
        <v>83764</v>
      </c>
      <c r="B680" s="301" t="s">
        <v>1798</v>
      </c>
      <c r="C680" s="301" t="s">
        <v>753</v>
      </c>
      <c r="D680" s="303">
        <v>1</v>
      </c>
    </row>
    <row r="681" spans="1:4">
      <c r="A681" s="302">
        <v>87026</v>
      </c>
      <c r="B681" s="301" t="s">
        <v>1799</v>
      </c>
      <c r="C681" s="301" t="s">
        <v>753</v>
      </c>
      <c r="D681" s="303">
        <v>0.18</v>
      </c>
    </row>
    <row r="682" spans="1:4">
      <c r="A682" s="302">
        <v>87441</v>
      </c>
      <c r="B682" s="301" t="s">
        <v>1800</v>
      </c>
      <c r="C682" s="301" t="s">
        <v>753</v>
      </c>
      <c r="D682" s="303">
        <v>0.33</v>
      </c>
    </row>
    <row r="683" spans="1:4">
      <c r="A683" s="302">
        <v>87442</v>
      </c>
      <c r="B683" s="301" t="s">
        <v>1801</v>
      </c>
      <c r="C683" s="301" t="s">
        <v>753</v>
      </c>
      <c r="D683" s="303">
        <v>0.04</v>
      </c>
    </row>
    <row r="684" spans="1:4">
      <c r="A684" s="302">
        <v>87443</v>
      </c>
      <c r="B684" s="301" t="s">
        <v>1802</v>
      </c>
      <c r="C684" s="301" t="s">
        <v>753</v>
      </c>
      <c r="D684" s="303">
        <v>0.31</v>
      </c>
    </row>
    <row r="685" spans="1:4">
      <c r="A685" s="302">
        <v>87444</v>
      </c>
      <c r="B685" s="301" t="s">
        <v>1803</v>
      </c>
      <c r="C685" s="301" t="s">
        <v>753</v>
      </c>
      <c r="D685" s="303">
        <v>2.89</v>
      </c>
    </row>
    <row r="686" spans="1:4">
      <c r="A686" s="302">
        <v>88387</v>
      </c>
      <c r="B686" s="301" t="s">
        <v>1804</v>
      </c>
      <c r="C686" s="301" t="s">
        <v>753</v>
      </c>
      <c r="D686" s="303">
        <v>0.65</v>
      </c>
    </row>
    <row r="687" spans="1:4">
      <c r="A687" s="302">
        <v>88389</v>
      </c>
      <c r="B687" s="301" t="s">
        <v>1805</v>
      </c>
      <c r="C687" s="301" t="s">
        <v>753</v>
      </c>
      <c r="D687" s="303">
        <v>7.0000000000000007E-2</v>
      </c>
    </row>
    <row r="688" spans="1:4">
      <c r="A688" s="302">
        <v>88390</v>
      </c>
      <c r="B688" s="301" t="s">
        <v>1806</v>
      </c>
      <c r="C688" s="301" t="s">
        <v>753</v>
      </c>
      <c r="D688" s="303">
        <v>0.82</v>
      </c>
    </row>
    <row r="689" spans="1:4">
      <c r="A689" s="302">
        <v>88391</v>
      </c>
      <c r="B689" s="301" t="s">
        <v>1807</v>
      </c>
      <c r="C689" s="301" t="s">
        <v>753</v>
      </c>
      <c r="D689" s="303">
        <v>1.84</v>
      </c>
    </row>
    <row r="690" spans="1:4">
      <c r="A690" s="302">
        <v>88394</v>
      </c>
      <c r="B690" s="301" t="s">
        <v>1808</v>
      </c>
      <c r="C690" s="301" t="s">
        <v>753</v>
      </c>
      <c r="D690" s="303">
        <v>0.78</v>
      </c>
    </row>
    <row r="691" spans="1:4">
      <c r="A691" s="302">
        <v>88395</v>
      </c>
      <c r="B691" s="301" t="s">
        <v>1809</v>
      </c>
      <c r="C691" s="301" t="s">
        <v>753</v>
      </c>
      <c r="D691" s="303">
        <v>0.09</v>
      </c>
    </row>
    <row r="692" spans="1:4">
      <c r="A692" s="302">
        <v>88396</v>
      </c>
      <c r="B692" s="301" t="s">
        <v>1810</v>
      </c>
      <c r="C692" s="301" t="s">
        <v>753</v>
      </c>
      <c r="D692" s="303">
        <v>0.97</v>
      </c>
    </row>
    <row r="693" spans="1:4">
      <c r="A693" s="302">
        <v>88397</v>
      </c>
      <c r="B693" s="301" t="s">
        <v>1811</v>
      </c>
      <c r="C693" s="301" t="s">
        <v>753</v>
      </c>
      <c r="D693" s="303">
        <v>2.76</v>
      </c>
    </row>
    <row r="694" spans="1:4">
      <c r="A694" s="302">
        <v>88400</v>
      </c>
      <c r="B694" s="301" t="s">
        <v>1812</v>
      </c>
      <c r="C694" s="301" t="s">
        <v>753</v>
      </c>
      <c r="D694" s="303">
        <v>0.62</v>
      </c>
    </row>
    <row r="695" spans="1:4">
      <c r="A695" s="302">
        <v>88401</v>
      </c>
      <c r="B695" s="301" t="s">
        <v>1813</v>
      </c>
      <c r="C695" s="301" t="s">
        <v>753</v>
      </c>
      <c r="D695" s="303">
        <v>7.0000000000000007E-2</v>
      </c>
    </row>
    <row r="696" spans="1:4">
      <c r="A696" s="302">
        <v>88402</v>
      </c>
      <c r="B696" s="301" t="s">
        <v>1814</v>
      </c>
      <c r="C696" s="301" t="s">
        <v>753</v>
      </c>
      <c r="D696" s="303">
        <v>0.77</v>
      </c>
    </row>
    <row r="697" spans="1:4">
      <c r="A697" s="302">
        <v>88403</v>
      </c>
      <c r="B697" s="301" t="s">
        <v>1815</v>
      </c>
      <c r="C697" s="301" t="s">
        <v>753</v>
      </c>
      <c r="D697" s="303">
        <v>1.1000000000000001</v>
      </c>
    </row>
    <row r="698" spans="1:4">
      <c r="A698" s="302">
        <v>88419</v>
      </c>
      <c r="B698" s="301" t="s">
        <v>1816</v>
      </c>
      <c r="C698" s="301" t="s">
        <v>753</v>
      </c>
      <c r="D698" s="303">
        <v>4.04</v>
      </c>
    </row>
    <row r="699" spans="1:4">
      <c r="A699" s="302">
        <v>88422</v>
      </c>
      <c r="B699" s="301" t="s">
        <v>1817</v>
      </c>
      <c r="C699" s="301" t="s">
        <v>753</v>
      </c>
      <c r="D699" s="303">
        <v>0.47</v>
      </c>
    </row>
    <row r="700" spans="1:4">
      <c r="A700" s="302">
        <v>88425</v>
      </c>
      <c r="B700" s="301" t="s">
        <v>1818</v>
      </c>
      <c r="C700" s="301" t="s">
        <v>753</v>
      </c>
      <c r="D700" s="303">
        <v>4.42</v>
      </c>
    </row>
    <row r="701" spans="1:4">
      <c r="A701" s="302">
        <v>88427</v>
      </c>
      <c r="B701" s="301" t="s">
        <v>1819</v>
      </c>
      <c r="C701" s="301" t="s">
        <v>753</v>
      </c>
      <c r="D701" s="303">
        <v>2.8</v>
      </c>
    </row>
    <row r="702" spans="1:4">
      <c r="A702" s="302">
        <v>88434</v>
      </c>
      <c r="B702" s="301" t="s">
        <v>1820</v>
      </c>
      <c r="C702" s="301" t="s">
        <v>753</v>
      </c>
      <c r="D702" s="303">
        <v>5.35</v>
      </c>
    </row>
    <row r="703" spans="1:4">
      <c r="A703" s="302">
        <v>88435</v>
      </c>
      <c r="B703" s="301" t="s">
        <v>1821</v>
      </c>
      <c r="C703" s="301" t="s">
        <v>753</v>
      </c>
      <c r="D703" s="303">
        <v>0.63</v>
      </c>
    </row>
    <row r="704" spans="1:4">
      <c r="A704" s="302">
        <v>88436</v>
      </c>
      <c r="B704" s="301" t="s">
        <v>1822</v>
      </c>
      <c r="C704" s="301" t="s">
        <v>753</v>
      </c>
      <c r="D704" s="303">
        <v>5.85</v>
      </c>
    </row>
    <row r="705" spans="1:4">
      <c r="A705" s="302">
        <v>88437</v>
      </c>
      <c r="B705" s="301" t="s">
        <v>1823</v>
      </c>
      <c r="C705" s="301" t="s">
        <v>753</v>
      </c>
      <c r="D705" s="303">
        <v>2.8</v>
      </c>
    </row>
    <row r="706" spans="1:4">
      <c r="A706" s="302">
        <v>88569</v>
      </c>
      <c r="B706" s="301" t="s">
        <v>1824</v>
      </c>
      <c r="C706" s="301" t="s">
        <v>753</v>
      </c>
      <c r="D706" s="303">
        <v>2.46</v>
      </c>
    </row>
    <row r="707" spans="1:4">
      <c r="A707" s="302">
        <v>88570</v>
      </c>
      <c r="B707" s="301" t="s">
        <v>1825</v>
      </c>
      <c r="C707" s="301" t="s">
        <v>753</v>
      </c>
      <c r="D707" s="303">
        <v>0.53</v>
      </c>
    </row>
    <row r="708" spans="1:4">
      <c r="A708" s="302">
        <v>88826</v>
      </c>
      <c r="B708" s="301" t="s">
        <v>1826</v>
      </c>
      <c r="C708" s="301" t="s">
        <v>753</v>
      </c>
      <c r="D708" s="303">
        <v>0.24</v>
      </c>
    </row>
    <row r="709" spans="1:4">
      <c r="A709" s="302">
        <v>88827</v>
      </c>
      <c r="B709" s="301" t="s">
        <v>1827</v>
      </c>
      <c r="C709" s="301" t="s">
        <v>753</v>
      </c>
      <c r="D709" s="303">
        <v>0.02</v>
      </c>
    </row>
    <row r="710" spans="1:4">
      <c r="A710" s="302">
        <v>88828</v>
      </c>
      <c r="B710" s="301" t="s">
        <v>1828</v>
      </c>
      <c r="C710" s="301" t="s">
        <v>753</v>
      </c>
      <c r="D710" s="303">
        <v>0.23</v>
      </c>
    </row>
    <row r="711" spans="1:4">
      <c r="A711" s="302">
        <v>88829</v>
      </c>
      <c r="B711" s="301" t="s">
        <v>1829</v>
      </c>
      <c r="C711" s="301" t="s">
        <v>753</v>
      </c>
      <c r="D711" s="303">
        <v>0.73</v>
      </c>
    </row>
    <row r="712" spans="1:4">
      <c r="A712" s="302">
        <v>88832</v>
      </c>
      <c r="B712" s="301" t="s">
        <v>1830</v>
      </c>
      <c r="C712" s="301" t="s">
        <v>753</v>
      </c>
      <c r="D712" s="303">
        <v>22.56</v>
      </c>
    </row>
    <row r="713" spans="1:4">
      <c r="A713" s="302">
        <v>88834</v>
      </c>
      <c r="B713" s="301" t="s">
        <v>1831</v>
      </c>
      <c r="C713" s="301" t="s">
        <v>753</v>
      </c>
      <c r="D713" s="303">
        <v>3.06</v>
      </c>
    </row>
    <row r="714" spans="1:4">
      <c r="A714" s="302">
        <v>88835</v>
      </c>
      <c r="B714" s="301" t="s">
        <v>1832</v>
      </c>
      <c r="C714" s="301" t="s">
        <v>753</v>
      </c>
      <c r="D714" s="303">
        <v>28.2</v>
      </c>
    </row>
    <row r="715" spans="1:4">
      <c r="A715" s="302">
        <v>88836</v>
      </c>
      <c r="B715" s="301" t="s">
        <v>1833</v>
      </c>
      <c r="C715" s="301" t="s">
        <v>753</v>
      </c>
      <c r="D715" s="303">
        <v>43.53</v>
      </c>
    </row>
    <row r="716" spans="1:4">
      <c r="A716" s="302">
        <v>88839</v>
      </c>
      <c r="B716" s="301" t="s">
        <v>1834</v>
      </c>
      <c r="C716" s="301" t="s">
        <v>753</v>
      </c>
      <c r="D716" s="303">
        <v>18.579999999999998</v>
      </c>
    </row>
    <row r="717" spans="1:4">
      <c r="A717" s="302">
        <v>88840</v>
      </c>
      <c r="B717" s="301" t="s">
        <v>1835</v>
      </c>
      <c r="C717" s="301" t="s">
        <v>753</v>
      </c>
      <c r="D717" s="303">
        <v>4.18</v>
      </c>
    </row>
    <row r="718" spans="1:4">
      <c r="A718" s="302">
        <v>88841</v>
      </c>
      <c r="B718" s="301" t="s">
        <v>1836</v>
      </c>
      <c r="C718" s="301" t="s">
        <v>753</v>
      </c>
      <c r="D718" s="303">
        <v>33.21</v>
      </c>
    </row>
    <row r="719" spans="1:4">
      <c r="A719" s="302">
        <v>88842</v>
      </c>
      <c r="B719" s="301" t="s">
        <v>1837</v>
      </c>
      <c r="C719" s="301" t="s">
        <v>753</v>
      </c>
      <c r="D719" s="303">
        <v>53.28</v>
      </c>
    </row>
    <row r="720" spans="1:4">
      <c r="A720" s="302">
        <v>88847</v>
      </c>
      <c r="B720" s="301" t="s">
        <v>1838</v>
      </c>
      <c r="C720" s="301" t="s">
        <v>753</v>
      </c>
      <c r="D720" s="303">
        <v>14.55</v>
      </c>
    </row>
    <row r="721" spans="1:4">
      <c r="A721" s="302">
        <v>88848</v>
      </c>
      <c r="B721" s="301" t="s">
        <v>1839</v>
      </c>
      <c r="C721" s="301" t="s">
        <v>753</v>
      </c>
      <c r="D721" s="303">
        <v>3.05</v>
      </c>
    </row>
    <row r="722" spans="1:4">
      <c r="A722" s="302">
        <v>88853</v>
      </c>
      <c r="B722" s="301" t="s">
        <v>1840</v>
      </c>
      <c r="C722" s="301" t="s">
        <v>753</v>
      </c>
      <c r="D722" s="303">
        <v>0.15</v>
      </c>
    </row>
    <row r="723" spans="1:4">
      <c r="A723" s="302">
        <v>88854</v>
      </c>
      <c r="B723" s="301" t="s">
        <v>1841</v>
      </c>
      <c r="C723" s="301" t="s">
        <v>753</v>
      </c>
      <c r="D723" s="303">
        <v>0.01</v>
      </c>
    </row>
    <row r="724" spans="1:4">
      <c r="A724" s="302">
        <v>88855</v>
      </c>
      <c r="B724" s="301" t="s">
        <v>1842</v>
      </c>
      <c r="C724" s="301" t="s">
        <v>753</v>
      </c>
      <c r="D724" s="303">
        <v>1.71</v>
      </c>
    </row>
    <row r="725" spans="1:4">
      <c r="A725" s="302">
        <v>88856</v>
      </c>
      <c r="B725" s="301" t="s">
        <v>1843</v>
      </c>
      <c r="C725" s="301" t="s">
        <v>753</v>
      </c>
      <c r="D725" s="303">
        <v>0.24</v>
      </c>
    </row>
    <row r="726" spans="1:4">
      <c r="A726" s="302">
        <v>88857</v>
      </c>
      <c r="B726" s="301" t="s">
        <v>1844</v>
      </c>
      <c r="C726" s="301" t="s">
        <v>753</v>
      </c>
      <c r="D726" s="303">
        <v>13.78</v>
      </c>
    </row>
    <row r="727" spans="1:4">
      <c r="A727" s="302">
        <v>88858</v>
      </c>
      <c r="B727" s="301" t="s">
        <v>1845</v>
      </c>
      <c r="C727" s="301" t="s">
        <v>753</v>
      </c>
      <c r="D727" s="303">
        <v>1.87</v>
      </c>
    </row>
    <row r="728" spans="1:4">
      <c r="A728" s="302">
        <v>88859</v>
      </c>
      <c r="B728" s="301" t="s">
        <v>1846</v>
      </c>
      <c r="C728" s="301" t="s">
        <v>753</v>
      </c>
      <c r="D728" s="303">
        <v>12.26</v>
      </c>
    </row>
    <row r="729" spans="1:4">
      <c r="A729" s="302">
        <v>88860</v>
      </c>
      <c r="B729" s="301" t="s">
        <v>1847</v>
      </c>
      <c r="C729" s="301" t="s">
        <v>753</v>
      </c>
      <c r="D729" s="303">
        <v>1.66</v>
      </c>
    </row>
    <row r="730" spans="1:4">
      <c r="A730" s="302">
        <v>88900</v>
      </c>
      <c r="B730" s="301" t="s">
        <v>1848</v>
      </c>
      <c r="C730" s="301" t="s">
        <v>753</v>
      </c>
      <c r="D730" s="303">
        <v>26.31</v>
      </c>
    </row>
    <row r="731" spans="1:4">
      <c r="A731" s="302">
        <v>88902</v>
      </c>
      <c r="B731" s="301" t="s">
        <v>1849</v>
      </c>
      <c r="C731" s="301" t="s">
        <v>753</v>
      </c>
      <c r="D731" s="303">
        <v>3.57</v>
      </c>
    </row>
    <row r="732" spans="1:4">
      <c r="A732" s="302">
        <v>88903</v>
      </c>
      <c r="B732" s="301" t="s">
        <v>1850</v>
      </c>
      <c r="C732" s="301" t="s">
        <v>753</v>
      </c>
      <c r="D732" s="303">
        <v>32.89</v>
      </c>
    </row>
    <row r="733" spans="1:4">
      <c r="A733" s="302">
        <v>88904</v>
      </c>
      <c r="B733" s="301" t="s">
        <v>1851</v>
      </c>
      <c r="C733" s="301" t="s">
        <v>753</v>
      </c>
      <c r="D733" s="303">
        <v>61.32</v>
      </c>
    </row>
    <row r="734" spans="1:4">
      <c r="A734" s="302">
        <v>89009</v>
      </c>
      <c r="B734" s="301" t="s">
        <v>1852</v>
      </c>
      <c r="C734" s="301" t="s">
        <v>753</v>
      </c>
      <c r="D734" s="303">
        <v>23.01</v>
      </c>
    </row>
    <row r="735" spans="1:4">
      <c r="A735" s="302">
        <v>89010</v>
      </c>
      <c r="B735" s="301" t="s">
        <v>1853</v>
      </c>
      <c r="C735" s="301" t="s">
        <v>753</v>
      </c>
      <c r="D735" s="303">
        <v>5.18</v>
      </c>
    </row>
    <row r="736" spans="1:4">
      <c r="A736" s="302">
        <v>89011</v>
      </c>
      <c r="B736" s="301" t="s">
        <v>1854</v>
      </c>
      <c r="C736" s="301" t="s">
        <v>753</v>
      </c>
      <c r="D736" s="303">
        <v>13.3</v>
      </c>
    </row>
    <row r="737" spans="1:4">
      <c r="A737" s="302">
        <v>89012</v>
      </c>
      <c r="B737" s="301" t="s">
        <v>1855</v>
      </c>
      <c r="C737" s="301" t="s">
        <v>753</v>
      </c>
      <c r="D737" s="303">
        <v>1.8</v>
      </c>
    </row>
    <row r="738" spans="1:4">
      <c r="A738" s="302">
        <v>89013</v>
      </c>
      <c r="B738" s="301" t="s">
        <v>1856</v>
      </c>
      <c r="C738" s="301" t="s">
        <v>753</v>
      </c>
      <c r="D738" s="303">
        <v>75.38</v>
      </c>
    </row>
    <row r="739" spans="1:4">
      <c r="A739" s="302">
        <v>89014</v>
      </c>
      <c r="B739" s="301" t="s">
        <v>1857</v>
      </c>
      <c r="C739" s="301" t="s">
        <v>753</v>
      </c>
      <c r="D739" s="303">
        <v>16.96</v>
      </c>
    </row>
    <row r="740" spans="1:4">
      <c r="A740" s="302">
        <v>89015</v>
      </c>
      <c r="B740" s="301" t="s">
        <v>1858</v>
      </c>
      <c r="C740" s="301" t="s">
        <v>753</v>
      </c>
      <c r="D740" s="303">
        <v>1.98</v>
      </c>
    </row>
    <row r="741" spans="1:4">
      <c r="A741" s="302">
        <v>89016</v>
      </c>
      <c r="B741" s="301" t="s">
        <v>1859</v>
      </c>
      <c r="C741" s="301" t="s">
        <v>753</v>
      </c>
      <c r="D741" s="303">
        <v>0.26</v>
      </c>
    </row>
    <row r="742" spans="1:4">
      <c r="A742" s="302">
        <v>89017</v>
      </c>
      <c r="B742" s="301" t="s">
        <v>1860</v>
      </c>
      <c r="C742" s="301" t="s">
        <v>753</v>
      </c>
      <c r="D742" s="303">
        <v>22.87</v>
      </c>
    </row>
    <row r="743" spans="1:4">
      <c r="A743" s="302">
        <v>89018</v>
      </c>
      <c r="B743" s="301" t="s">
        <v>1861</v>
      </c>
      <c r="C743" s="301" t="s">
        <v>753</v>
      </c>
      <c r="D743" s="303">
        <v>5.14</v>
      </c>
    </row>
    <row r="744" spans="1:4">
      <c r="A744" s="302">
        <v>89019</v>
      </c>
      <c r="B744" s="301" t="s">
        <v>1862</v>
      </c>
      <c r="C744" s="301" t="s">
        <v>753</v>
      </c>
      <c r="D744" s="303">
        <v>0.26</v>
      </c>
    </row>
    <row r="745" spans="1:4">
      <c r="A745" s="302">
        <v>89020</v>
      </c>
      <c r="B745" s="301" t="s">
        <v>1863</v>
      </c>
      <c r="C745" s="301" t="s">
        <v>753</v>
      </c>
      <c r="D745" s="303">
        <v>0.03</v>
      </c>
    </row>
    <row r="746" spans="1:4">
      <c r="A746" s="302">
        <v>89023</v>
      </c>
      <c r="B746" s="301" t="s">
        <v>1864</v>
      </c>
      <c r="C746" s="301" t="s">
        <v>753</v>
      </c>
      <c r="D746" s="303">
        <v>2.2799999999999998</v>
      </c>
    </row>
    <row r="747" spans="1:4">
      <c r="A747" s="302">
        <v>89024</v>
      </c>
      <c r="B747" s="301" t="s">
        <v>1865</v>
      </c>
      <c r="C747" s="301" t="s">
        <v>753</v>
      </c>
      <c r="D747" s="303">
        <v>0.38</v>
      </c>
    </row>
    <row r="748" spans="1:4">
      <c r="A748" s="302">
        <v>89025</v>
      </c>
      <c r="B748" s="301" t="s">
        <v>1866</v>
      </c>
      <c r="C748" s="301" t="s">
        <v>753</v>
      </c>
      <c r="D748" s="303">
        <v>4.29</v>
      </c>
    </row>
    <row r="749" spans="1:4">
      <c r="A749" s="302">
        <v>89026</v>
      </c>
      <c r="B749" s="301" t="s">
        <v>1867</v>
      </c>
      <c r="C749" s="301" t="s">
        <v>753</v>
      </c>
      <c r="D749" s="303">
        <v>135.78</v>
      </c>
    </row>
    <row r="750" spans="1:4">
      <c r="A750" s="302">
        <v>89029</v>
      </c>
      <c r="B750" s="301" t="s">
        <v>1868</v>
      </c>
      <c r="C750" s="301" t="s">
        <v>753</v>
      </c>
      <c r="D750" s="303">
        <v>17.75</v>
      </c>
    </row>
    <row r="751" spans="1:4">
      <c r="A751" s="302">
        <v>89030</v>
      </c>
      <c r="B751" s="301" t="s">
        <v>1869</v>
      </c>
      <c r="C751" s="301" t="s">
        <v>753</v>
      </c>
      <c r="D751" s="303">
        <v>3.99</v>
      </c>
    </row>
    <row r="752" spans="1:4">
      <c r="A752" s="302">
        <v>89033</v>
      </c>
      <c r="B752" s="301" t="s">
        <v>1870</v>
      </c>
      <c r="C752" s="301" t="s">
        <v>753</v>
      </c>
      <c r="D752" s="303">
        <v>7.19</v>
      </c>
    </row>
    <row r="753" spans="1:4">
      <c r="A753" s="302">
        <v>89034</v>
      </c>
      <c r="B753" s="301" t="s">
        <v>1871</v>
      </c>
      <c r="C753" s="301" t="s">
        <v>753</v>
      </c>
      <c r="D753" s="303">
        <v>0.99</v>
      </c>
    </row>
    <row r="754" spans="1:4">
      <c r="A754" s="302">
        <v>89128</v>
      </c>
      <c r="B754" s="301" t="s">
        <v>1872</v>
      </c>
      <c r="C754" s="301" t="s">
        <v>753</v>
      </c>
      <c r="D754" s="303">
        <v>20.53</v>
      </c>
    </row>
    <row r="755" spans="1:4">
      <c r="A755" s="302">
        <v>89129</v>
      </c>
      <c r="B755" s="301" t="s">
        <v>1873</v>
      </c>
      <c r="C755" s="301" t="s">
        <v>753</v>
      </c>
      <c r="D755" s="303">
        <v>2.78</v>
      </c>
    </row>
    <row r="756" spans="1:4">
      <c r="A756" s="302">
        <v>89130</v>
      </c>
      <c r="B756" s="301" t="s">
        <v>1874</v>
      </c>
      <c r="C756" s="301" t="s">
        <v>753</v>
      </c>
      <c r="D756" s="303">
        <v>28.46</v>
      </c>
    </row>
    <row r="757" spans="1:4">
      <c r="A757" s="302">
        <v>89131</v>
      </c>
      <c r="B757" s="301" t="s">
        <v>1875</v>
      </c>
      <c r="C757" s="301" t="s">
        <v>753</v>
      </c>
      <c r="D757" s="303">
        <v>3.86</v>
      </c>
    </row>
    <row r="758" spans="1:4">
      <c r="A758" s="302">
        <v>89210</v>
      </c>
      <c r="B758" s="301" t="s">
        <v>1876</v>
      </c>
      <c r="C758" s="301" t="s">
        <v>753</v>
      </c>
      <c r="D758" s="303">
        <v>15.38</v>
      </c>
    </row>
    <row r="759" spans="1:4">
      <c r="A759" s="302">
        <v>89211</v>
      </c>
      <c r="B759" s="301" t="s">
        <v>1877</v>
      </c>
      <c r="C759" s="301" t="s">
        <v>753</v>
      </c>
      <c r="D759" s="303">
        <v>2.13</v>
      </c>
    </row>
    <row r="760" spans="1:4">
      <c r="A760" s="302">
        <v>89212</v>
      </c>
      <c r="B760" s="301" t="s">
        <v>1878</v>
      </c>
      <c r="C760" s="301" t="s">
        <v>753</v>
      </c>
      <c r="D760" s="303">
        <v>15.18</v>
      </c>
    </row>
    <row r="761" spans="1:4">
      <c r="A761" s="302">
        <v>89213</v>
      </c>
      <c r="B761" s="301" t="s">
        <v>1879</v>
      </c>
      <c r="C761" s="301" t="s">
        <v>753</v>
      </c>
      <c r="D761" s="303">
        <v>2.39</v>
      </c>
    </row>
    <row r="762" spans="1:4">
      <c r="A762" s="302">
        <v>89214</v>
      </c>
      <c r="B762" s="301" t="s">
        <v>1880</v>
      </c>
      <c r="C762" s="301" t="s">
        <v>753</v>
      </c>
      <c r="D762" s="303">
        <v>14.25</v>
      </c>
    </row>
    <row r="763" spans="1:4">
      <c r="A763" s="302">
        <v>89215</v>
      </c>
      <c r="B763" s="301" t="s">
        <v>1881</v>
      </c>
      <c r="C763" s="301" t="s">
        <v>753</v>
      </c>
      <c r="D763" s="303">
        <v>63.32</v>
      </c>
    </row>
    <row r="764" spans="1:4">
      <c r="A764" s="302">
        <v>89221</v>
      </c>
      <c r="B764" s="301" t="s">
        <v>1882</v>
      </c>
      <c r="C764" s="301" t="s">
        <v>753</v>
      </c>
      <c r="D764" s="303">
        <v>1</v>
      </c>
    </row>
    <row r="765" spans="1:4">
      <c r="A765" s="302">
        <v>89222</v>
      </c>
      <c r="B765" s="301" t="s">
        <v>1883</v>
      </c>
      <c r="C765" s="301" t="s">
        <v>753</v>
      </c>
      <c r="D765" s="303">
        <v>0.11</v>
      </c>
    </row>
    <row r="766" spans="1:4">
      <c r="A766" s="302">
        <v>89223</v>
      </c>
      <c r="B766" s="301" t="s">
        <v>1884</v>
      </c>
      <c r="C766" s="301" t="s">
        <v>753</v>
      </c>
      <c r="D766" s="303">
        <v>0.94</v>
      </c>
    </row>
    <row r="767" spans="1:4">
      <c r="A767" s="302">
        <v>89224</v>
      </c>
      <c r="B767" s="301" t="s">
        <v>1885</v>
      </c>
      <c r="C767" s="301" t="s">
        <v>753</v>
      </c>
      <c r="D767" s="303">
        <v>1.47</v>
      </c>
    </row>
    <row r="768" spans="1:4">
      <c r="A768" s="302">
        <v>89228</v>
      </c>
      <c r="B768" s="301" t="s">
        <v>1886</v>
      </c>
      <c r="C768" s="301" t="s">
        <v>753</v>
      </c>
      <c r="D768" s="303">
        <v>21.88</v>
      </c>
    </row>
    <row r="769" spans="1:4">
      <c r="A769" s="302">
        <v>89229</v>
      </c>
      <c r="B769" s="301" t="s">
        <v>1887</v>
      </c>
      <c r="C769" s="301" t="s">
        <v>753</v>
      </c>
      <c r="D769" s="303">
        <v>3.93</v>
      </c>
    </row>
    <row r="770" spans="1:4">
      <c r="A770" s="302">
        <v>89230</v>
      </c>
      <c r="B770" s="301" t="s">
        <v>1888</v>
      </c>
      <c r="C770" s="301" t="s">
        <v>753</v>
      </c>
      <c r="D770" s="303">
        <v>90.39</v>
      </c>
    </row>
    <row r="771" spans="1:4">
      <c r="A771" s="302">
        <v>89231</v>
      </c>
      <c r="B771" s="301" t="s">
        <v>1889</v>
      </c>
      <c r="C771" s="301" t="s">
        <v>753</v>
      </c>
      <c r="D771" s="303">
        <v>14.32</v>
      </c>
    </row>
    <row r="772" spans="1:4">
      <c r="A772" s="302">
        <v>89232</v>
      </c>
      <c r="B772" s="301" t="s">
        <v>1890</v>
      </c>
      <c r="C772" s="301" t="s">
        <v>753</v>
      </c>
      <c r="D772" s="303">
        <v>161.24</v>
      </c>
    </row>
    <row r="773" spans="1:4">
      <c r="A773" s="302">
        <v>89233</v>
      </c>
      <c r="B773" s="301" t="s">
        <v>1891</v>
      </c>
      <c r="C773" s="301" t="s">
        <v>753</v>
      </c>
      <c r="D773" s="303">
        <v>113.95</v>
      </c>
    </row>
    <row r="774" spans="1:4">
      <c r="A774" s="302">
        <v>89236</v>
      </c>
      <c r="B774" s="301" t="s">
        <v>1892</v>
      </c>
      <c r="C774" s="301" t="s">
        <v>753</v>
      </c>
      <c r="D774" s="303">
        <v>211.16</v>
      </c>
    </row>
    <row r="775" spans="1:4">
      <c r="A775" s="302">
        <v>89237</v>
      </c>
      <c r="B775" s="301" t="s">
        <v>1893</v>
      </c>
      <c r="C775" s="301" t="s">
        <v>753</v>
      </c>
      <c r="D775" s="303">
        <v>33.46</v>
      </c>
    </row>
    <row r="776" spans="1:4">
      <c r="A776" s="302">
        <v>89238</v>
      </c>
      <c r="B776" s="301" t="s">
        <v>1894</v>
      </c>
      <c r="C776" s="301" t="s">
        <v>753</v>
      </c>
      <c r="D776" s="303">
        <v>376.65</v>
      </c>
    </row>
    <row r="777" spans="1:4">
      <c r="A777" s="302">
        <v>89239</v>
      </c>
      <c r="B777" s="301" t="s">
        <v>1895</v>
      </c>
      <c r="C777" s="301" t="s">
        <v>753</v>
      </c>
      <c r="D777" s="303">
        <v>301.33999999999997</v>
      </c>
    </row>
    <row r="778" spans="1:4">
      <c r="A778" s="302">
        <v>89240</v>
      </c>
      <c r="B778" s="301" t="s">
        <v>1896</v>
      </c>
      <c r="C778" s="301" t="s">
        <v>753</v>
      </c>
      <c r="D778" s="303">
        <v>64.8</v>
      </c>
    </row>
    <row r="779" spans="1:4">
      <c r="A779" s="302">
        <v>89241</v>
      </c>
      <c r="B779" s="301" t="s">
        <v>1897</v>
      </c>
      <c r="C779" s="301" t="s">
        <v>753</v>
      </c>
      <c r="D779" s="303">
        <v>11.66</v>
      </c>
    </row>
    <row r="780" spans="1:4">
      <c r="A780" s="302">
        <v>89246</v>
      </c>
      <c r="B780" s="301" t="s">
        <v>1898</v>
      </c>
      <c r="C780" s="301" t="s">
        <v>753</v>
      </c>
      <c r="D780" s="303">
        <v>183.48</v>
      </c>
    </row>
    <row r="781" spans="1:4">
      <c r="A781" s="302">
        <v>89247</v>
      </c>
      <c r="B781" s="301" t="s">
        <v>1899</v>
      </c>
      <c r="C781" s="301" t="s">
        <v>753</v>
      </c>
      <c r="D781" s="303">
        <v>29.07</v>
      </c>
    </row>
    <row r="782" spans="1:4">
      <c r="A782" s="302">
        <v>89248</v>
      </c>
      <c r="B782" s="301" t="s">
        <v>1900</v>
      </c>
      <c r="C782" s="301" t="s">
        <v>753</v>
      </c>
      <c r="D782" s="303">
        <v>327.29000000000002</v>
      </c>
    </row>
    <row r="783" spans="1:4">
      <c r="A783" s="302">
        <v>89249</v>
      </c>
      <c r="B783" s="301" t="s">
        <v>1901</v>
      </c>
      <c r="C783" s="301" t="s">
        <v>753</v>
      </c>
      <c r="D783" s="303">
        <v>256.87</v>
      </c>
    </row>
    <row r="784" spans="1:4">
      <c r="A784" s="302">
        <v>89253</v>
      </c>
      <c r="B784" s="301" t="s">
        <v>1902</v>
      </c>
      <c r="C784" s="301" t="s">
        <v>753</v>
      </c>
      <c r="D784" s="303">
        <v>53.1</v>
      </c>
    </row>
    <row r="785" spans="1:4">
      <c r="A785" s="302">
        <v>89254</v>
      </c>
      <c r="B785" s="301" t="s">
        <v>1903</v>
      </c>
      <c r="C785" s="301" t="s">
        <v>753</v>
      </c>
      <c r="D785" s="303">
        <v>9.5500000000000007</v>
      </c>
    </row>
    <row r="786" spans="1:4">
      <c r="A786" s="302">
        <v>89255</v>
      </c>
      <c r="B786" s="301" t="s">
        <v>1904</v>
      </c>
      <c r="C786" s="301" t="s">
        <v>753</v>
      </c>
      <c r="D786" s="303">
        <v>85.36</v>
      </c>
    </row>
    <row r="787" spans="1:4">
      <c r="A787" s="302">
        <v>89256</v>
      </c>
      <c r="B787" s="301" t="s">
        <v>1905</v>
      </c>
      <c r="C787" s="301" t="s">
        <v>753</v>
      </c>
      <c r="D787" s="303">
        <v>57.81</v>
      </c>
    </row>
    <row r="788" spans="1:4">
      <c r="A788" s="302">
        <v>89259</v>
      </c>
      <c r="B788" s="301" t="s">
        <v>1906</v>
      </c>
      <c r="C788" s="301" t="s">
        <v>753</v>
      </c>
      <c r="D788" s="303">
        <v>9.66</v>
      </c>
    </row>
    <row r="789" spans="1:4">
      <c r="A789" s="302">
        <v>89260</v>
      </c>
      <c r="B789" s="301" t="s">
        <v>1907</v>
      </c>
      <c r="C789" s="301" t="s">
        <v>753</v>
      </c>
      <c r="D789" s="303">
        <v>2.02</v>
      </c>
    </row>
    <row r="790" spans="1:4">
      <c r="A790" s="302">
        <v>89262</v>
      </c>
      <c r="B790" s="301" t="s">
        <v>1908</v>
      </c>
      <c r="C790" s="301" t="s">
        <v>753</v>
      </c>
      <c r="D790" s="303">
        <v>18.11</v>
      </c>
    </row>
    <row r="791" spans="1:4">
      <c r="A791" s="302">
        <v>89264</v>
      </c>
      <c r="B791" s="301" t="s">
        <v>1909</v>
      </c>
      <c r="C791" s="301" t="s">
        <v>753</v>
      </c>
      <c r="D791" s="303">
        <v>7.7</v>
      </c>
    </row>
    <row r="792" spans="1:4">
      <c r="A792" s="302">
        <v>89265</v>
      </c>
      <c r="B792" s="301" t="s">
        <v>1910</v>
      </c>
      <c r="C792" s="301" t="s">
        <v>753</v>
      </c>
      <c r="D792" s="303">
        <v>1.61</v>
      </c>
    </row>
    <row r="793" spans="1:4">
      <c r="A793" s="302">
        <v>89266</v>
      </c>
      <c r="B793" s="301" t="s">
        <v>1911</v>
      </c>
      <c r="C793" s="301" t="s">
        <v>753</v>
      </c>
      <c r="D793" s="303">
        <v>0.62</v>
      </c>
    </row>
    <row r="794" spans="1:4">
      <c r="A794" s="302">
        <v>89267</v>
      </c>
      <c r="B794" s="301" t="s">
        <v>1912</v>
      </c>
      <c r="C794" s="301" t="s">
        <v>753</v>
      </c>
      <c r="D794" s="303">
        <v>26.42</v>
      </c>
    </row>
    <row r="795" spans="1:4">
      <c r="A795" s="302">
        <v>89268</v>
      </c>
      <c r="B795" s="301" t="s">
        <v>1913</v>
      </c>
      <c r="C795" s="301" t="s">
        <v>753</v>
      </c>
      <c r="D795" s="303">
        <v>4.75</v>
      </c>
    </row>
    <row r="796" spans="1:4">
      <c r="A796" s="302">
        <v>89269</v>
      </c>
      <c r="B796" s="301" t="s">
        <v>1914</v>
      </c>
      <c r="C796" s="301" t="s">
        <v>753</v>
      </c>
      <c r="D796" s="303">
        <v>1.84</v>
      </c>
    </row>
    <row r="797" spans="1:4">
      <c r="A797" s="302">
        <v>89270</v>
      </c>
      <c r="B797" s="301" t="s">
        <v>1915</v>
      </c>
      <c r="C797" s="301" t="s">
        <v>753</v>
      </c>
      <c r="D797" s="303">
        <v>42.48</v>
      </c>
    </row>
    <row r="798" spans="1:4">
      <c r="A798" s="302">
        <v>89271</v>
      </c>
      <c r="B798" s="301" t="s">
        <v>1916</v>
      </c>
      <c r="C798" s="301" t="s">
        <v>753</v>
      </c>
      <c r="D798" s="303">
        <v>19.78</v>
      </c>
    </row>
    <row r="799" spans="1:4">
      <c r="A799" s="302">
        <v>89274</v>
      </c>
      <c r="B799" s="301" t="s">
        <v>1917</v>
      </c>
      <c r="C799" s="301" t="s">
        <v>753</v>
      </c>
      <c r="D799" s="303">
        <v>1.22</v>
      </c>
    </row>
    <row r="800" spans="1:4">
      <c r="A800" s="302">
        <v>89275</v>
      </c>
      <c r="B800" s="301" t="s">
        <v>1918</v>
      </c>
      <c r="C800" s="301" t="s">
        <v>753</v>
      </c>
      <c r="D800" s="303">
        <v>0.14000000000000001</v>
      </c>
    </row>
    <row r="801" spans="1:4">
      <c r="A801" s="302">
        <v>89276</v>
      </c>
      <c r="B801" s="301" t="s">
        <v>1919</v>
      </c>
      <c r="C801" s="301" t="s">
        <v>753</v>
      </c>
      <c r="D801" s="303">
        <v>1.1399999999999999</v>
      </c>
    </row>
    <row r="802" spans="1:4">
      <c r="A802" s="302">
        <v>89277</v>
      </c>
      <c r="B802" s="301" t="s">
        <v>1920</v>
      </c>
      <c r="C802" s="301" t="s">
        <v>753</v>
      </c>
      <c r="D802" s="303">
        <v>5.79</v>
      </c>
    </row>
    <row r="803" spans="1:4">
      <c r="A803" s="302">
        <v>89280</v>
      </c>
      <c r="B803" s="301" t="s">
        <v>1921</v>
      </c>
      <c r="C803" s="301" t="s">
        <v>753</v>
      </c>
      <c r="D803" s="303">
        <v>18.88</v>
      </c>
    </row>
    <row r="804" spans="1:4">
      <c r="A804" s="302">
        <v>89281</v>
      </c>
      <c r="B804" s="301" t="s">
        <v>1922</v>
      </c>
      <c r="C804" s="301" t="s">
        <v>753</v>
      </c>
      <c r="D804" s="303">
        <v>2.62</v>
      </c>
    </row>
    <row r="805" spans="1:4">
      <c r="A805" s="302">
        <v>89870</v>
      </c>
      <c r="B805" s="301" t="s">
        <v>1923</v>
      </c>
      <c r="C805" s="301" t="s">
        <v>753</v>
      </c>
      <c r="D805" s="303">
        <v>19.43</v>
      </c>
    </row>
    <row r="806" spans="1:4">
      <c r="A806" s="302">
        <v>89871</v>
      </c>
      <c r="B806" s="301" t="s">
        <v>1924</v>
      </c>
      <c r="C806" s="301" t="s">
        <v>753</v>
      </c>
      <c r="D806" s="303">
        <v>3.58</v>
      </c>
    </row>
    <row r="807" spans="1:4">
      <c r="A807" s="302">
        <v>89872</v>
      </c>
      <c r="B807" s="301" t="s">
        <v>1925</v>
      </c>
      <c r="C807" s="301" t="s">
        <v>753</v>
      </c>
      <c r="D807" s="303">
        <v>1.4</v>
      </c>
    </row>
    <row r="808" spans="1:4">
      <c r="A808" s="302">
        <v>89873</v>
      </c>
      <c r="B808" s="301" t="s">
        <v>1926</v>
      </c>
      <c r="C808" s="301" t="s">
        <v>753</v>
      </c>
      <c r="D808" s="303">
        <v>36.44</v>
      </c>
    </row>
    <row r="809" spans="1:4">
      <c r="A809" s="302">
        <v>89874</v>
      </c>
      <c r="B809" s="301" t="s">
        <v>1927</v>
      </c>
      <c r="C809" s="301" t="s">
        <v>753</v>
      </c>
      <c r="D809" s="303">
        <v>120.23</v>
      </c>
    </row>
    <row r="810" spans="1:4">
      <c r="A810" s="302">
        <v>89878</v>
      </c>
      <c r="B810" s="301" t="s">
        <v>1928</v>
      </c>
      <c r="C810" s="301" t="s">
        <v>753</v>
      </c>
      <c r="D810" s="303">
        <v>20.45</v>
      </c>
    </row>
    <row r="811" spans="1:4">
      <c r="A811" s="302">
        <v>89879</v>
      </c>
      <c r="B811" s="301" t="s">
        <v>1929</v>
      </c>
      <c r="C811" s="301" t="s">
        <v>753</v>
      </c>
      <c r="D811" s="303">
        <v>3.78</v>
      </c>
    </row>
    <row r="812" spans="1:4">
      <c r="A812" s="302">
        <v>89880</v>
      </c>
      <c r="B812" s="301" t="s">
        <v>1930</v>
      </c>
      <c r="C812" s="301" t="s">
        <v>753</v>
      </c>
      <c r="D812" s="303">
        <v>1.47</v>
      </c>
    </row>
    <row r="813" spans="1:4">
      <c r="A813" s="302">
        <v>89881</v>
      </c>
      <c r="B813" s="301" t="s">
        <v>1931</v>
      </c>
      <c r="C813" s="301" t="s">
        <v>753</v>
      </c>
      <c r="D813" s="303">
        <v>38.35</v>
      </c>
    </row>
    <row r="814" spans="1:4">
      <c r="A814" s="302">
        <v>89882</v>
      </c>
      <c r="B814" s="301" t="s">
        <v>1932</v>
      </c>
      <c r="C814" s="301" t="s">
        <v>753</v>
      </c>
      <c r="D814" s="303">
        <v>138.72</v>
      </c>
    </row>
    <row r="815" spans="1:4">
      <c r="A815" s="302">
        <v>90582</v>
      </c>
      <c r="B815" s="301" t="s">
        <v>1933</v>
      </c>
      <c r="C815" s="301" t="s">
        <v>753</v>
      </c>
      <c r="D815" s="303">
        <v>0.27</v>
      </c>
    </row>
    <row r="816" spans="1:4">
      <c r="A816" s="302">
        <v>90583</v>
      </c>
      <c r="B816" s="301" t="s">
        <v>1934</v>
      </c>
      <c r="C816" s="301" t="s">
        <v>753</v>
      </c>
      <c r="D816" s="303">
        <v>0.03</v>
      </c>
    </row>
    <row r="817" spans="1:4">
      <c r="A817" s="302">
        <v>90584</v>
      </c>
      <c r="B817" s="301" t="s">
        <v>1935</v>
      </c>
      <c r="C817" s="301" t="s">
        <v>753</v>
      </c>
      <c r="D817" s="303">
        <v>0.21</v>
      </c>
    </row>
    <row r="818" spans="1:4">
      <c r="A818" s="302">
        <v>90585</v>
      </c>
      <c r="B818" s="301" t="s">
        <v>1936</v>
      </c>
      <c r="C818" s="301" t="s">
        <v>753</v>
      </c>
      <c r="D818" s="303">
        <v>0.73</v>
      </c>
    </row>
    <row r="819" spans="1:4">
      <c r="A819" s="302">
        <v>90621</v>
      </c>
      <c r="B819" s="301" t="s">
        <v>1937</v>
      </c>
      <c r="C819" s="301" t="s">
        <v>753</v>
      </c>
      <c r="D819" s="303">
        <v>1.63</v>
      </c>
    </row>
    <row r="820" spans="1:4">
      <c r="A820" s="302">
        <v>90622</v>
      </c>
      <c r="B820" s="301" t="s">
        <v>1938</v>
      </c>
      <c r="C820" s="301" t="s">
        <v>753</v>
      </c>
      <c r="D820" s="303">
        <v>0.19</v>
      </c>
    </row>
    <row r="821" spans="1:4">
      <c r="A821" s="302">
        <v>90623</v>
      </c>
      <c r="B821" s="301" t="s">
        <v>1939</v>
      </c>
      <c r="C821" s="301" t="s">
        <v>753</v>
      </c>
      <c r="D821" s="303">
        <v>2.04</v>
      </c>
    </row>
    <row r="822" spans="1:4">
      <c r="A822" s="302">
        <v>90624</v>
      </c>
      <c r="B822" s="301" t="s">
        <v>1940</v>
      </c>
      <c r="C822" s="301" t="s">
        <v>753</v>
      </c>
      <c r="D822" s="303">
        <v>1.84</v>
      </c>
    </row>
    <row r="823" spans="1:4">
      <c r="A823" s="302">
        <v>90627</v>
      </c>
      <c r="B823" s="301" t="s">
        <v>1941</v>
      </c>
      <c r="C823" s="301" t="s">
        <v>753</v>
      </c>
      <c r="D823" s="303">
        <v>24.07</v>
      </c>
    </row>
    <row r="824" spans="1:4">
      <c r="A824" s="302">
        <v>90628</v>
      </c>
      <c r="B824" s="301" t="s">
        <v>1942</v>
      </c>
      <c r="C824" s="301" t="s">
        <v>753</v>
      </c>
      <c r="D824" s="303">
        <v>3.43</v>
      </c>
    </row>
    <row r="825" spans="1:4">
      <c r="A825" s="302">
        <v>90629</v>
      </c>
      <c r="B825" s="301" t="s">
        <v>1943</v>
      </c>
      <c r="C825" s="301" t="s">
        <v>753</v>
      </c>
      <c r="D825" s="303">
        <v>30.12</v>
      </c>
    </row>
    <row r="826" spans="1:4">
      <c r="A826" s="302">
        <v>90630</v>
      </c>
      <c r="B826" s="301" t="s">
        <v>1944</v>
      </c>
      <c r="C826" s="301" t="s">
        <v>753</v>
      </c>
      <c r="D826" s="303">
        <v>7.48</v>
      </c>
    </row>
    <row r="827" spans="1:4">
      <c r="A827" s="302">
        <v>90633</v>
      </c>
      <c r="B827" s="301" t="s">
        <v>1945</v>
      </c>
      <c r="C827" s="301" t="s">
        <v>753</v>
      </c>
      <c r="D827" s="303">
        <v>3.1</v>
      </c>
    </row>
    <row r="828" spans="1:4">
      <c r="A828" s="302">
        <v>90634</v>
      </c>
      <c r="B828" s="301" t="s">
        <v>1946</v>
      </c>
      <c r="C828" s="301" t="s">
        <v>753</v>
      </c>
      <c r="D828" s="303">
        <v>0.36</v>
      </c>
    </row>
    <row r="829" spans="1:4">
      <c r="A829" s="302">
        <v>90635</v>
      </c>
      <c r="B829" s="301" t="s">
        <v>1947</v>
      </c>
      <c r="C829" s="301" t="s">
        <v>753</v>
      </c>
      <c r="D829" s="303">
        <v>3.4</v>
      </c>
    </row>
    <row r="830" spans="1:4">
      <c r="A830" s="302">
        <v>90636</v>
      </c>
      <c r="B830" s="301" t="s">
        <v>1948</v>
      </c>
      <c r="C830" s="301" t="s">
        <v>753</v>
      </c>
      <c r="D830" s="303">
        <v>3.69</v>
      </c>
    </row>
    <row r="831" spans="1:4">
      <c r="A831" s="302">
        <v>90639</v>
      </c>
      <c r="B831" s="301" t="s">
        <v>1949</v>
      </c>
      <c r="C831" s="301" t="s">
        <v>753</v>
      </c>
      <c r="D831" s="303">
        <v>4.6399999999999997</v>
      </c>
    </row>
    <row r="832" spans="1:4">
      <c r="A832" s="302">
        <v>90640</v>
      </c>
      <c r="B832" s="301" t="s">
        <v>1950</v>
      </c>
      <c r="C832" s="301" t="s">
        <v>753</v>
      </c>
      <c r="D832" s="303">
        <v>0.55000000000000004</v>
      </c>
    </row>
    <row r="833" spans="1:4">
      <c r="A833" s="302">
        <v>90641</v>
      </c>
      <c r="B833" s="301" t="s">
        <v>1951</v>
      </c>
      <c r="C833" s="301" t="s">
        <v>753</v>
      </c>
      <c r="D833" s="303">
        <v>5.07</v>
      </c>
    </row>
    <row r="834" spans="1:4">
      <c r="A834" s="302">
        <v>90642</v>
      </c>
      <c r="B834" s="301" t="s">
        <v>1952</v>
      </c>
      <c r="C834" s="301" t="s">
        <v>753</v>
      </c>
      <c r="D834" s="303">
        <v>6.28</v>
      </c>
    </row>
    <row r="835" spans="1:4">
      <c r="A835" s="302">
        <v>90646</v>
      </c>
      <c r="B835" s="301" t="s">
        <v>1953</v>
      </c>
      <c r="C835" s="301" t="s">
        <v>753</v>
      </c>
      <c r="D835" s="303">
        <v>0.53</v>
      </c>
    </row>
    <row r="836" spans="1:4">
      <c r="A836" s="302">
        <v>90647</v>
      </c>
      <c r="B836" s="301" t="s">
        <v>1954</v>
      </c>
      <c r="C836" s="301" t="s">
        <v>753</v>
      </c>
      <c r="D836" s="303">
        <v>0.06</v>
      </c>
    </row>
    <row r="837" spans="1:4">
      <c r="A837" s="302">
        <v>90648</v>
      </c>
      <c r="B837" s="301" t="s">
        <v>1955</v>
      </c>
      <c r="C837" s="301" t="s">
        <v>753</v>
      </c>
      <c r="D837" s="303">
        <v>0.57999999999999996</v>
      </c>
    </row>
    <row r="838" spans="1:4">
      <c r="A838" s="302">
        <v>90649</v>
      </c>
      <c r="B838" s="301" t="s">
        <v>1956</v>
      </c>
      <c r="C838" s="301" t="s">
        <v>753</v>
      </c>
      <c r="D838" s="303">
        <v>5.7</v>
      </c>
    </row>
    <row r="839" spans="1:4">
      <c r="A839" s="302">
        <v>90652</v>
      </c>
      <c r="B839" s="301" t="s">
        <v>1957</v>
      </c>
      <c r="C839" s="301" t="s">
        <v>753</v>
      </c>
      <c r="D839" s="303">
        <v>3.02</v>
      </c>
    </row>
    <row r="840" spans="1:4">
      <c r="A840" s="302">
        <v>90653</v>
      </c>
      <c r="B840" s="301" t="s">
        <v>1958</v>
      </c>
      <c r="C840" s="301" t="s">
        <v>753</v>
      </c>
      <c r="D840" s="303">
        <v>0.35</v>
      </c>
    </row>
    <row r="841" spans="1:4">
      <c r="A841" s="302">
        <v>90654</v>
      </c>
      <c r="B841" s="301" t="s">
        <v>1959</v>
      </c>
      <c r="C841" s="301" t="s">
        <v>753</v>
      </c>
      <c r="D841" s="303">
        <v>3.3</v>
      </c>
    </row>
    <row r="842" spans="1:4">
      <c r="A842" s="302">
        <v>90655</v>
      </c>
      <c r="B842" s="301" t="s">
        <v>1960</v>
      </c>
      <c r="C842" s="301" t="s">
        <v>753</v>
      </c>
      <c r="D842" s="303">
        <v>3.75</v>
      </c>
    </row>
    <row r="843" spans="1:4">
      <c r="A843" s="302">
        <v>90658</v>
      </c>
      <c r="B843" s="301" t="s">
        <v>1961</v>
      </c>
      <c r="C843" s="301" t="s">
        <v>753</v>
      </c>
      <c r="D843" s="303">
        <v>3.23</v>
      </c>
    </row>
    <row r="844" spans="1:4">
      <c r="A844" s="302">
        <v>90659</v>
      </c>
      <c r="B844" s="301" t="s">
        <v>1962</v>
      </c>
      <c r="C844" s="301" t="s">
        <v>753</v>
      </c>
      <c r="D844" s="303">
        <v>0.38</v>
      </c>
    </row>
    <row r="845" spans="1:4">
      <c r="A845" s="302">
        <v>90660</v>
      </c>
      <c r="B845" s="301" t="s">
        <v>1963</v>
      </c>
      <c r="C845" s="301" t="s">
        <v>753</v>
      </c>
      <c r="D845" s="303">
        <v>3.54</v>
      </c>
    </row>
    <row r="846" spans="1:4">
      <c r="A846" s="302">
        <v>90661</v>
      </c>
      <c r="B846" s="301" t="s">
        <v>1964</v>
      </c>
      <c r="C846" s="301" t="s">
        <v>753</v>
      </c>
      <c r="D846" s="303">
        <v>3.75</v>
      </c>
    </row>
    <row r="847" spans="1:4">
      <c r="A847" s="302">
        <v>90664</v>
      </c>
      <c r="B847" s="301" t="s">
        <v>1965</v>
      </c>
      <c r="C847" s="301" t="s">
        <v>753</v>
      </c>
      <c r="D847" s="303">
        <v>3.77</v>
      </c>
    </row>
    <row r="848" spans="1:4">
      <c r="A848" s="302">
        <v>90665</v>
      </c>
      <c r="B848" s="301" t="s">
        <v>1966</v>
      </c>
      <c r="C848" s="301" t="s">
        <v>753</v>
      </c>
      <c r="D848" s="303">
        <v>0.43</v>
      </c>
    </row>
    <row r="849" spans="1:4">
      <c r="A849" s="302">
        <v>90666</v>
      </c>
      <c r="B849" s="301" t="s">
        <v>1967</v>
      </c>
      <c r="C849" s="301" t="s">
        <v>753</v>
      </c>
      <c r="D849" s="303">
        <v>4.12</v>
      </c>
    </row>
    <row r="850" spans="1:4">
      <c r="A850" s="302">
        <v>90667</v>
      </c>
      <c r="B850" s="301" t="s">
        <v>1968</v>
      </c>
      <c r="C850" s="301" t="s">
        <v>753</v>
      </c>
      <c r="D850" s="303">
        <v>10.199999999999999</v>
      </c>
    </row>
    <row r="851" spans="1:4">
      <c r="A851" s="302">
        <v>90670</v>
      </c>
      <c r="B851" s="301" t="s">
        <v>1969</v>
      </c>
      <c r="C851" s="301" t="s">
        <v>753</v>
      </c>
      <c r="D851" s="303">
        <v>110.48</v>
      </c>
    </row>
    <row r="852" spans="1:4">
      <c r="A852" s="302">
        <v>90671</v>
      </c>
      <c r="B852" s="301" t="s">
        <v>1970</v>
      </c>
      <c r="C852" s="301" t="s">
        <v>753</v>
      </c>
      <c r="D852" s="303">
        <v>15.33</v>
      </c>
    </row>
    <row r="853" spans="1:4">
      <c r="A853" s="302">
        <v>90672</v>
      </c>
      <c r="B853" s="301" t="s">
        <v>1971</v>
      </c>
      <c r="C853" s="301" t="s">
        <v>753</v>
      </c>
      <c r="D853" s="303">
        <v>138.26</v>
      </c>
    </row>
    <row r="854" spans="1:4">
      <c r="A854" s="302">
        <v>90673</v>
      </c>
      <c r="B854" s="301" t="s">
        <v>1972</v>
      </c>
      <c r="C854" s="301" t="s">
        <v>753</v>
      </c>
      <c r="D854" s="303">
        <v>81.599999999999994</v>
      </c>
    </row>
    <row r="855" spans="1:4">
      <c r="A855" s="302">
        <v>90676</v>
      </c>
      <c r="B855" s="301" t="s">
        <v>1973</v>
      </c>
      <c r="C855" s="301" t="s">
        <v>753</v>
      </c>
      <c r="D855" s="303">
        <v>58.2</v>
      </c>
    </row>
    <row r="856" spans="1:4">
      <c r="A856" s="302">
        <v>90677</v>
      </c>
      <c r="B856" s="301" t="s">
        <v>1974</v>
      </c>
      <c r="C856" s="301" t="s">
        <v>753</v>
      </c>
      <c r="D856" s="303">
        <v>8.07</v>
      </c>
    </row>
    <row r="857" spans="1:4">
      <c r="A857" s="302">
        <v>90678</v>
      </c>
      <c r="B857" s="301" t="s">
        <v>1975</v>
      </c>
      <c r="C857" s="301" t="s">
        <v>753</v>
      </c>
      <c r="D857" s="303">
        <v>72.84</v>
      </c>
    </row>
    <row r="858" spans="1:4">
      <c r="A858" s="302">
        <v>90679</v>
      </c>
      <c r="B858" s="301" t="s">
        <v>1976</v>
      </c>
      <c r="C858" s="301" t="s">
        <v>753</v>
      </c>
      <c r="D858" s="303">
        <v>62.54</v>
      </c>
    </row>
    <row r="859" spans="1:4">
      <c r="A859" s="302">
        <v>90682</v>
      </c>
      <c r="B859" s="301" t="s">
        <v>1977</v>
      </c>
      <c r="C859" s="301" t="s">
        <v>753</v>
      </c>
      <c r="D859" s="303">
        <v>20.89</v>
      </c>
    </row>
    <row r="860" spans="1:4">
      <c r="A860" s="302">
        <v>90683</v>
      </c>
      <c r="B860" s="301" t="s">
        <v>1978</v>
      </c>
      <c r="C860" s="301" t="s">
        <v>753</v>
      </c>
      <c r="D860" s="303">
        <v>2.48</v>
      </c>
    </row>
    <row r="861" spans="1:4">
      <c r="A861" s="302">
        <v>90684</v>
      </c>
      <c r="B861" s="301" t="s">
        <v>1979</v>
      </c>
      <c r="C861" s="301" t="s">
        <v>753</v>
      </c>
      <c r="D861" s="303">
        <v>22.85</v>
      </c>
    </row>
    <row r="862" spans="1:4">
      <c r="A862" s="302">
        <v>90685</v>
      </c>
      <c r="B862" s="301" t="s">
        <v>1980</v>
      </c>
      <c r="C862" s="301" t="s">
        <v>753</v>
      </c>
      <c r="D862" s="303">
        <v>38.799999999999997</v>
      </c>
    </row>
    <row r="863" spans="1:4">
      <c r="A863" s="302">
        <v>90688</v>
      </c>
      <c r="B863" s="301" t="s">
        <v>1981</v>
      </c>
      <c r="C863" s="301" t="s">
        <v>753</v>
      </c>
      <c r="D863" s="303">
        <v>11.59</v>
      </c>
    </row>
    <row r="864" spans="1:4">
      <c r="A864" s="302">
        <v>90689</v>
      </c>
      <c r="B864" s="301" t="s">
        <v>1982</v>
      </c>
      <c r="C864" s="301" t="s">
        <v>753</v>
      </c>
      <c r="D864" s="303">
        <v>1.17</v>
      </c>
    </row>
    <row r="865" spans="1:4">
      <c r="A865" s="302">
        <v>90690</v>
      </c>
      <c r="B865" s="301" t="s">
        <v>1983</v>
      </c>
      <c r="C865" s="301" t="s">
        <v>753</v>
      </c>
      <c r="D865" s="303">
        <v>14.48</v>
      </c>
    </row>
    <row r="866" spans="1:4">
      <c r="A866" s="302">
        <v>90691</v>
      </c>
      <c r="B866" s="301" t="s">
        <v>1984</v>
      </c>
      <c r="C866" s="301" t="s">
        <v>753</v>
      </c>
      <c r="D866" s="303">
        <v>35.74</v>
      </c>
    </row>
    <row r="867" spans="1:4">
      <c r="A867" s="302">
        <v>90957</v>
      </c>
      <c r="B867" s="301" t="s">
        <v>1985</v>
      </c>
      <c r="C867" s="301" t="s">
        <v>753</v>
      </c>
      <c r="D867" s="303">
        <v>2.33</v>
      </c>
    </row>
    <row r="868" spans="1:4">
      <c r="A868" s="302">
        <v>90958</v>
      </c>
      <c r="B868" s="301" t="s">
        <v>1986</v>
      </c>
      <c r="C868" s="301" t="s">
        <v>753</v>
      </c>
      <c r="D868" s="303">
        <v>0.32</v>
      </c>
    </row>
    <row r="869" spans="1:4">
      <c r="A869" s="302">
        <v>90960</v>
      </c>
      <c r="B869" s="301" t="s">
        <v>1987</v>
      </c>
      <c r="C869" s="301" t="s">
        <v>753</v>
      </c>
      <c r="D869" s="303">
        <v>3.11</v>
      </c>
    </row>
    <row r="870" spans="1:4">
      <c r="A870" s="302">
        <v>90961</v>
      </c>
      <c r="B870" s="301" t="s">
        <v>1988</v>
      </c>
      <c r="C870" s="301" t="s">
        <v>753</v>
      </c>
      <c r="D870" s="303">
        <v>0.43</v>
      </c>
    </row>
    <row r="871" spans="1:4">
      <c r="A871" s="302">
        <v>90962</v>
      </c>
      <c r="B871" s="301" t="s">
        <v>1989</v>
      </c>
      <c r="C871" s="301" t="s">
        <v>753</v>
      </c>
      <c r="D871" s="303">
        <v>3.89</v>
      </c>
    </row>
    <row r="872" spans="1:4">
      <c r="A872" s="302">
        <v>90963</v>
      </c>
      <c r="B872" s="301" t="s">
        <v>1990</v>
      </c>
      <c r="C872" s="301" t="s">
        <v>753</v>
      </c>
      <c r="D872" s="303">
        <v>10.199999999999999</v>
      </c>
    </row>
    <row r="873" spans="1:4">
      <c r="A873" s="302">
        <v>90968</v>
      </c>
      <c r="B873" s="301" t="s">
        <v>1991</v>
      </c>
      <c r="C873" s="301" t="s">
        <v>753</v>
      </c>
      <c r="D873" s="303">
        <v>3.12</v>
      </c>
    </row>
    <row r="874" spans="1:4">
      <c r="A874" s="302">
        <v>90969</v>
      </c>
      <c r="B874" s="301" t="s">
        <v>1992</v>
      </c>
      <c r="C874" s="301" t="s">
        <v>753</v>
      </c>
      <c r="D874" s="303">
        <v>0.43</v>
      </c>
    </row>
    <row r="875" spans="1:4">
      <c r="A875" s="302">
        <v>90970</v>
      </c>
      <c r="B875" s="301" t="s">
        <v>1993</v>
      </c>
      <c r="C875" s="301" t="s">
        <v>753</v>
      </c>
      <c r="D875" s="303">
        <v>3.91</v>
      </c>
    </row>
    <row r="876" spans="1:4">
      <c r="A876" s="302">
        <v>90971</v>
      </c>
      <c r="B876" s="301" t="s">
        <v>1994</v>
      </c>
      <c r="C876" s="301" t="s">
        <v>753</v>
      </c>
      <c r="D876" s="303">
        <v>41.33</v>
      </c>
    </row>
    <row r="877" spans="1:4">
      <c r="A877" s="302">
        <v>90975</v>
      </c>
      <c r="B877" s="301" t="s">
        <v>1995</v>
      </c>
      <c r="C877" s="301" t="s">
        <v>753</v>
      </c>
      <c r="D877" s="303">
        <v>7.93</v>
      </c>
    </row>
    <row r="878" spans="1:4">
      <c r="A878" s="302">
        <v>90976</v>
      </c>
      <c r="B878" s="301" t="s">
        <v>1996</v>
      </c>
      <c r="C878" s="301" t="s">
        <v>753</v>
      </c>
      <c r="D878" s="303">
        <v>1.1000000000000001</v>
      </c>
    </row>
    <row r="879" spans="1:4">
      <c r="A879" s="302">
        <v>90977</v>
      </c>
      <c r="B879" s="301" t="s">
        <v>1997</v>
      </c>
      <c r="C879" s="301" t="s">
        <v>753</v>
      </c>
      <c r="D879" s="303">
        <v>9.92</v>
      </c>
    </row>
    <row r="880" spans="1:4">
      <c r="A880" s="302">
        <v>90978</v>
      </c>
      <c r="B880" s="301" t="s">
        <v>1998</v>
      </c>
      <c r="C880" s="301" t="s">
        <v>753</v>
      </c>
      <c r="D880" s="303">
        <v>107.22</v>
      </c>
    </row>
    <row r="881" spans="1:4">
      <c r="A881" s="302">
        <v>90992</v>
      </c>
      <c r="B881" s="301" t="s">
        <v>1999</v>
      </c>
      <c r="C881" s="301" t="s">
        <v>753</v>
      </c>
      <c r="D881" s="303">
        <v>3.7</v>
      </c>
    </row>
    <row r="882" spans="1:4">
      <c r="A882" s="302">
        <v>90993</v>
      </c>
      <c r="B882" s="301" t="s">
        <v>2000</v>
      </c>
      <c r="C882" s="301" t="s">
        <v>753</v>
      </c>
      <c r="D882" s="303">
        <v>0.51</v>
      </c>
    </row>
    <row r="883" spans="1:4">
      <c r="A883" s="302">
        <v>90994</v>
      </c>
      <c r="B883" s="301" t="s">
        <v>2001</v>
      </c>
      <c r="C883" s="301" t="s">
        <v>753</v>
      </c>
      <c r="D883" s="303">
        <v>4.63</v>
      </c>
    </row>
    <row r="884" spans="1:4">
      <c r="A884" s="302">
        <v>90995</v>
      </c>
      <c r="B884" s="301" t="s">
        <v>2002</v>
      </c>
      <c r="C884" s="301" t="s">
        <v>753</v>
      </c>
      <c r="D884" s="303">
        <v>56.14</v>
      </c>
    </row>
    <row r="885" spans="1:4">
      <c r="A885" s="302">
        <v>91021</v>
      </c>
      <c r="B885" s="301" t="s">
        <v>2003</v>
      </c>
      <c r="C885" s="301" t="s">
        <v>753</v>
      </c>
      <c r="D885" s="303">
        <v>3.15</v>
      </c>
    </row>
    <row r="886" spans="1:4">
      <c r="A886" s="302">
        <v>91026</v>
      </c>
      <c r="B886" s="301" t="s">
        <v>2004</v>
      </c>
      <c r="C886" s="301" t="s">
        <v>753</v>
      </c>
      <c r="D886" s="303">
        <v>10.9</v>
      </c>
    </row>
    <row r="887" spans="1:4">
      <c r="A887" s="302">
        <v>91027</v>
      </c>
      <c r="B887" s="301" t="s">
        <v>2005</v>
      </c>
      <c r="C887" s="301" t="s">
        <v>753</v>
      </c>
      <c r="D887" s="303">
        <v>2.2799999999999998</v>
      </c>
    </row>
    <row r="888" spans="1:4">
      <c r="A888" s="302">
        <v>91028</v>
      </c>
      <c r="B888" s="301" t="s">
        <v>2006</v>
      </c>
      <c r="C888" s="301" t="s">
        <v>753</v>
      </c>
      <c r="D888" s="303">
        <v>0.88</v>
      </c>
    </row>
    <row r="889" spans="1:4">
      <c r="A889" s="302">
        <v>91029</v>
      </c>
      <c r="B889" s="301" t="s">
        <v>2007</v>
      </c>
      <c r="C889" s="301" t="s">
        <v>753</v>
      </c>
      <c r="D889" s="303">
        <v>20.440000000000001</v>
      </c>
    </row>
    <row r="890" spans="1:4">
      <c r="A890" s="302">
        <v>91030</v>
      </c>
      <c r="B890" s="301" t="s">
        <v>2008</v>
      </c>
      <c r="C890" s="301" t="s">
        <v>753</v>
      </c>
      <c r="D890" s="303">
        <v>97.1</v>
      </c>
    </row>
    <row r="891" spans="1:4">
      <c r="A891" s="302">
        <v>91273</v>
      </c>
      <c r="B891" s="301" t="s">
        <v>2009</v>
      </c>
      <c r="C891" s="301" t="s">
        <v>753</v>
      </c>
      <c r="D891" s="303">
        <v>0.43</v>
      </c>
    </row>
    <row r="892" spans="1:4">
      <c r="A892" s="302">
        <v>91274</v>
      </c>
      <c r="B892" s="301" t="s">
        <v>2010</v>
      </c>
      <c r="C892" s="301" t="s">
        <v>753</v>
      </c>
      <c r="D892" s="303">
        <v>0.05</v>
      </c>
    </row>
    <row r="893" spans="1:4">
      <c r="A893" s="302">
        <v>91275</v>
      </c>
      <c r="B893" s="301" t="s">
        <v>2011</v>
      </c>
      <c r="C893" s="301" t="s">
        <v>753</v>
      </c>
      <c r="D893" s="303">
        <v>0.54</v>
      </c>
    </row>
    <row r="894" spans="1:4">
      <c r="A894" s="302">
        <v>91276</v>
      </c>
      <c r="B894" s="301" t="s">
        <v>2012</v>
      </c>
      <c r="C894" s="301" t="s">
        <v>753</v>
      </c>
      <c r="D894" s="303">
        <v>6.75</v>
      </c>
    </row>
    <row r="895" spans="1:4">
      <c r="A895" s="302">
        <v>91279</v>
      </c>
      <c r="B895" s="301" t="s">
        <v>2013</v>
      </c>
      <c r="C895" s="301" t="s">
        <v>753</v>
      </c>
      <c r="D895" s="303">
        <v>0.86</v>
      </c>
    </row>
    <row r="896" spans="1:4">
      <c r="A896" s="302">
        <v>91280</v>
      </c>
      <c r="B896" s="301" t="s">
        <v>2014</v>
      </c>
      <c r="C896" s="301" t="s">
        <v>753</v>
      </c>
      <c r="D896" s="303">
        <v>0.09</v>
      </c>
    </row>
    <row r="897" spans="1:4">
      <c r="A897" s="302">
        <v>91281</v>
      </c>
      <c r="B897" s="301" t="s">
        <v>2015</v>
      </c>
      <c r="C897" s="301" t="s">
        <v>753</v>
      </c>
      <c r="D897" s="303">
        <v>1.08</v>
      </c>
    </row>
    <row r="898" spans="1:4">
      <c r="A898" s="302">
        <v>91282</v>
      </c>
      <c r="B898" s="301" t="s">
        <v>2016</v>
      </c>
      <c r="C898" s="301" t="s">
        <v>753</v>
      </c>
      <c r="D898" s="303">
        <v>16.16</v>
      </c>
    </row>
    <row r="899" spans="1:4">
      <c r="A899" s="302">
        <v>91354</v>
      </c>
      <c r="B899" s="301" t="s">
        <v>2017</v>
      </c>
      <c r="C899" s="301" t="s">
        <v>753</v>
      </c>
      <c r="D899" s="303">
        <v>8.48</v>
      </c>
    </row>
    <row r="900" spans="1:4">
      <c r="A900" s="302">
        <v>91355</v>
      </c>
      <c r="B900" s="301" t="s">
        <v>2018</v>
      </c>
      <c r="C900" s="301" t="s">
        <v>753</v>
      </c>
      <c r="D900" s="303">
        <v>1.78</v>
      </c>
    </row>
    <row r="901" spans="1:4">
      <c r="A901" s="302">
        <v>91356</v>
      </c>
      <c r="B901" s="301" t="s">
        <v>2019</v>
      </c>
      <c r="C901" s="301" t="s">
        <v>753</v>
      </c>
      <c r="D901" s="303">
        <v>0.69</v>
      </c>
    </row>
    <row r="902" spans="1:4">
      <c r="A902" s="302">
        <v>91359</v>
      </c>
      <c r="B902" s="301" t="s">
        <v>2020</v>
      </c>
      <c r="C902" s="301" t="s">
        <v>753</v>
      </c>
      <c r="D902" s="303">
        <v>9.49</v>
      </c>
    </row>
    <row r="903" spans="1:4">
      <c r="A903" s="302">
        <v>91360</v>
      </c>
      <c r="B903" s="301" t="s">
        <v>2021</v>
      </c>
      <c r="C903" s="301" t="s">
        <v>753</v>
      </c>
      <c r="D903" s="303">
        <v>1.98</v>
      </c>
    </row>
    <row r="904" spans="1:4">
      <c r="A904" s="302">
        <v>91361</v>
      </c>
      <c r="B904" s="301" t="s">
        <v>2022</v>
      </c>
      <c r="C904" s="301" t="s">
        <v>753</v>
      </c>
      <c r="D904" s="303">
        <v>0.77</v>
      </c>
    </row>
    <row r="905" spans="1:4">
      <c r="A905" s="302">
        <v>91367</v>
      </c>
      <c r="B905" s="301" t="s">
        <v>2023</v>
      </c>
      <c r="C905" s="301" t="s">
        <v>753</v>
      </c>
      <c r="D905" s="303">
        <v>12.34</v>
      </c>
    </row>
    <row r="906" spans="1:4">
      <c r="A906" s="302">
        <v>91368</v>
      </c>
      <c r="B906" s="301" t="s">
        <v>2024</v>
      </c>
      <c r="C906" s="301" t="s">
        <v>753</v>
      </c>
      <c r="D906" s="303">
        <v>2.27</v>
      </c>
    </row>
    <row r="907" spans="1:4">
      <c r="A907" s="302">
        <v>91369</v>
      </c>
      <c r="B907" s="301" t="s">
        <v>2025</v>
      </c>
      <c r="C907" s="301" t="s">
        <v>753</v>
      </c>
      <c r="D907" s="303">
        <v>0.88</v>
      </c>
    </row>
    <row r="908" spans="1:4">
      <c r="A908" s="302">
        <v>91375</v>
      </c>
      <c r="B908" s="301" t="s">
        <v>2026</v>
      </c>
      <c r="C908" s="301" t="s">
        <v>753</v>
      </c>
      <c r="D908" s="303">
        <v>7.15</v>
      </c>
    </row>
    <row r="909" spans="1:4">
      <c r="A909" s="302">
        <v>91376</v>
      </c>
      <c r="B909" s="301" t="s">
        <v>2027</v>
      </c>
      <c r="C909" s="301" t="s">
        <v>753</v>
      </c>
      <c r="D909" s="303">
        <v>1.5</v>
      </c>
    </row>
    <row r="910" spans="1:4">
      <c r="A910" s="302">
        <v>91377</v>
      </c>
      <c r="B910" s="301" t="s">
        <v>2028</v>
      </c>
      <c r="C910" s="301" t="s">
        <v>753</v>
      </c>
      <c r="D910" s="303">
        <v>0.57999999999999996</v>
      </c>
    </row>
    <row r="911" spans="1:4">
      <c r="A911" s="302">
        <v>91380</v>
      </c>
      <c r="B911" s="301" t="s">
        <v>2029</v>
      </c>
      <c r="C911" s="301" t="s">
        <v>753</v>
      </c>
      <c r="D911" s="303">
        <v>13.93</v>
      </c>
    </row>
    <row r="912" spans="1:4">
      <c r="A912" s="302">
        <v>91381</v>
      </c>
      <c r="B912" s="301" t="s">
        <v>2030</v>
      </c>
      <c r="C912" s="301" t="s">
        <v>753</v>
      </c>
      <c r="D912" s="303">
        <v>2.57</v>
      </c>
    </row>
    <row r="913" spans="1:4">
      <c r="A913" s="302">
        <v>91382</v>
      </c>
      <c r="B913" s="301" t="s">
        <v>2031</v>
      </c>
      <c r="C913" s="301" t="s">
        <v>753</v>
      </c>
      <c r="D913" s="303">
        <v>1</v>
      </c>
    </row>
    <row r="914" spans="1:4">
      <c r="A914" s="302">
        <v>91383</v>
      </c>
      <c r="B914" s="301" t="s">
        <v>2032</v>
      </c>
      <c r="C914" s="301" t="s">
        <v>753</v>
      </c>
      <c r="D914" s="303">
        <v>26.12</v>
      </c>
    </row>
    <row r="915" spans="1:4">
      <c r="A915" s="302">
        <v>91384</v>
      </c>
      <c r="B915" s="301" t="s">
        <v>2033</v>
      </c>
      <c r="C915" s="301" t="s">
        <v>753</v>
      </c>
      <c r="D915" s="303">
        <v>96.69</v>
      </c>
    </row>
    <row r="916" spans="1:4">
      <c r="A916" s="302">
        <v>91390</v>
      </c>
      <c r="B916" s="301" t="s">
        <v>2034</v>
      </c>
      <c r="C916" s="301" t="s">
        <v>753</v>
      </c>
      <c r="D916" s="303">
        <v>9.15</v>
      </c>
    </row>
    <row r="917" spans="1:4">
      <c r="A917" s="302">
        <v>91391</v>
      </c>
      <c r="B917" s="301" t="s">
        <v>2035</v>
      </c>
      <c r="C917" s="301" t="s">
        <v>753</v>
      </c>
      <c r="D917" s="303">
        <v>1.91</v>
      </c>
    </row>
    <row r="918" spans="1:4">
      <c r="A918" s="302">
        <v>91392</v>
      </c>
      <c r="B918" s="301" t="s">
        <v>2036</v>
      </c>
      <c r="C918" s="301" t="s">
        <v>753</v>
      </c>
      <c r="D918" s="303">
        <v>0.74</v>
      </c>
    </row>
    <row r="919" spans="1:4">
      <c r="A919" s="302">
        <v>91396</v>
      </c>
      <c r="B919" s="301" t="s">
        <v>2037</v>
      </c>
      <c r="C919" s="301" t="s">
        <v>753</v>
      </c>
      <c r="D919" s="303">
        <v>12.19</v>
      </c>
    </row>
    <row r="920" spans="1:4">
      <c r="A920" s="302">
        <v>91397</v>
      </c>
      <c r="B920" s="301" t="s">
        <v>2038</v>
      </c>
      <c r="C920" s="301" t="s">
        <v>753</v>
      </c>
      <c r="D920" s="303">
        <v>2.5499999999999998</v>
      </c>
    </row>
    <row r="921" spans="1:4">
      <c r="A921" s="302">
        <v>91398</v>
      </c>
      <c r="B921" s="301" t="s">
        <v>2039</v>
      </c>
      <c r="C921" s="301" t="s">
        <v>753</v>
      </c>
      <c r="D921" s="303">
        <v>0.99</v>
      </c>
    </row>
    <row r="922" spans="1:4">
      <c r="A922" s="302">
        <v>91402</v>
      </c>
      <c r="B922" s="301" t="s">
        <v>2040</v>
      </c>
      <c r="C922" s="301" t="s">
        <v>753</v>
      </c>
      <c r="D922" s="303">
        <v>0.84</v>
      </c>
    </row>
    <row r="923" spans="1:4">
      <c r="A923" s="302">
        <v>91466</v>
      </c>
      <c r="B923" s="301" t="s">
        <v>2041</v>
      </c>
      <c r="C923" s="301" t="s">
        <v>753</v>
      </c>
      <c r="D923" s="303">
        <v>0.78</v>
      </c>
    </row>
    <row r="924" spans="1:4">
      <c r="A924" s="302">
        <v>91467</v>
      </c>
      <c r="B924" s="301" t="s">
        <v>2042</v>
      </c>
      <c r="C924" s="301" t="s">
        <v>753</v>
      </c>
      <c r="D924" s="303">
        <v>107.83</v>
      </c>
    </row>
    <row r="925" spans="1:4">
      <c r="A925" s="302">
        <v>91468</v>
      </c>
      <c r="B925" s="301" t="s">
        <v>2043</v>
      </c>
      <c r="C925" s="301" t="s">
        <v>753</v>
      </c>
      <c r="D925" s="303">
        <v>13.47</v>
      </c>
    </row>
    <row r="926" spans="1:4">
      <c r="A926" s="302">
        <v>91469</v>
      </c>
      <c r="B926" s="301" t="s">
        <v>2044</v>
      </c>
      <c r="C926" s="301" t="s">
        <v>753</v>
      </c>
      <c r="D926" s="303">
        <v>2.91</v>
      </c>
    </row>
    <row r="927" spans="1:4">
      <c r="A927" s="302">
        <v>91484</v>
      </c>
      <c r="B927" s="301" t="s">
        <v>2045</v>
      </c>
      <c r="C927" s="301" t="s">
        <v>753</v>
      </c>
      <c r="D927" s="303">
        <v>0.92</v>
      </c>
    </row>
    <row r="928" spans="1:4">
      <c r="A928" s="302">
        <v>91485</v>
      </c>
      <c r="B928" s="301" t="s">
        <v>2046</v>
      </c>
      <c r="C928" s="301" t="s">
        <v>753</v>
      </c>
      <c r="D928" s="303">
        <v>146.34</v>
      </c>
    </row>
    <row r="929" spans="1:4">
      <c r="A929" s="302">
        <v>91529</v>
      </c>
      <c r="B929" s="301" t="s">
        <v>2047</v>
      </c>
      <c r="C929" s="301" t="s">
        <v>753</v>
      </c>
      <c r="D929" s="303">
        <v>0.63</v>
      </c>
    </row>
    <row r="930" spans="1:4">
      <c r="A930" s="302">
        <v>91530</v>
      </c>
      <c r="B930" s="301" t="s">
        <v>2048</v>
      </c>
      <c r="C930" s="301" t="s">
        <v>753</v>
      </c>
      <c r="D930" s="303">
        <v>0.08</v>
      </c>
    </row>
    <row r="931" spans="1:4">
      <c r="A931" s="302">
        <v>91531</v>
      </c>
      <c r="B931" s="301" t="s">
        <v>2049</v>
      </c>
      <c r="C931" s="301" t="s">
        <v>753</v>
      </c>
      <c r="D931" s="303">
        <v>0.79</v>
      </c>
    </row>
    <row r="932" spans="1:4">
      <c r="A932" s="302">
        <v>91532</v>
      </c>
      <c r="B932" s="301" t="s">
        <v>2050</v>
      </c>
      <c r="C932" s="301" t="s">
        <v>753</v>
      </c>
      <c r="D932" s="303">
        <v>4.9000000000000004</v>
      </c>
    </row>
    <row r="933" spans="1:4">
      <c r="A933" s="302">
        <v>91629</v>
      </c>
      <c r="B933" s="301" t="s">
        <v>2051</v>
      </c>
      <c r="C933" s="301" t="s">
        <v>753</v>
      </c>
      <c r="D933" s="303">
        <v>8.93</v>
      </c>
    </row>
    <row r="934" spans="1:4">
      <c r="A934" s="302">
        <v>91630</v>
      </c>
      <c r="B934" s="301" t="s">
        <v>2052</v>
      </c>
      <c r="C934" s="301" t="s">
        <v>753</v>
      </c>
      <c r="D934" s="303">
        <v>1.87</v>
      </c>
    </row>
    <row r="935" spans="1:4">
      <c r="A935" s="302">
        <v>91631</v>
      </c>
      <c r="B935" s="301" t="s">
        <v>2053</v>
      </c>
      <c r="C935" s="301" t="s">
        <v>753</v>
      </c>
      <c r="D935" s="303">
        <v>0.72</v>
      </c>
    </row>
    <row r="936" spans="1:4">
      <c r="A936" s="302">
        <v>91632</v>
      </c>
      <c r="B936" s="301" t="s">
        <v>2054</v>
      </c>
      <c r="C936" s="301" t="s">
        <v>753</v>
      </c>
      <c r="D936" s="303">
        <v>16.75</v>
      </c>
    </row>
    <row r="937" spans="1:4">
      <c r="A937" s="302">
        <v>91633</v>
      </c>
      <c r="B937" s="301" t="s">
        <v>2055</v>
      </c>
      <c r="C937" s="301" t="s">
        <v>753</v>
      </c>
      <c r="D937" s="303">
        <v>91.26</v>
      </c>
    </row>
    <row r="938" spans="1:4">
      <c r="A938" s="302">
        <v>91640</v>
      </c>
      <c r="B938" s="301" t="s">
        <v>2056</v>
      </c>
      <c r="C938" s="301" t="s">
        <v>753</v>
      </c>
      <c r="D938" s="303">
        <v>20.59</v>
      </c>
    </row>
    <row r="939" spans="1:4">
      <c r="A939" s="302">
        <v>91641</v>
      </c>
      <c r="B939" s="301" t="s">
        <v>2057</v>
      </c>
      <c r="C939" s="301" t="s">
        <v>753</v>
      </c>
      <c r="D939" s="303">
        <v>4.32</v>
      </c>
    </row>
    <row r="940" spans="1:4">
      <c r="A940" s="302">
        <v>91642</v>
      </c>
      <c r="B940" s="301" t="s">
        <v>2058</v>
      </c>
      <c r="C940" s="301" t="s">
        <v>753</v>
      </c>
      <c r="D940" s="303">
        <v>1.67</v>
      </c>
    </row>
    <row r="941" spans="1:4">
      <c r="A941" s="302">
        <v>91643</v>
      </c>
      <c r="B941" s="301" t="s">
        <v>2059</v>
      </c>
      <c r="C941" s="301" t="s">
        <v>753</v>
      </c>
      <c r="D941" s="303">
        <v>38.6</v>
      </c>
    </row>
    <row r="942" spans="1:4">
      <c r="A942" s="302">
        <v>91644</v>
      </c>
      <c r="B942" s="301" t="s">
        <v>2060</v>
      </c>
      <c r="C942" s="301" t="s">
        <v>753</v>
      </c>
      <c r="D942" s="303">
        <v>205.38</v>
      </c>
    </row>
    <row r="943" spans="1:4">
      <c r="A943" s="302">
        <v>91688</v>
      </c>
      <c r="B943" s="301" t="s">
        <v>2061</v>
      </c>
      <c r="C943" s="301" t="s">
        <v>753</v>
      </c>
      <c r="D943" s="303">
        <v>0.1</v>
      </c>
    </row>
    <row r="944" spans="1:4">
      <c r="A944" s="302">
        <v>91689</v>
      </c>
      <c r="B944" s="301" t="s">
        <v>2062</v>
      </c>
      <c r="C944" s="301" t="s">
        <v>753</v>
      </c>
      <c r="D944" s="303">
        <v>0.02</v>
      </c>
    </row>
    <row r="945" spans="1:4">
      <c r="A945" s="302">
        <v>91690</v>
      </c>
      <c r="B945" s="301" t="s">
        <v>2063</v>
      </c>
      <c r="C945" s="301" t="s">
        <v>753</v>
      </c>
      <c r="D945" s="303">
        <v>0.06</v>
      </c>
    </row>
    <row r="946" spans="1:4">
      <c r="A946" s="302">
        <v>91691</v>
      </c>
      <c r="B946" s="301" t="s">
        <v>2064</v>
      </c>
      <c r="C946" s="301" t="s">
        <v>753</v>
      </c>
      <c r="D946" s="303">
        <v>1.87</v>
      </c>
    </row>
    <row r="947" spans="1:4">
      <c r="A947" s="302">
        <v>92040</v>
      </c>
      <c r="B947" s="301" t="s">
        <v>2065</v>
      </c>
      <c r="C947" s="301" t="s">
        <v>753</v>
      </c>
      <c r="D947" s="303">
        <v>4.13</v>
      </c>
    </row>
    <row r="948" spans="1:4">
      <c r="A948" s="302">
        <v>92041</v>
      </c>
      <c r="B948" s="301" t="s">
        <v>2066</v>
      </c>
      <c r="C948" s="301" t="s">
        <v>753</v>
      </c>
      <c r="D948" s="303">
        <v>0.43</v>
      </c>
    </row>
    <row r="949" spans="1:4">
      <c r="A949" s="302">
        <v>92042</v>
      </c>
      <c r="B949" s="301" t="s">
        <v>2067</v>
      </c>
      <c r="C949" s="301" t="s">
        <v>753</v>
      </c>
      <c r="D949" s="303">
        <v>3.44</v>
      </c>
    </row>
    <row r="950" spans="1:4">
      <c r="A950" s="302">
        <v>92101</v>
      </c>
      <c r="B950" s="301" t="s">
        <v>2068</v>
      </c>
      <c r="C950" s="301" t="s">
        <v>753</v>
      </c>
      <c r="D950" s="303">
        <v>13.92</v>
      </c>
    </row>
    <row r="951" spans="1:4">
      <c r="A951" s="302">
        <v>92102</v>
      </c>
      <c r="B951" s="301" t="s">
        <v>2069</v>
      </c>
      <c r="C951" s="301" t="s">
        <v>753</v>
      </c>
      <c r="D951" s="303">
        <v>2.91</v>
      </c>
    </row>
    <row r="952" spans="1:4">
      <c r="A952" s="302">
        <v>92103</v>
      </c>
      <c r="B952" s="301" t="s">
        <v>2070</v>
      </c>
      <c r="C952" s="301" t="s">
        <v>753</v>
      </c>
      <c r="D952" s="303">
        <v>1.1299999999999999</v>
      </c>
    </row>
    <row r="953" spans="1:4">
      <c r="A953" s="302">
        <v>92104</v>
      </c>
      <c r="B953" s="301" t="s">
        <v>2071</v>
      </c>
      <c r="C953" s="301" t="s">
        <v>753</v>
      </c>
      <c r="D953" s="303">
        <v>26.11</v>
      </c>
    </row>
    <row r="954" spans="1:4">
      <c r="A954" s="302">
        <v>92105</v>
      </c>
      <c r="B954" s="301" t="s">
        <v>2072</v>
      </c>
      <c r="C954" s="301" t="s">
        <v>753</v>
      </c>
      <c r="D954" s="303">
        <v>131.21</v>
      </c>
    </row>
    <row r="955" spans="1:4">
      <c r="A955" s="302">
        <v>92108</v>
      </c>
      <c r="B955" s="301" t="s">
        <v>2073</v>
      </c>
      <c r="C955" s="301" t="s">
        <v>753</v>
      </c>
      <c r="D955" s="303">
        <v>0.72</v>
      </c>
    </row>
    <row r="956" spans="1:4">
      <c r="A956" s="302">
        <v>92109</v>
      </c>
      <c r="B956" s="301" t="s">
        <v>2074</v>
      </c>
      <c r="C956" s="301" t="s">
        <v>753</v>
      </c>
      <c r="D956" s="303">
        <v>0.08</v>
      </c>
    </row>
    <row r="957" spans="1:4">
      <c r="A957" s="302">
        <v>92110</v>
      </c>
      <c r="B957" s="301" t="s">
        <v>2075</v>
      </c>
      <c r="C957" s="301" t="s">
        <v>753</v>
      </c>
      <c r="D957" s="303">
        <v>0.56000000000000005</v>
      </c>
    </row>
    <row r="958" spans="1:4">
      <c r="A958" s="302">
        <v>92111</v>
      </c>
      <c r="B958" s="301" t="s">
        <v>2076</v>
      </c>
      <c r="C958" s="301" t="s">
        <v>753</v>
      </c>
      <c r="D958" s="303">
        <v>0.73</v>
      </c>
    </row>
    <row r="959" spans="1:4">
      <c r="A959" s="302">
        <v>92114</v>
      </c>
      <c r="B959" s="301" t="s">
        <v>2077</v>
      </c>
      <c r="C959" s="301" t="s">
        <v>753</v>
      </c>
      <c r="D959" s="303">
        <v>0.08</v>
      </c>
    </row>
    <row r="960" spans="1:4">
      <c r="A960" s="302">
        <v>92115</v>
      </c>
      <c r="B960" s="301" t="s">
        <v>2078</v>
      </c>
      <c r="C960" s="301" t="s">
        <v>753</v>
      </c>
      <c r="D960" s="303">
        <v>0</v>
      </c>
    </row>
    <row r="961" spans="1:4">
      <c r="A961" s="302">
        <v>92116</v>
      </c>
      <c r="B961" s="301" t="s">
        <v>2079</v>
      </c>
      <c r="C961" s="301" t="s">
        <v>753</v>
      </c>
      <c r="D961" s="303">
        <v>0.1</v>
      </c>
    </row>
    <row r="962" spans="1:4">
      <c r="A962" s="302">
        <v>92133</v>
      </c>
      <c r="B962" s="301" t="s">
        <v>2080</v>
      </c>
      <c r="C962" s="301" t="s">
        <v>753</v>
      </c>
      <c r="D962" s="303">
        <v>7.77</v>
      </c>
    </row>
    <row r="963" spans="1:4">
      <c r="A963" s="302">
        <v>92134</v>
      </c>
      <c r="B963" s="301" t="s">
        <v>2081</v>
      </c>
      <c r="C963" s="301" t="s">
        <v>753</v>
      </c>
      <c r="D963" s="303">
        <v>1.23</v>
      </c>
    </row>
    <row r="964" spans="1:4">
      <c r="A964" s="302">
        <v>92135</v>
      </c>
      <c r="B964" s="301" t="s">
        <v>2082</v>
      </c>
      <c r="C964" s="301" t="s">
        <v>753</v>
      </c>
      <c r="D964" s="303">
        <v>0.48</v>
      </c>
    </row>
    <row r="965" spans="1:4">
      <c r="A965" s="302">
        <v>92136</v>
      </c>
      <c r="B965" s="301" t="s">
        <v>2083</v>
      </c>
      <c r="C965" s="301" t="s">
        <v>753</v>
      </c>
      <c r="D965" s="303">
        <v>9.7200000000000006</v>
      </c>
    </row>
    <row r="966" spans="1:4">
      <c r="A966" s="302">
        <v>92137</v>
      </c>
      <c r="B966" s="301" t="s">
        <v>2084</v>
      </c>
      <c r="C966" s="301" t="s">
        <v>753</v>
      </c>
      <c r="D966" s="303">
        <v>27</v>
      </c>
    </row>
    <row r="967" spans="1:4">
      <c r="A967" s="302">
        <v>92140</v>
      </c>
      <c r="B967" s="301" t="s">
        <v>2085</v>
      </c>
      <c r="C967" s="301" t="s">
        <v>753</v>
      </c>
      <c r="D967" s="303">
        <v>2.37</v>
      </c>
    </row>
    <row r="968" spans="1:4">
      <c r="A968" s="302">
        <v>92141</v>
      </c>
      <c r="B968" s="301" t="s">
        <v>2086</v>
      </c>
      <c r="C968" s="301" t="s">
        <v>753</v>
      </c>
      <c r="D968" s="303">
        <v>0.37</v>
      </c>
    </row>
    <row r="969" spans="1:4">
      <c r="A969" s="302">
        <v>92142</v>
      </c>
      <c r="B969" s="301" t="s">
        <v>2087</v>
      </c>
      <c r="C969" s="301" t="s">
        <v>753</v>
      </c>
      <c r="D969" s="303">
        <v>0.14000000000000001</v>
      </c>
    </row>
    <row r="970" spans="1:4">
      <c r="A970" s="302">
        <v>92143</v>
      </c>
      <c r="B970" s="301" t="s">
        <v>2088</v>
      </c>
      <c r="C970" s="301" t="s">
        <v>753</v>
      </c>
      <c r="D970" s="303">
        <v>2.96</v>
      </c>
    </row>
    <row r="971" spans="1:4">
      <c r="A971" s="302">
        <v>92144</v>
      </c>
      <c r="B971" s="301" t="s">
        <v>2089</v>
      </c>
      <c r="C971" s="301" t="s">
        <v>753</v>
      </c>
      <c r="D971" s="303">
        <v>31.84</v>
      </c>
    </row>
    <row r="972" spans="1:4">
      <c r="A972" s="302">
        <v>92237</v>
      </c>
      <c r="B972" s="301" t="s">
        <v>2090</v>
      </c>
      <c r="C972" s="301" t="s">
        <v>753</v>
      </c>
      <c r="D972" s="303">
        <v>15.03</v>
      </c>
    </row>
    <row r="973" spans="1:4">
      <c r="A973" s="302">
        <v>92238</v>
      </c>
      <c r="B973" s="301" t="s">
        <v>2091</v>
      </c>
      <c r="C973" s="301" t="s">
        <v>753</v>
      </c>
      <c r="D973" s="303">
        <v>3.15</v>
      </c>
    </row>
    <row r="974" spans="1:4">
      <c r="A974" s="302">
        <v>92239</v>
      </c>
      <c r="B974" s="301" t="s">
        <v>2092</v>
      </c>
      <c r="C974" s="301" t="s">
        <v>753</v>
      </c>
      <c r="D974" s="303">
        <v>1.22</v>
      </c>
    </row>
    <row r="975" spans="1:4">
      <c r="A975" s="302">
        <v>92240</v>
      </c>
      <c r="B975" s="301" t="s">
        <v>2093</v>
      </c>
      <c r="C975" s="301" t="s">
        <v>753</v>
      </c>
      <c r="D975" s="303">
        <v>28.2</v>
      </c>
    </row>
    <row r="976" spans="1:4">
      <c r="A976" s="302">
        <v>92241</v>
      </c>
      <c r="B976" s="301" t="s">
        <v>2094</v>
      </c>
      <c r="C976" s="301" t="s">
        <v>753</v>
      </c>
      <c r="D976" s="303">
        <v>188.29</v>
      </c>
    </row>
    <row r="977" spans="1:4">
      <c r="A977" s="302">
        <v>92712</v>
      </c>
      <c r="B977" s="301" t="s">
        <v>2095</v>
      </c>
      <c r="C977" s="301" t="s">
        <v>753</v>
      </c>
      <c r="D977" s="303">
        <v>0.25</v>
      </c>
    </row>
    <row r="978" spans="1:4">
      <c r="A978" s="302">
        <v>92713</v>
      </c>
      <c r="B978" s="301" t="s">
        <v>2096</v>
      </c>
      <c r="C978" s="301" t="s">
        <v>753</v>
      </c>
      <c r="D978" s="303">
        <v>0.02</v>
      </c>
    </row>
    <row r="979" spans="1:4">
      <c r="A979" s="302">
        <v>92714</v>
      </c>
      <c r="B979" s="301" t="s">
        <v>2097</v>
      </c>
      <c r="C979" s="301" t="s">
        <v>753</v>
      </c>
      <c r="D979" s="303">
        <v>0.31</v>
      </c>
    </row>
    <row r="980" spans="1:4">
      <c r="A980" s="302">
        <v>92715</v>
      </c>
      <c r="B980" s="301" t="s">
        <v>2098</v>
      </c>
      <c r="C980" s="301" t="s">
        <v>753</v>
      </c>
      <c r="D980" s="303">
        <v>26.1</v>
      </c>
    </row>
    <row r="981" spans="1:4">
      <c r="A981" s="302">
        <v>92956</v>
      </c>
      <c r="B981" s="301" t="s">
        <v>2099</v>
      </c>
      <c r="C981" s="301" t="s">
        <v>753</v>
      </c>
      <c r="D981" s="303">
        <v>5.01</v>
      </c>
    </row>
    <row r="982" spans="1:4">
      <c r="A982" s="302">
        <v>92957</v>
      </c>
      <c r="B982" s="301" t="s">
        <v>2100</v>
      </c>
      <c r="C982" s="301" t="s">
        <v>753</v>
      </c>
      <c r="D982" s="303">
        <v>0.59</v>
      </c>
    </row>
    <row r="983" spans="1:4">
      <c r="A983" s="302">
        <v>92958</v>
      </c>
      <c r="B983" s="301" t="s">
        <v>2101</v>
      </c>
      <c r="C983" s="301" t="s">
        <v>753</v>
      </c>
      <c r="D983" s="303">
        <v>5.48</v>
      </c>
    </row>
    <row r="984" spans="1:4">
      <c r="A984" s="302">
        <v>92959</v>
      </c>
      <c r="B984" s="301" t="s">
        <v>2102</v>
      </c>
      <c r="C984" s="301" t="s">
        <v>753</v>
      </c>
      <c r="D984" s="303">
        <v>6.32</v>
      </c>
    </row>
    <row r="985" spans="1:4">
      <c r="A985" s="302">
        <v>92963</v>
      </c>
      <c r="B985" s="301" t="s">
        <v>2103</v>
      </c>
      <c r="C985" s="301" t="s">
        <v>753</v>
      </c>
      <c r="D985" s="303">
        <v>1.26</v>
      </c>
    </row>
    <row r="986" spans="1:4">
      <c r="A986" s="302">
        <v>92964</v>
      </c>
      <c r="B986" s="301" t="s">
        <v>2104</v>
      </c>
      <c r="C986" s="301" t="s">
        <v>753</v>
      </c>
      <c r="D986" s="303">
        <v>0.15</v>
      </c>
    </row>
    <row r="987" spans="1:4">
      <c r="A987" s="302">
        <v>92965</v>
      </c>
      <c r="B987" s="301" t="s">
        <v>2105</v>
      </c>
      <c r="C987" s="301" t="s">
        <v>753</v>
      </c>
      <c r="D987" s="303">
        <v>1.58</v>
      </c>
    </row>
    <row r="988" spans="1:4">
      <c r="A988" s="302">
        <v>93220</v>
      </c>
      <c r="B988" s="301" t="s">
        <v>2106</v>
      </c>
      <c r="C988" s="301" t="s">
        <v>753</v>
      </c>
      <c r="D988" s="303">
        <v>171.8</v>
      </c>
    </row>
    <row r="989" spans="1:4">
      <c r="A989" s="302">
        <v>93221</v>
      </c>
      <c r="B989" s="301" t="s">
        <v>2107</v>
      </c>
      <c r="C989" s="301" t="s">
        <v>753</v>
      </c>
      <c r="D989" s="303">
        <v>23.85</v>
      </c>
    </row>
    <row r="990" spans="1:4">
      <c r="A990" s="302">
        <v>93222</v>
      </c>
      <c r="B990" s="301" t="s">
        <v>2108</v>
      </c>
      <c r="C990" s="301" t="s">
        <v>753</v>
      </c>
      <c r="D990" s="303">
        <v>214.99</v>
      </c>
    </row>
    <row r="991" spans="1:4">
      <c r="A991" s="302">
        <v>93223</v>
      </c>
      <c r="B991" s="301" t="s">
        <v>2109</v>
      </c>
      <c r="C991" s="301" t="s">
        <v>753</v>
      </c>
      <c r="D991" s="303">
        <v>106.56</v>
      </c>
    </row>
    <row r="992" spans="1:4">
      <c r="A992" s="302">
        <v>93229</v>
      </c>
      <c r="B992" s="301" t="s">
        <v>2110</v>
      </c>
      <c r="C992" s="301" t="s">
        <v>753</v>
      </c>
      <c r="D992" s="303">
        <v>0.31</v>
      </c>
    </row>
    <row r="993" spans="1:4">
      <c r="A993" s="302">
        <v>93230</v>
      </c>
      <c r="B993" s="301" t="s">
        <v>2111</v>
      </c>
      <c r="C993" s="301" t="s">
        <v>753</v>
      </c>
      <c r="D993" s="303">
        <v>0.03</v>
      </c>
    </row>
    <row r="994" spans="1:4">
      <c r="A994" s="302">
        <v>93231</v>
      </c>
      <c r="B994" s="301" t="s">
        <v>2112</v>
      </c>
      <c r="C994" s="301" t="s">
        <v>753</v>
      </c>
      <c r="D994" s="303">
        <v>0.28999999999999998</v>
      </c>
    </row>
    <row r="995" spans="1:4">
      <c r="A995" s="302">
        <v>93232</v>
      </c>
      <c r="B995" s="301" t="s">
        <v>2113</v>
      </c>
      <c r="C995" s="301" t="s">
        <v>753</v>
      </c>
      <c r="D995" s="303">
        <v>6.85</v>
      </c>
    </row>
    <row r="996" spans="1:4">
      <c r="A996" s="302">
        <v>93235</v>
      </c>
      <c r="B996" s="301" t="s">
        <v>2114</v>
      </c>
      <c r="C996" s="301" t="s">
        <v>753</v>
      </c>
      <c r="D996" s="303">
        <v>0.75</v>
      </c>
    </row>
    <row r="997" spans="1:4">
      <c r="A997" s="302">
        <v>93238</v>
      </c>
      <c r="B997" s="301" t="s">
        <v>2115</v>
      </c>
      <c r="C997" s="301" t="s">
        <v>753</v>
      </c>
      <c r="D997" s="303">
        <v>0.64</v>
      </c>
    </row>
    <row r="998" spans="1:4">
      <c r="A998" s="302">
        <v>93239</v>
      </c>
      <c r="B998" s="301" t="s">
        <v>2116</v>
      </c>
      <c r="C998" s="301" t="s">
        <v>753</v>
      </c>
      <c r="D998" s="303">
        <v>2.91</v>
      </c>
    </row>
    <row r="999" spans="1:4">
      <c r="A999" s="302">
        <v>93240</v>
      </c>
      <c r="B999" s="301" t="s">
        <v>2117</v>
      </c>
      <c r="C999" s="301" t="s">
        <v>753</v>
      </c>
      <c r="D999" s="303">
        <v>8.16</v>
      </c>
    </row>
    <row r="1000" spans="1:4">
      <c r="A1000" s="302">
        <v>93267</v>
      </c>
      <c r="B1000" s="301" t="s">
        <v>2118</v>
      </c>
      <c r="C1000" s="301" t="s">
        <v>753</v>
      </c>
      <c r="D1000" s="303">
        <v>24.17</v>
      </c>
    </row>
    <row r="1001" spans="1:4">
      <c r="A1001" s="302">
        <v>93269</v>
      </c>
      <c r="B1001" s="301" t="s">
        <v>2119</v>
      </c>
      <c r="C1001" s="301" t="s">
        <v>753</v>
      </c>
      <c r="D1001" s="303">
        <v>2.87</v>
      </c>
    </row>
    <row r="1002" spans="1:4">
      <c r="A1002" s="302">
        <v>93270</v>
      </c>
      <c r="B1002" s="301" t="s">
        <v>2120</v>
      </c>
      <c r="C1002" s="301" t="s">
        <v>753</v>
      </c>
      <c r="D1002" s="303">
        <v>26.44</v>
      </c>
    </row>
    <row r="1003" spans="1:4">
      <c r="A1003" s="302">
        <v>93271</v>
      </c>
      <c r="B1003" s="301" t="s">
        <v>2121</v>
      </c>
      <c r="C1003" s="301" t="s">
        <v>753</v>
      </c>
      <c r="D1003" s="303">
        <v>5.51</v>
      </c>
    </row>
    <row r="1004" spans="1:4">
      <c r="A1004" s="302">
        <v>93277</v>
      </c>
      <c r="B1004" s="301" t="s">
        <v>2122</v>
      </c>
      <c r="C1004" s="301" t="s">
        <v>753</v>
      </c>
      <c r="D1004" s="303">
        <v>0.27</v>
      </c>
    </row>
    <row r="1005" spans="1:4">
      <c r="A1005" s="302">
        <v>93278</v>
      </c>
      <c r="B1005" s="301" t="s">
        <v>2123</v>
      </c>
      <c r="C1005" s="301" t="s">
        <v>753</v>
      </c>
      <c r="D1005" s="303">
        <v>0.03</v>
      </c>
    </row>
    <row r="1006" spans="1:4">
      <c r="A1006" s="302">
        <v>93279</v>
      </c>
      <c r="B1006" s="301" t="s">
        <v>2124</v>
      </c>
      <c r="C1006" s="301" t="s">
        <v>753</v>
      </c>
      <c r="D1006" s="303">
        <v>0.26</v>
      </c>
    </row>
    <row r="1007" spans="1:4">
      <c r="A1007" s="302">
        <v>93280</v>
      </c>
      <c r="B1007" s="301" t="s">
        <v>2125</v>
      </c>
      <c r="C1007" s="301" t="s">
        <v>753</v>
      </c>
      <c r="D1007" s="303">
        <v>0.46</v>
      </c>
    </row>
    <row r="1008" spans="1:4">
      <c r="A1008" s="302">
        <v>93283</v>
      </c>
      <c r="B1008" s="301" t="s">
        <v>2126</v>
      </c>
      <c r="C1008" s="301" t="s">
        <v>753</v>
      </c>
      <c r="D1008" s="303">
        <v>50.81</v>
      </c>
    </row>
    <row r="1009" spans="1:4">
      <c r="A1009" s="302">
        <v>93284</v>
      </c>
      <c r="B1009" s="301" t="s">
        <v>2127</v>
      </c>
      <c r="C1009" s="301" t="s">
        <v>753</v>
      </c>
      <c r="D1009" s="303">
        <v>9.65</v>
      </c>
    </row>
    <row r="1010" spans="1:4">
      <c r="A1010" s="302">
        <v>93285</v>
      </c>
      <c r="B1010" s="301" t="s">
        <v>2128</v>
      </c>
      <c r="C1010" s="301" t="s">
        <v>753</v>
      </c>
      <c r="D1010" s="303">
        <v>81.69</v>
      </c>
    </row>
    <row r="1011" spans="1:4">
      <c r="A1011" s="302">
        <v>93286</v>
      </c>
      <c r="B1011" s="301" t="s">
        <v>2129</v>
      </c>
      <c r="C1011" s="301" t="s">
        <v>753</v>
      </c>
      <c r="D1011" s="303">
        <v>130.38999999999999</v>
      </c>
    </row>
    <row r="1012" spans="1:4">
      <c r="A1012" s="302">
        <v>93296</v>
      </c>
      <c r="B1012" s="301" t="s">
        <v>2130</v>
      </c>
      <c r="C1012" s="301" t="s">
        <v>753</v>
      </c>
      <c r="D1012" s="303">
        <v>3.55</v>
      </c>
    </row>
    <row r="1013" spans="1:4">
      <c r="A1013" s="302">
        <v>93397</v>
      </c>
      <c r="B1013" s="301" t="s">
        <v>2131</v>
      </c>
      <c r="C1013" s="301" t="s">
        <v>753</v>
      </c>
      <c r="D1013" s="303">
        <v>8.93</v>
      </c>
    </row>
    <row r="1014" spans="1:4">
      <c r="A1014" s="302">
        <v>93398</v>
      </c>
      <c r="B1014" s="301" t="s">
        <v>2132</v>
      </c>
      <c r="C1014" s="301" t="s">
        <v>753</v>
      </c>
      <c r="D1014" s="303">
        <v>1.87</v>
      </c>
    </row>
    <row r="1015" spans="1:4">
      <c r="A1015" s="302">
        <v>93399</v>
      </c>
      <c r="B1015" s="301" t="s">
        <v>2133</v>
      </c>
      <c r="C1015" s="301" t="s">
        <v>753</v>
      </c>
      <c r="D1015" s="303">
        <v>0.72</v>
      </c>
    </row>
    <row r="1016" spans="1:4">
      <c r="A1016" s="302">
        <v>93400</v>
      </c>
      <c r="B1016" s="301" t="s">
        <v>2134</v>
      </c>
      <c r="C1016" s="301" t="s">
        <v>753</v>
      </c>
      <c r="D1016" s="303">
        <v>16.75</v>
      </c>
    </row>
    <row r="1017" spans="1:4">
      <c r="A1017" s="302">
        <v>93401</v>
      </c>
      <c r="B1017" s="301" t="s">
        <v>2135</v>
      </c>
      <c r="C1017" s="301" t="s">
        <v>753</v>
      </c>
      <c r="D1017" s="303">
        <v>107.83</v>
      </c>
    </row>
    <row r="1018" spans="1:4">
      <c r="A1018" s="302">
        <v>93404</v>
      </c>
      <c r="B1018" s="301" t="s">
        <v>11726</v>
      </c>
      <c r="C1018" s="301" t="s">
        <v>753</v>
      </c>
      <c r="D1018" s="303">
        <v>4.3899999999999997</v>
      </c>
    </row>
    <row r="1019" spans="1:4">
      <c r="A1019" s="302">
        <v>93405</v>
      </c>
      <c r="B1019" s="301" t="s">
        <v>11727</v>
      </c>
      <c r="C1019" s="301" t="s">
        <v>753</v>
      </c>
      <c r="D1019" s="303">
        <v>0.44</v>
      </c>
    </row>
    <row r="1020" spans="1:4">
      <c r="A1020" s="302">
        <v>93406</v>
      </c>
      <c r="B1020" s="301" t="s">
        <v>11728</v>
      </c>
      <c r="C1020" s="301" t="s">
        <v>753</v>
      </c>
      <c r="D1020" s="303">
        <v>5.49</v>
      </c>
    </row>
    <row r="1021" spans="1:4">
      <c r="A1021" s="302">
        <v>93407</v>
      </c>
      <c r="B1021" s="301" t="s">
        <v>11729</v>
      </c>
      <c r="C1021" s="301" t="s">
        <v>753</v>
      </c>
      <c r="D1021" s="303">
        <v>32.15</v>
      </c>
    </row>
    <row r="1022" spans="1:4">
      <c r="A1022" s="302">
        <v>93411</v>
      </c>
      <c r="B1022" s="301" t="s">
        <v>2136</v>
      </c>
      <c r="C1022" s="301" t="s">
        <v>753</v>
      </c>
      <c r="D1022" s="303">
        <v>0.2</v>
      </c>
    </row>
    <row r="1023" spans="1:4">
      <c r="A1023" s="302">
        <v>93412</v>
      </c>
      <c r="B1023" s="301" t="s">
        <v>2137</v>
      </c>
      <c r="C1023" s="301" t="s">
        <v>753</v>
      </c>
      <c r="D1023" s="303">
        <v>0.03</v>
      </c>
    </row>
    <row r="1024" spans="1:4">
      <c r="A1024" s="302">
        <v>93413</v>
      </c>
      <c r="B1024" s="301" t="s">
        <v>2138</v>
      </c>
      <c r="C1024" s="301" t="s">
        <v>753</v>
      </c>
      <c r="D1024" s="303">
        <v>0.17</v>
      </c>
    </row>
    <row r="1025" spans="1:4">
      <c r="A1025" s="302">
        <v>93414</v>
      </c>
      <c r="B1025" s="301" t="s">
        <v>2139</v>
      </c>
      <c r="C1025" s="301" t="s">
        <v>753</v>
      </c>
      <c r="D1025" s="303">
        <v>11.81</v>
      </c>
    </row>
    <row r="1026" spans="1:4">
      <c r="A1026" s="302">
        <v>93417</v>
      </c>
      <c r="B1026" s="301" t="s">
        <v>2140</v>
      </c>
      <c r="C1026" s="301" t="s">
        <v>753</v>
      </c>
      <c r="D1026" s="303">
        <v>2.62</v>
      </c>
    </row>
    <row r="1027" spans="1:4">
      <c r="A1027" s="302">
        <v>93418</v>
      </c>
      <c r="B1027" s="301" t="s">
        <v>2141</v>
      </c>
      <c r="C1027" s="301" t="s">
        <v>753</v>
      </c>
      <c r="D1027" s="303">
        <v>0.47</v>
      </c>
    </row>
    <row r="1028" spans="1:4">
      <c r="A1028" s="302">
        <v>93419</v>
      </c>
      <c r="B1028" s="301" t="s">
        <v>2142</v>
      </c>
      <c r="C1028" s="301" t="s">
        <v>753</v>
      </c>
      <c r="D1028" s="303">
        <v>2.34</v>
      </c>
    </row>
    <row r="1029" spans="1:4">
      <c r="A1029" s="302">
        <v>93420</v>
      </c>
      <c r="B1029" s="301" t="s">
        <v>2143</v>
      </c>
      <c r="C1029" s="301" t="s">
        <v>753</v>
      </c>
      <c r="D1029" s="303">
        <v>45.73</v>
      </c>
    </row>
    <row r="1030" spans="1:4">
      <c r="A1030" s="302">
        <v>93423</v>
      </c>
      <c r="B1030" s="301" t="s">
        <v>2144</v>
      </c>
      <c r="C1030" s="301" t="s">
        <v>753</v>
      </c>
      <c r="D1030" s="303">
        <v>3.72</v>
      </c>
    </row>
    <row r="1031" spans="1:4">
      <c r="A1031" s="302">
        <v>93424</v>
      </c>
      <c r="B1031" s="301" t="s">
        <v>2145</v>
      </c>
      <c r="C1031" s="301" t="s">
        <v>753</v>
      </c>
      <c r="D1031" s="303">
        <v>0.66</v>
      </c>
    </row>
    <row r="1032" spans="1:4">
      <c r="A1032" s="302">
        <v>93425</v>
      </c>
      <c r="B1032" s="301" t="s">
        <v>2146</v>
      </c>
      <c r="C1032" s="301" t="s">
        <v>753</v>
      </c>
      <c r="D1032" s="303">
        <v>3.32</v>
      </c>
    </row>
    <row r="1033" spans="1:4">
      <c r="A1033" s="302">
        <v>93426</v>
      </c>
      <c r="B1033" s="301" t="s">
        <v>2147</v>
      </c>
      <c r="C1033" s="301" t="s">
        <v>753</v>
      </c>
      <c r="D1033" s="303">
        <v>109.3</v>
      </c>
    </row>
    <row r="1034" spans="1:4">
      <c r="A1034" s="302">
        <v>93429</v>
      </c>
      <c r="B1034" s="301" t="s">
        <v>2148</v>
      </c>
      <c r="C1034" s="301" t="s">
        <v>753</v>
      </c>
      <c r="D1034" s="303">
        <v>63</v>
      </c>
    </row>
    <row r="1035" spans="1:4">
      <c r="A1035" s="302">
        <v>93430</v>
      </c>
      <c r="B1035" s="301" t="s">
        <v>2149</v>
      </c>
      <c r="C1035" s="301" t="s">
        <v>753</v>
      </c>
      <c r="D1035" s="303">
        <v>11.34</v>
      </c>
    </row>
    <row r="1036" spans="1:4">
      <c r="A1036" s="302">
        <v>93431</v>
      </c>
      <c r="B1036" s="301" t="s">
        <v>2150</v>
      </c>
      <c r="C1036" s="301" t="s">
        <v>753</v>
      </c>
      <c r="D1036" s="303">
        <v>101.27</v>
      </c>
    </row>
    <row r="1037" spans="1:4">
      <c r="A1037" s="302">
        <v>93432</v>
      </c>
      <c r="B1037" s="301" t="s">
        <v>2151</v>
      </c>
      <c r="C1037" s="301" t="s">
        <v>753</v>
      </c>
      <c r="D1037" s="304">
        <v>1958.4</v>
      </c>
    </row>
    <row r="1038" spans="1:4">
      <c r="A1038" s="302">
        <v>93435</v>
      </c>
      <c r="B1038" s="301" t="s">
        <v>2152</v>
      </c>
      <c r="C1038" s="301" t="s">
        <v>753</v>
      </c>
      <c r="D1038" s="303">
        <v>3.41</v>
      </c>
    </row>
    <row r="1039" spans="1:4">
      <c r="A1039" s="302">
        <v>93436</v>
      </c>
      <c r="B1039" s="301" t="s">
        <v>2153</v>
      </c>
      <c r="C1039" s="301" t="s">
        <v>753</v>
      </c>
      <c r="D1039" s="303">
        <v>0.71</v>
      </c>
    </row>
    <row r="1040" spans="1:4">
      <c r="A1040" s="302">
        <v>93437</v>
      </c>
      <c r="B1040" s="301" t="s">
        <v>2154</v>
      </c>
      <c r="C1040" s="301" t="s">
        <v>753</v>
      </c>
      <c r="D1040" s="303">
        <v>6.39</v>
      </c>
    </row>
    <row r="1041" spans="1:4">
      <c r="A1041" s="302">
        <v>93438</v>
      </c>
      <c r="B1041" s="301" t="s">
        <v>2155</v>
      </c>
      <c r="C1041" s="301" t="s">
        <v>753</v>
      </c>
      <c r="D1041" s="303">
        <v>20.239999999999998</v>
      </c>
    </row>
    <row r="1042" spans="1:4">
      <c r="A1042" s="302">
        <v>95114</v>
      </c>
      <c r="B1042" s="301" t="s">
        <v>2156</v>
      </c>
      <c r="C1042" s="301" t="s">
        <v>753</v>
      </c>
      <c r="D1042" s="303">
        <v>1.23</v>
      </c>
    </row>
    <row r="1043" spans="1:4">
      <c r="A1043" s="302">
        <v>95115</v>
      </c>
      <c r="B1043" s="301" t="s">
        <v>2157</v>
      </c>
      <c r="C1043" s="301" t="s">
        <v>753</v>
      </c>
      <c r="D1043" s="303">
        <v>0.14000000000000001</v>
      </c>
    </row>
    <row r="1044" spans="1:4">
      <c r="A1044" s="302">
        <v>95116</v>
      </c>
      <c r="B1044" s="301" t="s">
        <v>2158</v>
      </c>
      <c r="C1044" s="301" t="s">
        <v>753</v>
      </c>
      <c r="D1044" s="303">
        <v>31.99</v>
      </c>
    </row>
    <row r="1045" spans="1:4">
      <c r="A1045" s="302">
        <v>95117</v>
      </c>
      <c r="B1045" s="301" t="s">
        <v>2159</v>
      </c>
      <c r="C1045" s="301" t="s">
        <v>753</v>
      </c>
      <c r="D1045" s="303">
        <v>5.04</v>
      </c>
    </row>
    <row r="1046" spans="1:4">
      <c r="A1046" s="302">
        <v>95118</v>
      </c>
      <c r="B1046" s="301" t="s">
        <v>2160</v>
      </c>
      <c r="C1046" s="301" t="s">
        <v>753</v>
      </c>
      <c r="D1046" s="303">
        <v>32.49</v>
      </c>
    </row>
    <row r="1047" spans="1:4">
      <c r="A1047" s="302">
        <v>95119</v>
      </c>
      <c r="B1047" s="301" t="s">
        <v>2161</v>
      </c>
      <c r="C1047" s="301" t="s">
        <v>753</v>
      </c>
      <c r="D1047" s="303">
        <v>5.84</v>
      </c>
    </row>
    <row r="1048" spans="1:4">
      <c r="A1048" s="302">
        <v>95120</v>
      </c>
      <c r="B1048" s="301" t="s">
        <v>2162</v>
      </c>
      <c r="C1048" s="301" t="s">
        <v>753</v>
      </c>
      <c r="D1048" s="303">
        <v>37.61</v>
      </c>
    </row>
    <row r="1049" spans="1:4">
      <c r="A1049" s="302">
        <v>95123</v>
      </c>
      <c r="B1049" s="301" t="s">
        <v>2163</v>
      </c>
      <c r="C1049" s="301" t="s">
        <v>753</v>
      </c>
      <c r="D1049" s="303">
        <v>11.4</v>
      </c>
    </row>
    <row r="1050" spans="1:4">
      <c r="A1050" s="302">
        <v>95124</v>
      </c>
      <c r="B1050" s="301" t="s">
        <v>2164</v>
      </c>
      <c r="C1050" s="301" t="s">
        <v>753</v>
      </c>
      <c r="D1050" s="303">
        <v>1.79</v>
      </c>
    </row>
    <row r="1051" spans="1:4">
      <c r="A1051" s="302">
        <v>95125</v>
      </c>
      <c r="B1051" s="301" t="s">
        <v>2165</v>
      </c>
      <c r="C1051" s="301" t="s">
        <v>753</v>
      </c>
      <c r="D1051" s="303">
        <v>12.47</v>
      </c>
    </row>
    <row r="1052" spans="1:4">
      <c r="A1052" s="302">
        <v>95126</v>
      </c>
      <c r="B1052" s="301" t="s">
        <v>2166</v>
      </c>
      <c r="C1052" s="301" t="s">
        <v>753</v>
      </c>
      <c r="D1052" s="303">
        <v>100.4</v>
      </c>
    </row>
    <row r="1053" spans="1:4">
      <c r="A1053" s="302">
        <v>95129</v>
      </c>
      <c r="B1053" s="301" t="s">
        <v>2167</v>
      </c>
      <c r="C1053" s="301" t="s">
        <v>753</v>
      </c>
      <c r="D1053" s="303">
        <v>20.23</v>
      </c>
    </row>
    <row r="1054" spans="1:4">
      <c r="A1054" s="302">
        <v>95130</v>
      </c>
      <c r="B1054" s="301" t="s">
        <v>2168</v>
      </c>
      <c r="C1054" s="301" t="s">
        <v>753</v>
      </c>
      <c r="D1054" s="303">
        <v>3.64</v>
      </c>
    </row>
    <row r="1055" spans="1:4">
      <c r="A1055" s="302">
        <v>95131</v>
      </c>
      <c r="B1055" s="301" t="s">
        <v>2169</v>
      </c>
      <c r="C1055" s="301" t="s">
        <v>753</v>
      </c>
      <c r="D1055" s="303">
        <v>37.94</v>
      </c>
    </row>
    <row r="1056" spans="1:4">
      <c r="A1056" s="302">
        <v>95132</v>
      </c>
      <c r="B1056" s="301" t="s">
        <v>2170</v>
      </c>
      <c r="C1056" s="301" t="s">
        <v>753</v>
      </c>
      <c r="D1056" s="303">
        <v>21.99</v>
      </c>
    </row>
    <row r="1057" spans="1:4">
      <c r="A1057" s="302">
        <v>95136</v>
      </c>
      <c r="B1057" s="301" t="s">
        <v>2171</v>
      </c>
      <c r="C1057" s="301" t="s">
        <v>753</v>
      </c>
      <c r="D1057" s="303">
        <v>0.03</v>
      </c>
    </row>
    <row r="1058" spans="1:4">
      <c r="A1058" s="302">
        <v>95137</v>
      </c>
      <c r="B1058" s="301" t="s">
        <v>2172</v>
      </c>
      <c r="C1058" s="301" t="s">
        <v>753</v>
      </c>
      <c r="D1058" s="303">
        <v>0.01</v>
      </c>
    </row>
    <row r="1059" spans="1:4">
      <c r="A1059" s="302">
        <v>95138</v>
      </c>
      <c r="B1059" s="301" t="s">
        <v>2173</v>
      </c>
      <c r="C1059" s="301" t="s">
        <v>753</v>
      </c>
      <c r="D1059" s="303">
        <v>0.02</v>
      </c>
    </row>
    <row r="1060" spans="1:4">
      <c r="A1060" s="302">
        <v>95208</v>
      </c>
      <c r="B1060" s="301" t="s">
        <v>2174</v>
      </c>
      <c r="C1060" s="301" t="s">
        <v>753</v>
      </c>
      <c r="D1060" s="303">
        <v>27.39</v>
      </c>
    </row>
    <row r="1061" spans="1:4">
      <c r="A1061" s="302">
        <v>95209</v>
      </c>
      <c r="B1061" s="301" t="s">
        <v>2175</v>
      </c>
      <c r="C1061" s="301" t="s">
        <v>753</v>
      </c>
      <c r="D1061" s="303">
        <v>3.25</v>
      </c>
    </row>
    <row r="1062" spans="1:4">
      <c r="A1062" s="302">
        <v>95210</v>
      </c>
      <c r="B1062" s="301" t="s">
        <v>2176</v>
      </c>
      <c r="C1062" s="301" t="s">
        <v>753</v>
      </c>
      <c r="D1062" s="303">
        <v>29.96</v>
      </c>
    </row>
    <row r="1063" spans="1:4">
      <c r="A1063" s="302">
        <v>95211</v>
      </c>
      <c r="B1063" s="301" t="s">
        <v>2177</v>
      </c>
      <c r="C1063" s="301" t="s">
        <v>753</v>
      </c>
      <c r="D1063" s="303">
        <v>5.51</v>
      </c>
    </row>
    <row r="1064" spans="1:4">
      <c r="A1064" s="302">
        <v>95214</v>
      </c>
      <c r="B1064" s="301" t="s">
        <v>2178</v>
      </c>
      <c r="C1064" s="301" t="s">
        <v>753</v>
      </c>
      <c r="D1064" s="303">
        <v>0.51</v>
      </c>
    </row>
    <row r="1065" spans="1:4">
      <c r="A1065" s="302">
        <v>95215</v>
      </c>
      <c r="B1065" s="301" t="s">
        <v>2179</v>
      </c>
      <c r="C1065" s="301" t="s">
        <v>753</v>
      </c>
      <c r="D1065" s="303">
        <v>0.05</v>
      </c>
    </row>
    <row r="1066" spans="1:4">
      <c r="A1066" s="302">
        <v>95216</v>
      </c>
      <c r="B1066" s="301" t="s">
        <v>2180</v>
      </c>
      <c r="C1066" s="301" t="s">
        <v>753</v>
      </c>
      <c r="D1066" s="303">
        <v>0.35</v>
      </c>
    </row>
    <row r="1067" spans="1:4">
      <c r="A1067" s="302">
        <v>95217</v>
      </c>
      <c r="B1067" s="301" t="s">
        <v>2181</v>
      </c>
      <c r="C1067" s="301" t="s">
        <v>753</v>
      </c>
      <c r="D1067" s="303">
        <v>0.37</v>
      </c>
    </row>
    <row r="1068" spans="1:4">
      <c r="A1068" s="302">
        <v>95255</v>
      </c>
      <c r="B1068" s="301" t="s">
        <v>2182</v>
      </c>
      <c r="C1068" s="301" t="s">
        <v>753</v>
      </c>
      <c r="D1068" s="303">
        <v>1.0900000000000001</v>
      </c>
    </row>
    <row r="1069" spans="1:4">
      <c r="A1069" s="302">
        <v>95256</v>
      </c>
      <c r="B1069" s="301" t="s">
        <v>2183</v>
      </c>
      <c r="C1069" s="301" t="s">
        <v>753</v>
      </c>
      <c r="D1069" s="303">
        <v>0.12</v>
      </c>
    </row>
    <row r="1070" spans="1:4">
      <c r="A1070" s="302">
        <v>95257</v>
      </c>
      <c r="B1070" s="301" t="s">
        <v>2184</v>
      </c>
      <c r="C1070" s="301" t="s">
        <v>753</v>
      </c>
      <c r="D1070" s="303">
        <v>1.36</v>
      </c>
    </row>
    <row r="1071" spans="1:4">
      <c r="A1071" s="302">
        <v>95260</v>
      </c>
      <c r="B1071" s="301" t="s">
        <v>2185</v>
      </c>
      <c r="C1071" s="301" t="s">
        <v>753</v>
      </c>
      <c r="D1071" s="303">
        <v>0.51</v>
      </c>
    </row>
    <row r="1072" spans="1:4">
      <c r="A1072" s="302">
        <v>95261</v>
      </c>
      <c r="B1072" s="301" t="s">
        <v>2186</v>
      </c>
      <c r="C1072" s="301" t="s">
        <v>753</v>
      </c>
      <c r="D1072" s="303">
        <v>0.12</v>
      </c>
    </row>
    <row r="1073" spans="1:4">
      <c r="A1073" s="302">
        <v>95262</v>
      </c>
      <c r="B1073" s="301" t="s">
        <v>2187</v>
      </c>
      <c r="C1073" s="301" t="s">
        <v>753</v>
      </c>
      <c r="D1073" s="303">
        <v>1.1299999999999999</v>
      </c>
    </row>
    <row r="1074" spans="1:4">
      <c r="A1074" s="302">
        <v>95263</v>
      </c>
      <c r="B1074" s="301" t="s">
        <v>2188</v>
      </c>
      <c r="C1074" s="301" t="s">
        <v>753</v>
      </c>
      <c r="D1074" s="303">
        <v>3.66</v>
      </c>
    </row>
    <row r="1075" spans="1:4">
      <c r="A1075" s="302">
        <v>95266</v>
      </c>
      <c r="B1075" s="301" t="s">
        <v>2189</v>
      </c>
      <c r="C1075" s="301" t="s">
        <v>753</v>
      </c>
      <c r="D1075" s="303">
        <v>0.36</v>
      </c>
    </row>
    <row r="1076" spans="1:4">
      <c r="A1076" s="302">
        <v>95267</v>
      </c>
      <c r="B1076" s="301" t="s">
        <v>2190</v>
      </c>
      <c r="C1076" s="301" t="s">
        <v>753</v>
      </c>
      <c r="D1076" s="303">
        <v>0.03</v>
      </c>
    </row>
    <row r="1077" spans="1:4">
      <c r="A1077" s="302">
        <v>95268</v>
      </c>
      <c r="B1077" s="301" t="s">
        <v>2191</v>
      </c>
      <c r="C1077" s="301" t="s">
        <v>753</v>
      </c>
      <c r="D1077" s="303">
        <v>0.35</v>
      </c>
    </row>
    <row r="1078" spans="1:4">
      <c r="A1078" s="302">
        <v>95269</v>
      </c>
      <c r="B1078" s="301" t="s">
        <v>2192</v>
      </c>
      <c r="C1078" s="301" t="s">
        <v>753</v>
      </c>
      <c r="D1078" s="303">
        <v>6.85</v>
      </c>
    </row>
    <row r="1079" spans="1:4">
      <c r="A1079" s="302">
        <v>95272</v>
      </c>
      <c r="B1079" s="301" t="s">
        <v>2193</v>
      </c>
      <c r="C1079" s="301" t="s">
        <v>753</v>
      </c>
      <c r="D1079" s="303">
        <v>0.35</v>
      </c>
    </row>
    <row r="1080" spans="1:4">
      <c r="A1080" s="302">
        <v>95273</v>
      </c>
      <c r="B1080" s="301" t="s">
        <v>2194</v>
      </c>
      <c r="C1080" s="301" t="s">
        <v>753</v>
      </c>
      <c r="D1080" s="303">
        <v>0.04</v>
      </c>
    </row>
    <row r="1081" spans="1:4">
      <c r="A1081" s="302">
        <v>95274</v>
      </c>
      <c r="B1081" s="301" t="s">
        <v>2195</v>
      </c>
      <c r="C1081" s="301" t="s">
        <v>753</v>
      </c>
      <c r="D1081" s="303">
        <v>0.28000000000000003</v>
      </c>
    </row>
    <row r="1082" spans="1:4">
      <c r="A1082" s="302">
        <v>95275</v>
      </c>
      <c r="B1082" s="301" t="s">
        <v>2196</v>
      </c>
      <c r="C1082" s="301" t="s">
        <v>753</v>
      </c>
      <c r="D1082" s="303">
        <v>1.49</v>
      </c>
    </row>
    <row r="1083" spans="1:4">
      <c r="A1083" s="302">
        <v>95278</v>
      </c>
      <c r="B1083" s="301" t="s">
        <v>2197</v>
      </c>
      <c r="C1083" s="301" t="s">
        <v>753</v>
      </c>
      <c r="D1083" s="303">
        <v>0.39</v>
      </c>
    </row>
    <row r="1084" spans="1:4">
      <c r="A1084" s="302">
        <v>95279</v>
      </c>
      <c r="B1084" s="301" t="s">
        <v>2198</v>
      </c>
      <c r="C1084" s="301" t="s">
        <v>753</v>
      </c>
      <c r="D1084" s="303">
        <v>0.04</v>
      </c>
    </row>
    <row r="1085" spans="1:4">
      <c r="A1085" s="302">
        <v>95280</v>
      </c>
      <c r="B1085" s="301" t="s">
        <v>2199</v>
      </c>
      <c r="C1085" s="301" t="s">
        <v>753</v>
      </c>
      <c r="D1085" s="303">
        <v>0.3</v>
      </c>
    </row>
    <row r="1086" spans="1:4">
      <c r="A1086" s="302">
        <v>95281</v>
      </c>
      <c r="B1086" s="301" t="s">
        <v>2200</v>
      </c>
      <c r="C1086" s="301" t="s">
        <v>753</v>
      </c>
      <c r="D1086" s="303">
        <v>6.85</v>
      </c>
    </row>
    <row r="1087" spans="1:4">
      <c r="A1087" s="302">
        <v>95617</v>
      </c>
      <c r="B1087" s="301" t="s">
        <v>2201</v>
      </c>
      <c r="C1087" s="301" t="s">
        <v>753</v>
      </c>
      <c r="D1087" s="303">
        <v>0.89</v>
      </c>
    </row>
    <row r="1088" spans="1:4">
      <c r="A1088" s="302">
        <v>95618</v>
      </c>
      <c r="B1088" s="301" t="s">
        <v>2202</v>
      </c>
      <c r="C1088" s="301" t="s">
        <v>753</v>
      </c>
      <c r="D1088" s="303">
        <v>0.1</v>
      </c>
    </row>
    <row r="1089" spans="1:4">
      <c r="A1089" s="302">
        <v>95619</v>
      </c>
      <c r="B1089" s="301" t="s">
        <v>2203</v>
      </c>
      <c r="C1089" s="301" t="s">
        <v>753</v>
      </c>
      <c r="D1089" s="303">
        <v>1.1200000000000001</v>
      </c>
    </row>
    <row r="1090" spans="1:4">
      <c r="A1090" s="302">
        <v>95627</v>
      </c>
      <c r="B1090" s="301" t="s">
        <v>2204</v>
      </c>
      <c r="C1090" s="301" t="s">
        <v>753</v>
      </c>
      <c r="D1090" s="303">
        <v>23.01</v>
      </c>
    </row>
    <row r="1091" spans="1:4">
      <c r="A1091" s="302">
        <v>95628</v>
      </c>
      <c r="B1091" s="301" t="s">
        <v>2205</v>
      </c>
      <c r="C1091" s="301" t="s">
        <v>753</v>
      </c>
      <c r="D1091" s="303">
        <v>3.19</v>
      </c>
    </row>
    <row r="1092" spans="1:4">
      <c r="A1092" s="302">
        <v>95629</v>
      </c>
      <c r="B1092" s="301" t="s">
        <v>2206</v>
      </c>
      <c r="C1092" s="301" t="s">
        <v>753</v>
      </c>
      <c r="D1092" s="303">
        <v>28.79</v>
      </c>
    </row>
    <row r="1093" spans="1:4">
      <c r="A1093" s="302">
        <v>95630</v>
      </c>
      <c r="B1093" s="301" t="s">
        <v>2207</v>
      </c>
      <c r="C1093" s="301" t="s">
        <v>753</v>
      </c>
      <c r="D1093" s="303">
        <v>60.87</v>
      </c>
    </row>
    <row r="1094" spans="1:4">
      <c r="A1094" s="302">
        <v>95698</v>
      </c>
      <c r="B1094" s="301" t="s">
        <v>2208</v>
      </c>
      <c r="C1094" s="301" t="s">
        <v>753</v>
      </c>
      <c r="D1094" s="303">
        <v>3.63</v>
      </c>
    </row>
    <row r="1095" spans="1:4">
      <c r="A1095" s="302">
        <v>95699</v>
      </c>
      <c r="B1095" s="301" t="s">
        <v>2209</v>
      </c>
      <c r="C1095" s="301" t="s">
        <v>753</v>
      </c>
      <c r="D1095" s="303">
        <v>0.43</v>
      </c>
    </row>
    <row r="1096" spans="1:4">
      <c r="A1096" s="302">
        <v>95700</v>
      </c>
      <c r="B1096" s="301" t="s">
        <v>2210</v>
      </c>
      <c r="C1096" s="301" t="s">
        <v>753</v>
      </c>
      <c r="D1096" s="303">
        <v>4.54</v>
      </c>
    </row>
    <row r="1097" spans="1:4">
      <c r="A1097" s="302">
        <v>95701</v>
      </c>
      <c r="B1097" s="301" t="s">
        <v>2211</v>
      </c>
      <c r="C1097" s="301" t="s">
        <v>753</v>
      </c>
      <c r="D1097" s="303">
        <v>1.84</v>
      </c>
    </row>
    <row r="1098" spans="1:4">
      <c r="A1098" s="302">
        <v>95704</v>
      </c>
      <c r="B1098" s="301" t="s">
        <v>2212</v>
      </c>
      <c r="C1098" s="301" t="s">
        <v>753</v>
      </c>
      <c r="D1098" s="303">
        <v>23.07</v>
      </c>
    </row>
    <row r="1099" spans="1:4">
      <c r="A1099" s="302">
        <v>95705</v>
      </c>
      <c r="B1099" s="301" t="s">
        <v>2213</v>
      </c>
      <c r="C1099" s="301" t="s">
        <v>753</v>
      </c>
      <c r="D1099" s="303">
        <v>3.29</v>
      </c>
    </row>
    <row r="1100" spans="1:4">
      <c r="A1100" s="302">
        <v>95706</v>
      </c>
      <c r="B1100" s="301" t="s">
        <v>2214</v>
      </c>
      <c r="C1100" s="301" t="s">
        <v>753</v>
      </c>
      <c r="D1100" s="303">
        <v>28.87</v>
      </c>
    </row>
    <row r="1101" spans="1:4">
      <c r="A1101" s="302">
        <v>95707</v>
      </c>
      <c r="B1101" s="301" t="s">
        <v>2215</v>
      </c>
      <c r="C1101" s="301" t="s">
        <v>753</v>
      </c>
      <c r="D1101" s="303">
        <v>20.57</v>
      </c>
    </row>
    <row r="1102" spans="1:4">
      <c r="A1102" s="302">
        <v>95710</v>
      </c>
      <c r="B1102" s="301" t="s">
        <v>2216</v>
      </c>
      <c r="C1102" s="301" t="s">
        <v>753</v>
      </c>
      <c r="D1102" s="303">
        <v>27.73</v>
      </c>
    </row>
    <row r="1103" spans="1:4">
      <c r="A1103" s="302">
        <v>95711</v>
      </c>
      <c r="B1103" s="301" t="s">
        <v>2217</v>
      </c>
      <c r="C1103" s="301" t="s">
        <v>753</v>
      </c>
      <c r="D1103" s="303">
        <v>3.76</v>
      </c>
    </row>
    <row r="1104" spans="1:4">
      <c r="A1104" s="302">
        <v>95712</v>
      </c>
      <c r="B1104" s="301" t="s">
        <v>2218</v>
      </c>
      <c r="C1104" s="301" t="s">
        <v>753</v>
      </c>
      <c r="D1104" s="303">
        <v>34.659999999999997</v>
      </c>
    </row>
    <row r="1105" spans="1:4">
      <c r="A1105" s="302">
        <v>95713</v>
      </c>
      <c r="B1105" s="301" t="s">
        <v>2219</v>
      </c>
      <c r="C1105" s="301" t="s">
        <v>753</v>
      </c>
      <c r="D1105" s="303">
        <v>61.32</v>
      </c>
    </row>
    <row r="1106" spans="1:4">
      <c r="A1106" s="302">
        <v>95716</v>
      </c>
      <c r="B1106" s="301" t="s">
        <v>2220</v>
      </c>
      <c r="C1106" s="301" t="s">
        <v>753</v>
      </c>
      <c r="D1106" s="303">
        <v>26.69</v>
      </c>
    </row>
    <row r="1107" spans="1:4">
      <c r="A1107" s="302">
        <v>95717</v>
      </c>
      <c r="B1107" s="301" t="s">
        <v>2221</v>
      </c>
      <c r="C1107" s="301" t="s">
        <v>753</v>
      </c>
      <c r="D1107" s="303">
        <v>3.62</v>
      </c>
    </row>
    <row r="1108" spans="1:4">
      <c r="A1108" s="302">
        <v>95718</v>
      </c>
      <c r="B1108" s="301" t="s">
        <v>2222</v>
      </c>
      <c r="C1108" s="301" t="s">
        <v>753</v>
      </c>
      <c r="D1108" s="303">
        <v>33.369999999999997</v>
      </c>
    </row>
    <row r="1109" spans="1:4">
      <c r="A1109" s="302">
        <v>95719</v>
      </c>
      <c r="B1109" s="301" t="s">
        <v>2223</v>
      </c>
      <c r="C1109" s="301" t="s">
        <v>753</v>
      </c>
      <c r="D1109" s="303">
        <v>61.32</v>
      </c>
    </row>
    <row r="1110" spans="1:4">
      <c r="A1110" s="302">
        <v>95869</v>
      </c>
      <c r="B1110" s="301" t="s">
        <v>2224</v>
      </c>
      <c r="C1110" s="301" t="s">
        <v>753</v>
      </c>
      <c r="D1110" s="303">
        <v>1.07</v>
      </c>
    </row>
    <row r="1111" spans="1:4">
      <c r="A1111" s="302">
        <v>95870</v>
      </c>
      <c r="B1111" s="301" t="s">
        <v>2225</v>
      </c>
      <c r="C1111" s="301" t="s">
        <v>753</v>
      </c>
      <c r="D1111" s="303">
        <v>5.3</v>
      </c>
    </row>
    <row r="1112" spans="1:4">
      <c r="A1112" s="302">
        <v>95871</v>
      </c>
      <c r="B1112" s="301" t="s">
        <v>2226</v>
      </c>
      <c r="C1112" s="301" t="s">
        <v>753</v>
      </c>
      <c r="D1112" s="303">
        <v>186.21</v>
      </c>
    </row>
    <row r="1113" spans="1:4">
      <c r="A1113" s="302">
        <v>95874</v>
      </c>
      <c r="B1113" s="301" t="s">
        <v>2227</v>
      </c>
      <c r="C1113" s="301" t="s">
        <v>753</v>
      </c>
      <c r="D1113" s="303">
        <v>5.94</v>
      </c>
    </row>
    <row r="1114" spans="1:4">
      <c r="A1114" s="302">
        <v>96008</v>
      </c>
      <c r="B1114" s="301" t="s">
        <v>2228</v>
      </c>
      <c r="C1114" s="301" t="s">
        <v>753</v>
      </c>
      <c r="D1114" s="303">
        <v>11.69</v>
      </c>
    </row>
    <row r="1115" spans="1:4">
      <c r="A1115" s="302">
        <v>96009</v>
      </c>
      <c r="B1115" s="301" t="s">
        <v>2229</v>
      </c>
      <c r="C1115" s="301" t="s">
        <v>753</v>
      </c>
      <c r="D1115" s="303">
        <v>1.62</v>
      </c>
    </row>
    <row r="1116" spans="1:4">
      <c r="A1116" s="302">
        <v>96011</v>
      </c>
      <c r="B1116" s="301" t="s">
        <v>2230</v>
      </c>
      <c r="C1116" s="301" t="s">
        <v>753</v>
      </c>
      <c r="D1116" s="303">
        <v>12.79</v>
      </c>
    </row>
    <row r="1117" spans="1:4">
      <c r="A1117" s="302">
        <v>96012</v>
      </c>
      <c r="B1117" s="301" t="s">
        <v>2231</v>
      </c>
      <c r="C1117" s="301" t="s">
        <v>753</v>
      </c>
      <c r="D1117" s="303">
        <v>117.21</v>
      </c>
    </row>
    <row r="1118" spans="1:4">
      <c r="A1118" s="302">
        <v>96015</v>
      </c>
      <c r="B1118" s="301" t="s">
        <v>2232</v>
      </c>
      <c r="C1118" s="301" t="s">
        <v>753</v>
      </c>
      <c r="D1118" s="303">
        <v>11.59</v>
      </c>
    </row>
    <row r="1119" spans="1:4">
      <c r="A1119" s="302">
        <v>96016</v>
      </c>
      <c r="B1119" s="301" t="s">
        <v>2233</v>
      </c>
      <c r="C1119" s="301" t="s">
        <v>753</v>
      </c>
      <c r="D1119" s="303">
        <v>1.6</v>
      </c>
    </row>
    <row r="1120" spans="1:4">
      <c r="A1120" s="302">
        <v>96018</v>
      </c>
      <c r="B1120" s="301" t="s">
        <v>2234</v>
      </c>
      <c r="C1120" s="301" t="s">
        <v>753</v>
      </c>
      <c r="D1120" s="303">
        <v>12.67</v>
      </c>
    </row>
    <row r="1121" spans="1:4">
      <c r="A1121" s="302">
        <v>96019</v>
      </c>
      <c r="B1121" s="301" t="s">
        <v>2235</v>
      </c>
      <c r="C1121" s="301" t="s">
        <v>753</v>
      </c>
      <c r="D1121" s="303">
        <v>117.21</v>
      </c>
    </row>
    <row r="1122" spans="1:4">
      <c r="A1122" s="302">
        <v>96023</v>
      </c>
      <c r="B1122" s="301" t="s">
        <v>2236</v>
      </c>
      <c r="C1122" s="301" t="s">
        <v>753</v>
      </c>
      <c r="D1122" s="303">
        <v>8.9700000000000006</v>
      </c>
    </row>
    <row r="1123" spans="1:4">
      <c r="A1123" s="302">
        <v>96024</v>
      </c>
      <c r="B1123" s="301" t="s">
        <v>2237</v>
      </c>
      <c r="C1123" s="301" t="s">
        <v>753</v>
      </c>
      <c r="D1123" s="303">
        <v>1.23</v>
      </c>
    </row>
    <row r="1124" spans="1:4">
      <c r="A1124" s="302">
        <v>96026</v>
      </c>
      <c r="B1124" s="301" t="s">
        <v>2238</v>
      </c>
      <c r="C1124" s="301" t="s">
        <v>753</v>
      </c>
      <c r="D1124" s="303">
        <v>9.81</v>
      </c>
    </row>
    <row r="1125" spans="1:4">
      <c r="A1125" s="302">
        <v>96027</v>
      </c>
      <c r="B1125" s="301" t="s">
        <v>2239</v>
      </c>
      <c r="C1125" s="301" t="s">
        <v>753</v>
      </c>
      <c r="D1125" s="303">
        <v>81.680000000000007</v>
      </c>
    </row>
    <row r="1126" spans="1:4">
      <c r="A1126" s="302">
        <v>96030</v>
      </c>
      <c r="B1126" s="301" t="s">
        <v>2240</v>
      </c>
      <c r="C1126" s="301" t="s">
        <v>753</v>
      </c>
      <c r="D1126" s="303">
        <v>16.22</v>
      </c>
    </row>
    <row r="1127" spans="1:4">
      <c r="A1127" s="302">
        <v>96031</v>
      </c>
      <c r="B1127" s="301" t="s">
        <v>2241</v>
      </c>
      <c r="C1127" s="301" t="s">
        <v>753</v>
      </c>
      <c r="D1127" s="303">
        <v>2.99</v>
      </c>
    </row>
    <row r="1128" spans="1:4">
      <c r="A1128" s="302">
        <v>96032</v>
      </c>
      <c r="B1128" s="301" t="s">
        <v>2242</v>
      </c>
      <c r="C1128" s="301" t="s">
        <v>753</v>
      </c>
      <c r="D1128" s="303">
        <v>1.1599999999999999</v>
      </c>
    </row>
    <row r="1129" spans="1:4">
      <c r="A1129" s="302">
        <v>96033</v>
      </c>
      <c r="B1129" s="301" t="s">
        <v>2243</v>
      </c>
      <c r="C1129" s="301" t="s">
        <v>753</v>
      </c>
      <c r="D1129" s="303">
        <v>30.42</v>
      </c>
    </row>
    <row r="1130" spans="1:4">
      <c r="A1130" s="302">
        <v>96034</v>
      </c>
      <c r="B1130" s="301" t="s">
        <v>2244</v>
      </c>
      <c r="C1130" s="301" t="s">
        <v>753</v>
      </c>
      <c r="D1130" s="303">
        <v>96.69</v>
      </c>
    </row>
    <row r="1131" spans="1:4">
      <c r="A1131" s="302">
        <v>96053</v>
      </c>
      <c r="B1131" s="301" t="s">
        <v>2245</v>
      </c>
      <c r="C1131" s="301" t="s">
        <v>753</v>
      </c>
      <c r="D1131" s="303">
        <v>9.07</v>
      </c>
    </row>
    <row r="1132" spans="1:4">
      <c r="A1132" s="302">
        <v>96054</v>
      </c>
      <c r="B1132" s="301" t="s">
        <v>2246</v>
      </c>
      <c r="C1132" s="301" t="s">
        <v>753</v>
      </c>
      <c r="D1132" s="303">
        <v>14.42</v>
      </c>
    </row>
    <row r="1133" spans="1:4">
      <c r="A1133" s="302">
        <v>96055</v>
      </c>
      <c r="B1133" s="301" t="s">
        <v>2247</v>
      </c>
      <c r="C1133" s="301" t="s">
        <v>753</v>
      </c>
      <c r="D1133" s="303">
        <v>1.25</v>
      </c>
    </row>
    <row r="1134" spans="1:4">
      <c r="A1134" s="302">
        <v>96056</v>
      </c>
      <c r="B1134" s="301" t="s">
        <v>2248</v>
      </c>
      <c r="C1134" s="301" t="s">
        <v>753</v>
      </c>
      <c r="D1134" s="303">
        <v>9.93</v>
      </c>
    </row>
    <row r="1135" spans="1:4">
      <c r="A1135" s="302">
        <v>96057</v>
      </c>
      <c r="B1135" s="301" t="s">
        <v>2249</v>
      </c>
      <c r="C1135" s="301" t="s">
        <v>753</v>
      </c>
      <c r="D1135" s="303">
        <v>81.680000000000007</v>
      </c>
    </row>
    <row r="1136" spans="1:4">
      <c r="A1136" s="302">
        <v>96060</v>
      </c>
      <c r="B1136" s="301" t="s">
        <v>2250</v>
      </c>
      <c r="C1136" s="301" t="s">
        <v>753</v>
      </c>
      <c r="D1136" s="303">
        <v>1.45</v>
      </c>
    </row>
    <row r="1137" spans="1:4">
      <c r="A1137" s="302">
        <v>96061</v>
      </c>
      <c r="B1137" s="301" t="s">
        <v>2251</v>
      </c>
      <c r="C1137" s="301" t="s">
        <v>753</v>
      </c>
      <c r="D1137" s="303">
        <v>18.02</v>
      </c>
    </row>
    <row r="1138" spans="1:4">
      <c r="A1138" s="302">
        <v>96062</v>
      </c>
      <c r="B1138" s="301" t="s">
        <v>2252</v>
      </c>
      <c r="C1138" s="301" t="s">
        <v>753</v>
      </c>
      <c r="D1138" s="303">
        <v>35.74</v>
      </c>
    </row>
    <row r="1139" spans="1:4">
      <c r="A1139" s="302">
        <v>96241</v>
      </c>
      <c r="B1139" s="301" t="s">
        <v>2253</v>
      </c>
      <c r="C1139" s="301" t="s">
        <v>753</v>
      </c>
      <c r="D1139" s="303">
        <v>12.31</v>
      </c>
    </row>
    <row r="1140" spans="1:4">
      <c r="A1140" s="302">
        <v>96242</v>
      </c>
      <c r="B1140" s="301" t="s">
        <v>2254</v>
      </c>
      <c r="C1140" s="301" t="s">
        <v>753</v>
      </c>
      <c r="D1140" s="303">
        <v>1.67</v>
      </c>
    </row>
    <row r="1141" spans="1:4">
      <c r="A1141" s="302">
        <v>96243</v>
      </c>
      <c r="B1141" s="301" t="s">
        <v>2255</v>
      </c>
      <c r="C1141" s="301" t="s">
        <v>753</v>
      </c>
      <c r="D1141" s="303">
        <v>15.39</v>
      </c>
    </row>
    <row r="1142" spans="1:4">
      <c r="A1142" s="302">
        <v>96244</v>
      </c>
      <c r="B1142" s="301" t="s">
        <v>2256</v>
      </c>
      <c r="C1142" s="301" t="s">
        <v>753</v>
      </c>
      <c r="D1142" s="303">
        <v>11.87</v>
      </c>
    </row>
    <row r="1143" spans="1:4">
      <c r="A1143" s="302">
        <v>96298</v>
      </c>
      <c r="B1143" s="301" t="s">
        <v>2257</v>
      </c>
      <c r="C1143" s="301" t="s">
        <v>753</v>
      </c>
      <c r="D1143" s="303">
        <v>36.020000000000003</v>
      </c>
    </row>
    <row r="1144" spans="1:4">
      <c r="A1144" s="302">
        <v>96299</v>
      </c>
      <c r="B1144" s="301" t="s">
        <v>2258</v>
      </c>
      <c r="C1144" s="301" t="s">
        <v>753</v>
      </c>
      <c r="D1144" s="303">
        <v>5</v>
      </c>
    </row>
    <row r="1145" spans="1:4">
      <c r="A1145" s="302">
        <v>96300</v>
      </c>
      <c r="B1145" s="301" t="s">
        <v>2259</v>
      </c>
      <c r="C1145" s="301" t="s">
        <v>753</v>
      </c>
      <c r="D1145" s="303">
        <v>45.08</v>
      </c>
    </row>
    <row r="1146" spans="1:4">
      <c r="A1146" s="302">
        <v>96301</v>
      </c>
      <c r="B1146" s="301" t="s">
        <v>2260</v>
      </c>
      <c r="C1146" s="301" t="s">
        <v>753</v>
      </c>
      <c r="D1146" s="303">
        <v>33.49</v>
      </c>
    </row>
    <row r="1147" spans="1:4">
      <c r="A1147" s="302">
        <v>96304</v>
      </c>
      <c r="B1147" s="301" t="s">
        <v>2261</v>
      </c>
      <c r="C1147" s="301" t="s">
        <v>753</v>
      </c>
      <c r="D1147" s="303">
        <v>0.11</v>
      </c>
    </row>
    <row r="1148" spans="1:4">
      <c r="A1148" s="302">
        <v>96305</v>
      </c>
      <c r="B1148" s="301" t="s">
        <v>2262</v>
      </c>
      <c r="C1148" s="301" t="s">
        <v>753</v>
      </c>
      <c r="D1148" s="303">
        <v>0.01</v>
      </c>
    </row>
    <row r="1149" spans="1:4">
      <c r="A1149" s="302">
        <v>96306</v>
      </c>
      <c r="B1149" s="301" t="s">
        <v>2263</v>
      </c>
      <c r="C1149" s="301" t="s">
        <v>753</v>
      </c>
      <c r="D1149" s="303">
        <v>0.14000000000000001</v>
      </c>
    </row>
    <row r="1150" spans="1:4">
      <c r="A1150" s="302">
        <v>96307</v>
      </c>
      <c r="B1150" s="301" t="s">
        <v>2264</v>
      </c>
      <c r="C1150" s="301" t="s">
        <v>753</v>
      </c>
      <c r="D1150" s="303">
        <v>0.74</v>
      </c>
    </row>
    <row r="1151" spans="1:4">
      <c r="A1151" s="302">
        <v>96457</v>
      </c>
      <c r="B1151" s="301" t="s">
        <v>2265</v>
      </c>
      <c r="C1151" s="301" t="s">
        <v>753</v>
      </c>
      <c r="D1151" s="303">
        <v>43.53</v>
      </c>
    </row>
    <row r="1152" spans="1:4">
      <c r="A1152" s="302">
        <v>96458</v>
      </c>
      <c r="B1152" s="301" t="s">
        <v>2266</v>
      </c>
      <c r="C1152" s="301" t="s">
        <v>753</v>
      </c>
      <c r="D1152" s="303">
        <v>31.93</v>
      </c>
    </row>
    <row r="1153" spans="1:4">
      <c r="A1153" s="302">
        <v>96459</v>
      </c>
      <c r="B1153" s="301" t="s">
        <v>2267</v>
      </c>
      <c r="C1153" s="301" t="s">
        <v>753</v>
      </c>
      <c r="D1153" s="303">
        <v>3.54</v>
      </c>
    </row>
    <row r="1154" spans="1:4">
      <c r="A1154" s="302">
        <v>96460</v>
      </c>
      <c r="B1154" s="301" t="s">
        <v>2268</v>
      </c>
      <c r="C1154" s="301" t="s">
        <v>753</v>
      </c>
      <c r="D1154" s="303">
        <v>25.51</v>
      </c>
    </row>
    <row r="1155" spans="1:4">
      <c r="A1155" s="302">
        <v>98760</v>
      </c>
      <c r="B1155" s="301" t="s">
        <v>2269</v>
      </c>
      <c r="C1155" s="301" t="s">
        <v>753</v>
      </c>
      <c r="D1155" s="303">
        <v>0.09</v>
      </c>
    </row>
    <row r="1156" spans="1:4">
      <c r="A1156" s="302">
        <v>98761</v>
      </c>
      <c r="B1156" s="301" t="s">
        <v>2270</v>
      </c>
      <c r="C1156" s="301" t="s">
        <v>753</v>
      </c>
      <c r="D1156" s="303">
        <v>0.02</v>
      </c>
    </row>
    <row r="1157" spans="1:4">
      <c r="A1157" s="302">
        <v>98762</v>
      </c>
      <c r="B1157" s="301" t="s">
        <v>2271</v>
      </c>
      <c r="C1157" s="301" t="s">
        <v>753</v>
      </c>
      <c r="D1157" s="303">
        <v>0.11</v>
      </c>
    </row>
    <row r="1158" spans="1:4">
      <c r="A1158" s="302">
        <v>98763</v>
      </c>
      <c r="B1158" s="301" t="s">
        <v>2272</v>
      </c>
      <c r="C1158" s="301" t="s">
        <v>753</v>
      </c>
      <c r="D1158" s="303">
        <v>2.7</v>
      </c>
    </row>
    <row r="1159" spans="1:4">
      <c r="A1159" s="302">
        <v>99829</v>
      </c>
      <c r="B1159" s="301" t="s">
        <v>2273</v>
      </c>
      <c r="C1159" s="301" t="s">
        <v>753</v>
      </c>
      <c r="D1159" s="303">
        <v>0.27</v>
      </c>
    </row>
    <row r="1160" spans="1:4">
      <c r="A1160" s="302">
        <v>99830</v>
      </c>
      <c r="B1160" s="301" t="s">
        <v>2274</v>
      </c>
      <c r="C1160" s="301" t="s">
        <v>753</v>
      </c>
      <c r="D1160" s="303">
        <v>0.03</v>
      </c>
    </row>
    <row r="1161" spans="1:4">
      <c r="A1161" s="302">
        <v>99831</v>
      </c>
      <c r="B1161" s="301" t="s">
        <v>2275</v>
      </c>
      <c r="C1161" s="301" t="s">
        <v>753</v>
      </c>
      <c r="D1161" s="303">
        <v>0.39</v>
      </c>
    </row>
    <row r="1162" spans="1:4">
      <c r="A1162" s="302">
        <v>99832</v>
      </c>
      <c r="B1162" s="301" t="s">
        <v>2276</v>
      </c>
      <c r="C1162" s="301" t="s">
        <v>753</v>
      </c>
      <c r="D1162" s="303">
        <v>0.7</v>
      </c>
    </row>
    <row r="1163" spans="1:4">
      <c r="A1163" s="302">
        <v>100637</v>
      </c>
      <c r="B1163" s="301" t="s">
        <v>11730</v>
      </c>
      <c r="C1163" s="301" t="s">
        <v>753</v>
      </c>
      <c r="D1163" s="303">
        <v>77.38</v>
      </c>
    </row>
    <row r="1164" spans="1:4">
      <c r="A1164" s="302">
        <v>100638</v>
      </c>
      <c r="B1164" s="301" t="s">
        <v>11731</v>
      </c>
      <c r="C1164" s="301" t="s">
        <v>753</v>
      </c>
      <c r="D1164" s="303">
        <v>13.92</v>
      </c>
    </row>
    <row r="1165" spans="1:4">
      <c r="A1165" s="302">
        <v>100639</v>
      </c>
      <c r="B1165" s="301" t="s">
        <v>11732</v>
      </c>
      <c r="C1165" s="301" t="s">
        <v>753</v>
      </c>
      <c r="D1165" s="303">
        <v>124.39</v>
      </c>
    </row>
    <row r="1166" spans="1:4">
      <c r="A1166" s="302">
        <v>100640</v>
      </c>
      <c r="B1166" s="301" t="s">
        <v>11733</v>
      </c>
      <c r="C1166" s="301" t="s">
        <v>753</v>
      </c>
      <c r="D1166" s="303">
        <v>140.41999999999999</v>
      </c>
    </row>
    <row r="1167" spans="1:4">
      <c r="A1167" s="302">
        <v>100643</v>
      </c>
      <c r="B1167" s="301" t="s">
        <v>11734</v>
      </c>
      <c r="C1167" s="301" t="s">
        <v>753</v>
      </c>
      <c r="D1167" s="303">
        <v>203.75</v>
      </c>
    </row>
    <row r="1168" spans="1:4">
      <c r="A1168" s="302">
        <v>100644</v>
      </c>
      <c r="B1168" s="301" t="s">
        <v>11735</v>
      </c>
      <c r="C1168" s="301" t="s">
        <v>753</v>
      </c>
      <c r="D1168" s="303">
        <v>36.67</v>
      </c>
    </row>
    <row r="1169" spans="1:4">
      <c r="A1169" s="302">
        <v>100645</v>
      </c>
      <c r="B1169" s="301" t="s">
        <v>11736</v>
      </c>
      <c r="C1169" s="301" t="s">
        <v>753</v>
      </c>
      <c r="D1169" s="303">
        <v>327.52999999999997</v>
      </c>
    </row>
    <row r="1170" spans="1:4">
      <c r="A1170" s="302">
        <v>100646</v>
      </c>
      <c r="B1170" s="301" t="s">
        <v>11737</v>
      </c>
      <c r="C1170" s="301" t="s">
        <v>753</v>
      </c>
      <c r="D1170" s="303">
        <v>200.6</v>
      </c>
    </row>
    <row r="1171" spans="1:4">
      <c r="A1171" s="302">
        <v>55960</v>
      </c>
      <c r="B1171" s="301" t="s">
        <v>2277</v>
      </c>
      <c r="C1171" s="301" t="s">
        <v>117</v>
      </c>
      <c r="D1171" s="303">
        <v>5.27</v>
      </c>
    </row>
    <row r="1172" spans="1:4">
      <c r="A1172" s="302">
        <v>92259</v>
      </c>
      <c r="B1172" s="301" t="s">
        <v>2278</v>
      </c>
      <c r="C1172" s="301" t="s">
        <v>28</v>
      </c>
      <c r="D1172" s="303">
        <v>254.34</v>
      </c>
    </row>
    <row r="1173" spans="1:4">
      <c r="A1173" s="302">
        <v>92260</v>
      </c>
      <c r="B1173" s="301" t="s">
        <v>2279</v>
      </c>
      <c r="C1173" s="301" t="s">
        <v>28</v>
      </c>
      <c r="D1173" s="303">
        <v>301.27</v>
      </c>
    </row>
    <row r="1174" spans="1:4">
      <c r="A1174" s="302">
        <v>92261</v>
      </c>
      <c r="B1174" s="301" t="s">
        <v>2280</v>
      </c>
      <c r="C1174" s="301" t="s">
        <v>28</v>
      </c>
      <c r="D1174" s="303">
        <v>346.78</v>
      </c>
    </row>
    <row r="1175" spans="1:4">
      <c r="A1175" s="302">
        <v>92262</v>
      </c>
      <c r="B1175" s="301" t="s">
        <v>2281</v>
      </c>
      <c r="C1175" s="301" t="s">
        <v>28</v>
      </c>
      <c r="D1175" s="303">
        <v>420.04</v>
      </c>
    </row>
    <row r="1176" spans="1:4">
      <c r="A1176" s="302">
        <v>92539</v>
      </c>
      <c r="B1176" s="301" t="s">
        <v>2282</v>
      </c>
      <c r="C1176" s="301" t="s">
        <v>117</v>
      </c>
      <c r="D1176" s="303">
        <v>40.65</v>
      </c>
    </row>
    <row r="1177" spans="1:4">
      <c r="A1177" s="302">
        <v>92540</v>
      </c>
      <c r="B1177" s="301" t="s">
        <v>2283</v>
      </c>
      <c r="C1177" s="301" t="s">
        <v>117</v>
      </c>
      <c r="D1177" s="303">
        <v>47.53</v>
      </c>
    </row>
    <row r="1178" spans="1:4">
      <c r="A1178" s="302">
        <v>92541</v>
      </c>
      <c r="B1178" s="301" t="s">
        <v>2284</v>
      </c>
      <c r="C1178" s="301" t="s">
        <v>117</v>
      </c>
      <c r="D1178" s="303">
        <v>43.35</v>
      </c>
    </row>
    <row r="1179" spans="1:4">
      <c r="A1179" s="302">
        <v>92542</v>
      </c>
      <c r="B1179" s="301" t="s">
        <v>2285</v>
      </c>
      <c r="C1179" s="301" t="s">
        <v>117</v>
      </c>
      <c r="D1179" s="303">
        <v>53.79</v>
      </c>
    </row>
    <row r="1180" spans="1:4">
      <c r="A1180" s="302">
        <v>92543</v>
      </c>
      <c r="B1180" s="301" t="s">
        <v>2286</v>
      </c>
      <c r="C1180" s="301" t="s">
        <v>117</v>
      </c>
      <c r="D1180" s="303">
        <v>11.15</v>
      </c>
    </row>
    <row r="1181" spans="1:4">
      <c r="A1181" s="302">
        <v>92544</v>
      </c>
      <c r="B1181" s="301" t="s">
        <v>2287</v>
      </c>
      <c r="C1181" s="301" t="s">
        <v>117</v>
      </c>
      <c r="D1181" s="303">
        <v>9.39</v>
      </c>
    </row>
    <row r="1182" spans="1:4">
      <c r="A1182" s="302">
        <v>92545</v>
      </c>
      <c r="B1182" s="301" t="s">
        <v>2288</v>
      </c>
      <c r="C1182" s="301" t="s">
        <v>28</v>
      </c>
      <c r="D1182" s="303">
        <v>563.67999999999995</v>
      </c>
    </row>
    <row r="1183" spans="1:4">
      <c r="A1183" s="302">
        <v>92546</v>
      </c>
      <c r="B1183" s="301" t="s">
        <v>2289</v>
      </c>
      <c r="C1183" s="301" t="s">
        <v>28</v>
      </c>
      <c r="D1183" s="303">
        <v>696.43</v>
      </c>
    </row>
    <row r="1184" spans="1:4">
      <c r="A1184" s="302">
        <v>92547</v>
      </c>
      <c r="B1184" s="301" t="s">
        <v>2290</v>
      </c>
      <c r="C1184" s="301" t="s">
        <v>28</v>
      </c>
      <c r="D1184" s="303">
        <v>726.21</v>
      </c>
    </row>
    <row r="1185" spans="1:4">
      <c r="A1185" s="302">
        <v>92548</v>
      </c>
      <c r="B1185" s="301" t="s">
        <v>2291</v>
      </c>
      <c r="C1185" s="301" t="s">
        <v>28</v>
      </c>
      <c r="D1185" s="303">
        <v>808.66</v>
      </c>
    </row>
    <row r="1186" spans="1:4">
      <c r="A1186" s="302">
        <v>92549</v>
      </c>
      <c r="B1186" s="301" t="s">
        <v>2292</v>
      </c>
      <c r="C1186" s="301" t="s">
        <v>28</v>
      </c>
      <c r="D1186" s="304">
        <v>1038.55</v>
      </c>
    </row>
    <row r="1187" spans="1:4">
      <c r="A1187" s="302">
        <v>92550</v>
      </c>
      <c r="B1187" s="301" t="s">
        <v>2293</v>
      </c>
      <c r="C1187" s="301" t="s">
        <v>28</v>
      </c>
      <c r="D1187" s="304">
        <v>1290.1199999999999</v>
      </c>
    </row>
    <row r="1188" spans="1:4">
      <c r="A1188" s="302">
        <v>92551</v>
      </c>
      <c r="B1188" s="301" t="s">
        <v>2294</v>
      </c>
      <c r="C1188" s="301" t="s">
        <v>28</v>
      </c>
      <c r="D1188" s="304">
        <v>1329.38</v>
      </c>
    </row>
    <row r="1189" spans="1:4">
      <c r="A1189" s="302">
        <v>92552</v>
      </c>
      <c r="B1189" s="301" t="s">
        <v>2295</v>
      </c>
      <c r="C1189" s="301" t="s">
        <v>28</v>
      </c>
      <c r="D1189" s="304">
        <v>1447.65</v>
      </c>
    </row>
    <row r="1190" spans="1:4">
      <c r="A1190" s="302">
        <v>92553</v>
      </c>
      <c r="B1190" s="301" t="s">
        <v>2296</v>
      </c>
      <c r="C1190" s="301" t="s">
        <v>28</v>
      </c>
      <c r="D1190" s="304">
        <v>1685.25</v>
      </c>
    </row>
    <row r="1191" spans="1:4">
      <c r="A1191" s="302">
        <v>92554</v>
      </c>
      <c r="B1191" s="301" t="s">
        <v>2297</v>
      </c>
      <c r="C1191" s="301" t="s">
        <v>28</v>
      </c>
      <c r="D1191" s="304">
        <v>1729.84</v>
      </c>
    </row>
    <row r="1192" spans="1:4">
      <c r="A1192" s="302">
        <v>92555</v>
      </c>
      <c r="B1192" s="301" t="s">
        <v>2298</v>
      </c>
      <c r="C1192" s="301" t="s">
        <v>28</v>
      </c>
      <c r="D1192" s="303">
        <v>557.94000000000005</v>
      </c>
    </row>
    <row r="1193" spans="1:4">
      <c r="A1193" s="302">
        <v>92556</v>
      </c>
      <c r="B1193" s="301" t="s">
        <v>2299</v>
      </c>
      <c r="C1193" s="301" t="s">
        <v>28</v>
      </c>
      <c r="D1193" s="303">
        <v>686.95</v>
      </c>
    </row>
    <row r="1194" spans="1:4">
      <c r="A1194" s="302">
        <v>92557</v>
      </c>
      <c r="B1194" s="301" t="s">
        <v>2300</v>
      </c>
      <c r="C1194" s="301" t="s">
        <v>28</v>
      </c>
      <c r="D1194" s="303">
        <v>716.72</v>
      </c>
    </row>
    <row r="1195" spans="1:4">
      <c r="A1195" s="302">
        <v>92558</v>
      </c>
      <c r="B1195" s="301" t="s">
        <v>2301</v>
      </c>
      <c r="C1195" s="301" t="s">
        <v>28</v>
      </c>
      <c r="D1195" s="303">
        <v>802.92</v>
      </c>
    </row>
    <row r="1196" spans="1:4">
      <c r="A1196" s="302">
        <v>92559</v>
      </c>
      <c r="B1196" s="301" t="s">
        <v>2302</v>
      </c>
      <c r="C1196" s="301" t="s">
        <v>28</v>
      </c>
      <c r="D1196" s="304">
        <v>1028.44</v>
      </c>
    </row>
    <row r="1197" spans="1:4">
      <c r="A1197" s="302">
        <v>92560</v>
      </c>
      <c r="B1197" s="301" t="s">
        <v>2303</v>
      </c>
      <c r="C1197" s="301" t="s">
        <v>28</v>
      </c>
      <c r="D1197" s="304">
        <v>1274.71</v>
      </c>
    </row>
    <row r="1198" spans="1:4">
      <c r="A1198" s="302">
        <v>92561</v>
      </c>
      <c r="B1198" s="301" t="s">
        <v>2304</v>
      </c>
      <c r="C1198" s="301" t="s">
        <v>28</v>
      </c>
      <c r="D1198" s="304">
        <v>1314.65</v>
      </c>
    </row>
    <row r="1199" spans="1:4">
      <c r="A1199" s="302">
        <v>92562</v>
      </c>
      <c r="B1199" s="301" t="s">
        <v>2305</v>
      </c>
      <c r="C1199" s="301" t="s">
        <v>28</v>
      </c>
      <c r="D1199" s="304">
        <v>1423.44</v>
      </c>
    </row>
    <row r="1200" spans="1:4">
      <c r="A1200" s="302">
        <v>92563</v>
      </c>
      <c r="B1200" s="301" t="s">
        <v>2306</v>
      </c>
      <c r="C1200" s="301" t="s">
        <v>28</v>
      </c>
      <c r="D1200" s="304">
        <v>1655.8</v>
      </c>
    </row>
    <row r="1201" spans="1:4">
      <c r="A1201" s="302">
        <v>92564</v>
      </c>
      <c r="B1201" s="301" t="s">
        <v>2307</v>
      </c>
      <c r="C1201" s="301" t="s">
        <v>28</v>
      </c>
      <c r="D1201" s="304">
        <v>1694.03</v>
      </c>
    </row>
    <row r="1202" spans="1:4">
      <c r="A1202" s="302">
        <v>92565</v>
      </c>
      <c r="B1202" s="301" t="s">
        <v>2308</v>
      </c>
      <c r="C1202" s="301" t="s">
        <v>117</v>
      </c>
      <c r="D1202" s="303">
        <v>21.25</v>
      </c>
    </row>
    <row r="1203" spans="1:4">
      <c r="A1203" s="302">
        <v>92566</v>
      </c>
      <c r="B1203" s="301" t="s">
        <v>2309</v>
      </c>
      <c r="C1203" s="301" t="s">
        <v>117</v>
      </c>
      <c r="D1203" s="303">
        <v>12.02</v>
      </c>
    </row>
    <row r="1204" spans="1:4">
      <c r="A1204" s="302">
        <v>92567</v>
      </c>
      <c r="B1204" s="301" t="s">
        <v>2310</v>
      </c>
      <c r="C1204" s="301" t="s">
        <v>117</v>
      </c>
      <c r="D1204" s="303">
        <v>18.55</v>
      </c>
    </row>
    <row r="1205" spans="1:4">
      <c r="A1205" s="302">
        <v>100379</v>
      </c>
      <c r="B1205" s="301" t="s">
        <v>2311</v>
      </c>
      <c r="C1205" s="301" t="s">
        <v>117</v>
      </c>
      <c r="D1205" s="303">
        <v>21.25</v>
      </c>
    </row>
    <row r="1206" spans="1:4">
      <c r="A1206" s="302">
        <v>100380</v>
      </c>
      <c r="B1206" s="301" t="s">
        <v>2312</v>
      </c>
      <c r="C1206" s="301" t="s">
        <v>117</v>
      </c>
      <c r="D1206" s="303">
        <v>29.1</v>
      </c>
    </row>
    <row r="1207" spans="1:4">
      <c r="A1207" s="302">
        <v>100381</v>
      </c>
      <c r="B1207" s="301" t="s">
        <v>2313</v>
      </c>
      <c r="C1207" s="301" t="s">
        <v>117</v>
      </c>
      <c r="D1207" s="303">
        <v>33.299999999999997</v>
      </c>
    </row>
    <row r="1208" spans="1:4">
      <c r="A1208" s="302">
        <v>100383</v>
      </c>
      <c r="B1208" s="301" t="s">
        <v>2314</v>
      </c>
      <c r="C1208" s="301" t="s">
        <v>117</v>
      </c>
      <c r="D1208" s="303">
        <v>13.21</v>
      </c>
    </row>
    <row r="1209" spans="1:4">
      <c r="A1209" s="302">
        <v>100384</v>
      </c>
      <c r="B1209" s="301" t="s">
        <v>2315</v>
      </c>
      <c r="C1209" s="301" t="s">
        <v>117</v>
      </c>
      <c r="D1209" s="303">
        <v>14.18</v>
      </c>
    </row>
    <row r="1210" spans="1:4">
      <c r="A1210" s="302">
        <v>100385</v>
      </c>
      <c r="B1210" s="301" t="s">
        <v>2316</v>
      </c>
      <c r="C1210" s="301" t="s">
        <v>117</v>
      </c>
      <c r="D1210" s="303">
        <v>18.55</v>
      </c>
    </row>
    <row r="1211" spans="1:4">
      <c r="A1211" s="302">
        <v>100386</v>
      </c>
      <c r="B1211" s="301" t="s">
        <v>2317</v>
      </c>
      <c r="C1211" s="301" t="s">
        <v>117</v>
      </c>
      <c r="D1211" s="303">
        <v>24.45</v>
      </c>
    </row>
    <row r="1212" spans="1:4">
      <c r="A1212" s="302">
        <v>100387</v>
      </c>
      <c r="B1212" s="301" t="s">
        <v>2318</v>
      </c>
      <c r="C1212" s="301" t="s">
        <v>117</v>
      </c>
      <c r="D1212" s="303">
        <v>29.89</v>
      </c>
    </row>
    <row r="1213" spans="1:4">
      <c r="A1213" s="302">
        <v>100388</v>
      </c>
      <c r="B1213" s="301" t="s">
        <v>2319</v>
      </c>
      <c r="C1213" s="301" t="s">
        <v>117</v>
      </c>
      <c r="D1213" s="303">
        <v>12.22</v>
      </c>
    </row>
    <row r="1214" spans="1:4">
      <c r="A1214" s="302">
        <v>100389</v>
      </c>
      <c r="B1214" s="301" t="s">
        <v>2320</v>
      </c>
      <c r="C1214" s="301" t="s">
        <v>117</v>
      </c>
      <c r="D1214" s="303">
        <v>11</v>
      </c>
    </row>
    <row r="1215" spans="1:4">
      <c r="A1215" s="302">
        <v>100390</v>
      </c>
      <c r="B1215" s="301" t="s">
        <v>2321</v>
      </c>
      <c r="C1215" s="301" t="s">
        <v>117</v>
      </c>
      <c r="D1215" s="303">
        <v>14.98</v>
      </c>
    </row>
    <row r="1216" spans="1:4">
      <c r="A1216" s="302">
        <v>100391</v>
      </c>
      <c r="B1216" s="301" t="s">
        <v>2322</v>
      </c>
      <c r="C1216" s="301" t="s">
        <v>117</v>
      </c>
      <c r="D1216" s="303">
        <v>12.92</v>
      </c>
    </row>
    <row r="1217" spans="1:4">
      <c r="A1217" s="302">
        <v>100392</v>
      </c>
      <c r="B1217" s="301" t="s">
        <v>2323</v>
      </c>
      <c r="C1217" s="301" t="s">
        <v>117</v>
      </c>
      <c r="D1217" s="303">
        <v>9.6</v>
      </c>
    </row>
    <row r="1218" spans="1:4">
      <c r="A1218" s="302">
        <v>100393</v>
      </c>
      <c r="B1218" s="301" t="s">
        <v>2324</v>
      </c>
      <c r="C1218" s="301" t="s">
        <v>117</v>
      </c>
      <c r="D1218" s="303">
        <v>12.65</v>
      </c>
    </row>
    <row r="1219" spans="1:4">
      <c r="A1219" s="302">
        <v>100394</v>
      </c>
      <c r="B1219" s="301" t="s">
        <v>2325</v>
      </c>
      <c r="C1219" s="301" t="s">
        <v>117</v>
      </c>
      <c r="D1219" s="303">
        <v>11.8</v>
      </c>
    </row>
    <row r="1220" spans="1:4">
      <c r="A1220" s="302">
        <v>100395</v>
      </c>
      <c r="B1220" s="301" t="s">
        <v>2326</v>
      </c>
      <c r="C1220" s="301" t="s">
        <v>117</v>
      </c>
      <c r="D1220" s="303">
        <v>15.43</v>
      </c>
    </row>
    <row r="1221" spans="1:4">
      <c r="A1221" s="302">
        <v>94189</v>
      </c>
      <c r="B1221" s="301" t="s">
        <v>2327</v>
      </c>
      <c r="C1221" s="301" t="s">
        <v>117</v>
      </c>
      <c r="D1221" s="303">
        <v>27.73</v>
      </c>
    </row>
    <row r="1222" spans="1:4">
      <c r="A1222" s="302">
        <v>94192</v>
      </c>
      <c r="B1222" s="301" t="s">
        <v>2328</v>
      </c>
      <c r="C1222" s="301" t="s">
        <v>117</v>
      </c>
      <c r="D1222" s="303">
        <v>29.72</v>
      </c>
    </row>
    <row r="1223" spans="1:4">
      <c r="A1223" s="302">
        <v>94195</v>
      </c>
      <c r="B1223" s="301" t="s">
        <v>2329</v>
      </c>
      <c r="C1223" s="301" t="s">
        <v>117</v>
      </c>
      <c r="D1223" s="303">
        <v>38.71</v>
      </c>
    </row>
    <row r="1224" spans="1:4">
      <c r="A1224" s="302">
        <v>94198</v>
      </c>
      <c r="B1224" s="301" t="s">
        <v>2330</v>
      </c>
      <c r="C1224" s="301" t="s">
        <v>117</v>
      </c>
      <c r="D1224" s="303">
        <v>41.35</v>
      </c>
    </row>
    <row r="1225" spans="1:4">
      <c r="A1225" s="302">
        <v>94201</v>
      </c>
      <c r="B1225" s="301" t="s">
        <v>2331</v>
      </c>
      <c r="C1225" s="301" t="s">
        <v>117</v>
      </c>
      <c r="D1225" s="303">
        <v>54.45</v>
      </c>
    </row>
    <row r="1226" spans="1:4">
      <c r="A1226" s="302">
        <v>94204</v>
      </c>
      <c r="B1226" s="301" t="s">
        <v>2332</v>
      </c>
      <c r="C1226" s="301" t="s">
        <v>117</v>
      </c>
      <c r="D1226" s="303">
        <v>58.93</v>
      </c>
    </row>
    <row r="1227" spans="1:4">
      <c r="A1227" s="302">
        <v>94224</v>
      </c>
      <c r="B1227" s="301" t="s">
        <v>2333</v>
      </c>
      <c r="C1227" s="301" t="s">
        <v>35</v>
      </c>
      <c r="D1227" s="303">
        <v>19.05</v>
      </c>
    </row>
    <row r="1228" spans="1:4">
      <c r="A1228" s="302">
        <v>94225</v>
      </c>
      <c r="B1228" s="301" t="s">
        <v>2334</v>
      </c>
      <c r="C1228" s="301" t="s">
        <v>117</v>
      </c>
      <c r="D1228" s="303">
        <v>23.61</v>
      </c>
    </row>
    <row r="1229" spans="1:4">
      <c r="A1229" s="302">
        <v>94226</v>
      </c>
      <c r="B1229" s="301" t="s">
        <v>2335</v>
      </c>
      <c r="C1229" s="301" t="s">
        <v>117</v>
      </c>
      <c r="D1229" s="303">
        <v>15.1</v>
      </c>
    </row>
    <row r="1230" spans="1:4">
      <c r="A1230" s="302">
        <v>94232</v>
      </c>
      <c r="B1230" s="301" t="s">
        <v>2336</v>
      </c>
      <c r="C1230" s="301" t="s">
        <v>28</v>
      </c>
      <c r="D1230" s="303">
        <v>2.23</v>
      </c>
    </row>
    <row r="1231" spans="1:4">
      <c r="A1231" s="302">
        <v>94440</v>
      </c>
      <c r="B1231" s="301" t="s">
        <v>2337</v>
      </c>
      <c r="C1231" s="301" t="s">
        <v>117</v>
      </c>
      <c r="D1231" s="303">
        <v>38.71</v>
      </c>
    </row>
    <row r="1232" spans="1:4">
      <c r="A1232" s="302">
        <v>94441</v>
      </c>
      <c r="B1232" s="301" t="s">
        <v>2338</v>
      </c>
      <c r="C1232" s="301" t="s">
        <v>117</v>
      </c>
      <c r="D1232" s="303">
        <v>41.35</v>
      </c>
    </row>
    <row r="1233" spans="1:4">
      <c r="A1233" s="302">
        <v>94442</v>
      </c>
      <c r="B1233" s="301" t="s">
        <v>2339</v>
      </c>
      <c r="C1233" s="301" t="s">
        <v>117</v>
      </c>
      <c r="D1233" s="303">
        <v>38.71</v>
      </c>
    </row>
    <row r="1234" spans="1:4">
      <c r="A1234" s="302">
        <v>94443</v>
      </c>
      <c r="B1234" s="301" t="s">
        <v>2340</v>
      </c>
      <c r="C1234" s="301" t="s">
        <v>117</v>
      </c>
      <c r="D1234" s="303">
        <v>41.35</v>
      </c>
    </row>
    <row r="1235" spans="1:4">
      <c r="A1235" s="302">
        <v>94445</v>
      </c>
      <c r="B1235" s="301" t="s">
        <v>2341</v>
      </c>
      <c r="C1235" s="301" t="s">
        <v>117</v>
      </c>
      <c r="D1235" s="303">
        <v>54.45</v>
      </c>
    </row>
    <row r="1236" spans="1:4">
      <c r="A1236" s="302">
        <v>94446</v>
      </c>
      <c r="B1236" s="301" t="s">
        <v>2342</v>
      </c>
      <c r="C1236" s="301" t="s">
        <v>117</v>
      </c>
      <c r="D1236" s="303">
        <v>58.93</v>
      </c>
    </row>
    <row r="1237" spans="1:4">
      <c r="A1237" s="302">
        <v>94447</v>
      </c>
      <c r="B1237" s="301" t="s">
        <v>2343</v>
      </c>
      <c r="C1237" s="301" t="s">
        <v>117</v>
      </c>
      <c r="D1237" s="303">
        <v>54.45</v>
      </c>
    </row>
    <row r="1238" spans="1:4">
      <c r="A1238" s="302">
        <v>94448</v>
      </c>
      <c r="B1238" s="301" t="s">
        <v>2344</v>
      </c>
      <c r="C1238" s="301" t="s">
        <v>117</v>
      </c>
      <c r="D1238" s="303">
        <v>58.93</v>
      </c>
    </row>
    <row r="1239" spans="1:4">
      <c r="A1239" s="302">
        <v>94207</v>
      </c>
      <c r="B1239" s="301" t="s">
        <v>2345</v>
      </c>
      <c r="C1239" s="301" t="s">
        <v>117</v>
      </c>
      <c r="D1239" s="303">
        <v>34.369999999999997</v>
      </c>
    </row>
    <row r="1240" spans="1:4">
      <c r="A1240" s="302">
        <v>94210</v>
      </c>
      <c r="B1240" s="301" t="s">
        <v>2346</v>
      </c>
      <c r="C1240" s="301" t="s">
        <v>117</v>
      </c>
      <c r="D1240" s="303">
        <v>36.58</v>
      </c>
    </row>
    <row r="1241" spans="1:4">
      <c r="A1241" s="302">
        <v>94218</v>
      </c>
      <c r="B1241" s="301" t="s">
        <v>2347</v>
      </c>
      <c r="C1241" s="301" t="s">
        <v>117</v>
      </c>
      <c r="D1241" s="303">
        <v>75.53</v>
      </c>
    </row>
    <row r="1242" spans="1:4">
      <c r="A1242" s="302">
        <v>94213</v>
      </c>
      <c r="B1242" s="301" t="s">
        <v>2348</v>
      </c>
      <c r="C1242" s="301" t="s">
        <v>117</v>
      </c>
      <c r="D1242" s="303">
        <v>41.92</v>
      </c>
    </row>
    <row r="1243" spans="1:4">
      <c r="A1243" s="302">
        <v>94216</v>
      </c>
      <c r="B1243" s="301" t="s">
        <v>2349</v>
      </c>
      <c r="C1243" s="301" t="s">
        <v>117</v>
      </c>
      <c r="D1243" s="303">
        <v>166.88</v>
      </c>
    </row>
    <row r="1244" spans="1:4">
      <c r="A1244" s="302">
        <v>94219</v>
      </c>
      <c r="B1244" s="301" t="s">
        <v>2350</v>
      </c>
      <c r="C1244" s="301" t="s">
        <v>35</v>
      </c>
      <c r="D1244" s="303">
        <v>28.38</v>
      </c>
    </row>
    <row r="1245" spans="1:4">
      <c r="A1245" s="302">
        <v>94220</v>
      </c>
      <c r="B1245" s="301" t="s">
        <v>2351</v>
      </c>
      <c r="C1245" s="301" t="s">
        <v>35</v>
      </c>
      <c r="D1245" s="303">
        <v>38.97</v>
      </c>
    </row>
    <row r="1246" spans="1:4">
      <c r="A1246" s="302">
        <v>94221</v>
      </c>
      <c r="B1246" s="301" t="s">
        <v>2352</v>
      </c>
      <c r="C1246" s="301" t="s">
        <v>35</v>
      </c>
      <c r="D1246" s="303">
        <v>23.17</v>
      </c>
    </row>
    <row r="1247" spans="1:4">
      <c r="A1247" s="302">
        <v>94222</v>
      </c>
      <c r="B1247" s="301" t="s">
        <v>2353</v>
      </c>
      <c r="C1247" s="301" t="s">
        <v>35</v>
      </c>
      <c r="D1247" s="303">
        <v>33.76</v>
      </c>
    </row>
    <row r="1248" spans="1:4">
      <c r="A1248" s="302">
        <v>94223</v>
      </c>
      <c r="B1248" s="301" t="s">
        <v>2354</v>
      </c>
      <c r="C1248" s="301" t="s">
        <v>35</v>
      </c>
      <c r="D1248" s="303">
        <v>43.12</v>
      </c>
    </row>
    <row r="1249" spans="1:4">
      <c r="A1249" s="302">
        <v>94451</v>
      </c>
      <c r="B1249" s="301" t="s">
        <v>2355</v>
      </c>
      <c r="C1249" s="301" t="s">
        <v>35</v>
      </c>
      <c r="D1249" s="303">
        <v>97.91</v>
      </c>
    </row>
    <row r="1250" spans="1:4">
      <c r="A1250" s="302">
        <v>100325</v>
      </c>
      <c r="B1250" s="301" t="s">
        <v>2356</v>
      </c>
      <c r="C1250" s="301" t="s">
        <v>35</v>
      </c>
      <c r="D1250" s="303">
        <v>41.41</v>
      </c>
    </row>
    <row r="1251" spans="1:4">
      <c r="A1251" s="302">
        <v>100327</v>
      </c>
      <c r="B1251" s="301" t="s">
        <v>2357</v>
      </c>
      <c r="C1251" s="301" t="s">
        <v>35</v>
      </c>
      <c r="D1251" s="303">
        <v>36.47</v>
      </c>
    </row>
    <row r="1252" spans="1:4">
      <c r="A1252" s="302">
        <v>100328</v>
      </c>
      <c r="B1252" s="301" t="s">
        <v>2358</v>
      </c>
      <c r="C1252" s="301" t="s">
        <v>117</v>
      </c>
      <c r="D1252" s="303">
        <v>12.83</v>
      </c>
    </row>
    <row r="1253" spans="1:4">
      <c r="A1253" s="302">
        <v>100329</v>
      </c>
      <c r="B1253" s="301" t="s">
        <v>2359</v>
      </c>
      <c r="C1253" s="301" t="s">
        <v>117</v>
      </c>
      <c r="D1253" s="303">
        <v>15.47</v>
      </c>
    </row>
    <row r="1254" spans="1:4">
      <c r="A1254" s="302">
        <v>100330</v>
      </c>
      <c r="B1254" s="301" t="s">
        <v>2360</v>
      </c>
      <c r="C1254" s="301" t="s">
        <v>117</v>
      </c>
      <c r="D1254" s="303">
        <v>17.43</v>
      </c>
    </row>
    <row r="1255" spans="1:4">
      <c r="A1255" s="302">
        <v>100331</v>
      </c>
      <c r="B1255" s="301" t="s">
        <v>2361</v>
      </c>
      <c r="C1255" s="301" t="s">
        <v>117</v>
      </c>
      <c r="D1255" s="303">
        <v>21.94</v>
      </c>
    </row>
    <row r="1256" spans="1:4">
      <c r="A1256" s="302">
        <v>100434</v>
      </c>
      <c r="B1256" s="301" t="s">
        <v>11532</v>
      </c>
      <c r="C1256" s="301" t="s">
        <v>35</v>
      </c>
      <c r="D1256" s="303">
        <v>47.54</v>
      </c>
    </row>
    <row r="1257" spans="1:4">
      <c r="A1257" s="302">
        <v>100435</v>
      </c>
      <c r="B1257" s="301" t="s">
        <v>11533</v>
      </c>
      <c r="C1257" s="301" t="s">
        <v>35</v>
      </c>
      <c r="D1257" s="303">
        <v>23.19</v>
      </c>
    </row>
    <row r="1258" spans="1:4">
      <c r="A1258" s="302">
        <v>94227</v>
      </c>
      <c r="B1258" s="301" t="s">
        <v>2362</v>
      </c>
      <c r="C1258" s="301" t="s">
        <v>35</v>
      </c>
      <c r="D1258" s="303">
        <v>40.36</v>
      </c>
    </row>
    <row r="1259" spans="1:4">
      <c r="A1259" s="302">
        <v>94228</v>
      </c>
      <c r="B1259" s="301" t="s">
        <v>2363</v>
      </c>
      <c r="C1259" s="301" t="s">
        <v>35</v>
      </c>
      <c r="D1259" s="303">
        <v>54.31</v>
      </c>
    </row>
    <row r="1260" spans="1:4">
      <c r="A1260" s="302">
        <v>94229</v>
      </c>
      <c r="B1260" s="301" t="s">
        <v>2364</v>
      </c>
      <c r="C1260" s="301" t="s">
        <v>35</v>
      </c>
      <c r="D1260" s="303">
        <v>104.61</v>
      </c>
    </row>
    <row r="1261" spans="1:4">
      <c r="A1261" s="302">
        <v>94231</v>
      </c>
      <c r="B1261" s="301" t="s">
        <v>2365</v>
      </c>
      <c r="C1261" s="301" t="s">
        <v>35</v>
      </c>
      <c r="D1261" s="303">
        <v>32.67</v>
      </c>
    </row>
    <row r="1262" spans="1:4">
      <c r="A1262" s="302">
        <v>94449</v>
      </c>
      <c r="B1262" s="301" t="s">
        <v>2366</v>
      </c>
      <c r="C1262" s="301" t="s">
        <v>117</v>
      </c>
      <c r="D1262" s="303">
        <v>49.95</v>
      </c>
    </row>
    <row r="1263" spans="1:4">
      <c r="A1263" s="302">
        <v>92255</v>
      </c>
      <c r="B1263" s="301" t="s">
        <v>2367</v>
      </c>
      <c r="C1263" s="301" t="s">
        <v>28</v>
      </c>
      <c r="D1263" s="303">
        <v>124.25</v>
      </c>
    </row>
    <row r="1264" spans="1:4">
      <c r="A1264" s="302">
        <v>92256</v>
      </c>
      <c r="B1264" s="301" t="s">
        <v>2368</v>
      </c>
      <c r="C1264" s="301" t="s">
        <v>28</v>
      </c>
      <c r="D1264" s="303">
        <v>150.91</v>
      </c>
    </row>
    <row r="1265" spans="1:4">
      <c r="A1265" s="302">
        <v>92257</v>
      </c>
      <c r="B1265" s="301" t="s">
        <v>2369</v>
      </c>
      <c r="C1265" s="301" t="s">
        <v>28</v>
      </c>
      <c r="D1265" s="303">
        <v>177.39</v>
      </c>
    </row>
    <row r="1266" spans="1:4">
      <c r="A1266" s="302">
        <v>92258</v>
      </c>
      <c r="B1266" s="301" t="s">
        <v>2370</v>
      </c>
      <c r="C1266" s="301" t="s">
        <v>28</v>
      </c>
      <c r="D1266" s="303">
        <v>219.99</v>
      </c>
    </row>
    <row r="1267" spans="1:4">
      <c r="A1267" s="302">
        <v>92568</v>
      </c>
      <c r="B1267" s="301" t="s">
        <v>2371</v>
      </c>
      <c r="C1267" s="301" t="s">
        <v>117</v>
      </c>
      <c r="D1267" s="303">
        <v>80.099999999999994</v>
      </c>
    </row>
    <row r="1268" spans="1:4">
      <c r="A1268" s="302">
        <v>92569</v>
      </c>
      <c r="B1268" s="301" t="s">
        <v>2372</v>
      </c>
      <c r="C1268" s="301" t="s">
        <v>117</v>
      </c>
      <c r="D1268" s="303">
        <v>44.56</v>
      </c>
    </row>
    <row r="1269" spans="1:4">
      <c r="A1269" s="302">
        <v>92570</v>
      </c>
      <c r="B1269" s="301" t="s">
        <v>2373</v>
      </c>
      <c r="C1269" s="301" t="s">
        <v>117</v>
      </c>
      <c r="D1269" s="303">
        <v>28.2</v>
      </c>
    </row>
    <row r="1270" spans="1:4">
      <c r="A1270" s="302">
        <v>92571</v>
      </c>
      <c r="B1270" s="301" t="s">
        <v>2374</v>
      </c>
      <c r="C1270" s="301" t="s">
        <v>117</v>
      </c>
      <c r="D1270" s="303">
        <v>85.32</v>
      </c>
    </row>
    <row r="1271" spans="1:4">
      <c r="A1271" s="302">
        <v>92572</v>
      </c>
      <c r="B1271" s="301" t="s">
        <v>2375</v>
      </c>
      <c r="C1271" s="301" t="s">
        <v>117</v>
      </c>
      <c r="D1271" s="303">
        <v>51.09</v>
      </c>
    </row>
    <row r="1272" spans="1:4">
      <c r="A1272" s="302">
        <v>92573</v>
      </c>
      <c r="B1272" s="301" t="s">
        <v>2376</v>
      </c>
      <c r="C1272" s="301" t="s">
        <v>117</v>
      </c>
      <c r="D1272" s="303">
        <v>30.42</v>
      </c>
    </row>
    <row r="1273" spans="1:4">
      <c r="A1273" s="302">
        <v>92574</v>
      </c>
      <c r="B1273" s="301" t="s">
        <v>2377</v>
      </c>
      <c r="C1273" s="301" t="s">
        <v>117</v>
      </c>
      <c r="D1273" s="303">
        <v>81.44</v>
      </c>
    </row>
    <row r="1274" spans="1:4">
      <c r="A1274" s="302">
        <v>92575</v>
      </c>
      <c r="B1274" s="301" t="s">
        <v>2378</v>
      </c>
      <c r="C1274" s="301" t="s">
        <v>117</v>
      </c>
      <c r="D1274" s="303">
        <v>40.799999999999997</v>
      </c>
    </row>
    <row r="1275" spans="1:4">
      <c r="A1275" s="302">
        <v>92576</v>
      </c>
      <c r="B1275" s="301" t="s">
        <v>2379</v>
      </c>
      <c r="C1275" s="301" t="s">
        <v>117</v>
      </c>
      <c r="D1275" s="303">
        <v>22.3</v>
      </c>
    </row>
    <row r="1276" spans="1:4">
      <c r="A1276" s="302">
        <v>92577</v>
      </c>
      <c r="B1276" s="301" t="s">
        <v>2380</v>
      </c>
      <c r="C1276" s="301" t="s">
        <v>117</v>
      </c>
      <c r="D1276" s="303">
        <v>86.93</v>
      </c>
    </row>
    <row r="1277" spans="1:4">
      <c r="A1277" s="302">
        <v>92578</v>
      </c>
      <c r="B1277" s="301" t="s">
        <v>2381</v>
      </c>
      <c r="C1277" s="301" t="s">
        <v>117</v>
      </c>
      <c r="D1277" s="303">
        <v>43.86</v>
      </c>
    </row>
    <row r="1278" spans="1:4">
      <c r="A1278" s="302">
        <v>92579</v>
      </c>
      <c r="B1278" s="301" t="s">
        <v>2382</v>
      </c>
      <c r="C1278" s="301" t="s">
        <v>117</v>
      </c>
      <c r="D1278" s="303">
        <v>24.07</v>
      </c>
    </row>
    <row r="1279" spans="1:4">
      <c r="A1279" s="302">
        <v>92580</v>
      </c>
      <c r="B1279" s="301" t="s">
        <v>2383</v>
      </c>
      <c r="C1279" s="301" t="s">
        <v>117</v>
      </c>
      <c r="D1279" s="303">
        <v>30.08</v>
      </c>
    </row>
    <row r="1280" spans="1:4">
      <c r="A1280" s="302">
        <v>92581</v>
      </c>
      <c r="B1280" s="301" t="s">
        <v>2384</v>
      </c>
      <c r="C1280" s="301" t="s">
        <v>117</v>
      </c>
      <c r="D1280" s="303">
        <v>31.36</v>
      </c>
    </row>
    <row r="1281" spans="1:4">
      <c r="A1281" s="302">
        <v>92582</v>
      </c>
      <c r="B1281" s="301" t="s">
        <v>2385</v>
      </c>
      <c r="C1281" s="301" t="s">
        <v>28</v>
      </c>
      <c r="D1281" s="303">
        <v>444.11</v>
      </c>
    </row>
    <row r="1282" spans="1:4">
      <c r="A1282" s="302">
        <v>92584</v>
      </c>
      <c r="B1282" s="301" t="s">
        <v>2386</v>
      </c>
      <c r="C1282" s="301" t="s">
        <v>28</v>
      </c>
      <c r="D1282" s="303">
        <v>519.13</v>
      </c>
    </row>
    <row r="1283" spans="1:4">
      <c r="A1283" s="302">
        <v>92586</v>
      </c>
      <c r="B1283" s="301" t="s">
        <v>2387</v>
      </c>
      <c r="C1283" s="301" t="s">
        <v>28</v>
      </c>
      <c r="D1283" s="303">
        <v>594.14</v>
      </c>
    </row>
    <row r="1284" spans="1:4">
      <c r="A1284" s="302">
        <v>92588</v>
      </c>
      <c r="B1284" s="301" t="s">
        <v>2388</v>
      </c>
      <c r="C1284" s="301" t="s">
        <v>28</v>
      </c>
      <c r="D1284" s="303">
        <v>748.37</v>
      </c>
    </row>
    <row r="1285" spans="1:4">
      <c r="A1285" s="302">
        <v>92590</v>
      </c>
      <c r="B1285" s="301" t="s">
        <v>2389</v>
      </c>
      <c r="C1285" s="301" t="s">
        <v>28</v>
      </c>
      <c r="D1285" s="303">
        <v>823.38</v>
      </c>
    </row>
    <row r="1286" spans="1:4">
      <c r="A1286" s="302">
        <v>92592</v>
      </c>
      <c r="B1286" s="301" t="s">
        <v>2390</v>
      </c>
      <c r="C1286" s="301" t="s">
        <v>28</v>
      </c>
      <c r="D1286" s="303">
        <v>924.88</v>
      </c>
    </row>
    <row r="1287" spans="1:4">
      <c r="A1287" s="302">
        <v>92593</v>
      </c>
      <c r="B1287" s="301" t="s">
        <v>2391</v>
      </c>
      <c r="C1287" s="301" t="s">
        <v>34</v>
      </c>
      <c r="D1287" s="303">
        <v>7.01</v>
      </c>
    </row>
    <row r="1288" spans="1:4">
      <c r="A1288" s="302">
        <v>92594</v>
      </c>
      <c r="B1288" s="301" t="s">
        <v>2392</v>
      </c>
      <c r="C1288" s="301" t="s">
        <v>28</v>
      </c>
      <c r="D1288" s="304">
        <v>1071.45</v>
      </c>
    </row>
    <row r="1289" spans="1:4">
      <c r="A1289" s="302">
        <v>92596</v>
      </c>
      <c r="B1289" s="301" t="s">
        <v>2393</v>
      </c>
      <c r="C1289" s="301" t="s">
        <v>28</v>
      </c>
      <c r="D1289" s="304">
        <v>1192.28</v>
      </c>
    </row>
    <row r="1290" spans="1:4">
      <c r="A1290" s="302">
        <v>92598</v>
      </c>
      <c r="B1290" s="301" t="s">
        <v>2394</v>
      </c>
      <c r="C1290" s="301" t="s">
        <v>28</v>
      </c>
      <c r="D1290" s="304">
        <v>1267.3</v>
      </c>
    </row>
    <row r="1291" spans="1:4">
      <c r="A1291" s="302">
        <v>92600</v>
      </c>
      <c r="B1291" s="301" t="s">
        <v>2395</v>
      </c>
      <c r="C1291" s="301" t="s">
        <v>28</v>
      </c>
      <c r="D1291" s="304">
        <v>1361.31</v>
      </c>
    </row>
    <row r="1292" spans="1:4">
      <c r="A1292" s="302">
        <v>92602</v>
      </c>
      <c r="B1292" s="301" t="s">
        <v>2396</v>
      </c>
      <c r="C1292" s="301" t="s">
        <v>28</v>
      </c>
      <c r="D1292" s="303">
        <v>444.11</v>
      </c>
    </row>
    <row r="1293" spans="1:4">
      <c r="A1293" s="302">
        <v>92604</v>
      </c>
      <c r="B1293" s="301" t="s">
        <v>2397</v>
      </c>
      <c r="C1293" s="301" t="s">
        <v>28</v>
      </c>
      <c r="D1293" s="303">
        <v>500.13</v>
      </c>
    </row>
    <row r="1294" spans="1:4">
      <c r="A1294" s="302">
        <v>92606</v>
      </c>
      <c r="B1294" s="301" t="s">
        <v>2398</v>
      </c>
      <c r="C1294" s="301" t="s">
        <v>28</v>
      </c>
      <c r="D1294" s="303">
        <v>575.15</v>
      </c>
    </row>
    <row r="1295" spans="1:4">
      <c r="A1295" s="302">
        <v>92608</v>
      </c>
      <c r="B1295" s="301" t="s">
        <v>2399</v>
      </c>
      <c r="C1295" s="301" t="s">
        <v>28</v>
      </c>
      <c r="D1295" s="303">
        <v>710.38</v>
      </c>
    </row>
    <row r="1296" spans="1:4">
      <c r="A1296" s="302">
        <v>92610</v>
      </c>
      <c r="B1296" s="301" t="s">
        <v>2400</v>
      </c>
      <c r="C1296" s="301" t="s">
        <v>28</v>
      </c>
      <c r="D1296" s="303">
        <v>785.39</v>
      </c>
    </row>
    <row r="1297" spans="1:4">
      <c r="A1297" s="302">
        <v>92612</v>
      </c>
      <c r="B1297" s="301" t="s">
        <v>2401</v>
      </c>
      <c r="C1297" s="301" t="s">
        <v>28</v>
      </c>
      <c r="D1297" s="303">
        <v>886.89</v>
      </c>
    </row>
    <row r="1298" spans="1:4">
      <c r="A1298" s="302">
        <v>92614</v>
      </c>
      <c r="B1298" s="301" t="s">
        <v>2402</v>
      </c>
      <c r="C1298" s="301" t="s">
        <v>28</v>
      </c>
      <c r="D1298" s="303">
        <v>995.47</v>
      </c>
    </row>
    <row r="1299" spans="1:4">
      <c r="A1299" s="302">
        <v>92616</v>
      </c>
      <c r="B1299" s="301" t="s">
        <v>2403</v>
      </c>
      <c r="C1299" s="301" t="s">
        <v>28</v>
      </c>
      <c r="D1299" s="304">
        <v>1135.3</v>
      </c>
    </row>
    <row r="1300" spans="1:4">
      <c r="A1300" s="302">
        <v>92618</v>
      </c>
      <c r="B1300" s="301" t="s">
        <v>2404</v>
      </c>
      <c r="C1300" s="301" t="s">
        <v>28</v>
      </c>
      <c r="D1300" s="304">
        <v>1210.31</v>
      </c>
    </row>
    <row r="1301" spans="1:4">
      <c r="A1301" s="302">
        <v>92620</v>
      </c>
      <c r="B1301" s="301" t="s">
        <v>2405</v>
      </c>
      <c r="C1301" s="301" t="s">
        <v>28</v>
      </c>
      <c r="D1301" s="304">
        <v>1285.33</v>
      </c>
    </row>
    <row r="1302" spans="1:4">
      <c r="A1302" s="302">
        <v>100357</v>
      </c>
      <c r="B1302" s="301" t="s">
        <v>2406</v>
      </c>
      <c r="C1302" s="301" t="s">
        <v>28</v>
      </c>
      <c r="D1302" s="303">
        <v>576.98</v>
      </c>
    </row>
    <row r="1303" spans="1:4">
      <c r="A1303" s="302">
        <v>100358</v>
      </c>
      <c r="B1303" s="301" t="s">
        <v>2407</v>
      </c>
      <c r="C1303" s="301" t="s">
        <v>28</v>
      </c>
      <c r="D1303" s="303">
        <v>809.65</v>
      </c>
    </row>
    <row r="1304" spans="1:4">
      <c r="A1304" s="302">
        <v>100359</v>
      </c>
      <c r="B1304" s="301" t="s">
        <v>2408</v>
      </c>
      <c r="C1304" s="301" t="s">
        <v>28</v>
      </c>
      <c r="D1304" s="303">
        <v>840.17</v>
      </c>
    </row>
    <row r="1305" spans="1:4">
      <c r="A1305" s="302">
        <v>100360</v>
      </c>
      <c r="B1305" s="301" t="s">
        <v>2409</v>
      </c>
      <c r="C1305" s="301" t="s">
        <v>28</v>
      </c>
      <c r="D1305" s="303">
        <v>928.42</v>
      </c>
    </row>
    <row r="1306" spans="1:4">
      <c r="A1306" s="302">
        <v>100361</v>
      </c>
      <c r="B1306" s="301" t="s">
        <v>2410</v>
      </c>
      <c r="C1306" s="301" t="s">
        <v>28</v>
      </c>
      <c r="D1306" s="304">
        <v>1173.8</v>
      </c>
    </row>
    <row r="1307" spans="1:4">
      <c r="A1307" s="302">
        <v>100362</v>
      </c>
      <c r="B1307" s="301" t="s">
        <v>2411</v>
      </c>
      <c r="C1307" s="301" t="s">
        <v>28</v>
      </c>
      <c r="D1307" s="304">
        <v>1573.5</v>
      </c>
    </row>
    <row r="1308" spans="1:4">
      <c r="A1308" s="302">
        <v>100363</v>
      </c>
      <c r="B1308" s="301" t="s">
        <v>2412</v>
      </c>
      <c r="C1308" s="301" t="s">
        <v>28</v>
      </c>
      <c r="D1308" s="304">
        <v>1619.03</v>
      </c>
    </row>
    <row r="1309" spans="1:4">
      <c r="A1309" s="302">
        <v>100364</v>
      </c>
      <c r="B1309" s="301" t="s">
        <v>2413</v>
      </c>
      <c r="C1309" s="301" t="s">
        <v>28</v>
      </c>
      <c r="D1309" s="304">
        <v>1757.39</v>
      </c>
    </row>
    <row r="1310" spans="1:4">
      <c r="A1310" s="302">
        <v>100365</v>
      </c>
      <c r="B1310" s="301" t="s">
        <v>2414</v>
      </c>
      <c r="C1310" s="301" t="s">
        <v>28</v>
      </c>
      <c r="D1310" s="304">
        <v>2028.65</v>
      </c>
    </row>
    <row r="1311" spans="1:4">
      <c r="A1311" s="302">
        <v>100366</v>
      </c>
      <c r="B1311" s="301" t="s">
        <v>2415</v>
      </c>
      <c r="C1311" s="301" t="s">
        <v>28</v>
      </c>
      <c r="D1311" s="304">
        <v>2134.8000000000002</v>
      </c>
    </row>
    <row r="1312" spans="1:4">
      <c r="A1312" s="302">
        <v>100367</v>
      </c>
      <c r="B1312" s="301" t="s">
        <v>2416</v>
      </c>
      <c r="C1312" s="301" t="s">
        <v>28</v>
      </c>
      <c r="D1312" s="303">
        <v>565.5</v>
      </c>
    </row>
    <row r="1313" spans="1:4">
      <c r="A1313" s="302">
        <v>100368</v>
      </c>
      <c r="B1313" s="301" t="s">
        <v>2417</v>
      </c>
      <c r="C1313" s="301" t="s">
        <v>28</v>
      </c>
      <c r="D1313" s="303">
        <v>794.92</v>
      </c>
    </row>
    <row r="1314" spans="1:4">
      <c r="A1314" s="302">
        <v>100369</v>
      </c>
      <c r="B1314" s="301" t="s">
        <v>2418</v>
      </c>
      <c r="C1314" s="301" t="s">
        <v>28</v>
      </c>
      <c r="D1314" s="303">
        <v>825.45</v>
      </c>
    </row>
    <row r="1315" spans="1:4">
      <c r="A1315" s="302">
        <v>100370</v>
      </c>
      <c r="B1315" s="301" t="s">
        <v>2419</v>
      </c>
      <c r="C1315" s="301" t="s">
        <v>28</v>
      </c>
      <c r="D1315" s="303">
        <v>957</v>
      </c>
    </row>
    <row r="1316" spans="1:4">
      <c r="A1316" s="302">
        <v>100371</v>
      </c>
      <c r="B1316" s="301" t="s">
        <v>2420</v>
      </c>
      <c r="C1316" s="301" t="s">
        <v>28</v>
      </c>
      <c r="D1316" s="304">
        <v>1134.06</v>
      </c>
    </row>
    <row r="1317" spans="1:4">
      <c r="A1317" s="302">
        <v>100372</v>
      </c>
      <c r="B1317" s="301" t="s">
        <v>2421</v>
      </c>
      <c r="C1317" s="301" t="s">
        <v>28</v>
      </c>
      <c r="D1317" s="304">
        <v>1509.97</v>
      </c>
    </row>
    <row r="1318" spans="1:4">
      <c r="A1318" s="302">
        <v>100373</v>
      </c>
      <c r="B1318" s="301" t="s">
        <v>2422</v>
      </c>
      <c r="C1318" s="301" t="s">
        <v>28</v>
      </c>
      <c r="D1318" s="304">
        <v>1547.36</v>
      </c>
    </row>
    <row r="1319" spans="1:4">
      <c r="A1319" s="302">
        <v>100374</v>
      </c>
      <c r="B1319" s="301" t="s">
        <v>2423</v>
      </c>
      <c r="C1319" s="301" t="s">
        <v>28</v>
      </c>
      <c r="D1319" s="304">
        <v>1660.63</v>
      </c>
    </row>
    <row r="1320" spans="1:4">
      <c r="A1320" s="302">
        <v>100375</v>
      </c>
      <c r="B1320" s="301" t="s">
        <v>2424</v>
      </c>
      <c r="C1320" s="301" t="s">
        <v>28</v>
      </c>
      <c r="D1320" s="304">
        <v>1888.68</v>
      </c>
    </row>
    <row r="1321" spans="1:4">
      <c r="A1321" s="302">
        <v>100376</v>
      </c>
      <c r="B1321" s="301" t="s">
        <v>2425</v>
      </c>
      <c r="C1321" s="301" t="s">
        <v>28</v>
      </c>
      <c r="D1321" s="304">
        <v>1850.32</v>
      </c>
    </row>
    <row r="1322" spans="1:4">
      <c r="A1322" s="302">
        <v>100377</v>
      </c>
      <c r="B1322" s="301" t="s">
        <v>11738</v>
      </c>
      <c r="C1322" s="301" t="s">
        <v>34</v>
      </c>
      <c r="D1322" s="303">
        <v>7.34</v>
      </c>
    </row>
    <row r="1323" spans="1:4">
      <c r="A1323" s="302">
        <v>100378</v>
      </c>
      <c r="B1323" s="301" t="s">
        <v>11739</v>
      </c>
      <c r="C1323" s="301" t="s">
        <v>34</v>
      </c>
      <c r="D1323" s="303">
        <v>6.78</v>
      </c>
    </row>
    <row r="1324" spans="1:4">
      <c r="A1324" s="302">
        <v>100382</v>
      </c>
      <c r="B1324" s="301" t="s">
        <v>2426</v>
      </c>
      <c r="C1324" s="301" t="s">
        <v>117</v>
      </c>
      <c r="D1324" s="303">
        <v>12.02</v>
      </c>
    </row>
    <row r="1325" spans="1:4">
      <c r="A1325" s="302">
        <v>94444</v>
      </c>
      <c r="B1325" s="301" t="s">
        <v>2427</v>
      </c>
      <c r="C1325" s="301" t="s">
        <v>117</v>
      </c>
      <c r="D1325" s="303">
        <v>690.81</v>
      </c>
    </row>
    <row r="1326" spans="1:4">
      <c r="A1326" s="301" t="s">
        <v>12398</v>
      </c>
      <c r="B1326" s="301" t="s">
        <v>12399</v>
      </c>
      <c r="C1326" s="301" t="s">
        <v>35</v>
      </c>
      <c r="D1326" s="303">
        <v>26.54</v>
      </c>
    </row>
    <row r="1327" spans="1:4">
      <c r="A1327" s="301" t="s">
        <v>12400</v>
      </c>
      <c r="B1327" s="301" t="s">
        <v>12401</v>
      </c>
      <c r="C1327" s="301" t="s">
        <v>35</v>
      </c>
      <c r="D1327" s="303">
        <v>75.010000000000005</v>
      </c>
    </row>
    <row r="1328" spans="1:4">
      <c r="A1328" s="301" t="s">
        <v>2428</v>
      </c>
      <c r="B1328" s="301" t="s">
        <v>2429</v>
      </c>
      <c r="C1328" s="301" t="s">
        <v>35</v>
      </c>
      <c r="D1328" s="303">
        <v>28.76</v>
      </c>
    </row>
    <row r="1329" spans="1:4">
      <c r="A1329" s="301" t="s">
        <v>12402</v>
      </c>
      <c r="B1329" s="301" t="s">
        <v>12403</v>
      </c>
      <c r="C1329" s="301" t="s">
        <v>35</v>
      </c>
      <c r="D1329" s="303">
        <v>24.46</v>
      </c>
    </row>
    <row r="1330" spans="1:4">
      <c r="A1330" s="301" t="s">
        <v>2430</v>
      </c>
      <c r="B1330" s="301" t="s">
        <v>2431</v>
      </c>
      <c r="C1330" s="301" t="s">
        <v>117</v>
      </c>
      <c r="D1330" s="303">
        <v>6.19</v>
      </c>
    </row>
    <row r="1331" spans="1:4">
      <c r="A1331" s="301" t="s">
        <v>2432</v>
      </c>
      <c r="B1331" s="301" t="s">
        <v>2433</v>
      </c>
      <c r="C1331" s="301" t="s">
        <v>117</v>
      </c>
      <c r="D1331" s="303">
        <v>12.11</v>
      </c>
    </row>
    <row r="1332" spans="1:4">
      <c r="A1332" s="301" t="s">
        <v>2434</v>
      </c>
      <c r="B1332" s="301" t="s">
        <v>405</v>
      </c>
      <c r="C1332" s="301" t="s">
        <v>60</v>
      </c>
      <c r="D1332" s="303">
        <v>95.68</v>
      </c>
    </row>
    <row r="1333" spans="1:4">
      <c r="A1333" s="301" t="s">
        <v>2435</v>
      </c>
      <c r="B1333" s="301" t="s">
        <v>2436</v>
      </c>
      <c r="C1333" s="301" t="s">
        <v>60</v>
      </c>
      <c r="D1333" s="303">
        <v>123.82</v>
      </c>
    </row>
    <row r="1334" spans="1:4">
      <c r="A1334" s="301" t="s">
        <v>2437</v>
      </c>
      <c r="B1334" s="301" t="s">
        <v>2438</v>
      </c>
      <c r="C1334" s="301" t="s">
        <v>60</v>
      </c>
      <c r="D1334" s="303">
        <v>76.430000000000007</v>
      </c>
    </row>
    <row r="1335" spans="1:4">
      <c r="A1335" s="301" t="s">
        <v>2439</v>
      </c>
      <c r="B1335" s="301" t="s">
        <v>2440</v>
      </c>
      <c r="C1335" s="301" t="s">
        <v>35</v>
      </c>
      <c r="D1335" s="303">
        <v>71.239999999999995</v>
      </c>
    </row>
    <row r="1336" spans="1:4">
      <c r="A1336" s="301" t="s">
        <v>2441</v>
      </c>
      <c r="B1336" s="301" t="s">
        <v>2442</v>
      </c>
      <c r="C1336" s="301" t="s">
        <v>35</v>
      </c>
      <c r="D1336" s="303">
        <v>49.32</v>
      </c>
    </row>
    <row r="1337" spans="1:4">
      <c r="A1337" s="301" t="s">
        <v>2443</v>
      </c>
      <c r="B1337" s="301" t="s">
        <v>2444</v>
      </c>
      <c r="C1337" s="301" t="s">
        <v>35</v>
      </c>
      <c r="D1337" s="303">
        <v>64.849999999999994</v>
      </c>
    </row>
    <row r="1338" spans="1:4">
      <c r="A1338" s="301" t="s">
        <v>2445</v>
      </c>
      <c r="B1338" s="301" t="s">
        <v>2446</v>
      </c>
      <c r="C1338" s="301" t="s">
        <v>35</v>
      </c>
      <c r="D1338" s="303">
        <v>40.94</v>
      </c>
    </row>
    <row r="1339" spans="1:4">
      <c r="A1339" s="302">
        <v>83651</v>
      </c>
      <c r="B1339" s="301" t="s">
        <v>2447</v>
      </c>
      <c r="C1339" s="301" t="s">
        <v>35</v>
      </c>
      <c r="D1339" s="303">
        <v>31.54</v>
      </c>
    </row>
    <row r="1340" spans="1:4">
      <c r="A1340" s="302">
        <v>83658</v>
      </c>
      <c r="B1340" s="301" t="s">
        <v>2448</v>
      </c>
      <c r="C1340" s="301" t="s">
        <v>35</v>
      </c>
      <c r="D1340" s="303">
        <v>161.24</v>
      </c>
    </row>
    <row r="1341" spans="1:4">
      <c r="A1341" s="302">
        <v>83661</v>
      </c>
      <c r="B1341" s="301" t="s">
        <v>2449</v>
      </c>
      <c r="C1341" s="301" t="s">
        <v>35</v>
      </c>
      <c r="D1341" s="303">
        <v>107.43</v>
      </c>
    </row>
    <row r="1342" spans="1:4">
      <c r="A1342" s="302">
        <v>83662</v>
      </c>
      <c r="B1342" s="301" t="s">
        <v>2450</v>
      </c>
      <c r="C1342" s="301" t="s">
        <v>60</v>
      </c>
      <c r="D1342" s="303">
        <v>111.54</v>
      </c>
    </row>
    <row r="1343" spans="1:4">
      <c r="A1343" s="302">
        <v>83664</v>
      </c>
      <c r="B1343" s="301" t="s">
        <v>2451</v>
      </c>
      <c r="C1343" s="301" t="s">
        <v>35</v>
      </c>
      <c r="D1343" s="303">
        <v>65.040000000000006</v>
      </c>
    </row>
    <row r="1344" spans="1:4">
      <c r="A1344" s="302">
        <v>83665</v>
      </c>
      <c r="B1344" s="301" t="s">
        <v>12404</v>
      </c>
      <c r="C1344" s="301" t="s">
        <v>117</v>
      </c>
      <c r="D1344" s="303">
        <v>8.01</v>
      </c>
    </row>
    <row r="1345" spans="1:4">
      <c r="A1345" s="302">
        <v>83669</v>
      </c>
      <c r="B1345" s="301" t="s">
        <v>12405</v>
      </c>
      <c r="C1345" s="301" t="s">
        <v>117</v>
      </c>
      <c r="D1345" s="303">
        <v>9.5299999999999994</v>
      </c>
    </row>
    <row r="1346" spans="1:4">
      <c r="A1346" s="302">
        <v>83670</v>
      </c>
      <c r="B1346" s="301" t="s">
        <v>2452</v>
      </c>
      <c r="C1346" s="301" t="s">
        <v>35</v>
      </c>
      <c r="D1346" s="303">
        <v>47.93</v>
      </c>
    </row>
    <row r="1347" spans="1:4">
      <c r="A1347" s="302">
        <v>83671</v>
      </c>
      <c r="B1347" s="301" t="s">
        <v>2453</v>
      </c>
      <c r="C1347" s="301" t="s">
        <v>35</v>
      </c>
      <c r="D1347" s="303">
        <v>51.47</v>
      </c>
    </row>
    <row r="1348" spans="1:4">
      <c r="A1348" s="302">
        <v>83679</v>
      </c>
      <c r="B1348" s="301" t="s">
        <v>2454</v>
      </c>
      <c r="C1348" s="301" t="s">
        <v>35</v>
      </c>
      <c r="D1348" s="303">
        <v>14.3</v>
      </c>
    </row>
    <row r="1349" spans="1:4">
      <c r="A1349" s="302">
        <v>83680</v>
      </c>
      <c r="B1349" s="301" t="s">
        <v>2455</v>
      </c>
      <c r="C1349" s="301" t="s">
        <v>35</v>
      </c>
      <c r="D1349" s="303">
        <v>17.190000000000001</v>
      </c>
    </row>
    <row r="1350" spans="1:4">
      <c r="A1350" s="302">
        <v>83681</v>
      </c>
      <c r="B1350" s="301" t="s">
        <v>2456</v>
      </c>
      <c r="C1350" s="301" t="s">
        <v>35</v>
      </c>
      <c r="D1350" s="303">
        <v>18.5</v>
      </c>
    </row>
    <row r="1351" spans="1:4">
      <c r="A1351" s="302">
        <v>83682</v>
      </c>
      <c r="B1351" s="301" t="s">
        <v>12406</v>
      </c>
      <c r="C1351" s="301" t="s">
        <v>60</v>
      </c>
      <c r="D1351" s="303">
        <v>127.77</v>
      </c>
    </row>
    <row r="1352" spans="1:4">
      <c r="A1352" s="302">
        <v>83729</v>
      </c>
      <c r="B1352" s="301" t="s">
        <v>12407</v>
      </c>
      <c r="C1352" s="301" t="s">
        <v>117</v>
      </c>
      <c r="D1352" s="303">
        <v>18.670000000000002</v>
      </c>
    </row>
    <row r="1353" spans="1:4">
      <c r="A1353" s="302">
        <v>83739</v>
      </c>
      <c r="B1353" s="301" t="s">
        <v>12408</v>
      </c>
      <c r="C1353" s="301" t="s">
        <v>117</v>
      </c>
      <c r="D1353" s="303">
        <v>6.51</v>
      </c>
    </row>
    <row r="1354" spans="1:4">
      <c r="A1354" s="302">
        <v>6454</v>
      </c>
      <c r="B1354" s="301" t="s">
        <v>12409</v>
      </c>
      <c r="C1354" s="301" t="s">
        <v>60</v>
      </c>
      <c r="D1354" s="303">
        <v>187.46</v>
      </c>
    </row>
    <row r="1355" spans="1:4">
      <c r="A1355" s="302">
        <v>73611</v>
      </c>
      <c r="B1355" s="301" t="s">
        <v>12410</v>
      </c>
      <c r="C1355" s="301" t="s">
        <v>60</v>
      </c>
      <c r="D1355" s="303">
        <v>392.97</v>
      </c>
    </row>
    <row r="1356" spans="1:4">
      <c r="A1356" s="302">
        <v>73697</v>
      </c>
      <c r="B1356" s="301" t="s">
        <v>12411</v>
      </c>
      <c r="C1356" s="301" t="s">
        <v>60</v>
      </c>
      <c r="D1356" s="303">
        <v>185.31</v>
      </c>
    </row>
    <row r="1357" spans="1:4">
      <c r="A1357" s="302">
        <v>73698</v>
      </c>
      <c r="B1357" s="301" t="s">
        <v>12412</v>
      </c>
      <c r="C1357" s="301" t="s">
        <v>60</v>
      </c>
      <c r="D1357" s="303">
        <v>238.88</v>
      </c>
    </row>
    <row r="1358" spans="1:4">
      <c r="A1358" s="301" t="s">
        <v>12413</v>
      </c>
      <c r="B1358" s="301" t="s">
        <v>12414</v>
      </c>
      <c r="C1358" s="301" t="s">
        <v>117</v>
      </c>
      <c r="D1358" s="303">
        <v>112.19</v>
      </c>
    </row>
    <row r="1359" spans="1:4">
      <c r="A1359" s="301" t="s">
        <v>12415</v>
      </c>
      <c r="B1359" s="301" t="s">
        <v>12416</v>
      </c>
      <c r="C1359" s="301" t="s">
        <v>117</v>
      </c>
      <c r="D1359" s="303">
        <v>281.99</v>
      </c>
    </row>
    <row r="1360" spans="1:4">
      <c r="A1360" s="302">
        <v>92743</v>
      </c>
      <c r="B1360" s="301" t="s">
        <v>2457</v>
      </c>
      <c r="C1360" s="301" t="s">
        <v>60</v>
      </c>
      <c r="D1360" s="303">
        <v>507.67</v>
      </c>
    </row>
    <row r="1361" spans="1:4">
      <c r="A1361" s="302">
        <v>92744</v>
      </c>
      <c r="B1361" s="301" t="s">
        <v>2458</v>
      </c>
      <c r="C1361" s="301" t="s">
        <v>60</v>
      </c>
      <c r="D1361" s="303">
        <v>496.28</v>
      </c>
    </row>
    <row r="1362" spans="1:4">
      <c r="A1362" s="302">
        <v>92745</v>
      </c>
      <c r="B1362" s="301" t="s">
        <v>2459</v>
      </c>
      <c r="C1362" s="301" t="s">
        <v>60</v>
      </c>
      <c r="D1362" s="303">
        <v>627.86</v>
      </c>
    </row>
    <row r="1363" spans="1:4">
      <c r="A1363" s="302">
        <v>92746</v>
      </c>
      <c r="B1363" s="301" t="s">
        <v>2460</v>
      </c>
      <c r="C1363" s="301" t="s">
        <v>60</v>
      </c>
      <c r="D1363" s="303">
        <v>584.13</v>
      </c>
    </row>
    <row r="1364" spans="1:4">
      <c r="A1364" s="302">
        <v>92747</v>
      </c>
      <c r="B1364" s="301" t="s">
        <v>2461</v>
      </c>
      <c r="C1364" s="301" t="s">
        <v>60</v>
      </c>
      <c r="D1364" s="303">
        <v>696.26</v>
      </c>
    </row>
    <row r="1365" spans="1:4">
      <c r="A1365" s="302">
        <v>92748</v>
      </c>
      <c r="B1365" s="301" t="s">
        <v>2462</v>
      </c>
      <c r="C1365" s="301" t="s">
        <v>60</v>
      </c>
      <c r="D1365" s="303">
        <v>634.39</v>
      </c>
    </row>
    <row r="1366" spans="1:4">
      <c r="A1366" s="302">
        <v>92749</v>
      </c>
      <c r="B1366" s="301" t="s">
        <v>2463</v>
      </c>
      <c r="C1366" s="301" t="s">
        <v>60</v>
      </c>
      <c r="D1366" s="303">
        <v>726.17</v>
      </c>
    </row>
    <row r="1367" spans="1:4">
      <c r="A1367" s="302">
        <v>92750</v>
      </c>
      <c r="B1367" s="301" t="s">
        <v>2464</v>
      </c>
      <c r="C1367" s="301" t="s">
        <v>60</v>
      </c>
      <c r="D1367" s="304">
        <v>1246.55</v>
      </c>
    </row>
    <row r="1368" spans="1:4">
      <c r="A1368" s="302">
        <v>92751</v>
      </c>
      <c r="B1368" s="301" t="s">
        <v>2465</v>
      </c>
      <c r="C1368" s="301" t="s">
        <v>60</v>
      </c>
      <c r="D1368" s="304">
        <v>1549.29</v>
      </c>
    </row>
    <row r="1369" spans="1:4">
      <c r="A1369" s="302">
        <v>92752</v>
      </c>
      <c r="B1369" s="301" t="s">
        <v>2466</v>
      </c>
      <c r="C1369" s="301" t="s">
        <v>60</v>
      </c>
      <c r="D1369" s="304">
        <v>1850.99</v>
      </c>
    </row>
    <row r="1370" spans="1:4">
      <c r="A1370" s="302">
        <v>92753</v>
      </c>
      <c r="B1370" s="301" t="s">
        <v>2467</v>
      </c>
      <c r="C1370" s="301" t="s">
        <v>60</v>
      </c>
      <c r="D1370" s="303">
        <v>464.7</v>
      </c>
    </row>
    <row r="1371" spans="1:4">
      <c r="A1371" s="302">
        <v>92754</v>
      </c>
      <c r="B1371" s="301" t="s">
        <v>2468</v>
      </c>
      <c r="C1371" s="301" t="s">
        <v>60</v>
      </c>
      <c r="D1371" s="303">
        <v>425.42</v>
      </c>
    </row>
    <row r="1372" spans="1:4">
      <c r="A1372" s="302">
        <v>92755</v>
      </c>
      <c r="B1372" s="301" t="s">
        <v>2469</v>
      </c>
      <c r="C1372" s="301" t="s">
        <v>117</v>
      </c>
      <c r="D1372" s="303">
        <v>183.74</v>
      </c>
    </row>
    <row r="1373" spans="1:4">
      <c r="A1373" s="302">
        <v>92756</v>
      </c>
      <c r="B1373" s="301" t="s">
        <v>2470</v>
      </c>
      <c r="C1373" s="301" t="s">
        <v>117</v>
      </c>
      <c r="D1373" s="303">
        <v>208.71</v>
      </c>
    </row>
    <row r="1374" spans="1:4">
      <c r="A1374" s="302">
        <v>92757</v>
      </c>
      <c r="B1374" s="301" t="s">
        <v>2471</v>
      </c>
      <c r="C1374" s="301" t="s">
        <v>117</v>
      </c>
      <c r="D1374" s="303">
        <v>239.03</v>
      </c>
    </row>
    <row r="1375" spans="1:4">
      <c r="A1375" s="302">
        <v>92758</v>
      </c>
      <c r="B1375" s="301" t="s">
        <v>2472</v>
      </c>
      <c r="C1375" s="301" t="s">
        <v>60</v>
      </c>
      <c r="D1375" s="303">
        <v>592.92999999999995</v>
      </c>
    </row>
    <row r="1376" spans="1:4">
      <c r="A1376" s="302">
        <v>91069</v>
      </c>
      <c r="B1376" s="301" t="s">
        <v>2473</v>
      </c>
      <c r="C1376" s="301" t="s">
        <v>117</v>
      </c>
      <c r="D1376" s="303">
        <v>79.36</v>
      </c>
    </row>
    <row r="1377" spans="1:4">
      <c r="A1377" s="302">
        <v>91070</v>
      </c>
      <c r="B1377" s="301" t="s">
        <v>2474</v>
      </c>
      <c r="C1377" s="301" t="s">
        <v>117</v>
      </c>
      <c r="D1377" s="303">
        <v>88.29</v>
      </c>
    </row>
    <row r="1378" spans="1:4">
      <c r="A1378" s="302">
        <v>91071</v>
      </c>
      <c r="B1378" s="301" t="s">
        <v>2475</v>
      </c>
      <c r="C1378" s="301" t="s">
        <v>117</v>
      </c>
      <c r="D1378" s="303">
        <v>109.56</v>
      </c>
    </row>
    <row r="1379" spans="1:4">
      <c r="A1379" s="302">
        <v>91072</v>
      </c>
      <c r="B1379" s="301" t="s">
        <v>2476</v>
      </c>
      <c r="C1379" s="301" t="s">
        <v>117</v>
      </c>
      <c r="D1379" s="303">
        <v>118.5</v>
      </c>
    </row>
    <row r="1380" spans="1:4">
      <c r="A1380" s="302">
        <v>91073</v>
      </c>
      <c r="B1380" s="301" t="s">
        <v>2477</v>
      </c>
      <c r="C1380" s="301" t="s">
        <v>117</v>
      </c>
      <c r="D1380" s="303">
        <v>89.78</v>
      </c>
    </row>
    <row r="1381" spans="1:4">
      <c r="A1381" s="302">
        <v>91074</v>
      </c>
      <c r="B1381" s="301" t="s">
        <v>2478</v>
      </c>
      <c r="C1381" s="301" t="s">
        <v>117</v>
      </c>
      <c r="D1381" s="303">
        <v>99.77</v>
      </c>
    </row>
    <row r="1382" spans="1:4">
      <c r="A1382" s="302">
        <v>91075</v>
      </c>
      <c r="B1382" s="301" t="s">
        <v>2479</v>
      </c>
      <c r="C1382" s="301" t="s">
        <v>117</v>
      </c>
      <c r="D1382" s="303">
        <v>122.14</v>
      </c>
    </row>
    <row r="1383" spans="1:4">
      <c r="A1383" s="302">
        <v>91076</v>
      </c>
      <c r="B1383" s="301" t="s">
        <v>2480</v>
      </c>
      <c r="C1383" s="301" t="s">
        <v>117</v>
      </c>
      <c r="D1383" s="303">
        <v>132.19</v>
      </c>
    </row>
    <row r="1384" spans="1:4">
      <c r="A1384" s="302">
        <v>91077</v>
      </c>
      <c r="B1384" s="301" t="s">
        <v>2481</v>
      </c>
      <c r="C1384" s="301" t="s">
        <v>117</v>
      </c>
      <c r="D1384" s="303">
        <v>86.14</v>
      </c>
    </row>
    <row r="1385" spans="1:4">
      <c r="A1385" s="302">
        <v>91078</v>
      </c>
      <c r="B1385" s="301" t="s">
        <v>2482</v>
      </c>
      <c r="C1385" s="301" t="s">
        <v>117</v>
      </c>
      <c r="D1385" s="303">
        <v>100.95</v>
      </c>
    </row>
    <row r="1386" spans="1:4">
      <c r="A1386" s="302">
        <v>91079</v>
      </c>
      <c r="B1386" s="301" t="s">
        <v>2483</v>
      </c>
      <c r="C1386" s="301" t="s">
        <v>117</v>
      </c>
      <c r="D1386" s="303">
        <v>90.66</v>
      </c>
    </row>
    <row r="1387" spans="1:4">
      <c r="A1387" s="302">
        <v>91080</v>
      </c>
      <c r="B1387" s="301" t="s">
        <v>2484</v>
      </c>
      <c r="C1387" s="301" t="s">
        <v>117</v>
      </c>
      <c r="D1387" s="303">
        <v>105.32</v>
      </c>
    </row>
    <row r="1388" spans="1:4">
      <c r="A1388" s="302">
        <v>91081</v>
      </c>
      <c r="B1388" s="301" t="s">
        <v>2485</v>
      </c>
      <c r="C1388" s="301" t="s">
        <v>117</v>
      </c>
      <c r="D1388" s="303">
        <v>97.74</v>
      </c>
    </row>
    <row r="1389" spans="1:4">
      <c r="A1389" s="302">
        <v>91082</v>
      </c>
      <c r="B1389" s="301" t="s">
        <v>2486</v>
      </c>
      <c r="C1389" s="301" t="s">
        <v>117</v>
      </c>
      <c r="D1389" s="303">
        <v>113.5</v>
      </c>
    </row>
    <row r="1390" spans="1:4">
      <c r="A1390" s="302">
        <v>91083</v>
      </c>
      <c r="B1390" s="301" t="s">
        <v>2487</v>
      </c>
      <c r="C1390" s="301" t="s">
        <v>117</v>
      </c>
      <c r="D1390" s="303">
        <v>105.69</v>
      </c>
    </row>
    <row r="1391" spans="1:4">
      <c r="A1391" s="302">
        <v>91084</v>
      </c>
      <c r="B1391" s="301" t="s">
        <v>2488</v>
      </c>
      <c r="C1391" s="301" t="s">
        <v>117</v>
      </c>
      <c r="D1391" s="303">
        <v>121.28</v>
      </c>
    </row>
    <row r="1392" spans="1:4">
      <c r="A1392" s="302">
        <v>91086</v>
      </c>
      <c r="B1392" s="301" t="s">
        <v>2489</v>
      </c>
      <c r="C1392" s="301" t="s">
        <v>117</v>
      </c>
      <c r="D1392" s="303">
        <v>86.95</v>
      </c>
    </row>
    <row r="1393" spans="1:4">
      <c r="A1393" s="302">
        <v>91087</v>
      </c>
      <c r="B1393" s="301" t="s">
        <v>2490</v>
      </c>
      <c r="C1393" s="301" t="s">
        <v>117</v>
      </c>
      <c r="D1393" s="303">
        <v>96.12</v>
      </c>
    </row>
    <row r="1394" spans="1:4">
      <c r="A1394" s="302">
        <v>91088</v>
      </c>
      <c r="B1394" s="301" t="s">
        <v>2491</v>
      </c>
      <c r="C1394" s="301" t="s">
        <v>117</v>
      </c>
      <c r="D1394" s="303">
        <v>118.33</v>
      </c>
    </row>
    <row r="1395" spans="1:4">
      <c r="A1395" s="302">
        <v>91089</v>
      </c>
      <c r="B1395" s="301" t="s">
        <v>2492</v>
      </c>
      <c r="C1395" s="301" t="s">
        <v>117</v>
      </c>
      <c r="D1395" s="303">
        <v>127.63</v>
      </c>
    </row>
    <row r="1396" spans="1:4">
      <c r="A1396" s="302">
        <v>91090</v>
      </c>
      <c r="B1396" s="301" t="s">
        <v>2493</v>
      </c>
      <c r="C1396" s="301" t="s">
        <v>117</v>
      </c>
      <c r="D1396" s="303">
        <v>95.98</v>
      </c>
    </row>
    <row r="1397" spans="1:4">
      <c r="A1397" s="302">
        <v>91091</v>
      </c>
      <c r="B1397" s="301" t="s">
        <v>2494</v>
      </c>
      <c r="C1397" s="301" t="s">
        <v>117</v>
      </c>
      <c r="D1397" s="303">
        <v>106.34</v>
      </c>
    </row>
    <row r="1398" spans="1:4">
      <c r="A1398" s="302">
        <v>91092</v>
      </c>
      <c r="B1398" s="301" t="s">
        <v>2495</v>
      </c>
      <c r="C1398" s="301" t="s">
        <v>117</v>
      </c>
      <c r="D1398" s="303">
        <v>129.12</v>
      </c>
    </row>
    <row r="1399" spans="1:4">
      <c r="A1399" s="302">
        <v>91093</v>
      </c>
      <c r="B1399" s="301" t="s">
        <v>2496</v>
      </c>
      <c r="C1399" s="301" t="s">
        <v>117</v>
      </c>
      <c r="D1399" s="303">
        <v>139.77000000000001</v>
      </c>
    </row>
    <row r="1400" spans="1:4">
      <c r="A1400" s="302">
        <v>91094</v>
      </c>
      <c r="B1400" s="301" t="s">
        <v>2497</v>
      </c>
      <c r="C1400" s="301" t="s">
        <v>117</v>
      </c>
      <c r="D1400" s="303">
        <v>90.73</v>
      </c>
    </row>
    <row r="1401" spans="1:4">
      <c r="A1401" s="302">
        <v>91095</v>
      </c>
      <c r="B1401" s="301" t="s">
        <v>2498</v>
      </c>
      <c r="C1401" s="301" t="s">
        <v>117</v>
      </c>
      <c r="D1401" s="303">
        <v>105.83</v>
      </c>
    </row>
    <row r="1402" spans="1:4">
      <c r="A1402" s="302">
        <v>91096</v>
      </c>
      <c r="B1402" s="301" t="s">
        <v>2499</v>
      </c>
      <c r="C1402" s="301" t="s">
        <v>117</v>
      </c>
      <c r="D1402" s="303">
        <v>93.16</v>
      </c>
    </row>
    <row r="1403" spans="1:4">
      <c r="A1403" s="302">
        <v>91097</v>
      </c>
      <c r="B1403" s="301" t="s">
        <v>2500</v>
      </c>
      <c r="C1403" s="301" t="s">
        <v>117</v>
      </c>
      <c r="D1403" s="303">
        <v>108.17</v>
      </c>
    </row>
    <row r="1404" spans="1:4">
      <c r="A1404" s="302">
        <v>91098</v>
      </c>
      <c r="B1404" s="301" t="s">
        <v>2501</v>
      </c>
      <c r="C1404" s="301" t="s">
        <v>117</v>
      </c>
      <c r="D1404" s="303">
        <v>102.24</v>
      </c>
    </row>
    <row r="1405" spans="1:4">
      <c r="A1405" s="302">
        <v>91099</v>
      </c>
      <c r="B1405" s="301" t="s">
        <v>2502</v>
      </c>
      <c r="C1405" s="301" t="s">
        <v>117</v>
      </c>
      <c r="D1405" s="303">
        <v>118.36</v>
      </c>
    </row>
    <row r="1406" spans="1:4">
      <c r="A1406" s="302">
        <v>91100</v>
      </c>
      <c r="B1406" s="301" t="s">
        <v>2503</v>
      </c>
      <c r="C1406" s="301" t="s">
        <v>117</v>
      </c>
      <c r="D1406" s="303">
        <v>108.67</v>
      </c>
    </row>
    <row r="1407" spans="1:4">
      <c r="A1407" s="302">
        <v>91101</v>
      </c>
      <c r="B1407" s="301" t="s">
        <v>2504</v>
      </c>
      <c r="C1407" s="301" t="s">
        <v>117</v>
      </c>
      <c r="D1407" s="303">
        <v>124.75</v>
      </c>
    </row>
    <row r="1408" spans="1:4">
      <c r="A1408" s="302">
        <v>93952</v>
      </c>
      <c r="B1408" s="301" t="s">
        <v>2505</v>
      </c>
      <c r="C1408" s="301" t="s">
        <v>35</v>
      </c>
      <c r="D1408" s="303">
        <v>152.13</v>
      </c>
    </row>
    <row r="1409" spans="1:4">
      <c r="A1409" s="302">
        <v>93953</v>
      </c>
      <c r="B1409" s="301" t="s">
        <v>2506</v>
      </c>
      <c r="C1409" s="301" t="s">
        <v>35</v>
      </c>
      <c r="D1409" s="303">
        <v>141.19</v>
      </c>
    </row>
    <row r="1410" spans="1:4">
      <c r="A1410" s="302">
        <v>93954</v>
      </c>
      <c r="B1410" s="301" t="s">
        <v>2507</v>
      </c>
      <c r="C1410" s="301" t="s">
        <v>35</v>
      </c>
      <c r="D1410" s="303">
        <v>134.59</v>
      </c>
    </row>
    <row r="1411" spans="1:4">
      <c r="A1411" s="302">
        <v>93955</v>
      </c>
      <c r="B1411" s="301" t="s">
        <v>2508</v>
      </c>
      <c r="C1411" s="301" t="s">
        <v>35</v>
      </c>
      <c r="D1411" s="303">
        <v>129.91999999999999</v>
      </c>
    </row>
    <row r="1412" spans="1:4">
      <c r="A1412" s="302">
        <v>93956</v>
      </c>
      <c r="B1412" s="301" t="s">
        <v>2509</v>
      </c>
      <c r="C1412" s="301" t="s">
        <v>35</v>
      </c>
      <c r="D1412" s="303">
        <v>126.23</v>
      </c>
    </row>
    <row r="1413" spans="1:4">
      <c r="A1413" s="302">
        <v>93957</v>
      </c>
      <c r="B1413" s="301" t="s">
        <v>2510</v>
      </c>
      <c r="C1413" s="301" t="s">
        <v>35</v>
      </c>
      <c r="D1413" s="303">
        <v>160.30000000000001</v>
      </c>
    </row>
    <row r="1414" spans="1:4">
      <c r="A1414" s="302">
        <v>93958</v>
      </c>
      <c r="B1414" s="301" t="s">
        <v>2511</v>
      </c>
      <c r="C1414" s="301" t="s">
        <v>35</v>
      </c>
      <c r="D1414" s="303">
        <v>148.71</v>
      </c>
    </row>
    <row r="1415" spans="1:4">
      <c r="A1415" s="302">
        <v>93959</v>
      </c>
      <c r="B1415" s="301" t="s">
        <v>2512</v>
      </c>
      <c r="C1415" s="301" t="s">
        <v>35</v>
      </c>
      <c r="D1415" s="303">
        <v>141.85</v>
      </c>
    </row>
    <row r="1416" spans="1:4">
      <c r="A1416" s="302">
        <v>93960</v>
      </c>
      <c r="B1416" s="301" t="s">
        <v>2513</v>
      </c>
      <c r="C1416" s="301" t="s">
        <v>35</v>
      </c>
      <c r="D1416" s="303">
        <v>136.97999999999999</v>
      </c>
    </row>
    <row r="1417" spans="1:4">
      <c r="A1417" s="302">
        <v>93961</v>
      </c>
      <c r="B1417" s="301" t="s">
        <v>2514</v>
      </c>
      <c r="C1417" s="301" t="s">
        <v>35</v>
      </c>
      <c r="D1417" s="303">
        <v>133.16</v>
      </c>
    </row>
    <row r="1418" spans="1:4">
      <c r="A1418" s="302">
        <v>93962</v>
      </c>
      <c r="B1418" s="301" t="s">
        <v>2515</v>
      </c>
      <c r="C1418" s="301" t="s">
        <v>35</v>
      </c>
      <c r="D1418" s="303">
        <v>143</v>
      </c>
    </row>
    <row r="1419" spans="1:4">
      <c r="A1419" s="302">
        <v>93963</v>
      </c>
      <c r="B1419" s="301" t="s">
        <v>2516</v>
      </c>
      <c r="C1419" s="301" t="s">
        <v>35</v>
      </c>
      <c r="D1419" s="303">
        <v>132.03</v>
      </c>
    </row>
    <row r="1420" spans="1:4">
      <c r="A1420" s="302">
        <v>93964</v>
      </c>
      <c r="B1420" s="301" t="s">
        <v>2517</v>
      </c>
      <c r="C1420" s="301" t="s">
        <v>35</v>
      </c>
      <c r="D1420" s="303">
        <v>125.48</v>
      </c>
    </row>
    <row r="1421" spans="1:4">
      <c r="A1421" s="302">
        <v>93965</v>
      </c>
      <c r="B1421" s="301" t="s">
        <v>2518</v>
      </c>
      <c r="C1421" s="301" t="s">
        <v>35</v>
      </c>
      <c r="D1421" s="303">
        <v>119.37</v>
      </c>
    </row>
    <row r="1422" spans="1:4">
      <c r="A1422" s="302">
        <v>93966</v>
      </c>
      <c r="B1422" s="301" t="s">
        <v>2519</v>
      </c>
      <c r="C1422" s="301" t="s">
        <v>35</v>
      </c>
      <c r="D1422" s="303">
        <v>117.2</v>
      </c>
    </row>
    <row r="1423" spans="1:4">
      <c r="A1423" s="302">
        <v>93967</v>
      </c>
      <c r="B1423" s="301" t="s">
        <v>2520</v>
      </c>
      <c r="C1423" s="301" t="s">
        <v>35</v>
      </c>
      <c r="D1423" s="303">
        <v>151.15</v>
      </c>
    </row>
    <row r="1424" spans="1:4">
      <c r="A1424" s="302">
        <v>93968</v>
      </c>
      <c r="B1424" s="301" t="s">
        <v>2521</v>
      </c>
      <c r="C1424" s="301" t="s">
        <v>35</v>
      </c>
      <c r="D1424" s="303">
        <v>139.6</v>
      </c>
    </row>
    <row r="1425" spans="1:4">
      <c r="A1425" s="302">
        <v>93969</v>
      </c>
      <c r="B1425" s="301" t="s">
        <v>2522</v>
      </c>
      <c r="C1425" s="301" t="s">
        <v>35</v>
      </c>
      <c r="D1425" s="303">
        <v>132.74</v>
      </c>
    </row>
    <row r="1426" spans="1:4">
      <c r="A1426" s="302">
        <v>93970</v>
      </c>
      <c r="B1426" s="301" t="s">
        <v>2523</v>
      </c>
      <c r="C1426" s="301" t="s">
        <v>35</v>
      </c>
      <c r="D1426" s="303">
        <v>127.92</v>
      </c>
    </row>
    <row r="1427" spans="1:4">
      <c r="A1427" s="302">
        <v>93971</v>
      </c>
      <c r="B1427" s="301" t="s">
        <v>2524</v>
      </c>
      <c r="C1427" s="301" t="s">
        <v>35</v>
      </c>
      <c r="D1427" s="303">
        <v>120.76</v>
      </c>
    </row>
    <row r="1428" spans="1:4">
      <c r="A1428" s="302">
        <v>95108</v>
      </c>
      <c r="B1428" s="301" t="s">
        <v>2525</v>
      </c>
      <c r="C1428" s="301" t="s">
        <v>28</v>
      </c>
      <c r="D1428" s="303">
        <v>22.95</v>
      </c>
    </row>
    <row r="1429" spans="1:4">
      <c r="A1429" s="302">
        <v>100332</v>
      </c>
      <c r="B1429" s="301" t="s">
        <v>2526</v>
      </c>
      <c r="C1429" s="301" t="s">
        <v>117</v>
      </c>
      <c r="D1429" s="303">
        <v>563.54</v>
      </c>
    </row>
    <row r="1430" spans="1:4">
      <c r="A1430" s="302">
        <v>100333</v>
      </c>
      <c r="B1430" s="301" t="s">
        <v>2527</v>
      </c>
      <c r="C1430" s="301" t="s">
        <v>117</v>
      </c>
      <c r="D1430" s="303">
        <v>360.58</v>
      </c>
    </row>
    <row r="1431" spans="1:4">
      <c r="A1431" s="302">
        <v>100334</v>
      </c>
      <c r="B1431" s="301" t="s">
        <v>2528</v>
      </c>
      <c r="C1431" s="301" t="s">
        <v>117</v>
      </c>
      <c r="D1431" s="303">
        <v>453.21</v>
      </c>
    </row>
    <row r="1432" spans="1:4">
      <c r="A1432" s="302">
        <v>100335</v>
      </c>
      <c r="B1432" s="301" t="s">
        <v>2529</v>
      </c>
      <c r="C1432" s="301" t="s">
        <v>117</v>
      </c>
      <c r="D1432" s="303">
        <v>300.99</v>
      </c>
    </row>
    <row r="1433" spans="1:4">
      <c r="A1433" s="302">
        <v>100341</v>
      </c>
      <c r="B1433" s="301" t="s">
        <v>2530</v>
      </c>
      <c r="C1433" s="301" t="s">
        <v>117</v>
      </c>
      <c r="D1433" s="303">
        <v>24.58</v>
      </c>
    </row>
    <row r="1434" spans="1:4">
      <c r="A1434" s="302">
        <v>100342</v>
      </c>
      <c r="B1434" s="301" t="s">
        <v>2531</v>
      </c>
      <c r="C1434" s="301" t="s">
        <v>34</v>
      </c>
      <c r="D1434" s="303">
        <v>9.39</v>
      </c>
    </row>
    <row r="1435" spans="1:4">
      <c r="A1435" s="302">
        <v>100343</v>
      </c>
      <c r="B1435" s="301" t="s">
        <v>2532</v>
      </c>
      <c r="C1435" s="301" t="s">
        <v>34</v>
      </c>
      <c r="D1435" s="303">
        <v>8.57</v>
      </c>
    </row>
    <row r="1436" spans="1:4">
      <c r="A1436" s="302">
        <v>100344</v>
      </c>
      <c r="B1436" s="301" t="s">
        <v>2533</v>
      </c>
      <c r="C1436" s="301" t="s">
        <v>34</v>
      </c>
      <c r="D1436" s="303">
        <v>7.53</v>
      </c>
    </row>
    <row r="1437" spans="1:4">
      <c r="A1437" s="302">
        <v>100345</v>
      </c>
      <c r="B1437" s="301" t="s">
        <v>2534</v>
      </c>
      <c r="C1437" s="301" t="s">
        <v>34</v>
      </c>
      <c r="D1437" s="303">
        <v>6.29</v>
      </c>
    </row>
    <row r="1438" spans="1:4">
      <c r="A1438" s="302">
        <v>100346</v>
      </c>
      <c r="B1438" s="301" t="s">
        <v>2535</v>
      </c>
      <c r="C1438" s="301" t="s">
        <v>34</v>
      </c>
      <c r="D1438" s="303">
        <v>5.87</v>
      </c>
    </row>
    <row r="1439" spans="1:4">
      <c r="A1439" s="302">
        <v>100347</v>
      </c>
      <c r="B1439" s="301" t="s">
        <v>2536</v>
      </c>
      <c r="C1439" s="301" t="s">
        <v>34</v>
      </c>
      <c r="D1439" s="303">
        <v>6.48</v>
      </c>
    </row>
    <row r="1440" spans="1:4">
      <c r="A1440" s="302">
        <v>100348</v>
      </c>
      <c r="B1440" s="301" t="s">
        <v>2537</v>
      </c>
      <c r="C1440" s="301" t="s">
        <v>34</v>
      </c>
      <c r="D1440" s="303">
        <v>6.28</v>
      </c>
    </row>
    <row r="1441" spans="1:4">
      <c r="A1441" s="302">
        <v>100349</v>
      </c>
      <c r="B1441" s="301" t="s">
        <v>2538</v>
      </c>
      <c r="C1441" s="301" t="s">
        <v>60</v>
      </c>
      <c r="D1441" s="303">
        <v>486.23</v>
      </c>
    </row>
    <row r="1442" spans="1:4">
      <c r="A1442" s="301" t="s">
        <v>2539</v>
      </c>
      <c r="B1442" s="301" t="s">
        <v>2540</v>
      </c>
      <c r="C1442" s="301" t="s">
        <v>28</v>
      </c>
      <c r="D1442" s="303">
        <v>290.49</v>
      </c>
    </row>
    <row r="1443" spans="1:4">
      <c r="A1443" s="301" t="s">
        <v>2541</v>
      </c>
      <c r="B1443" s="301" t="s">
        <v>2542</v>
      </c>
      <c r="C1443" s="301" t="s">
        <v>28</v>
      </c>
      <c r="D1443" s="303">
        <v>556.52</v>
      </c>
    </row>
    <row r="1444" spans="1:4">
      <c r="A1444" s="301" t="s">
        <v>2543</v>
      </c>
      <c r="B1444" s="301" t="s">
        <v>2544</v>
      </c>
      <c r="C1444" s="301" t="s">
        <v>28</v>
      </c>
      <c r="D1444" s="303">
        <v>912.75</v>
      </c>
    </row>
    <row r="1445" spans="1:4">
      <c r="A1445" s="301" t="s">
        <v>2545</v>
      </c>
      <c r="B1445" s="301" t="s">
        <v>2546</v>
      </c>
      <c r="C1445" s="301" t="s">
        <v>28</v>
      </c>
      <c r="D1445" s="304">
        <v>1368.76</v>
      </c>
    </row>
    <row r="1446" spans="1:4">
      <c r="A1446" s="301" t="s">
        <v>2547</v>
      </c>
      <c r="B1446" s="301" t="s">
        <v>2548</v>
      </c>
      <c r="C1446" s="301" t="s">
        <v>28</v>
      </c>
      <c r="D1446" s="304">
        <v>1931.27</v>
      </c>
    </row>
    <row r="1447" spans="1:4">
      <c r="A1447" s="301" t="s">
        <v>2549</v>
      </c>
      <c r="B1447" s="301" t="s">
        <v>2550</v>
      </c>
      <c r="C1447" s="301" t="s">
        <v>28</v>
      </c>
      <c r="D1447" s="304">
        <v>2605.63</v>
      </c>
    </row>
    <row r="1448" spans="1:4">
      <c r="A1448" s="301" t="s">
        <v>2551</v>
      </c>
      <c r="B1448" s="301" t="s">
        <v>2552</v>
      </c>
      <c r="C1448" s="301" t="s">
        <v>28</v>
      </c>
      <c r="D1448" s="303">
        <v>786.33</v>
      </c>
    </row>
    <row r="1449" spans="1:4">
      <c r="A1449" s="301" t="s">
        <v>2553</v>
      </c>
      <c r="B1449" s="301" t="s">
        <v>2554</v>
      </c>
      <c r="C1449" s="301" t="s">
        <v>28</v>
      </c>
      <c r="D1449" s="304">
        <v>1297.18</v>
      </c>
    </row>
    <row r="1450" spans="1:4">
      <c r="A1450" s="301" t="s">
        <v>2555</v>
      </c>
      <c r="B1450" s="301" t="s">
        <v>2556</v>
      </c>
      <c r="C1450" s="301" t="s">
        <v>28</v>
      </c>
      <c r="D1450" s="304">
        <v>1948.56</v>
      </c>
    </row>
    <row r="1451" spans="1:4">
      <c r="A1451" s="301" t="s">
        <v>2557</v>
      </c>
      <c r="B1451" s="301" t="s">
        <v>2558</v>
      </c>
      <c r="C1451" s="301" t="s">
        <v>28</v>
      </c>
      <c r="D1451" s="304">
        <v>2426.14</v>
      </c>
    </row>
    <row r="1452" spans="1:4">
      <c r="A1452" s="301" t="s">
        <v>2559</v>
      </c>
      <c r="B1452" s="301" t="s">
        <v>2560</v>
      </c>
      <c r="C1452" s="301" t="s">
        <v>28</v>
      </c>
      <c r="D1452" s="304">
        <v>3702.33</v>
      </c>
    </row>
    <row r="1453" spans="1:4">
      <c r="A1453" s="301" t="s">
        <v>2561</v>
      </c>
      <c r="B1453" s="301" t="s">
        <v>2562</v>
      </c>
      <c r="C1453" s="301" t="s">
        <v>28</v>
      </c>
      <c r="D1453" s="304">
        <v>1015.7</v>
      </c>
    </row>
    <row r="1454" spans="1:4">
      <c r="A1454" s="301" t="s">
        <v>2563</v>
      </c>
      <c r="B1454" s="301" t="s">
        <v>2564</v>
      </c>
      <c r="C1454" s="301" t="s">
        <v>28</v>
      </c>
      <c r="D1454" s="304">
        <v>1681.12</v>
      </c>
    </row>
    <row r="1455" spans="1:4">
      <c r="A1455" s="301" t="s">
        <v>2565</v>
      </c>
      <c r="B1455" s="301" t="s">
        <v>2566</v>
      </c>
      <c r="C1455" s="301" t="s">
        <v>28</v>
      </c>
      <c r="D1455" s="304">
        <v>2527.9699999999998</v>
      </c>
    </row>
    <row r="1456" spans="1:4">
      <c r="A1456" s="301" t="s">
        <v>2567</v>
      </c>
      <c r="B1456" s="301" t="s">
        <v>2568</v>
      </c>
      <c r="C1456" s="301" t="s">
        <v>28</v>
      </c>
      <c r="D1456" s="304">
        <v>3564.62</v>
      </c>
    </row>
    <row r="1457" spans="1:4">
      <c r="A1457" s="301" t="s">
        <v>2569</v>
      </c>
      <c r="B1457" s="301" t="s">
        <v>2570</v>
      </c>
      <c r="C1457" s="301" t="s">
        <v>28</v>
      </c>
      <c r="D1457" s="304">
        <v>4799.16</v>
      </c>
    </row>
    <row r="1458" spans="1:4">
      <c r="A1458" s="301" t="s">
        <v>2571</v>
      </c>
      <c r="B1458" s="301" t="s">
        <v>2572</v>
      </c>
      <c r="C1458" s="301" t="s">
        <v>28</v>
      </c>
      <c r="D1458" s="304">
        <v>1413.5</v>
      </c>
    </row>
    <row r="1459" spans="1:4">
      <c r="A1459" s="302">
        <v>83659</v>
      </c>
      <c r="B1459" s="301" t="s">
        <v>2573</v>
      </c>
      <c r="C1459" s="301" t="s">
        <v>28</v>
      </c>
      <c r="D1459" s="303">
        <v>762.89</v>
      </c>
    </row>
    <row r="1460" spans="1:4">
      <c r="A1460" s="302">
        <v>83716</v>
      </c>
      <c r="B1460" s="301" t="s">
        <v>2574</v>
      </c>
      <c r="C1460" s="301" t="s">
        <v>28</v>
      </c>
      <c r="D1460" s="303">
        <v>289.68</v>
      </c>
    </row>
    <row r="1461" spans="1:4">
      <c r="A1461" s="302">
        <v>97976</v>
      </c>
      <c r="B1461" s="301" t="s">
        <v>2575</v>
      </c>
      <c r="C1461" s="301" t="s">
        <v>28</v>
      </c>
      <c r="D1461" s="303">
        <v>853.01</v>
      </c>
    </row>
    <row r="1462" spans="1:4">
      <c r="A1462" s="302">
        <v>97977</v>
      </c>
      <c r="B1462" s="301" t="s">
        <v>2576</v>
      </c>
      <c r="C1462" s="301" t="s">
        <v>28</v>
      </c>
      <c r="D1462" s="304">
        <v>1243.67</v>
      </c>
    </row>
    <row r="1463" spans="1:4">
      <c r="A1463" s="302">
        <v>97980</v>
      </c>
      <c r="B1463" s="301" t="s">
        <v>2577</v>
      </c>
      <c r="C1463" s="301" t="s">
        <v>28</v>
      </c>
      <c r="D1463" s="304">
        <v>1587.83</v>
      </c>
    </row>
    <row r="1464" spans="1:4">
      <c r="A1464" s="302">
        <v>97981</v>
      </c>
      <c r="B1464" s="301" t="s">
        <v>2578</v>
      </c>
      <c r="C1464" s="301" t="s">
        <v>35</v>
      </c>
      <c r="D1464" s="303">
        <v>955.46</v>
      </c>
    </row>
    <row r="1465" spans="1:4">
      <c r="A1465" s="302">
        <v>97983</v>
      </c>
      <c r="B1465" s="301" t="s">
        <v>2579</v>
      </c>
      <c r="C1465" s="301" t="s">
        <v>35</v>
      </c>
      <c r="D1465" s="303">
        <v>374.86</v>
      </c>
    </row>
    <row r="1466" spans="1:4">
      <c r="A1466" s="302">
        <v>97985</v>
      </c>
      <c r="B1466" s="301" t="s">
        <v>2580</v>
      </c>
      <c r="C1466" s="301" t="s">
        <v>35</v>
      </c>
      <c r="D1466" s="304">
        <v>1157.03</v>
      </c>
    </row>
    <row r="1467" spans="1:4">
      <c r="A1467" s="302">
        <v>97987</v>
      </c>
      <c r="B1467" s="301" t="s">
        <v>2581</v>
      </c>
      <c r="C1467" s="301" t="s">
        <v>35</v>
      </c>
      <c r="D1467" s="303">
        <v>419.41</v>
      </c>
    </row>
    <row r="1468" spans="1:4">
      <c r="A1468" s="302">
        <v>97988</v>
      </c>
      <c r="B1468" s="301" t="s">
        <v>2582</v>
      </c>
      <c r="C1468" s="301" t="s">
        <v>28</v>
      </c>
      <c r="D1468" s="304">
        <v>2296.84</v>
      </c>
    </row>
    <row r="1469" spans="1:4">
      <c r="A1469" s="302">
        <v>97989</v>
      </c>
      <c r="B1469" s="301" t="s">
        <v>2583</v>
      </c>
      <c r="C1469" s="301" t="s">
        <v>35</v>
      </c>
      <c r="D1469" s="304">
        <v>1358.63</v>
      </c>
    </row>
    <row r="1470" spans="1:4">
      <c r="A1470" s="302">
        <v>97991</v>
      </c>
      <c r="B1470" s="301" t="s">
        <v>2584</v>
      </c>
      <c r="C1470" s="301" t="s">
        <v>35</v>
      </c>
      <c r="D1470" s="303">
        <v>650.11</v>
      </c>
    </row>
    <row r="1471" spans="1:4">
      <c r="A1471" s="302">
        <v>97992</v>
      </c>
      <c r="B1471" s="301" t="s">
        <v>2585</v>
      </c>
      <c r="C1471" s="301" t="s">
        <v>28</v>
      </c>
      <c r="D1471" s="304">
        <v>2914.96</v>
      </c>
    </row>
    <row r="1472" spans="1:4">
      <c r="A1472" s="302">
        <v>97993</v>
      </c>
      <c r="B1472" s="301" t="s">
        <v>2586</v>
      </c>
      <c r="C1472" s="301" t="s">
        <v>35</v>
      </c>
      <c r="D1472" s="304">
        <v>1661</v>
      </c>
    </row>
    <row r="1473" spans="1:4">
      <c r="A1473" s="302">
        <v>97994</v>
      </c>
      <c r="B1473" s="301" t="s">
        <v>2587</v>
      </c>
      <c r="C1473" s="301" t="s">
        <v>28</v>
      </c>
      <c r="D1473" s="304">
        <v>2003.89</v>
      </c>
    </row>
    <row r="1474" spans="1:4">
      <c r="A1474" s="302">
        <v>97995</v>
      </c>
      <c r="B1474" s="301" t="s">
        <v>2588</v>
      </c>
      <c r="C1474" s="301" t="s">
        <v>35</v>
      </c>
      <c r="D1474" s="304">
        <v>1031.93</v>
      </c>
    </row>
    <row r="1475" spans="1:4">
      <c r="A1475" s="302">
        <v>97996</v>
      </c>
      <c r="B1475" s="301" t="s">
        <v>2589</v>
      </c>
      <c r="C1475" s="301" t="s">
        <v>28</v>
      </c>
      <c r="D1475" s="304">
        <v>2531.23</v>
      </c>
    </row>
    <row r="1476" spans="1:4">
      <c r="A1476" s="302">
        <v>97997</v>
      </c>
      <c r="B1476" s="301" t="s">
        <v>2590</v>
      </c>
      <c r="C1476" s="301" t="s">
        <v>35</v>
      </c>
      <c r="D1476" s="304">
        <v>1236.21</v>
      </c>
    </row>
    <row r="1477" spans="1:4">
      <c r="A1477" s="302">
        <v>97999</v>
      </c>
      <c r="B1477" s="301" t="s">
        <v>2591</v>
      </c>
      <c r="C1477" s="301" t="s">
        <v>35</v>
      </c>
      <c r="D1477" s="304">
        <v>1440.48</v>
      </c>
    </row>
    <row r="1478" spans="1:4">
      <c r="A1478" s="302">
        <v>98001</v>
      </c>
      <c r="B1478" s="301" t="s">
        <v>2592</v>
      </c>
      <c r="C1478" s="301" t="s">
        <v>35</v>
      </c>
      <c r="D1478" s="304">
        <v>1644.73</v>
      </c>
    </row>
    <row r="1479" spans="1:4">
      <c r="A1479" s="302">
        <v>98002</v>
      </c>
      <c r="B1479" s="301" t="s">
        <v>2593</v>
      </c>
      <c r="C1479" s="301" t="s">
        <v>28</v>
      </c>
      <c r="D1479" s="304">
        <v>4133.84</v>
      </c>
    </row>
    <row r="1480" spans="1:4">
      <c r="A1480" s="302">
        <v>98003</v>
      </c>
      <c r="B1480" s="301" t="s">
        <v>2594</v>
      </c>
      <c r="C1480" s="301" t="s">
        <v>35</v>
      </c>
      <c r="D1480" s="304">
        <v>1849.04</v>
      </c>
    </row>
    <row r="1481" spans="1:4">
      <c r="A1481" s="302">
        <v>98005</v>
      </c>
      <c r="B1481" s="301" t="s">
        <v>2595</v>
      </c>
      <c r="C1481" s="301" t="s">
        <v>35</v>
      </c>
      <c r="D1481" s="304">
        <v>2053.31</v>
      </c>
    </row>
    <row r="1482" spans="1:4">
      <c r="A1482" s="302">
        <v>98006</v>
      </c>
      <c r="B1482" s="301" t="s">
        <v>2596</v>
      </c>
      <c r="C1482" s="301" t="s">
        <v>28</v>
      </c>
      <c r="D1482" s="304">
        <v>5193.6400000000003</v>
      </c>
    </row>
    <row r="1483" spans="1:4">
      <c r="A1483" s="302">
        <v>98007</v>
      </c>
      <c r="B1483" s="301" t="s">
        <v>2597</v>
      </c>
      <c r="C1483" s="301" t="s">
        <v>35</v>
      </c>
      <c r="D1483" s="304">
        <v>2257.56</v>
      </c>
    </row>
    <row r="1484" spans="1:4">
      <c r="A1484" s="302">
        <v>98008</v>
      </c>
      <c r="B1484" s="301" t="s">
        <v>2598</v>
      </c>
      <c r="C1484" s="301" t="s">
        <v>28</v>
      </c>
      <c r="D1484" s="304">
        <v>3132.62</v>
      </c>
    </row>
    <row r="1485" spans="1:4">
      <c r="A1485" s="302">
        <v>98009</v>
      </c>
      <c r="B1485" s="301" t="s">
        <v>2599</v>
      </c>
      <c r="C1485" s="301" t="s">
        <v>35</v>
      </c>
      <c r="D1485" s="304">
        <v>1440.48</v>
      </c>
    </row>
    <row r="1486" spans="1:4">
      <c r="A1486" s="302">
        <v>98010</v>
      </c>
      <c r="B1486" s="301" t="s">
        <v>2600</v>
      </c>
      <c r="C1486" s="301" t="s">
        <v>28</v>
      </c>
      <c r="D1486" s="304">
        <v>3810.98</v>
      </c>
    </row>
    <row r="1487" spans="1:4">
      <c r="A1487" s="302">
        <v>98011</v>
      </c>
      <c r="B1487" s="301" t="s">
        <v>2601</v>
      </c>
      <c r="C1487" s="301" t="s">
        <v>35</v>
      </c>
      <c r="D1487" s="304">
        <v>1644.73</v>
      </c>
    </row>
    <row r="1488" spans="1:4">
      <c r="A1488" s="302">
        <v>98012</v>
      </c>
      <c r="B1488" s="301" t="s">
        <v>2602</v>
      </c>
      <c r="C1488" s="301" t="s">
        <v>28</v>
      </c>
      <c r="D1488" s="304">
        <v>4472.9799999999996</v>
      </c>
    </row>
    <row r="1489" spans="1:4">
      <c r="A1489" s="302">
        <v>98013</v>
      </c>
      <c r="B1489" s="301" t="s">
        <v>2603</v>
      </c>
      <c r="C1489" s="301" t="s">
        <v>35</v>
      </c>
      <c r="D1489" s="304">
        <v>1849.04</v>
      </c>
    </row>
    <row r="1490" spans="1:4">
      <c r="A1490" s="302">
        <v>98014</v>
      </c>
      <c r="B1490" s="301" t="s">
        <v>2604</v>
      </c>
      <c r="C1490" s="301" t="s">
        <v>28</v>
      </c>
      <c r="D1490" s="304">
        <v>5134.88</v>
      </c>
    </row>
    <row r="1491" spans="1:4">
      <c r="A1491" s="302">
        <v>98015</v>
      </c>
      <c r="B1491" s="301" t="s">
        <v>2605</v>
      </c>
      <c r="C1491" s="301" t="s">
        <v>35</v>
      </c>
      <c r="D1491" s="304">
        <v>2053.31</v>
      </c>
    </row>
    <row r="1492" spans="1:4">
      <c r="A1492" s="302">
        <v>98016</v>
      </c>
      <c r="B1492" s="301" t="s">
        <v>2606</v>
      </c>
      <c r="C1492" s="301" t="s">
        <v>28</v>
      </c>
      <c r="D1492" s="304">
        <v>5796.91</v>
      </c>
    </row>
    <row r="1493" spans="1:4">
      <c r="A1493" s="302">
        <v>98017</v>
      </c>
      <c r="B1493" s="301" t="s">
        <v>2607</v>
      </c>
      <c r="C1493" s="301" t="s">
        <v>35</v>
      </c>
      <c r="D1493" s="304">
        <v>2257.56</v>
      </c>
    </row>
    <row r="1494" spans="1:4">
      <c r="A1494" s="302">
        <v>98018</v>
      </c>
      <c r="B1494" s="301" t="s">
        <v>2608</v>
      </c>
      <c r="C1494" s="301" t="s">
        <v>28</v>
      </c>
      <c r="D1494" s="304">
        <v>6458.9</v>
      </c>
    </row>
    <row r="1495" spans="1:4">
      <c r="A1495" s="302">
        <v>98019</v>
      </c>
      <c r="B1495" s="301" t="s">
        <v>2609</v>
      </c>
      <c r="C1495" s="301" t="s">
        <v>35</v>
      </c>
      <c r="D1495" s="304">
        <v>2489.52</v>
      </c>
    </row>
    <row r="1496" spans="1:4">
      <c r="A1496" s="302">
        <v>98020</v>
      </c>
      <c r="B1496" s="301" t="s">
        <v>2610</v>
      </c>
      <c r="C1496" s="301" t="s">
        <v>28</v>
      </c>
      <c r="D1496" s="304">
        <v>4611.47</v>
      </c>
    </row>
    <row r="1497" spans="1:4">
      <c r="A1497" s="302">
        <v>98021</v>
      </c>
      <c r="B1497" s="301" t="s">
        <v>2611</v>
      </c>
      <c r="C1497" s="301" t="s">
        <v>35</v>
      </c>
      <c r="D1497" s="304">
        <v>1876.72</v>
      </c>
    </row>
    <row r="1498" spans="1:4">
      <c r="A1498" s="302">
        <v>98022</v>
      </c>
      <c r="B1498" s="301" t="s">
        <v>2612</v>
      </c>
      <c r="C1498" s="301" t="s">
        <v>28</v>
      </c>
      <c r="D1498" s="304">
        <v>5398.93</v>
      </c>
    </row>
    <row r="1499" spans="1:4">
      <c r="A1499" s="302">
        <v>98023</v>
      </c>
      <c r="B1499" s="301" t="s">
        <v>2613</v>
      </c>
      <c r="C1499" s="301" t="s">
        <v>35</v>
      </c>
      <c r="D1499" s="304">
        <v>2080.98</v>
      </c>
    </row>
    <row r="1500" spans="1:4">
      <c r="A1500" s="302">
        <v>98024</v>
      </c>
      <c r="B1500" s="301" t="s">
        <v>2614</v>
      </c>
      <c r="C1500" s="301" t="s">
        <v>28</v>
      </c>
      <c r="D1500" s="304">
        <v>6223.77</v>
      </c>
    </row>
    <row r="1501" spans="1:4">
      <c r="A1501" s="302">
        <v>98025</v>
      </c>
      <c r="B1501" s="301" t="s">
        <v>2615</v>
      </c>
      <c r="C1501" s="301" t="s">
        <v>35</v>
      </c>
      <c r="D1501" s="304">
        <v>2285.23</v>
      </c>
    </row>
    <row r="1502" spans="1:4">
      <c r="A1502" s="302">
        <v>98026</v>
      </c>
      <c r="B1502" s="301" t="s">
        <v>2616</v>
      </c>
      <c r="C1502" s="301" t="s">
        <v>28</v>
      </c>
      <c r="D1502" s="304">
        <v>7015.86</v>
      </c>
    </row>
    <row r="1503" spans="1:4">
      <c r="A1503" s="302">
        <v>98027</v>
      </c>
      <c r="B1503" s="301" t="s">
        <v>2617</v>
      </c>
      <c r="C1503" s="301" t="s">
        <v>35</v>
      </c>
      <c r="D1503" s="304">
        <v>2489.52</v>
      </c>
    </row>
    <row r="1504" spans="1:4">
      <c r="A1504" s="302">
        <v>98028</v>
      </c>
      <c r="B1504" s="301" t="s">
        <v>2618</v>
      </c>
      <c r="C1504" s="301" t="s">
        <v>28</v>
      </c>
      <c r="D1504" s="304">
        <v>7807.91</v>
      </c>
    </row>
    <row r="1505" spans="1:4">
      <c r="A1505" s="302">
        <v>98029</v>
      </c>
      <c r="B1505" s="301" t="s">
        <v>2619</v>
      </c>
      <c r="C1505" s="301" t="s">
        <v>35</v>
      </c>
      <c r="D1505" s="304">
        <v>2699.5</v>
      </c>
    </row>
    <row r="1506" spans="1:4">
      <c r="A1506" s="302">
        <v>98030</v>
      </c>
      <c r="B1506" s="301" t="s">
        <v>2620</v>
      </c>
      <c r="C1506" s="301" t="s">
        <v>28</v>
      </c>
      <c r="D1506" s="304">
        <v>6374.11</v>
      </c>
    </row>
    <row r="1507" spans="1:4">
      <c r="A1507" s="302">
        <v>98031</v>
      </c>
      <c r="B1507" s="301" t="s">
        <v>2621</v>
      </c>
      <c r="C1507" s="301" t="s">
        <v>35</v>
      </c>
      <c r="D1507" s="304">
        <v>2291.02</v>
      </c>
    </row>
    <row r="1508" spans="1:4">
      <c r="A1508" s="302">
        <v>98032</v>
      </c>
      <c r="B1508" s="301" t="s">
        <v>2622</v>
      </c>
      <c r="C1508" s="301" t="s">
        <v>28</v>
      </c>
      <c r="D1508" s="304">
        <v>7327.1</v>
      </c>
    </row>
    <row r="1509" spans="1:4">
      <c r="A1509" s="302">
        <v>98033</v>
      </c>
      <c r="B1509" s="301" t="s">
        <v>2623</v>
      </c>
      <c r="C1509" s="301" t="s">
        <v>35</v>
      </c>
      <c r="D1509" s="304">
        <v>2495.29</v>
      </c>
    </row>
    <row r="1510" spans="1:4">
      <c r="A1510" s="302">
        <v>98034</v>
      </c>
      <c r="B1510" s="301" t="s">
        <v>2624</v>
      </c>
      <c r="C1510" s="301" t="s">
        <v>28</v>
      </c>
      <c r="D1510" s="304">
        <v>8280.06</v>
      </c>
    </row>
    <row r="1511" spans="1:4">
      <c r="A1511" s="302">
        <v>98035</v>
      </c>
      <c r="B1511" s="301" t="s">
        <v>2625</v>
      </c>
      <c r="C1511" s="301" t="s">
        <v>35</v>
      </c>
      <c r="D1511" s="304">
        <v>2699.5</v>
      </c>
    </row>
    <row r="1512" spans="1:4">
      <c r="A1512" s="302">
        <v>98036</v>
      </c>
      <c r="B1512" s="301" t="s">
        <v>2626</v>
      </c>
      <c r="C1512" s="301" t="s">
        <v>28</v>
      </c>
      <c r="D1512" s="304">
        <v>9233.09</v>
      </c>
    </row>
    <row r="1513" spans="1:4">
      <c r="A1513" s="302">
        <v>98037</v>
      </c>
      <c r="B1513" s="301" t="s">
        <v>2627</v>
      </c>
      <c r="C1513" s="301" t="s">
        <v>35</v>
      </c>
      <c r="D1513" s="304">
        <v>2909.54</v>
      </c>
    </row>
    <row r="1514" spans="1:4">
      <c r="A1514" s="302">
        <v>98038</v>
      </c>
      <c r="B1514" s="301" t="s">
        <v>2628</v>
      </c>
      <c r="C1514" s="301" t="s">
        <v>28</v>
      </c>
      <c r="D1514" s="304">
        <v>8470.1200000000008</v>
      </c>
    </row>
    <row r="1515" spans="1:4">
      <c r="A1515" s="302">
        <v>98039</v>
      </c>
      <c r="B1515" s="301" t="s">
        <v>2629</v>
      </c>
      <c r="C1515" s="301" t="s">
        <v>35</v>
      </c>
      <c r="D1515" s="304">
        <v>2705.27</v>
      </c>
    </row>
    <row r="1516" spans="1:4">
      <c r="A1516" s="302">
        <v>98040</v>
      </c>
      <c r="B1516" s="301" t="s">
        <v>2630</v>
      </c>
      <c r="C1516" s="301" t="s">
        <v>28</v>
      </c>
      <c r="D1516" s="304">
        <v>9567.2800000000007</v>
      </c>
    </row>
    <row r="1517" spans="1:4">
      <c r="A1517" s="302">
        <v>98041</v>
      </c>
      <c r="B1517" s="301" t="s">
        <v>2631</v>
      </c>
      <c r="C1517" s="301" t="s">
        <v>35</v>
      </c>
      <c r="D1517" s="304">
        <v>2909.54</v>
      </c>
    </row>
    <row r="1518" spans="1:4">
      <c r="A1518" s="302">
        <v>98042</v>
      </c>
      <c r="B1518" s="301" t="s">
        <v>2632</v>
      </c>
      <c r="C1518" s="301" t="s">
        <v>28</v>
      </c>
      <c r="D1518" s="304">
        <v>10664.44</v>
      </c>
    </row>
    <row r="1519" spans="1:4">
      <c r="A1519" s="302">
        <v>98043</v>
      </c>
      <c r="B1519" s="301" t="s">
        <v>2633</v>
      </c>
      <c r="C1519" s="301" t="s">
        <v>35</v>
      </c>
      <c r="D1519" s="304">
        <v>3119.57</v>
      </c>
    </row>
    <row r="1520" spans="1:4">
      <c r="A1520" s="302">
        <v>98044</v>
      </c>
      <c r="B1520" s="301" t="s">
        <v>2634</v>
      </c>
      <c r="C1520" s="301" t="s">
        <v>28</v>
      </c>
      <c r="D1520" s="304">
        <v>10862.73</v>
      </c>
    </row>
    <row r="1521" spans="1:4">
      <c r="A1521" s="302">
        <v>98045</v>
      </c>
      <c r="B1521" s="301" t="s">
        <v>2635</v>
      </c>
      <c r="C1521" s="301" t="s">
        <v>35</v>
      </c>
      <c r="D1521" s="304">
        <v>3119.57</v>
      </c>
    </row>
    <row r="1522" spans="1:4">
      <c r="A1522" s="302">
        <v>98046</v>
      </c>
      <c r="B1522" s="301" t="s">
        <v>2636</v>
      </c>
      <c r="C1522" s="301" t="s">
        <v>28</v>
      </c>
      <c r="D1522" s="304">
        <v>12105.28</v>
      </c>
    </row>
    <row r="1523" spans="1:4">
      <c r="A1523" s="302">
        <v>98047</v>
      </c>
      <c r="B1523" s="301" t="s">
        <v>2637</v>
      </c>
      <c r="C1523" s="301" t="s">
        <v>35</v>
      </c>
      <c r="D1523" s="304">
        <v>3329.62</v>
      </c>
    </row>
    <row r="1524" spans="1:4">
      <c r="A1524" s="302">
        <v>98048</v>
      </c>
      <c r="B1524" s="301" t="s">
        <v>2638</v>
      </c>
      <c r="C1524" s="301" t="s">
        <v>28</v>
      </c>
      <c r="D1524" s="304">
        <v>13555.7</v>
      </c>
    </row>
    <row r="1525" spans="1:4">
      <c r="A1525" s="302">
        <v>98049</v>
      </c>
      <c r="B1525" s="301" t="s">
        <v>2639</v>
      </c>
      <c r="C1525" s="301" t="s">
        <v>35</v>
      </c>
      <c r="D1525" s="304">
        <v>3483.14</v>
      </c>
    </row>
    <row r="1526" spans="1:4">
      <c r="A1526" s="302">
        <v>98050</v>
      </c>
      <c r="B1526" s="301" t="s">
        <v>2640</v>
      </c>
      <c r="C1526" s="301" t="s">
        <v>35</v>
      </c>
      <c r="D1526" s="303">
        <v>203.27</v>
      </c>
    </row>
    <row r="1527" spans="1:4">
      <c r="A1527" s="302">
        <v>98051</v>
      </c>
      <c r="B1527" s="301" t="s">
        <v>2641</v>
      </c>
      <c r="C1527" s="301" t="s">
        <v>35</v>
      </c>
      <c r="D1527" s="303">
        <v>751.35</v>
      </c>
    </row>
    <row r="1528" spans="1:4">
      <c r="A1528" s="302">
        <v>98405</v>
      </c>
      <c r="B1528" s="301" t="s">
        <v>2642</v>
      </c>
      <c r="C1528" s="301" t="s">
        <v>28</v>
      </c>
      <c r="D1528" s="304">
        <v>1945.71</v>
      </c>
    </row>
    <row r="1529" spans="1:4">
      <c r="A1529" s="302">
        <v>98406</v>
      </c>
      <c r="B1529" s="301" t="s">
        <v>2643</v>
      </c>
      <c r="C1529" s="301" t="s">
        <v>28</v>
      </c>
      <c r="D1529" s="304">
        <v>4663.68</v>
      </c>
    </row>
    <row r="1530" spans="1:4">
      <c r="A1530" s="302">
        <v>98407</v>
      </c>
      <c r="B1530" s="301" t="s">
        <v>2644</v>
      </c>
      <c r="C1530" s="301" t="s">
        <v>28</v>
      </c>
      <c r="D1530" s="304">
        <v>3058.49</v>
      </c>
    </row>
    <row r="1531" spans="1:4">
      <c r="A1531" s="302">
        <v>98408</v>
      </c>
      <c r="B1531" s="301" t="s">
        <v>2645</v>
      </c>
      <c r="C1531" s="301" t="s">
        <v>28</v>
      </c>
      <c r="D1531" s="304">
        <v>3585.76</v>
      </c>
    </row>
    <row r="1532" spans="1:4">
      <c r="A1532" s="302">
        <v>98409</v>
      </c>
      <c r="B1532" s="301" t="s">
        <v>2646</v>
      </c>
      <c r="C1532" s="301" t="s">
        <v>35</v>
      </c>
      <c r="D1532" s="303">
        <v>309.73</v>
      </c>
    </row>
    <row r="1533" spans="1:4">
      <c r="A1533" s="302">
        <v>98414</v>
      </c>
      <c r="B1533" s="301" t="s">
        <v>2647</v>
      </c>
      <c r="C1533" s="301" t="s">
        <v>28</v>
      </c>
      <c r="D1533" s="303">
        <v>936.56</v>
      </c>
    </row>
    <row r="1534" spans="1:4">
      <c r="A1534" s="302">
        <v>98415</v>
      </c>
      <c r="B1534" s="301" t="s">
        <v>2648</v>
      </c>
      <c r="C1534" s="301" t="s">
        <v>28</v>
      </c>
      <c r="D1534" s="303">
        <v>936.56</v>
      </c>
    </row>
    <row r="1535" spans="1:4">
      <c r="A1535" s="302">
        <v>98416</v>
      </c>
      <c r="B1535" s="301" t="s">
        <v>2649</v>
      </c>
      <c r="C1535" s="301" t="s">
        <v>28</v>
      </c>
      <c r="D1535" s="304">
        <v>1123.99</v>
      </c>
    </row>
    <row r="1536" spans="1:4">
      <c r="A1536" s="302">
        <v>98417</v>
      </c>
      <c r="B1536" s="301" t="s">
        <v>2650</v>
      </c>
      <c r="C1536" s="301" t="s">
        <v>28</v>
      </c>
      <c r="D1536" s="304">
        <v>1311.42</v>
      </c>
    </row>
    <row r="1537" spans="1:4">
      <c r="A1537" s="302">
        <v>98418</v>
      </c>
      <c r="B1537" s="301" t="s">
        <v>2651</v>
      </c>
      <c r="C1537" s="301" t="s">
        <v>28</v>
      </c>
      <c r="D1537" s="304">
        <v>1413.05</v>
      </c>
    </row>
    <row r="1538" spans="1:4">
      <c r="A1538" s="302">
        <v>98419</v>
      </c>
      <c r="B1538" s="301" t="s">
        <v>2652</v>
      </c>
      <c r="C1538" s="301" t="s">
        <v>28</v>
      </c>
      <c r="D1538" s="304">
        <v>1514.69</v>
      </c>
    </row>
    <row r="1539" spans="1:4">
      <c r="A1539" s="302">
        <v>98420</v>
      </c>
      <c r="B1539" s="301" t="s">
        <v>2653</v>
      </c>
      <c r="C1539" s="301" t="s">
        <v>28</v>
      </c>
      <c r="D1539" s="304">
        <v>1312.71</v>
      </c>
    </row>
    <row r="1540" spans="1:4">
      <c r="A1540" s="302">
        <v>98421</v>
      </c>
      <c r="B1540" s="301" t="s">
        <v>2654</v>
      </c>
      <c r="C1540" s="301" t="s">
        <v>28</v>
      </c>
      <c r="D1540" s="304">
        <v>1500.14</v>
      </c>
    </row>
    <row r="1541" spans="1:4">
      <c r="A1541" s="302">
        <v>98422</v>
      </c>
      <c r="B1541" s="301" t="s">
        <v>2655</v>
      </c>
      <c r="C1541" s="301" t="s">
        <v>28</v>
      </c>
      <c r="D1541" s="304">
        <v>1687.57</v>
      </c>
    </row>
    <row r="1542" spans="1:4">
      <c r="A1542" s="302">
        <v>98423</v>
      </c>
      <c r="B1542" s="301" t="s">
        <v>2656</v>
      </c>
      <c r="C1542" s="301" t="s">
        <v>28</v>
      </c>
      <c r="D1542" s="304">
        <v>1789.2</v>
      </c>
    </row>
    <row r="1543" spans="1:4">
      <c r="A1543" s="302">
        <v>98424</v>
      </c>
      <c r="B1543" s="301" t="s">
        <v>2657</v>
      </c>
      <c r="C1543" s="301" t="s">
        <v>28</v>
      </c>
      <c r="D1543" s="304">
        <v>1890.84</v>
      </c>
    </row>
    <row r="1544" spans="1:4">
      <c r="A1544" s="302">
        <v>98425</v>
      </c>
      <c r="B1544" s="301" t="s">
        <v>2658</v>
      </c>
      <c r="C1544" s="301" t="s">
        <v>28</v>
      </c>
      <c r="D1544" s="304">
        <v>2296.84</v>
      </c>
    </row>
    <row r="1545" spans="1:4">
      <c r="A1545" s="302">
        <v>98426</v>
      </c>
      <c r="B1545" s="301" t="s">
        <v>2659</v>
      </c>
      <c r="C1545" s="301" t="s">
        <v>28</v>
      </c>
      <c r="D1545" s="304">
        <v>2976.15</v>
      </c>
    </row>
    <row r="1546" spans="1:4">
      <c r="A1546" s="302">
        <v>98427</v>
      </c>
      <c r="B1546" s="301" t="s">
        <v>2660</v>
      </c>
      <c r="C1546" s="301" t="s">
        <v>28</v>
      </c>
      <c r="D1546" s="304">
        <v>3655.47</v>
      </c>
    </row>
    <row r="1547" spans="1:4">
      <c r="A1547" s="302">
        <v>98428</v>
      </c>
      <c r="B1547" s="301" t="s">
        <v>2661</v>
      </c>
      <c r="C1547" s="301" t="s">
        <v>28</v>
      </c>
      <c r="D1547" s="304">
        <v>4031.14</v>
      </c>
    </row>
    <row r="1548" spans="1:4">
      <c r="A1548" s="302">
        <v>98429</v>
      </c>
      <c r="B1548" s="301" t="s">
        <v>2662</v>
      </c>
      <c r="C1548" s="301" t="s">
        <v>28</v>
      </c>
      <c r="D1548" s="304">
        <v>4406.82</v>
      </c>
    </row>
    <row r="1549" spans="1:4">
      <c r="A1549" s="302">
        <v>98430</v>
      </c>
      <c r="B1549" s="301" t="s">
        <v>2663</v>
      </c>
      <c r="C1549" s="301" t="s">
        <v>28</v>
      </c>
      <c r="D1549" s="304">
        <v>2672.99</v>
      </c>
    </row>
    <row r="1550" spans="1:4">
      <c r="A1550" s="302">
        <v>98431</v>
      </c>
      <c r="B1550" s="301" t="s">
        <v>2664</v>
      </c>
      <c r="C1550" s="301" t="s">
        <v>28</v>
      </c>
      <c r="D1550" s="304">
        <v>3352.3</v>
      </c>
    </row>
    <row r="1551" spans="1:4">
      <c r="A1551" s="302">
        <v>98432</v>
      </c>
      <c r="B1551" s="301" t="s">
        <v>2665</v>
      </c>
      <c r="C1551" s="301" t="s">
        <v>28</v>
      </c>
      <c r="D1551" s="304">
        <v>4031.62</v>
      </c>
    </row>
    <row r="1552" spans="1:4">
      <c r="A1552" s="302">
        <v>98433</v>
      </c>
      <c r="B1552" s="301" t="s">
        <v>2666</v>
      </c>
      <c r="C1552" s="301" t="s">
        <v>28</v>
      </c>
      <c r="D1552" s="304">
        <v>4407.29</v>
      </c>
    </row>
    <row r="1553" spans="1:4">
      <c r="A1553" s="302">
        <v>98434</v>
      </c>
      <c r="B1553" s="301" t="s">
        <v>2667</v>
      </c>
      <c r="C1553" s="301" t="s">
        <v>28</v>
      </c>
      <c r="D1553" s="304">
        <v>4782.97</v>
      </c>
    </row>
    <row r="1554" spans="1:4">
      <c r="A1554" s="302">
        <v>99240</v>
      </c>
      <c r="B1554" s="301" t="s">
        <v>2668</v>
      </c>
      <c r="C1554" s="301" t="s">
        <v>35</v>
      </c>
      <c r="D1554" s="303">
        <v>410.33</v>
      </c>
    </row>
    <row r="1555" spans="1:4">
      <c r="A1555" s="302">
        <v>99241</v>
      </c>
      <c r="B1555" s="301" t="s">
        <v>2669</v>
      </c>
      <c r="C1555" s="301" t="s">
        <v>35</v>
      </c>
      <c r="D1555" s="304">
        <v>1392.87</v>
      </c>
    </row>
    <row r="1556" spans="1:4">
      <c r="A1556" s="302">
        <v>99242</v>
      </c>
      <c r="B1556" s="301" t="s">
        <v>2670</v>
      </c>
      <c r="C1556" s="301" t="s">
        <v>28</v>
      </c>
      <c r="D1556" s="304">
        <v>2220.3200000000002</v>
      </c>
    </row>
    <row r="1557" spans="1:4">
      <c r="A1557" s="302">
        <v>99243</v>
      </c>
      <c r="B1557" s="301" t="s">
        <v>2671</v>
      </c>
      <c r="C1557" s="301" t="s">
        <v>35</v>
      </c>
      <c r="D1557" s="304">
        <v>1297.31</v>
      </c>
    </row>
    <row r="1558" spans="1:4">
      <c r="A1558" s="302">
        <v>99244</v>
      </c>
      <c r="B1558" s="301" t="s">
        <v>2672</v>
      </c>
      <c r="C1558" s="301" t="s">
        <v>28</v>
      </c>
      <c r="D1558" s="304">
        <v>3713</v>
      </c>
    </row>
    <row r="1559" spans="1:4">
      <c r="A1559" s="302">
        <v>99246</v>
      </c>
      <c r="B1559" s="301" t="s">
        <v>2673</v>
      </c>
      <c r="C1559" s="301" t="s">
        <v>35</v>
      </c>
      <c r="D1559" s="303">
        <v>637.72</v>
      </c>
    </row>
    <row r="1560" spans="1:4">
      <c r="A1560" s="302">
        <v>99247</v>
      </c>
      <c r="B1560" s="301" t="s">
        <v>2674</v>
      </c>
      <c r="C1560" s="301" t="s">
        <v>35</v>
      </c>
      <c r="D1560" s="304">
        <v>1590.13</v>
      </c>
    </row>
    <row r="1561" spans="1:4">
      <c r="A1561" s="302">
        <v>99248</v>
      </c>
      <c r="B1561" s="301" t="s">
        <v>2675</v>
      </c>
      <c r="C1561" s="301" t="s">
        <v>28</v>
      </c>
      <c r="D1561" s="304">
        <v>2819.98</v>
      </c>
    </row>
    <row r="1562" spans="1:4">
      <c r="A1562" s="302">
        <v>99249</v>
      </c>
      <c r="B1562" s="301" t="s">
        <v>2676</v>
      </c>
      <c r="C1562" s="301" t="s">
        <v>35</v>
      </c>
      <c r="D1562" s="304">
        <v>1590.15</v>
      </c>
    </row>
    <row r="1563" spans="1:4">
      <c r="A1563" s="302">
        <v>99252</v>
      </c>
      <c r="B1563" s="301" t="s">
        <v>2677</v>
      </c>
      <c r="C1563" s="301" t="s">
        <v>28</v>
      </c>
      <c r="D1563" s="304">
        <v>1953.66</v>
      </c>
    </row>
    <row r="1564" spans="1:4">
      <c r="A1564" s="302">
        <v>99254</v>
      </c>
      <c r="B1564" s="301" t="s">
        <v>2678</v>
      </c>
      <c r="C1564" s="301" t="s">
        <v>35</v>
      </c>
      <c r="D1564" s="303">
        <v>998.32</v>
      </c>
    </row>
    <row r="1565" spans="1:4">
      <c r="A1565" s="302">
        <v>99256</v>
      </c>
      <c r="B1565" s="301" t="s">
        <v>2679</v>
      </c>
      <c r="C1565" s="301" t="s">
        <v>28</v>
      </c>
      <c r="D1565" s="304">
        <v>4357.28</v>
      </c>
    </row>
    <row r="1566" spans="1:4">
      <c r="A1566" s="302">
        <v>99259</v>
      </c>
      <c r="B1566" s="301" t="s">
        <v>2680</v>
      </c>
      <c r="C1566" s="301" t="s">
        <v>28</v>
      </c>
      <c r="D1566" s="304">
        <v>2467.4899999999998</v>
      </c>
    </row>
    <row r="1567" spans="1:4">
      <c r="A1567" s="302">
        <v>99261</v>
      </c>
      <c r="B1567" s="301" t="s">
        <v>2681</v>
      </c>
      <c r="C1567" s="301" t="s">
        <v>35</v>
      </c>
      <c r="D1567" s="304">
        <v>1195.5999999999999</v>
      </c>
    </row>
    <row r="1568" spans="1:4">
      <c r="A1568" s="302">
        <v>99263</v>
      </c>
      <c r="B1568" s="301" t="s">
        <v>2682</v>
      </c>
      <c r="C1568" s="301" t="s">
        <v>35</v>
      </c>
      <c r="D1568" s="304">
        <v>1787.43</v>
      </c>
    </row>
    <row r="1569" spans="1:4">
      <c r="A1569" s="302">
        <v>99265</v>
      </c>
      <c r="B1569" s="301" t="s">
        <v>2683</v>
      </c>
      <c r="C1569" s="301" t="s">
        <v>28</v>
      </c>
      <c r="D1569" s="304">
        <v>2981.25</v>
      </c>
    </row>
    <row r="1570" spans="1:4">
      <c r="A1570" s="302">
        <v>99266</v>
      </c>
      <c r="B1570" s="301" t="s">
        <v>2684</v>
      </c>
      <c r="C1570" s="301" t="s">
        <v>35</v>
      </c>
      <c r="D1570" s="304">
        <v>1392.87</v>
      </c>
    </row>
    <row r="1571" spans="1:4">
      <c r="A1571" s="302">
        <v>99267</v>
      </c>
      <c r="B1571" s="301" t="s">
        <v>2685</v>
      </c>
      <c r="C1571" s="301" t="s">
        <v>28</v>
      </c>
      <c r="D1571" s="304">
        <v>3495.01</v>
      </c>
    </row>
    <row r="1572" spans="1:4">
      <c r="A1572" s="302">
        <v>99269</v>
      </c>
      <c r="B1572" s="301" t="s">
        <v>2686</v>
      </c>
      <c r="C1572" s="301" t="s">
        <v>35</v>
      </c>
      <c r="D1572" s="304">
        <v>1590.13</v>
      </c>
    </row>
    <row r="1573" spans="1:4">
      <c r="A1573" s="302">
        <v>99271</v>
      </c>
      <c r="B1573" s="301" t="s">
        <v>2687</v>
      </c>
      <c r="C1573" s="301" t="s">
        <v>28</v>
      </c>
      <c r="D1573" s="304">
        <v>5001.46</v>
      </c>
    </row>
    <row r="1574" spans="1:4">
      <c r="A1574" s="302">
        <v>99272</v>
      </c>
      <c r="B1574" s="301" t="s">
        <v>2688</v>
      </c>
      <c r="C1574" s="301" t="s">
        <v>28</v>
      </c>
      <c r="D1574" s="303">
        <v>820.68</v>
      </c>
    </row>
    <row r="1575" spans="1:4">
      <c r="A1575" s="302">
        <v>99273</v>
      </c>
      <c r="B1575" s="301" t="s">
        <v>2689</v>
      </c>
      <c r="C1575" s="301" t="s">
        <v>28</v>
      </c>
      <c r="D1575" s="304">
        <v>1188.81</v>
      </c>
    </row>
    <row r="1576" spans="1:4">
      <c r="A1576" s="302">
        <v>99274</v>
      </c>
      <c r="B1576" s="301" t="s">
        <v>2690</v>
      </c>
      <c r="C1576" s="301" t="s">
        <v>28</v>
      </c>
      <c r="D1576" s="304">
        <v>4029.58</v>
      </c>
    </row>
    <row r="1577" spans="1:4">
      <c r="A1577" s="302">
        <v>99276</v>
      </c>
      <c r="B1577" s="301" t="s">
        <v>2691</v>
      </c>
      <c r="C1577" s="301" t="s">
        <v>35</v>
      </c>
      <c r="D1577" s="304">
        <v>1984.69</v>
      </c>
    </row>
    <row r="1578" spans="1:4">
      <c r="A1578" s="302">
        <v>99277</v>
      </c>
      <c r="B1578" s="301" t="s">
        <v>2692</v>
      </c>
      <c r="C1578" s="301" t="s">
        <v>35</v>
      </c>
      <c r="D1578" s="304">
        <v>1787.43</v>
      </c>
    </row>
    <row r="1579" spans="1:4">
      <c r="A1579" s="302">
        <v>99278</v>
      </c>
      <c r="B1579" s="301" t="s">
        <v>2693</v>
      </c>
      <c r="C1579" s="301" t="s">
        <v>35</v>
      </c>
      <c r="D1579" s="303">
        <v>304.22000000000003</v>
      </c>
    </row>
    <row r="1580" spans="1:4">
      <c r="A1580" s="302">
        <v>99279</v>
      </c>
      <c r="B1580" s="301" t="s">
        <v>2694</v>
      </c>
      <c r="C1580" s="301" t="s">
        <v>28</v>
      </c>
      <c r="D1580" s="304">
        <v>4545.92</v>
      </c>
    </row>
    <row r="1581" spans="1:4">
      <c r="A1581" s="302">
        <v>99280</v>
      </c>
      <c r="B1581" s="301" t="s">
        <v>2695</v>
      </c>
      <c r="C1581" s="301" t="s">
        <v>28</v>
      </c>
      <c r="D1581" s="304">
        <v>1529.66</v>
      </c>
    </row>
    <row r="1582" spans="1:4">
      <c r="A1582" s="302">
        <v>99281</v>
      </c>
      <c r="B1582" s="301" t="s">
        <v>2696</v>
      </c>
      <c r="C1582" s="301" t="s">
        <v>35</v>
      </c>
      <c r="D1582" s="304">
        <v>1984.69</v>
      </c>
    </row>
    <row r="1583" spans="1:4">
      <c r="A1583" s="302">
        <v>99282</v>
      </c>
      <c r="B1583" s="301" t="s">
        <v>2697</v>
      </c>
      <c r="C1583" s="301" t="s">
        <v>35</v>
      </c>
      <c r="D1583" s="304">
        <v>2210.3200000000002</v>
      </c>
    </row>
    <row r="1584" spans="1:4">
      <c r="A1584" s="302">
        <v>99283</v>
      </c>
      <c r="B1584" s="301" t="s">
        <v>2698</v>
      </c>
      <c r="C1584" s="301" t="s">
        <v>35</v>
      </c>
      <c r="D1584" s="303">
        <v>906.86</v>
      </c>
    </row>
    <row r="1585" spans="1:4">
      <c r="A1585" s="302">
        <v>99284</v>
      </c>
      <c r="B1585" s="301" t="s">
        <v>2699</v>
      </c>
      <c r="C1585" s="301" t="s">
        <v>28</v>
      </c>
      <c r="D1585" s="304">
        <v>5645.77</v>
      </c>
    </row>
    <row r="1586" spans="1:4">
      <c r="A1586" s="302">
        <v>99286</v>
      </c>
      <c r="B1586" s="301" t="s">
        <v>2700</v>
      </c>
      <c r="C1586" s="301" t="s">
        <v>28</v>
      </c>
      <c r="D1586" s="304">
        <v>5062.38</v>
      </c>
    </row>
    <row r="1587" spans="1:4">
      <c r="A1587" s="302">
        <v>99287</v>
      </c>
      <c r="B1587" s="301" t="s">
        <v>2701</v>
      </c>
      <c r="C1587" s="301" t="s">
        <v>28</v>
      </c>
      <c r="D1587" s="304">
        <v>7124.45</v>
      </c>
    </row>
    <row r="1588" spans="1:4">
      <c r="A1588" s="302">
        <v>99288</v>
      </c>
      <c r="B1588" s="301" t="s">
        <v>2702</v>
      </c>
      <c r="C1588" s="301" t="s">
        <v>35</v>
      </c>
      <c r="D1588" s="303">
        <v>367.64</v>
      </c>
    </row>
    <row r="1589" spans="1:4">
      <c r="A1589" s="302">
        <v>99289</v>
      </c>
      <c r="B1589" s="301" t="s">
        <v>2703</v>
      </c>
      <c r="C1589" s="301" t="s">
        <v>35</v>
      </c>
      <c r="D1589" s="304">
        <v>2181.94</v>
      </c>
    </row>
    <row r="1590" spans="1:4">
      <c r="A1590" s="302">
        <v>99290</v>
      </c>
      <c r="B1590" s="301" t="s">
        <v>2704</v>
      </c>
      <c r="C1590" s="301" t="s">
        <v>28</v>
      </c>
      <c r="D1590" s="304">
        <v>3052.35</v>
      </c>
    </row>
    <row r="1591" spans="1:4">
      <c r="A1591" s="302">
        <v>99291</v>
      </c>
      <c r="B1591" s="301" t="s">
        <v>2705</v>
      </c>
      <c r="C1591" s="301" t="s">
        <v>35</v>
      </c>
      <c r="D1591" s="304">
        <v>2181.94</v>
      </c>
    </row>
    <row r="1592" spans="1:4">
      <c r="A1592" s="302">
        <v>99292</v>
      </c>
      <c r="B1592" s="301" t="s">
        <v>2706</v>
      </c>
      <c r="C1592" s="301" t="s">
        <v>28</v>
      </c>
      <c r="D1592" s="304">
        <v>1878.22</v>
      </c>
    </row>
    <row r="1593" spans="1:4">
      <c r="A1593" s="302">
        <v>99293</v>
      </c>
      <c r="B1593" s="301" t="s">
        <v>2707</v>
      </c>
      <c r="C1593" s="301" t="s">
        <v>35</v>
      </c>
      <c r="D1593" s="304">
        <v>1102.08</v>
      </c>
    </row>
    <row r="1594" spans="1:4">
      <c r="A1594" s="302">
        <v>99294</v>
      </c>
      <c r="B1594" s="301" t="s">
        <v>2708</v>
      </c>
      <c r="C1594" s="301" t="s">
        <v>28</v>
      </c>
      <c r="D1594" s="304">
        <v>6290.04</v>
      </c>
    </row>
    <row r="1595" spans="1:4">
      <c r="A1595" s="302">
        <v>99296</v>
      </c>
      <c r="B1595" s="301" t="s">
        <v>2709</v>
      </c>
      <c r="C1595" s="301" t="s">
        <v>35</v>
      </c>
      <c r="D1595" s="304">
        <v>2407.58</v>
      </c>
    </row>
    <row r="1596" spans="1:4">
      <c r="A1596" s="302">
        <v>99297</v>
      </c>
      <c r="B1596" s="301" t="s">
        <v>2710</v>
      </c>
      <c r="C1596" s="301" t="s">
        <v>35</v>
      </c>
      <c r="D1596" s="304">
        <v>2402.69</v>
      </c>
    </row>
    <row r="1597" spans="1:4">
      <c r="A1597" s="302">
        <v>99298</v>
      </c>
      <c r="B1597" s="301" t="s">
        <v>2711</v>
      </c>
      <c r="C1597" s="301" t="s">
        <v>28</v>
      </c>
      <c r="D1597" s="304">
        <v>8049.38</v>
      </c>
    </row>
    <row r="1598" spans="1:4">
      <c r="A1598" s="302">
        <v>99299</v>
      </c>
      <c r="B1598" s="301" t="s">
        <v>2712</v>
      </c>
      <c r="C1598" s="301" t="s">
        <v>35</v>
      </c>
      <c r="D1598" s="304">
        <v>2604.8000000000002</v>
      </c>
    </row>
    <row r="1599" spans="1:4">
      <c r="A1599" s="302">
        <v>99300</v>
      </c>
      <c r="B1599" s="301" t="s">
        <v>2713</v>
      </c>
      <c r="C1599" s="301" t="s">
        <v>28</v>
      </c>
      <c r="D1599" s="304">
        <v>8974.3799999999992</v>
      </c>
    </row>
    <row r="1600" spans="1:4">
      <c r="A1600" s="302">
        <v>99301</v>
      </c>
      <c r="B1600" s="301" t="s">
        <v>2714</v>
      </c>
      <c r="C1600" s="301" t="s">
        <v>28</v>
      </c>
      <c r="D1600" s="304">
        <v>4490.34</v>
      </c>
    </row>
    <row r="1601" spans="1:4">
      <c r="A1601" s="302">
        <v>99302</v>
      </c>
      <c r="B1601" s="301" t="s">
        <v>2715</v>
      </c>
      <c r="C1601" s="301" t="s">
        <v>35</v>
      </c>
      <c r="D1601" s="304">
        <v>2806.96</v>
      </c>
    </row>
    <row r="1602" spans="1:4">
      <c r="A1602" s="302">
        <v>99303</v>
      </c>
      <c r="B1602" s="301" t="s">
        <v>2716</v>
      </c>
      <c r="C1602" s="301" t="s">
        <v>28</v>
      </c>
      <c r="D1602" s="304">
        <v>8231.2800000000007</v>
      </c>
    </row>
    <row r="1603" spans="1:4">
      <c r="A1603" s="302">
        <v>99304</v>
      </c>
      <c r="B1603" s="301" t="s">
        <v>2717</v>
      </c>
      <c r="C1603" s="301" t="s">
        <v>35</v>
      </c>
      <c r="D1603" s="304">
        <v>2609.6799999999998</v>
      </c>
    </row>
    <row r="1604" spans="1:4">
      <c r="A1604" s="302">
        <v>99305</v>
      </c>
      <c r="B1604" s="301" t="s">
        <v>2718</v>
      </c>
      <c r="C1604" s="301" t="s">
        <v>28</v>
      </c>
      <c r="D1604" s="304">
        <v>9295.43</v>
      </c>
    </row>
    <row r="1605" spans="1:4">
      <c r="A1605" s="302">
        <v>99306</v>
      </c>
      <c r="B1605" s="301" t="s">
        <v>2719</v>
      </c>
      <c r="C1605" s="301" t="s">
        <v>35</v>
      </c>
      <c r="D1605" s="304">
        <v>2806.96</v>
      </c>
    </row>
    <row r="1606" spans="1:4">
      <c r="A1606" s="302">
        <v>99307</v>
      </c>
      <c r="B1606" s="301" t="s">
        <v>2720</v>
      </c>
      <c r="C1606" s="301" t="s">
        <v>35</v>
      </c>
      <c r="D1606" s="304">
        <v>1810.9</v>
      </c>
    </row>
    <row r="1607" spans="1:4">
      <c r="A1607" s="302">
        <v>99308</v>
      </c>
      <c r="B1607" s="301" t="s">
        <v>2721</v>
      </c>
      <c r="C1607" s="301" t="s">
        <v>28</v>
      </c>
      <c r="D1607" s="304">
        <v>10359.58</v>
      </c>
    </row>
    <row r="1608" spans="1:4">
      <c r="A1608" s="302">
        <v>99309</v>
      </c>
      <c r="B1608" s="301" t="s">
        <v>2722</v>
      </c>
      <c r="C1608" s="301" t="s">
        <v>35</v>
      </c>
      <c r="D1608" s="304">
        <v>3009.11</v>
      </c>
    </row>
    <row r="1609" spans="1:4">
      <c r="A1609" s="302">
        <v>99310</v>
      </c>
      <c r="B1609" s="301" t="s">
        <v>2723</v>
      </c>
      <c r="C1609" s="301" t="s">
        <v>28</v>
      </c>
      <c r="D1609" s="304">
        <v>10549.09</v>
      </c>
    </row>
    <row r="1610" spans="1:4">
      <c r="A1610" s="302">
        <v>99311</v>
      </c>
      <c r="B1610" s="301" t="s">
        <v>2724</v>
      </c>
      <c r="C1610" s="301" t="s">
        <v>35</v>
      </c>
      <c r="D1610" s="304">
        <v>3009.11</v>
      </c>
    </row>
    <row r="1611" spans="1:4">
      <c r="A1611" s="302">
        <v>99312</v>
      </c>
      <c r="B1611" s="301" t="s">
        <v>2725</v>
      </c>
      <c r="C1611" s="301" t="s">
        <v>28</v>
      </c>
      <c r="D1611" s="304">
        <v>5256.17</v>
      </c>
    </row>
    <row r="1612" spans="1:4">
      <c r="A1612" s="302">
        <v>99313</v>
      </c>
      <c r="B1612" s="301" t="s">
        <v>2726</v>
      </c>
      <c r="C1612" s="301" t="s">
        <v>28</v>
      </c>
      <c r="D1612" s="304">
        <v>11753.55</v>
      </c>
    </row>
    <row r="1613" spans="1:4">
      <c r="A1613" s="302">
        <v>99314</v>
      </c>
      <c r="B1613" s="301" t="s">
        <v>2727</v>
      </c>
      <c r="C1613" s="301" t="s">
        <v>35</v>
      </c>
      <c r="D1613" s="304">
        <v>3211.28</v>
      </c>
    </row>
    <row r="1614" spans="1:4">
      <c r="A1614" s="302">
        <v>99315</v>
      </c>
      <c r="B1614" s="301" t="s">
        <v>2728</v>
      </c>
      <c r="C1614" s="301" t="s">
        <v>28</v>
      </c>
      <c r="D1614" s="304">
        <v>13156.38</v>
      </c>
    </row>
    <row r="1615" spans="1:4">
      <c r="A1615" s="302">
        <v>99317</v>
      </c>
      <c r="B1615" s="301" t="s">
        <v>2729</v>
      </c>
      <c r="C1615" s="301" t="s">
        <v>35</v>
      </c>
      <c r="D1615" s="304">
        <v>2008.16</v>
      </c>
    </row>
    <row r="1616" spans="1:4">
      <c r="A1616" s="302">
        <v>99318</v>
      </c>
      <c r="B1616" s="301" t="s">
        <v>2730</v>
      </c>
      <c r="C1616" s="301" t="s">
        <v>35</v>
      </c>
      <c r="D1616" s="303">
        <v>200.79</v>
      </c>
    </row>
    <row r="1617" spans="1:4">
      <c r="A1617" s="302">
        <v>99319</v>
      </c>
      <c r="B1617" s="301" t="s">
        <v>2731</v>
      </c>
      <c r="C1617" s="301" t="s">
        <v>35</v>
      </c>
      <c r="D1617" s="303">
        <v>710.7</v>
      </c>
    </row>
    <row r="1618" spans="1:4">
      <c r="A1618" s="302">
        <v>99320</v>
      </c>
      <c r="B1618" s="301" t="s">
        <v>2732</v>
      </c>
      <c r="C1618" s="301" t="s">
        <v>28</v>
      </c>
      <c r="D1618" s="304">
        <v>6059.38</v>
      </c>
    </row>
    <row r="1619" spans="1:4">
      <c r="A1619" s="302">
        <v>99321</v>
      </c>
      <c r="B1619" s="301" t="s">
        <v>2733</v>
      </c>
      <c r="C1619" s="301" t="s">
        <v>35</v>
      </c>
      <c r="D1619" s="304">
        <v>2205.41</v>
      </c>
    </row>
    <row r="1620" spans="1:4">
      <c r="A1620" s="302">
        <v>99322</v>
      </c>
      <c r="B1620" s="301" t="s">
        <v>2734</v>
      </c>
      <c r="C1620" s="301" t="s">
        <v>28</v>
      </c>
      <c r="D1620" s="304">
        <v>6829.85</v>
      </c>
    </row>
    <row r="1621" spans="1:4">
      <c r="A1621" s="302">
        <v>99323</v>
      </c>
      <c r="B1621" s="301" t="s">
        <v>2735</v>
      </c>
      <c r="C1621" s="301" t="s">
        <v>35</v>
      </c>
      <c r="D1621" s="304">
        <v>2402.69</v>
      </c>
    </row>
    <row r="1622" spans="1:4">
      <c r="A1622" s="302">
        <v>99324</v>
      </c>
      <c r="B1622" s="301" t="s">
        <v>2736</v>
      </c>
      <c r="C1622" s="301" t="s">
        <v>28</v>
      </c>
      <c r="D1622" s="304">
        <v>7600.27</v>
      </c>
    </row>
    <row r="1623" spans="1:4">
      <c r="A1623" s="302">
        <v>99325</v>
      </c>
      <c r="B1623" s="301" t="s">
        <v>2737</v>
      </c>
      <c r="C1623" s="301" t="s">
        <v>35</v>
      </c>
      <c r="D1623" s="304">
        <v>2604.8000000000002</v>
      </c>
    </row>
    <row r="1624" spans="1:4">
      <c r="A1624" s="302">
        <v>99326</v>
      </c>
      <c r="B1624" s="301" t="s">
        <v>2738</v>
      </c>
      <c r="C1624" s="301" t="s">
        <v>28</v>
      </c>
      <c r="D1624" s="304">
        <v>6199.49</v>
      </c>
    </row>
    <row r="1625" spans="1:4">
      <c r="A1625" s="302">
        <v>99327</v>
      </c>
      <c r="B1625" s="301" t="s">
        <v>2739</v>
      </c>
      <c r="C1625" s="301" t="s">
        <v>35</v>
      </c>
      <c r="D1625" s="304">
        <v>3365.51</v>
      </c>
    </row>
    <row r="1626" spans="1:4">
      <c r="A1626" s="302">
        <v>94263</v>
      </c>
      <c r="B1626" s="301" t="s">
        <v>2740</v>
      </c>
      <c r="C1626" s="301" t="s">
        <v>35</v>
      </c>
      <c r="D1626" s="303">
        <v>24.99</v>
      </c>
    </row>
    <row r="1627" spans="1:4">
      <c r="A1627" s="302">
        <v>94264</v>
      </c>
      <c r="B1627" s="301" t="s">
        <v>2741</v>
      </c>
      <c r="C1627" s="301" t="s">
        <v>35</v>
      </c>
      <c r="D1627" s="303">
        <v>27.9</v>
      </c>
    </row>
    <row r="1628" spans="1:4">
      <c r="A1628" s="302">
        <v>94265</v>
      </c>
      <c r="B1628" s="301" t="s">
        <v>2742</v>
      </c>
      <c r="C1628" s="301" t="s">
        <v>35</v>
      </c>
      <c r="D1628" s="303">
        <v>32.700000000000003</v>
      </c>
    </row>
    <row r="1629" spans="1:4">
      <c r="A1629" s="302">
        <v>94266</v>
      </c>
      <c r="B1629" s="301" t="s">
        <v>2743</v>
      </c>
      <c r="C1629" s="301" t="s">
        <v>35</v>
      </c>
      <c r="D1629" s="303">
        <v>36.03</v>
      </c>
    </row>
    <row r="1630" spans="1:4">
      <c r="A1630" s="302">
        <v>94267</v>
      </c>
      <c r="B1630" s="301" t="s">
        <v>2744</v>
      </c>
      <c r="C1630" s="301" t="s">
        <v>35</v>
      </c>
      <c r="D1630" s="303">
        <v>38.74</v>
      </c>
    </row>
    <row r="1631" spans="1:4">
      <c r="A1631" s="302">
        <v>94268</v>
      </c>
      <c r="B1631" s="301" t="s">
        <v>2745</v>
      </c>
      <c r="C1631" s="301" t="s">
        <v>35</v>
      </c>
      <c r="D1631" s="303">
        <v>42.41</v>
      </c>
    </row>
    <row r="1632" spans="1:4">
      <c r="A1632" s="302">
        <v>94269</v>
      </c>
      <c r="B1632" s="301" t="s">
        <v>2746</v>
      </c>
      <c r="C1632" s="301" t="s">
        <v>35</v>
      </c>
      <c r="D1632" s="303">
        <v>55.24</v>
      </c>
    </row>
    <row r="1633" spans="1:4">
      <c r="A1633" s="302">
        <v>94270</v>
      </c>
      <c r="B1633" s="301" t="s">
        <v>2747</v>
      </c>
      <c r="C1633" s="301" t="s">
        <v>35</v>
      </c>
      <c r="D1633" s="303">
        <v>60.35</v>
      </c>
    </row>
    <row r="1634" spans="1:4">
      <c r="A1634" s="302">
        <v>94271</v>
      </c>
      <c r="B1634" s="301" t="s">
        <v>2748</v>
      </c>
      <c r="C1634" s="301" t="s">
        <v>35</v>
      </c>
      <c r="D1634" s="303">
        <v>67.430000000000007</v>
      </c>
    </row>
    <row r="1635" spans="1:4">
      <c r="A1635" s="302">
        <v>94272</v>
      </c>
      <c r="B1635" s="301" t="s">
        <v>2749</v>
      </c>
      <c r="C1635" s="301" t="s">
        <v>35</v>
      </c>
      <c r="D1635" s="303">
        <v>74.23</v>
      </c>
    </row>
    <row r="1636" spans="1:4">
      <c r="A1636" s="302">
        <v>94273</v>
      </c>
      <c r="B1636" s="301" t="s">
        <v>2750</v>
      </c>
      <c r="C1636" s="301" t="s">
        <v>35</v>
      </c>
      <c r="D1636" s="303">
        <v>40.479999999999997</v>
      </c>
    </row>
    <row r="1637" spans="1:4">
      <c r="A1637" s="302">
        <v>94274</v>
      </c>
      <c r="B1637" s="301" t="s">
        <v>2751</v>
      </c>
      <c r="C1637" s="301" t="s">
        <v>35</v>
      </c>
      <c r="D1637" s="303">
        <v>43.66</v>
      </c>
    </row>
    <row r="1638" spans="1:4">
      <c r="A1638" s="302">
        <v>94275</v>
      </c>
      <c r="B1638" s="301" t="s">
        <v>2752</v>
      </c>
      <c r="C1638" s="301" t="s">
        <v>35</v>
      </c>
      <c r="D1638" s="303">
        <v>38.83</v>
      </c>
    </row>
    <row r="1639" spans="1:4">
      <c r="A1639" s="302">
        <v>94276</v>
      </c>
      <c r="B1639" s="301" t="s">
        <v>2753</v>
      </c>
      <c r="C1639" s="301" t="s">
        <v>35</v>
      </c>
      <c r="D1639" s="303">
        <v>42.01</v>
      </c>
    </row>
    <row r="1640" spans="1:4">
      <c r="A1640" s="302">
        <v>94281</v>
      </c>
      <c r="B1640" s="301" t="s">
        <v>2754</v>
      </c>
      <c r="C1640" s="301" t="s">
        <v>35</v>
      </c>
      <c r="D1640" s="303">
        <v>38.74</v>
      </c>
    </row>
    <row r="1641" spans="1:4">
      <c r="A1641" s="302">
        <v>94282</v>
      </c>
      <c r="B1641" s="301" t="s">
        <v>2755</v>
      </c>
      <c r="C1641" s="301" t="s">
        <v>35</v>
      </c>
      <c r="D1641" s="303">
        <v>48.42</v>
      </c>
    </row>
    <row r="1642" spans="1:4">
      <c r="A1642" s="302">
        <v>94283</v>
      </c>
      <c r="B1642" s="301" t="s">
        <v>2756</v>
      </c>
      <c r="C1642" s="301" t="s">
        <v>35</v>
      </c>
      <c r="D1642" s="303">
        <v>50.06</v>
      </c>
    </row>
    <row r="1643" spans="1:4">
      <c r="A1643" s="302">
        <v>94284</v>
      </c>
      <c r="B1643" s="301" t="s">
        <v>2757</v>
      </c>
      <c r="C1643" s="301" t="s">
        <v>35</v>
      </c>
      <c r="D1643" s="303">
        <v>59.75</v>
      </c>
    </row>
    <row r="1644" spans="1:4">
      <c r="A1644" s="302">
        <v>94285</v>
      </c>
      <c r="B1644" s="301" t="s">
        <v>2758</v>
      </c>
      <c r="C1644" s="301" t="s">
        <v>35</v>
      </c>
      <c r="D1644" s="303">
        <v>60.94</v>
      </c>
    </row>
    <row r="1645" spans="1:4">
      <c r="A1645" s="302">
        <v>94286</v>
      </c>
      <c r="B1645" s="301" t="s">
        <v>2759</v>
      </c>
      <c r="C1645" s="301" t="s">
        <v>35</v>
      </c>
      <c r="D1645" s="303">
        <v>70.61</v>
      </c>
    </row>
    <row r="1646" spans="1:4">
      <c r="A1646" s="302">
        <v>94287</v>
      </c>
      <c r="B1646" s="301" t="s">
        <v>2760</v>
      </c>
      <c r="C1646" s="301" t="s">
        <v>35</v>
      </c>
      <c r="D1646" s="303">
        <v>30.4</v>
      </c>
    </row>
    <row r="1647" spans="1:4">
      <c r="A1647" s="302">
        <v>94288</v>
      </c>
      <c r="B1647" s="301" t="s">
        <v>2761</v>
      </c>
      <c r="C1647" s="301" t="s">
        <v>35</v>
      </c>
      <c r="D1647" s="303">
        <v>38.86</v>
      </c>
    </row>
    <row r="1648" spans="1:4">
      <c r="A1648" s="302">
        <v>94289</v>
      </c>
      <c r="B1648" s="301" t="s">
        <v>2762</v>
      </c>
      <c r="C1648" s="301" t="s">
        <v>35</v>
      </c>
      <c r="D1648" s="303">
        <v>38.520000000000003</v>
      </c>
    </row>
    <row r="1649" spans="1:4">
      <c r="A1649" s="302">
        <v>94290</v>
      </c>
      <c r="B1649" s="301" t="s">
        <v>2763</v>
      </c>
      <c r="C1649" s="301" t="s">
        <v>35</v>
      </c>
      <c r="D1649" s="303">
        <v>47</v>
      </c>
    </row>
    <row r="1650" spans="1:4">
      <c r="A1650" s="302">
        <v>94291</v>
      </c>
      <c r="B1650" s="301" t="s">
        <v>2764</v>
      </c>
      <c r="C1650" s="301" t="s">
        <v>35</v>
      </c>
      <c r="D1650" s="303">
        <v>46.23</v>
      </c>
    </row>
    <row r="1651" spans="1:4">
      <c r="A1651" s="302">
        <v>94292</v>
      </c>
      <c r="B1651" s="301" t="s">
        <v>2765</v>
      </c>
      <c r="C1651" s="301" t="s">
        <v>35</v>
      </c>
      <c r="D1651" s="303">
        <v>54.69</v>
      </c>
    </row>
    <row r="1652" spans="1:4">
      <c r="A1652" s="302">
        <v>94293</v>
      </c>
      <c r="B1652" s="301" t="s">
        <v>2766</v>
      </c>
      <c r="C1652" s="301" t="s">
        <v>35</v>
      </c>
      <c r="D1652" s="303">
        <v>119.3</v>
      </c>
    </row>
    <row r="1653" spans="1:4">
      <c r="A1653" s="302">
        <v>94294</v>
      </c>
      <c r="B1653" s="301" t="s">
        <v>2767</v>
      </c>
      <c r="C1653" s="301" t="s">
        <v>35</v>
      </c>
      <c r="D1653" s="303">
        <v>6.26</v>
      </c>
    </row>
    <row r="1654" spans="1:4">
      <c r="A1654" s="302">
        <v>94037</v>
      </c>
      <c r="B1654" s="301" t="s">
        <v>2768</v>
      </c>
      <c r="C1654" s="301" t="s">
        <v>117</v>
      </c>
      <c r="D1654" s="303">
        <v>15.57</v>
      </c>
    </row>
    <row r="1655" spans="1:4">
      <c r="A1655" s="302">
        <v>94038</v>
      </c>
      <c r="B1655" s="301" t="s">
        <v>2769</v>
      </c>
      <c r="C1655" s="301" t="s">
        <v>117</v>
      </c>
      <c r="D1655" s="303">
        <v>21.85</v>
      </c>
    </row>
    <row r="1656" spans="1:4">
      <c r="A1656" s="302">
        <v>94039</v>
      </c>
      <c r="B1656" s="301" t="s">
        <v>2770</v>
      </c>
      <c r="C1656" s="301" t="s">
        <v>117</v>
      </c>
      <c r="D1656" s="303">
        <v>12.2</v>
      </c>
    </row>
    <row r="1657" spans="1:4">
      <c r="A1657" s="302">
        <v>94040</v>
      </c>
      <c r="B1657" s="301" t="s">
        <v>2771</v>
      </c>
      <c r="C1657" s="301" t="s">
        <v>117</v>
      </c>
      <c r="D1657" s="303">
        <v>18.52</v>
      </c>
    </row>
    <row r="1658" spans="1:4">
      <c r="A1658" s="302">
        <v>94041</v>
      </c>
      <c r="B1658" s="301" t="s">
        <v>2772</v>
      </c>
      <c r="C1658" s="301" t="s">
        <v>117</v>
      </c>
      <c r="D1658" s="303">
        <v>9.24</v>
      </c>
    </row>
    <row r="1659" spans="1:4">
      <c r="A1659" s="302">
        <v>94042</v>
      </c>
      <c r="B1659" s="301" t="s">
        <v>2773</v>
      </c>
      <c r="C1659" s="301" t="s">
        <v>117</v>
      </c>
      <c r="D1659" s="303">
        <v>15.72</v>
      </c>
    </row>
    <row r="1660" spans="1:4">
      <c r="A1660" s="302">
        <v>94043</v>
      </c>
      <c r="B1660" s="301" t="s">
        <v>2774</v>
      </c>
      <c r="C1660" s="301" t="s">
        <v>117</v>
      </c>
      <c r="D1660" s="303">
        <v>14.59</v>
      </c>
    </row>
    <row r="1661" spans="1:4">
      <c r="A1661" s="302">
        <v>94044</v>
      </c>
      <c r="B1661" s="301" t="s">
        <v>2775</v>
      </c>
      <c r="C1661" s="301" t="s">
        <v>117</v>
      </c>
      <c r="D1661" s="303">
        <v>20.9</v>
      </c>
    </row>
    <row r="1662" spans="1:4">
      <c r="A1662" s="302">
        <v>94045</v>
      </c>
      <c r="B1662" s="301" t="s">
        <v>2776</v>
      </c>
      <c r="C1662" s="301" t="s">
        <v>117</v>
      </c>
      <c r="D1662" s="303">
        <v>11.25</v>
      </c>
    </row>
    <row r="1663" spans="1:4">
      <c r="A1663" s="302">
        <v>94046</v>
      </c>
      <c r="B1663" s="301" t="s">
        <v>2777</v>
      </c>
      <c r="C1663" s="301" t="s">
        <v>117</v>
      </c>
      <c r="D1663" s="303">
        <v>17.53</v>
      </c>
    </row>
    <row r="1664" spans="1:4">
      <c r="A1664" s="302">
        <v>94047</v>
      </c>
      <c r="B1664" s="301" t="s">
        <v>2778</v>
      </c>
      <c r="C1664" s="301" t="s">
        <v>117</v>
      </c>
      <c r="D1664" s="303">
        <v>8.2899999999999991</v>
      </c>
    </row>
    <row r="1665" spans="1:4">
      <c r="A1665" s="302">
        <v>94048</v>
      </c>
      <c r="B1665" s="301" t="s">
        <v>2779</v>
      </c>
      <c r="C1665" s="301" t="s">
        <v>117</v>
      </c>
      <c r="D1665" s="303">
        <v>14.74</v>
      </c>
    </row>
    <row r="1666" spans="1:4">
      <c r="A1666" s="302">
        <v>94049</v>
      </c>
      <c r="B1666" s="301" t="s">
        <v>2780</v>
      </c>
      <c r="C1666" s="301" t="s">
        <v>117</v>
      </c>
      <c r="D1666" s="303">
        <v>24.37</v>
      </c>
    </row>
    <row r="1667" spans="1:4">
      <c r="A1667" s="302">
        <v>94050</v>
      </c>
      <c r="B1667" s="301" t="s">
        <v>2781</v>
      </c>
      <c r="C1667" s="301" t="s">
        <v>117</v>
      </c>
      <c r="D1667" s="303">
        <v>32.520000000000003</v>
      </c>
    </row>
    <row r="1668" spans="1:4">
      <c r="A1668" s="302">
        <v>94051</v>
      </c>
      <c r="B1668" s="301" t="s">
        <v>2782</v>
      </c>
      <c r="C1668" s="301" t="s">
        <v>117</v>
      </c>
      <c r="D1668" s="303">
        <v>19.77</v>
      </c>
    </row>
    <row r="1669" spans="1:4">
      <c r="A1669" s="302">
        <v>94052</v>
      </c>
      <c r="B1669" s="301" t="s">
        <v>2783</v>
      </c>
      <c r="C1669" s="301" t="s">
        <v>117</v>
      </c>
      <c r="D1669" s="303">
        <v>27.8</v>
      </c>
    </row>
    <row r="1670" spans="1:4">
      <c r="A1670" s="302">
        <v>94053</v>
      </c>
      <c r="B1670" s="301" t="s">
        <v>2784</v>
      </c>
      <c r="C1670" s="301" t="s">
        <v>117</v>
      </c>
      <c r="D1670" s="303">
        <v>16.48</v>
      </c>
    </row>
    <row r="1671" spans="1:4">
      <c r="A1671" s="302">
        <v>94054</v>
      </c>
      <c r="B1671" s="301" t="s">
        <v>2785</v>
      </c>
      <c r="C1671" s="301" t="s">
        <v>117</v>
      </c>
      <c r="D1671" s="303">
        <v>24.67</v>
      </c>
    </row>
    <row r="1672" spans="1:4">
      <c r="A1672" s="302">
        <v>94055</v>
      </c>
      <c r="B1672" s="301" t="s">
        <v>2786</v>
      </c>
      <c r="C1672" s="301" t="s">
        <v>117</v>
      </c>
      <c r="D1672" s="303">
        <v>23.11</v>
      </c>
    </row>
    <row r="1673" spans="1:4">
      <c r="A1673" s="302">
        <v>94056</v>
      </c>
      <c r="B1673" s="301" t="s">
        <v>2787</v>
      </c>
      <c r="C1673" s="301" t="s">
        <v>117</v>
      </c>
      <c r="D1673" s="303">
        <v>31.28</v>
      </c>
    </row>
    <row r="1674" spans="1:4">
      <c r="A1674" s="302">
        <v>94057</v>
      </c>
      <c r="B1674" s="301" t="s">
        <v>2788</v>
      </c>
      <c r="C1674" s="301" t="s">
        <v>117</v>
      </c>
      <c r="D1674" s="303">
        <v>18.54</v>
      </c>
    </row>
    <row r="1675" spans="1:4">
      <c r="A1675" s="302">
        <v>94058</v>
      </c>
      <c r="B1675" s="301" t="s">
        <v>2789</v>
      </c>
      <c r="C1675" s="301" t="s">
        <v>117</v>
      </c>
      <c r="D1675" s="303">
        <v>26.54</v>
      </c>
    </row>
    <row r="1676" spans="1:4">
      <c r="A1676" s="302">
        <v>94059</v>
      </c>
      <c r="B1676" s="301" t="s">
        <v>2790</v>
      </c>
      <c r="C1676" s="301" t="s">
        <v>117</v>
      </c>
      <c r="D1676" s="303">
        <v>15.24</v>
      </c>
    </row>
    <row r="1677" spans="1:4">
      <c r="A1677" s="302">
        <v>94060</v>
      </c>
      <c r="B1677" s="301" t="s">
        <v>2791</v>
      </c>
      <c r="C1677" s="301" t="s">
        <v>117</v>
      </c>
      <c r="D1677" s="303">
        <v>23.42</v>
      </c>
    </row>
    <row r="1678" spans="1:4">
      <c r="A1678" s="302">
        <v>83770</v>
      </c>
      <c r="B1678" s="301" t="s">
        <v>12417</v>
      </c>
      <c r="C1678" s="301" t="s">
        <v>117</v>
      </c>
      <c r="D1678" s="303">
        <v>136.13</v>
      </c>
    </row>
    <row r="1679" spans="1:4">
      <c r="A1679" s="302">
        <v>73301</v>
      </c>
      <c r="B1679" s="301" t="s">
        <v>2792</v>
      </c>
      <c r="C1679" s="301" t="s">
        <v>60</v>
      </c>
      <c r="D1679" s="303">
        <v>10.3</v>
      </c>
    </row>
    <row r="1680" spans="1:4">
      <c r="A1680" s="302">
        <v>83515</v>
      </c>
      <c r="B1680" s="301" t="s">
        <v>2793</v>
      </c>
      <c r="C1680" s="301" t="s">
        <v>60</v>
      </c>
      <c r="D1680" s="303">
        <v>16.62</v>
      </c>
    </row>
    <row r="1681" spans="1:4">
      <c r="A1681" s="302">
        <v>83516</v>
      </c>
      <c r="B1681" s="301" t="s">
        <v>2794</v>
      </c>
      <c r="C1681" s="301" t="s">
        <v>60</v>
      </c>
      <c r="D1681" s="303">
        <v>19.18</v>
      </c>
    </row>
    <row r="1682" spans="1:4">
      <c r="A1682" s="302">
        <v>90788</v>
      </c>
      <c r="B1682" s="301" t="s">
        <v>11740</v>
      </c>
      <c r="C1682" s="301" t="s">
        <v>28</v>
      </c>
      <c r="D1682" s="303">
        <v>538.4</v>
      </c>
    </row>
    <row r="1683" spans="1:4">
      <c r="A1683" s="302">
        <v>90789</v>
      </c>
      <c r="B1683" s="301" t="s">
        <v>11741</v>
      </c>
      <c r="C1683" s="301" t="s">
        <v>28</v>
      </c>
      <c r="D1683" s="303">
        <v>556.29</v>
      </c>
    </row>
    <row r="1684" spans="1:4">
      <c r="A1684" s="302">
        <v>90790</v>
      </c>
      <c r="B1684" s="301" t="s">
        <v>11742</v>
      </c>
      <c r="C1684" s="301" t="s">
        <v>28</v>
      </c>
      <c r="D1684" s="303">
        <v>560.91999999999996</v>
      </c>
    </row>
    <row r="1685" spans="1:4">
      <c r="A1685" s="302">
        <v>90791</v>
      </c>
      <c r="B1685" s="301" t="s">
        <v>11743</v>
      </c>
      <c r="C1685" s="301" t="s">
        <v>28</v>
      </c>
      <c r="D1685" s="303">
        <v>599.53</v>
      </c>
    </row>
    <row r="1686" spans="1:4">
      <c r="A1686" s="302">
        <v>90793</v>
      </c>
      <c r="B1686" s="301" t="s">
        <v>11744</v>
      </c>
      <c r="C1686" s="301" t="s">
        <v>28</v>
      </c>
      <c r="D1686" s="303">
        <v>638.09</v>
      </c>
    </row>
    <row r="1687" spans="1:4">
      <c r="A1687" s="302">
        <v>90794</v>
      </c>
      <c r="B1687" s="301" t="s">
        <v>11745</v>
      </c>
      <c r="C1687" s="301" t="s">
        <v>28</v>
      </c>
      <c r="D1687" s="303">
        <v>575.01</v>
      </c>
    </row>
    <row r="1688" spans="1:4">
      <c r="A1688" s="302">
        <v>90795</v>
      </c>
      <c r="B1688" s="301" t="s">
        <v>11746</v>
      </c>
      <c r="C1688" s="301" t="s">
        <v>28</v>
      </c>
      <c r="D1688" s="303">
        <v>597.01</v>
      </c>
    </row>
    <row r="1689" spans="1:4">
      <c r="A1689" s="302">
        <v>90796</v>
      </c>
      <c r="B1689" s="301" t="s">
        <v>11747</v>
      </c>
      <c r="C1689" s="301" t="s">
        <v>28</v>
      </c>
      <c r="D1689" s="303">
        <v>605.80999999999995</v>
      </c>
    </row>
    <row r="1690" spans="1:4">
      <c r="A1690" s="302">
        <v>90797</v>
      </c>
      <c r="B1690" s="301" t="s">
        <v>11748</v>
      </c>
      <c r="C1690" s="301" t="s">
        <v>28</v>
      </c>
      <c r="D1690" s="303">
        <v>642.41</v>
      </c>
    </row>
    <row r="1691" spans="1:4">
      <c r="A1691" s="302">
        <v>90798</v>
      </c>
      <c r="B1691" s="301" t="s">
        <v>11749</v>
      </c>
      <c r="C1691" s="301" t="s">
        <v>28</v>
      </c>
      <c r="D1691" s="303">
        <v>646.91</v>
      </c>
    </row>
    <row r="1692" spans="1:4">
      <c r="A1692" s="302">
        <v>90799</v>
      </c>
      <c r="B1692" s="301" t="s">
        <v>11750</v>
      </c>
      <c r="C1692" s="301" t="s">
        <v>28</v>
      </c>
      <c r="D1692" s="303">
        <v>667.94</v>
      </c>
    </row>
    <row r="1693" spans="1:4">
      <c r="A1693" s="302">
        <v>90801</v>
      </c>
      <c r="B1693" s="301" t="s">
        <v>11751</v>
      </c>
      <c r="C1693" s="301" t="s">
        <v>28</v>
      </c>
      <c r="D1693" s="303">
        <v>191.29</v>
      </c>
    </row>
    <row r="1694" spans="1:4">
      <c r="A1694" s="302">
        <v>90806</v>
      </c>
      <c r="B1694" s="301" t="s">
        <v>11752</v>
      </c>
      <c r="C1694" s="301" t="s">
        <v>28</v>
      </c>
      <c r="D1694" s="303">
        <v>258.57</v>
      </c>
    </row>
    <row r="1695" spans="1:4">
      <c r="A1695" s="302">
        <v>90820</v>
      </c>
      <c r="B1695" s="301" t="s">
        <v>11753</v>
      </c>
      <c r="C1695" s="301" t="s">
        <v>28</v>
      </c>
      <c r="D1695" s="303">
        <v>335.01</v>
      </c>
    </row>
    <row r="1696" spans="1:4">
      <c r="A1696" s="302">
        <v>90821</v>
      </c>
      <c r="B1696" s="301" t="s">
        <v>11754</v>
      </c>
      <c r="C1696" s="301" t="s">
        <v>28</v>
      </c>
      <c r="D1696" s="303">
        <v>366.83</v>
      </c>
    </row>
    <row r="1697" spans="1:4">
      <c r="A1697" s="302">
        <v>90822</v>
      </c>
      <c r="B1697" s="301" t="s">
        <v>11755</v>
      </c>
      <c r="C1697" s="301" t="s">
        <v>28</v>
      </c>
      <c r="D1697" s="303">
        <v>361.38</v>
      </c>
    </row>
    <row r="1698" spans="1:4">
      <c r="A1698" s="302">
        <v>90823</v>
      </c>
      <c r="B1698" s="301" t="s">
        <v>11756</v>
      </c>
      <c r="C1698" s="301" t="s">
        <v>28</v>
      </c>
      <c r="D1698" s="303">
        <v>381.22</v>
      </c>
    </row>
    <row r="1699" spans="1:4">
      <c r="A1699" s="302">
        <v>90824</v>
      </c>
      <c r="B1699" s="301" t="s">
        <v>11757</v>
      </c>
      <c r="C1699" s="301" t="s">
        <v>28</v>
      </c>
      <c r="D1699" s="303">
        <v>389.94</v>
      </c>
    </row>
    <row r="1700" spans="1:4">
      <c r="A1700" s="302">
        <v>90825</v>
      </c>
      <c r="B1700" s="301" t="s">
        <v>11758</v>
      </c>
      <c r="C1700" s="301" t="s">
        <v>28</v>
      </c>
      <c r="D1700" s="303">
        <v>419.27</v>
      </c>
    </row>
    <row r="1701" spans="1:4">
      <c r="A1701" s="302">
        <v>90830</v>
      </c>
      <c r="B1701" s="301" t="s">
        <v>11759</v>
      </c>
      <c r="C1701" s="301" t="s">
        <v>28</v>
      </c>
      <c r="D1701" s="303">
        <v>96.89</v>
      </c>
    </row>
    <row r="1702" spans="1:4">
      <c r="A1702" s="302">
        <v>90831</v>
      </c>
      <c r="B1702" s="301" t="s">
        <v>11760</v>
      </c>
      <c r="C1702" s="301" t="s">
        <v>28</v>
      </c>
      <c r="D1702" s="303">
        <v>75.88</v>
      </c>
    </row>
    <row r="1703" spans="1:4">
      <c r="A1703" s="302">
        <v>90841</v>
      </c>
      <c r="B1703" s="301" t="s">
        <v>11761</v>
      </c>
      <c r="C1703" s="301" t="s">
        <v>28</v>
      </c>
      <c r="D1703" s="303">
        <v>726.58</v>
      </c>
    </row>
    <row r="1704" spans="1:4">
      <c r="A1704" s="302">
        <v>90842</v>
      </c>
      <c r="B1704" s="301" t="s">
        <v>11762</v>
      </c>
      <c r="C1704" s="301" t="s">
        <v>28</v>
      </c>
      <c r="D1704" s="303">
        <v>766.17</v>
      </c>
    </row>
    <row r="1705" spans="1:4">
      <c r="A1705" s="302">
        <v>90843</v>
      </c>
      <c r="B1705" s="301" t="s">
        <v>11763</v>
      </c>
      <c r="C1705" s="301" t="s">
        <v>28</v>
      </c>
      <c r="D1705" s="303">
        <v>776.34</v>
      </c>
    </row>
    <row r="1706" spans="1:4">
      <c r="A1706" s="302">
        <v>90844</v>
      </c>
      <c r="B1706" s="301" t="s">
        <v>11764</v>
      </c>
      <c r="C1706" s="301" t="s">
        <v>28</v>
      </c>
      <c r="D1706" s="303">
        <v>797.37</v>
      </c>
    </row>
    <row r="1707" spans="1:4">
      <c r="A1707" s="302">
        <v>90847</v>
      </c>
      <c r="B1707" s="301" t="s">
        <v>11765</v>
      </c>
      <c r="C1707" s="301" t="s">
        <v>28</v>
      </c>
      <c r="D1707" s="303">
        <v>650.70000000000005</v>
      </c>
    </row>
    <row r="1708" spans="1:4">
      <c r="A1708" s="302">
        <v>90848</v>
      </c>
      <c r="B1708" s="301" t="s">
        <v>11766</v>
      </c>
      <c r="C1708" s="301" t="s">
        <v>28</v>
      </c>
      <c r="D1708" s="303">
        <v>683.71</v>
      </c>
    </row>
    <row r="1709" spans="1:4">
      <c r="A1709" s="302">
        <v>90849</v>
      </c>
      <c r="B1709" s="301" t="s">
        <v>11767</v>
      </c>
      <c r="C1709" s="301" t="s">
        <v>28</v>
      </c>
      <c r="D1709" s="303">
        <v>679.45</v>
      </c>
    </row>
    <row r="1710" spans="1:4">
      <c r="A1710" s="302">
        <v>90850</v>
      </c>
      <c r="B1710" s="301" t="s">
        <v>11768</v>
      </c>
      <c r="C1710" s="301" t="s">
        <v>28</v>
      </c>
      <c r="D1710" s="303">
        <v>700.48</v>
      </c>
    </row>
    <row r="1711" spans="1:4">
      <c r="A1711" s="302">
        <v>91009</v>
      </c>
      <c r="B1711" s="301" t="s">
        <v>11769</v>
      </c>
      <c r="C1711" s="301" t="s">
        <v>28</v>
      </c>
      <c r="D1711" s="303">
        <v>343.76</v>
      </c>
    </row>
    <row r="1712" spans="1:4">
      <c r="A1712" s="302">
        <v>91010</v>
      </c>
      <c r="B1712" s="301" t="s">
        <v>11770</v>
      </c>
      <c r="C1712" s="301" t="s">
        <v>28</v>
      </c>
      <c r="D1712" s="303">
        <v>270.83999999999997</v>
      </c>
    </row>
    <row r="1713" spans="1:4">
      <c r="A1713" s="302">
        <v>91011</v>
      </c>
      <c r="B1713" s="301" t="s">
        <v>11771</v>
      </c>
      <c r="C1713" s="301" t="s">
        <v>28</v>
      </c>
      <c r="D1713" s="303">
        <v>394.18</v>
      </c>
    </row>
    <row r="1714" spans="1:4">
      <c r="A1714" s="302">
        <v>91012</v>
      </c>
      <c r="B1714" s="301" t="s">
        <v>11772</v>
      </c>
      <c r="C1714" s="301" t="s">
        <v>28</v>
      </c>
      <c r="D1714" s="303">
        <v>374.49</v>
      </c>
    </row>
    <row r="1715" spans="1:4">
      <c r="A1715" s="302">
        <v>91013</v>
      </c>
      <c r="B1715" s="301" t="s">
        <v>11773</v>
      </c>
      <c r="C1715" s="301" t="s">
        <v>28</v>
      </c>
      <c r="D1715" s="303">
        <v>659.45</v>
      </c>
    </row>
    <row r="1716" spans="1:4">
      <c r="A1716" s="302">
        <v>91014</v>
      </c>
      <c r="B1716" s="301" t="s">
        <v>11774</v>
      </c>
      <c r="C1716" s="301" t="s">
        <v>28</v>
      </c>
      <c r="D1716" s="303">
        <v>587.72</v>
      </c>
    </row>
    <row r="1717" spans="1:4">
      <c r="A1717" s="302">
        <v>91015</v>
      </c>
      <c r="B1717" s="301" t="s">
        <v>11775</v>
      </c>
      <c r="C1717" s="301" t="s">
        <v>28</v>
      </c>
      <c r="D1717" s="303">
        <v>712.25</v>
      </c>
    </row>
    <row r="1718" spans="1:4">
      <c r="A1718" s="302">
        <v>91016</v>
      </c>
      <c r="B1718" s="301" t="s">
        <v>11776</v>
      </c>
      <c r="C1718" s="301" t="s">
        <v>28</v>
      </c>
      <c r="D1718" s="303">
        <v>693.75</v>
      </c>
    </row>
    <row r="1719" spans="1:4">
      <c r="A1719" s="302">
        <v>91287</v>
      </c>
      <c r="B1719" s="301" t="s">
        <v>11777</v>
      </c>
      <c r="C1719" s="301" t="s">
        <v>28</v>
      </c>
      <c r="D1719" s="303">
        <v>153.75</v>
      </c>
    </row>
    <row r="1720" spans="1:4">
      <c r="A1720" s="302">
        <v>91292</v>
      </c>
      <c r="B1720" s="301" t="s">
        <v>11778</v>
      </c>
      <c r="C1720" s="301" t="s">
        <v>28</v>
      </c>
      <c r="D1720" s="303">
        <v>221.03</v>
      </c>
    </row>
    <row r="1721" spans="1:4">
      <c r="A1721" s="302">
        <v>91295</v>
      </c>
      <c r="B1721" s="301" t="s">
        <v>11779</v>
      </c>
      <c r="C1721" s="301" t="s">
        <v>28</v>
      </c>
      <c r="D1721" s="303">
        <v>320.24</v>
      </c>
    </row>
    <row r="1722" spans="1:4">
      <c r="A1722" s="302">
        <v>91296</v>
      </c>
      <c r="B1722" s="301" t="s">
        <v>11780</v>
      </c>
      <c r="C1722" s="301" t="s">
        <v>28</v>
      </c>
      <c r="D1722" s="303">
        <v>341.24</v>
      </c>
    </row>
    <row r="1723" spans="1:4">
      <c r="A1723" s="302">
        <v>91297</v>
      </c>
      <c r="B1723" s="301" t="s">
        <v>11781</v>
      </c>
      <c r="C1723" s="301" t="s">
        <v>28</v>
      </c>
      <c r="D1723" s="303">
        <v>396.58</v>
      </c>
    </row>
    <row r="1724" spans="1:4">
      <c r="A1724" s="302">
        <v>91298</v>
      </c>
      <c r="B1724" s="301" t="s">
        <v>11782</v>
      </c>
      <c r="C1724" s="301" t="s">
        <v>28</v>
      </c>
      <c r="D1724" s="303">
        <v>549.26</v>
      </c>
    </row>
    <row r="1725" spans="1:4">
      <c r="A1725" s="302">
        <v>91299</v>
      </c>
      <c r="B1725" s="301" t="s">
        <v>11783</v>
      </c>
      <c r="C1725" s="301" t="s">
        <v>28</v>
      </c>
      <c r="D1725" s="303">
        <v>760.89</v>
      </c>
    </row>
    <row r="1726" spans="1:4">
      <c r="A1726" s="302">
        <v>91304</v>
      </c>
      <c r="B1726" s="301" t="s">
        <v>11784</v>
      </c>
      <c r="C1726" s="301" t="s">
        <v>28</v>
      </c>
      <c r="D1726" s="303">
        <v>73.88</v>
      </c>
    </row>
    <row r="1727" spans="1:4">
      <c r="A1727" s="302">
        <v>91305</v>
      </c>
      <c r="B1727" s="301" t="s">
        <v>11785</v>
      </c>
      <c r="C1727" s="301" t="s">
        <v>28</v>
      </c>
      <c r="D1727" s="303">
        <v>55.78</v>
      </c>
    </row>
    <row r="1728" spans="1:4">
      <c r="A1728" s="302">
        <v>91306</v>
      </c>
      <c r="B1728" s="301" t="s">
        <v>11786</v>
      </c>
      <c r="C1728" s="301" t="s">
        <v>28</v>
      </c>
      <c r="D1728" s="303">
        <v>82.46</v>
      </c>
    </row>
    <row r="1729" spans="1:4">
      <c r="A1729" s="302">
        <v>91307</v>
      </c>
      <c r="B1729" s="301" t="s">
        <v>11787</v>
      </c>
      <c r="C1729" s="301" t="s">
        <v>28</v>
      </c>
      <c r="D1729" s="303">
        <v>58.48</v>
      </c>
    </row>
    <row r="1730" spans="1:4">
      <c r="A1730" s="302">
        <v>91312</v>
      </c>
      <c r="B1730" s="301" t="s">
        <v>11788</v>
      </c>
      <c r="C1730" s="301" t="s">
        <v>28</v>
      </c>
      <c r="D1730" s="303">
        <v>660.3</v>
      </c>
    </row>
    <row r="1731" spans="1:4">
      <c r="A1731" s="302">
        <v>91313</v>
      </c>
      <c r="B1731" s="301" t="s">
        <v>11789</v>
      </c>
      <c r="C1731" s="301" t="s">
        <v>28</v>
      </c>
      <c r="D1731" s="303">
        <v>695.83</v>
      </c>
    </row>
    <row r="1732" spans="1:4">
      <c r="A1732" s="302">
        <v>91314</v>
      </c>
      <c r="B1732" s="301" t="s">
        <v>11790</v>
      </c>
      <c r="C1732" s="301" t="s">
        <v>28</v>
      </c>
      <c r="D1732" s="303">
        <v>706.79</v>
      </c>
    </row>
    <row r="1733" spans="1:4">
      <c r="A1733" s="302">
        <v>91315</v>
      </c>
      <c r="B1733" s="301" t="s">
        <v>11791</v>
      </c>
      <c r="C1733" s="301" t="s">
        <v>28</v>
      </c>
      <c r="D1733" s="303">
        <v>727.64</v>
      </c>
    </row>
    <row r="1734" spans="1:4">
      <c r="A1734" s="302">
        <v>91318</v>
      </c>
      <c r="B1734" s="301" t="s">
        <v>11792</v>
      </c>
      <c r="C1734" s="301" t="s">
        <v>28</v>
      </c>
      <c r="D1734" s="303">
        <v>604.52</v>
      </c>
    </row>
    <row r="1735" spans="1:4">
      <c r="A1735" s="302">
        <v>91319</v>
      </c>
      <c r="B1735" s="301" t="s">
        <v>11793</v>
      </c>
      <c r="C1735" s="301" t="s">
        <v>28</v>
      </c>
      <c r="D1735" s="303">
        <v>637.35</v>
      </c>
    </row>
    <row r="1736" spans="1:4">
      <c r="A1736" s="302">
        <v>91320</v>
      </c>
      <c r="B1736" s="301" t="s">
        <v>11794</v>
      </c>
      <c r="C1736" s="301" t="s">
        <v>28</v>
      </c>
      <c r="D1736" s="303">
        <v>632.91</v>
      </c>
    </row>
    <row r="1737" spans="1:4">
      <c r="A1737" s="302">
        <v>91321</v>
      </c>
      <c r="B1737" s="301" t="s">
        <v>11795</v>
      </c>
      <c r="C1737" s="301" t="s">
        <v>28</v>
      </c>
      <c r="D1737" s="303">
        <v>653.76</v>
      </c>
    </row>
    <row r="1738" spans="1:4">
      <c r="A1738" s="302">
        <v>91324</v>
      </c>
      <c r="B1738" s="301" t="s">
        <v>11796</v>
      </c>
      <c r="C1738" s="301" t="s">
        <v>28</v>
      </c>
      <c r="D1738" s="303">
        <v>613.27</v>
      </c>
    </row>
    <row r="1739" spans="1:4">
      <c r="A1739" s="302">
        <v>91325</v>
      </c>
      <c r="B1739" s="301" t="s">
        <v>11797</v>
      </c>
      <c r="C1739" s="301" t="s">
        <v>28</v>
      </c>
      <c r="D1739" s="303">
        <v>541.36</v>
      </c>
    </row>
    <row r="1740" spans="1:4">
      <c r="A1740" s="302">
        <v>91326</v>
      </c>
      <c r="B1740" s="301" t="s">
        <v>11798</v>
      </c>
      <c r="C1740" s="301" t="s">
        <v>28</v>
      </c>
      <c r="D1740" s="303">
        <v>665.71</v>
      </c>
    </row>
    <row r="1741" spans="1:4">
      <c r="A1741" s="302">
        <v>91327</v>
      </c>
      <c r="B1741" s="301" t="s">
        <v>11799</v>
      </c>
      <c r="C1741" s="301" t="s">
        <v>28</v>
      </c>
      <c r="D1741" s="303">
        <v>647.03</v>
      </c>
    </row>
    <row r="1742" spans="1:4">
      <c r="A1742" s="302">
        <v>91328</v>
      </c>
      <c r="B1742" s="301" t="s">
        <v>11800</v>
      </c>
      <c r="C1742" s="301" t="s">
        <v>28</v>
      </c>
      <c r="D1742" s="303">
        <v>635.92999999999995</v>
      </c>
    </row>
    <row r="1743" spans="1:4">
      <c r="A1743" s="302">
        <v>91329</v>
      </c>
      <c r="B1743" s="301" t="s">
        <v>11801</v>
      </c>
      <c r="C1743" s="301" t="s">
        <v>28</v>
      </c>
      <c r="D1743" s="303">
        <v>589.75</v>
      </c>
    </row>
    <row r="1744" spans="1:4">
      <c r="A1744" s="302">
        <v>91330</v>
      </c>
      <c r="B1744" s="301" t="s">
        <v>11802</v>
      </c>
      <c r="C1744" s="301" t="s">
        <v>28</v>
      </c>
      <c r="D1744" s="303">
        <v>658.12</v>
      </c>
    </row>
    <row r="1745" spans="1:4">
      <c r="A1745" s="302">
        <v>91331</v>
      </c>
      <c r="B1745" s="301" t="s">
        <v>11803</v>
      </c>
      <c r="C1745" s="301" t="s">
        <v>28</v>
      </c>
      <c r="D1745" s="303">
        <v>611.76</v>
      </c>
    </row>
    <row r="1746" spans="1:4">
      <c r="A1746" s="302">
        <v>91332</v>
      </c>
      <c r="B1746" s="301" t="s">
        <v>11804</v>
      </c>
      <c r="C1746" s="301" t="s">
        <v>28</v>
      </c>
      <c r="D1746" s="303">
        <v>714.65</v>
      </c>
    </row>
    <row r="1747" spans="1:4">
      <c r="A1747" s="302">
        <v>91333</v>
      </c>
      <c r="B1747" s="301" t="s">
        <v>11805</v>
      </c>
      <c r="C1747" s="301" t="s">
        <v>28</v>
      </c>
      <c r="D1747" s="303">
        <v>668.11</v>
      </c>
    </row>
    <row r="1748" spans="1:4">
      <c r="A1748" s="302">
        <v>91334</v>
      </c>
      <c r="B1748" s="301" t="s">
        <v>11806</v>
      </c>
      <c r="C1748" s="301" t="s">
        <v>28</v>
      </c>
      <c r="D1748" s="303">
        <v>867.33</v>
      </c>
    </row>
    <row r="1749" spans="1:4">
      <c r="A1749" s="302">
        <v>91335</v>
      </c>
      <c r="B1749" s="301" t="s">
        <v>11807</v>
      </c>
      <c r="C1749" s="301" t="s">
        <v>28</v>
      </c>
      <c r="D1749" s="303">
        <v>820.79</v>
      </c>
    </row>
    <row r="1750" spans="1:4">
      <c r="A1750" s="302">
        <v>91336</v>
      </c>
      <c r="B1750" s="301" t="s">
        <v>11808</v>
      </c>
      <c r="C1750" s="301" t="s">
        <v>28</v>
      </c>
      <c r="D1750" s="304">
        <v>1078.96</v>
      </c>
    </row>
    <row r="1751" spans="1:4">
      <c r="A1751" s="302">
        <v>91337</v>
      </c>
      <c r="B1751" s="301" t="s">
        <v>11809</v>
      </c>
      <c r="C1751" s="301" t="s">
        <v>28</v>
      </c>
      <c r="D1751" s="304">
        <v>1032.42</v>
      </c>
    </row>
    <row r="1752" spans="1:4">
      <c r="A1752" s="302">
        <v>100659</v>
      </c>
      <c r="B1752" s="301" t="s">
        <v>11810</v>
      </c>
      <c r="C1752" s="301" t="s">
        <v>35</v>
      </c>
      <c r="D1752" s="303">
        <v>5.95</v>
      </c>
    </row>
    <row r="1753" spans="1:4">
      <c r="A1753" s="302">
        <v>100660</v>
      </c>
      <c r="B1753" s="301" t="s">
        <v>11811</v>
      </c>
      <c r="C1753" s="301" t="s">
        <v>35</v>
      </c>
      <c r="D1753" s="303">
        <v>5.05</v>
      </c>
    </row>
    <row r="1754" spans="1:4">
      <c r="A1754" s="302">
        <v>100675</v>
      </c>
      <c r="B1754" s="301" t="s">
        <v>11812</v>
      </c>
      <c r="C1754" s="301" t="s">
        <v>28</v>
      </c>
      <c r="D1754" s="303">
        <v>614.25</v>
      </c>
    </row>
    <row r="1755" spans="1:4">
      <c r="A1755" s="302">
        <v>100676</v>
      </c>
      <c r="B1755" s="301" t="s">
        <v>11813</v>
      </c>
      <c r="C1755" s="301" t="s">
        <v>28</v>
      </c>
      <c r="D1755" s="303">
        <v>126.56</v>
      </c>
    </row>
    <row r="1756" spans="1:4">
      <c r="A1756" s="302">
        <v>100677</v>
      </c>
      <c r="B1756" s="301" t="s">
        <v>12418</v>
      </c>
      <c r="C1756" s="301" t="s">
        <v>28</v>
      </c>
      <c r="D1756" s="303">
        <v>39.43</v>
      </c>
    </row>
    <row r="1757" spans="1:4">
      <c r="A1757" s="302">
        <v>100678</v>
      </c>
      <c r="B1757" s="301" t="s">
        <v>11814</v>
      </c>
      <c r="C1757" s="301" t="s">
        <v>28</v>
      </c>
      <c r="D1757" s="303">
        <v>735.33</v>
      </c>
    </row>
    <row r="1758" spans="1:4">
      <c r="A1758" s="302">
        <v>100679</v>
      </c>
      <c r="B1758" s="301" t="s">
        <v>11815</v>
      </c>
      <c r="C1758" s="301" t="s">
        <v>28</v>
      </c>
      <c r="D1758" s="303">
        <v>669.05</v>
      </c>
    </row>
    <row r="1759" spans="1:4">
      <c r="A1759" s="302">
        <v>100680</v>
      </c>
      <c r="B1759" s="301" t="s">
        <v>11816</v>
      </c>
      <c r="C1759" s="301" t="s">
        <v>28</v>
      </c>
      <c r="D1759" s="303">
        <v>670.18</v>
      </c>
    </row>
    <row r="1760" spans="1:4">
      <c r="A1760" s="302">
        <v>100681</v>
      </c>
      <c r="B1760" s="301" t="s">
        <v>11817</v>
      </c>
      <c r="C1760" s="301" t="s">
        <v>28</v>
      </c>
      <c r="D1760" s="303">
        <v>740.58</v>
      </c>
    </row>
    <row r="1761" spans="1:4">
      <c r="A1761" s="302">
        <v>100682</v>
      </c>
      <c r="B1761" s="301" t="s">
        <v>11818</v>
      </c>
      <c r="C1761" s="301" t="s">
        <v>28</v>
      </c>
      <c r="D1761" s="303">
        <v>670.24</v>
      </c>
    </row>
    <row r="1762" spans="1:4">
      <c r="A1762" s="302">
        <v>100683</v>
      </c>
      <c r="B1762" s="301" t="s">
        <v>11819</v>
      </c>
      <c r="C1762" s="301" t="s">
        <v>28</v>
      </c>
      <c r="D1762" s="303">
        <v>809.14</v>
      </c>
    </row>
    <row r="1763" spans="1:4">
      <c r="A1763" s="302">
        <v>100684</v>
      </c>
      <c r="B1763" s="301" t="s">
        <v>11820</v>
      </c>
      <c r="C1763" s="301" t="s">
        <v>28</v>
      </c>
      <c r="D1763" s="303">
        <v>739.59</v>
      </c>
    </row>
    <row r="1764" spans="1:4">
      <c r="A1764" s="302">
        <v>100685</v>
      </c>
      <c r="B1764" s="301" t="s">
        <v>11821</v>
      </c>
      <c r="C1764" s="301" t="s">
        <v>28</v>
      </c>
      <c r="D1764" s="303">
        <v>790.64</v>
      </c>
    </row>
    <row r="1765" spans="1:4">
      <c r="A1765" s="302">
        <v>100686</v>
      </c>
      <c r="B1765" s="301" t="s">
        <v>11822</v>
      </c>
      <c r="C1765" s="301" t="s">
        <v>28</v>
      </c>
      <c r="D1765" s="303">
        <v>720.91</v>
      </c>
    </row>
    <row r="1766" spans="1:4">
      <c r="A1766" s="302">
        <v>100687</v>
      </c>
      <c r="B1766" s="301" t="s">
        <v>11823</v>
      </c>
      <c r="C1766" s="301" t="s">
        <v>28</v>
      </c>
      <c r="D1766" s="303">
        <v>711.81</v>
      </c>
    </row>
    <row r="1767" spans="1:4">
      <c r="A1767" s="302">
        <v>100688</v>
      </c>
      <c r="B1767" s="301" t="s">
        <v>11824</v>
      </c>
      <c r="C1767" s="301" t="s">
        <v>28</v>
      </c>
      <c r="D1767" s="303">
        <v>645.53</v>
      </c>
    </row>
    <row r="1768" spans="1:4">
      <c r="A1768" s="302">
        <v>100689</v>
      </c>
      <c r="B1768" s="301" t="s">
        <v>11825</v>
      </c>
      <c r="C1768" s="301" t="s">
        <v>28</v>
      </c>
      <c r="D1768" s="303">
        <v>811.54</v>
      </c>
    </row>
    <row r="1769" spans="1:4">
      <c r="A1769" s="302">
        <v>100690</v>
      </c>
      <c r="B1769" s="301" t="s">
        <v>11826</v>
      </c>
      <c r="C1769" s="301" t="s">
        <v>28</v>
      </c>
      <c r="D1769" s="303">
        <v>741.99</v>
      </c>
    </row>
    <row r="1770" spans="1:4">
      <c r="A1770" s="302">
        <v>100691</v>
      </c>
      <c r="B1770" s="301" t="s">
        <v>11827</v>
      </c>
      <c r="C1770" s="301" t="s">
        <v>28</v>
      </c>
      <c r="D1770" s="303">
        <v>964.22</v>
      </c>
    </row>
    <row r="1771" spans="1:4">
      <c r="A1771" s="302">
        <v>100692</v>
      </c>
      <c r="B1771" s="301" t="s">
        <v>11828</v>
      </c>
      <c r="C1771" s="301" t="s">
        <v>28</v>
      </c>
      <c r="D1771" s="303">
        <v>894.67</v>
      </c>
    </row>
    <row r="1772" spans="1:4">
      <c r="A1772" s="302">
        <v>100693</v>
      </c>
      <c r="B1772" s="301" t="s">
        <v>11829</v>
      </c>
      <c r="C1772" s="301" t="s">
        <v>28</v>
      </c>
      <c r="D1772" s="304">
        <v>1175.8499999999999</v>
      </c>
    </row>
    <row r="1773" spans="1:4">
      <c r="A1773" s="302">
        <v>100694</v>
      </c>
      <c r="B1773" s="301" t="s">
        <v>11830</v>
      </c>
      <c r="C1773" s="301" t="s">
        <v>28</v>
      </c>
      <c r="D1773" s="304">
        <v>1106.3</v>
      </c>
    </row>
    <row r="1774" spans="1:4">
      <c r="A1774" s="302">
        <v>100695</v>
      </c>
      <c r="B1774" s="301" t="s">
        <v>11831</v>
      </c>
      <c r="C1774" s="301" t="s">
        <v>28</v>
      </c>
      <c r="D1774" s="303">
        <v>46.42</v>
      </c>
    </row>
    <row r="1775" spans="1:4">
      <c r="A1775" s="302">
        <v>100696</v>
      </c>
      <c r="B1775" s="301" t="s">
        <v>11832</v>
      </c>
      <c r="C1775" s="301" t="s">
        <v>28</v>
      </c>
      <c r="D1775" s="303">
        <v>51.65</v>
      </c>
    </row>
    <row r="1776" spans="1:4">
      <c r="A1776" s="302">
        <v>100697</v>
      </c>
      <c r="B1776" s="301" t="s">
        <v>11833</v>
      </c>
      <c r="C1776" s="301" t="s">
        <v>28</v>
      </c>
      <c r="D1776" s="303">
        <v>56.91</v>
      </c>
    </row>
    <row r="1777" spans="1:4">
      <c r="A1777" s="302">
        <v>100698</v>
      </c>
      <c r="B1777" s="301" t="s">
        <v>11834</v>
      </c>
      <c r="C1777" s="301" t="s">
        <v>28</v>
      </c>
      <c r="D1777" s="303">
        <v>62.16</v>
      </c>
    </row>
    <row r="1778" spans="1:4">
      <c r="A1778" s="302">
        <v>100699</v>
      </c>
      <c r="B1778" s="301" t="s">
        <v>11835</v>
      </c>
      <c r="C1778" s="301" t="s">
        <v>28</v>
      </c>
      <c r="D1778" s="303">
        <v>74.290000000000006</v>
      </c>
    </row>
    <row r="1779" spans="1:4">
      <c r="A1779" s="302">
        <v>100700</v>
      </c>
      <c r="B1779" s="301" t="s">
        <v>11836</v>
      </c>
      <c r="C1779" s="301" t="s">
        <v>28</v>
      </c>
      <c r="D1779" s="303">
        <v>764.8</v>
      </c>
    </row>
    <row r="1780" spans="1:4">
      <c r="A1780" s="302">
        <v>100712</v>
      </c>
      <c r="B1780" s="301" t="s">
        <v>11837</v>
      </c>
      <c r="C1780" s="301" t="s">
        <v>28</v>
      </c>
      <c r="D1780" s="303">
        <v>599.84</v>
      </c>
    </row>
    <row r="1781" spans="1:4">
      <c r="A1781" s="302">
        <v>100665</v>
      </c>
      <c r="B1781" s="301" t="s">
        <v>11838</v>
      </c>
      <c r="C1781" s="301" t="s">
        <v>117</v>
      </c>
      <c r="D1781" s="303">
        <v>701.1</v>
      </c>
    </row>
    <row r="1782" spans="1:4">
      <c r="A1782" s="302">
        <v>100666</v>
      </c>
      <c r="B1782" s="301" t="s">
        <v>11839</v>
      </c>
      <c r="C1782" s="301" t="s">
        <v>117</v>
      </c>
      <c r="D1782" s="303">
        <v>553.87</v>
      </c>
    </row>
    <row r="1783" spans="1:4">
      <c r="A1783" s="302">
        <v>100667</v>
      </c>
      <c r="B1783" s="301" t="s">
        <v>11840</v>
      </c>
      <c r="C1783" s="301" t="s">
        <v>117</v>
      </c>
      <c r="D1783" s="303">
        <v>909.23</v>
      </c>
    </row>
    <row r="1784" spans="1:4">
      <c r="A1784" s="302">
        <v>100668</v>
      </c>
      <c r="B1784" s="301" t="s">
        <v>11841</v>
      </c>
      <c r="C1784" s="301" t="s">
        <v>117</v>
      </c>
      <c r="D1784" s="304">
        <v>1090.74</v>
      </c>
    </row>
    <row r="1785" spans="1:4">
      <c r="A1785" s="302">
        <v>100669</v>
      </c>
      <c r="B1785" s="301" t="s">
        <v>11842</v>
      </c>
      <c r="C1785" s="301" t="s">
        <v>117</v>
      </c>
      <c r="D1785" s="303">
        <v>654.88</v>
      </c>
    </row>
    <row r="1786" spans="1:4">
      <c r="A1786" s="302">
        <v>100670</v>
      </c>
      <c r="B1786" s="301" t="s">
        <v>11843</v>
      </c>
      <c r="C1786" s="301" t="s">
        <v>117</v>
      </c>
      <c r="D1786" s="303">
        <v>874.95</v>
      </c>
    </row>
    <row r="1787" spans="1:4">
      <c r="A1787" s="302">
        <v>100671</v>
      </c>
      <c r="B1787" s="301" t="s">
        <v>11844</v>
      </c>
      <c r="C1787" s="301" t="s">
        <v>117</v>
      </c>
      <c r="D1787" s="304">
        <v>1086.5</v>
      </c>
    </row>
    <row r="1788" spans="1:4">
      <c r="A1788" s="302">
        <v>100672</v>
      </c>
      <c r="B1788" s="301" t="s">
        <v>11845</v>
      </c>
      <c r="C1788" s="301" t="s">
        <v>117</v>
      </c>
      <c r="D1788" s="303">
        <v>700.49</v>
      </c>
    </row>
    <row r="1789" spans="1:4">
      <c r="A1789" s="302">
        <v>100673</v>
      </c>
      <c r="B1789" s="301" t="s">
        <v>11846</v>
      </c>
      <c r="C1789" s="301" t="s">
        <v>117</v>
      </c>
      <c r="D1789" s="303">
        <v>86.53</v>
      </c>
    </row>
    <row r="1790" spans="1:4">
      <c r="A1790" s="302">
        <v>100701</v>
      </c>
      <c r="B1790" s="301" t="s">
        <v>11847</v>
      </c>
      <c r="C1790" s="301" t="s">
        <v>117</v>
      </c>
      <c r="D1790" s="303">
        <v>455.27</v>
      </c>
    </row>
    <row r="1791" spans="1:4">
      <c r="A1791" s="302">
        <v>94559</v>
      </c>
      <c r="B1791" s="301" t="s">
        <v>11848</v>
      </c>
      <c r="C1791" s="301" t="s">
        <v>117</v>
      </c>
      <c r="D1791" s="303">
        <v>572.54999999999995</v>
      </c>
    </row>
    <row r="1792" spans="1:4">
      <c r="A1792" s="302">
        <v>94560</v>
      </c>
      <c r="B1792" s="301" t="s">
        <v>11849</v>
      </c>
      <c r="C1792" s="301" t="s">
        <v>117</v>
      </c>
      <c r="D1792" s="303">
        <v>517.41999999999996</v>
      </c>
    </row>
    <row r="1793" spans="1:4">
      <c r="A1793" s="302">
        <v>94562</v>
      </c>
      <c r="B1793" s="301" t="s">
        <v>11850</v>
      </c>
      <c r="C1793" s="301" t="s">
        <v>117</v>
      </c>
      <c r="D1793" s="303">
        <v>543.69000000000005</v>
      </c>
    </row>
    <row r="1794" spans="1:4">
      <c r="A1794" s="302">
        <v>94563</v>
      </c>
      <c r="B1794" s="301" t="s">
        <v>11851</v>
      </c>
      <c r="C1794" s="301" t="s">
        <v>117</v>
      </c>
      <c r="D1794" s="303">
        <v>683.07</v>
      </c>
    </row>
    <row r="1795" spans="1:4">
      <c r="A1795" s="302">
        <v>94587</v>
      </c>
      <c r="B1795" s="301" t="s">
        <v>11852</v>
      </c>
      <c r="C1795" s="301" t="s">
        <v>35</v>
      </c>
      <c r="D1795" s="303">
        <v>42.88</v>
      </c>
    </row>
    <row r="1796" spans="1:4">
      <c r="A1796" s="302">
        <v>94588</v>
      </c>
      <c r="B1796" s="301" t="s">
        <v>11853</v>
      </c>
      <c r="C1796" s="301" t="s">
        <v>35</v>
      </c>
      <c r="D1796" s="303">
        <v>36.64</v>
      </c>
    </row>
    <row r="1797" spans="1:4">
      <c r="A1797" s="302">
        <v>99837</v>
      </c>
      <c r="B1797" s="301" t="s">
        <v>2795</v>
      </c>
      <c r="C1797" s="301" t="s">
        <v>35</v>
      </c>
      <c r="D1797" s="303">
        <v>380.39</v>
      </c>
    </row>
    <row r="1798" spans="1:4">
      <c r="A1798" s="302">
        <v>99839</v>
      </c>
      <c r="B1798" s="301" t="s">
        <v>2796</v>
      </c>
      <c r="C1798" s="301" t="s">
        <v>35</v>
      </c>
      <c r="D1798" s="303">
        <v>322.86</v>
      </c>
    </row>
    <row r="1799" spans="1:4">
      <c r="A1799" s="302">
        <v>99841</v>
      </c>
      <c r="B1799" s="301" t="s">
        <v>2797</v>
      </c>
      <c r="C1799" s="301" t="s">
        <v>35</v>
      </c>
      <c r="D1799" s="303">
        <v>757.2</v>
      </c>
    </row>
    <row r="1800" spans="1:4">
      <c r="A1800" s="302">
        <v>99855</v>
      </c>
      <c r="B1800" s="301" t="s">
        <v>2798</v>
      </c>
      <c r="C1800" s="301" t="s">
        <v>35</v>
      </c>
      <c r="D1800" s="303">
        <v>68.92</v>
      </c>
    </row>
    <row r="1801" spans="1:4">
      <c r="A1801" s="302">
        <v>99857</v>
      </c>
      <c r="B1801" s="301" t="s">
        <v>2799</v>
      </c>
      <c r="C1801" s="301" t="s">
        <v>35</v>
      </c>
      <c r="D1801" s="303">
        <v>62.19</v>
      </c>
    </row>
    <row r="1802" spans="1:4">
      <c r="A1802" s="302">
        <v>99861</v>
      </c>
      <c r="B1802" s="301" t="s">
        <v>2800</v>
      </c>
      <c r="C1802" s="301" t="s">
        <v>117</v>
      </c>
      <c r="D1802" s="303">
        <v>412.14</v>
      </c>
    </row>
    <row r="1803" spans="1:4">
      <c r="A1803" s="302">
        <v>99862</v>
      </c>
      <c r="B1803" s="301" t="s">
        <v>2801</v>
      </c>
      <c r="C1803" s="301" t="s">
        <v>117</v>
      </c>
      <c r="D1803" s="303">
        <v>411.72</v>
      </c>
    </row>
    <row r="1804" spans="1:4">
      <c r="A1804" s="302">
        <v>73665</v>
      </c>
      <c r="B1804" s="301" t="s">
        <v>2802</v>
      </c>
      <c r="C1804" s="301" t="s">
        <v>35</v>
      </c>
      <c r="D1804" s="303">
        <v>62.8</v>
      </c>
    </row>
    <row r="1805" spans="1:4">
      <c r="A1805" s="301" t="s">
        <v>2803</v>
      </c>
      <c r="B1805" s="301" t="s">
        <v>2804</v>
      </c>
      <c r="C1805" s="301" t="s">
        <v>35</v>
      </c>
      <c r="D1805" s="303">
        <v>249.14</v>
      </c>
    </row>
    <row r="1806" spans="1:4">
      <c r="A1806" s="302">
        <v>90838</v>
      </c>
      <c r="B1806" s="301" t="s">
        <v>11854</v>
      </c>
      <c r="C1806" s="301" t="s">
        <v>28</v>
      </c>
      <c r="D1806" s="304">
        <v>1019.86</v>
      </c>
    </row>
    <row r="1807" spans="1:4">
      <c r="A1807" s="302">
        <v>91338</v>
      </c>
      <c r="B1807" s="301" t="s">
        <v>11855</v>
      </c>
      <c r="C1807" s="301" t="s">
        <v>117</v>
      </c>
      <c r="D1807" s="303">
        <v>640.48</v>
      </c>
    </row>
    <row r="1808" spans="1:4">
      <c r="A1808" s="302">
        <v>91341</v>
      </c>
      <c r="B1808" s="301" t="s">
        <v>11856</v>
      </c>
      <c r="C1808" s="301" t="s">
        <v>117</v>
      </c>
      <c r="D1808" s="303">
        <v>470.31</v>
      </c>
    </row>
    <row r="1809" spans="1:4">
      <c r="A1809" s="302">
        <v>94805</v>
      </c>
      <c r="B1809" s="301" t="s">
        <v>11857</v>
      </c>
      <c r="C1809" s="301" t="s">
        <v>28</v>
      </c>
      <c r="D1809" s="303">
        <v>742.41</v>
      </c>
    </row>
    <row r="1810" spans="1:4">
      <c r="A1810" s="302">
        <v>94806</v>
      </c>
      <c r="B1810" s="301" t="s">
        <v>11858</v>
      </c>
      <c r="C1810" s="301" t="s">
        <v>28</v>
      </c>
      <c r="D1810" s="303">
        <v>472.4</v>
      </c>
    </row>
    <row r="1811" spans="1:4">
      <c r="A1811" s="302">
        <v>94807</v>
      </c>
      <c r="B1811" s="301" t="s">
        <v>11859</v>
      </c>
      <c r="C1811" s="301" t="s">
        <v>28</v>
      </c>
      <c r="D1811" s="303">
        <v>570.13</v>
      </c>
    </row>
    <row r="1812" spans="1:4">
      <c r="A1812" s="302">
        <v>100702</v>
      </c>
      <c r="B1812" s="301" t="s">
        <v>11860</v>
      </c>
      <c r="C1812" s="301" t="s">
        <v>117</v>
      </c>
      <c r="D1812" s="303">
        <v>383.55</v>
      </c>
    </row>
    <row r="1813" spans="1:4">
      <c r="A1813" s="302">
        <v>84885</v>
      </c>
      <c r="B1813" s="301" t="s">
        <v>2805</v>
      </c>
      <c r="C1813" s="301" t="s">
        <v>28</v>
      </c>
      <c r="D1813" s="303">
        <v>642.41999999999996</v>
      </c>
    </row>
    <row r="1814" spans="1:4">
      <c r="A1814" s="302">
        <v>84886</v>
      </c>
      <c r="B1814" s="301" t="s">
        <v>2806</v>
      </c>
      <c r="C1814" s="301" t="s">
        <v>28</v>
      </c>
      <c r="D1814" s="304">
        <v>1149.3699999999999</v>
      </c>
    </row>
    <row r="1815" spans="1:4">
      <c r="A1815" s="301" t="s">
        <v>2807</v>
      </c>
      <c r="B1815" s="301" t="s">
        <v>12419</v>
      </c>
      <c r="C1815" s="301" t="s">
        <v>28</v>
      </c>
      <c r="D1815" s="303">
        <v>36.06</v>
      </c>
    </row>
    <row r="1816" spans="1:4">
      <c r="A1816" s="302">
        <v>100703</v>
      </c>
      <c r="B1816" s="301" t="s">
        <v>11861</v>
      </c>
      <c r="C1816" s="301" t="s">
        <v>28</v>
      </c>
      <c r="D1816" s="303">
        <v>21.29</v>
      </c>
    </row>
    <row r="1817" spans="1:4">
      <c r="A1817" s="302">
        <v>100704</v>
      </c>
      <c r="B1817" s="301" t="s">
        <v>11862</v>
      </c>
      <c r="C1817" s="301" t="s">
        <v>28</v>
      </c>
      <c r="D1817" s="303">
        <v>162.74</v>
      </c>
    </row>
    <row r="1818" spans="1:4">
      <c r="A1818" s="302">
        <v>100705</v>
      </c>
      <c r="B1818" s="301" t="s">
        <v>11863</v>
      </c>
      <c r="C1818" s="301" t="s">
        <v>28</v>
      </c>
      <c r="D1818" s="303">
        <v>53.18</v>
      </c>
    </row>
    <row r="1819" spans="1:4">
      <c r="A1819" s="302">
        <v>100706</v>
      </c>
      <c r="B1819" s="301" t="s">
        <v>11864</v>
      </c>
      <c r="C1819" s="301" t="s">
        <v>28</v>
      </c>
      <c r="D1819" s="303">
        <v>97.52</v>
      </c>
    </row>
    <row r="1820" spans="1:4">
      <c r="A1820" s="302">
        <v>100707</v>
      </c>
      <c r="B1820" s="301" t="s">
        <v>11865</v>
      </c>
      <c r="C1820" s="301" t="s">
        <v>28</v>
      </c>
      <c r="D1820" s="303">
        <v>55.46</v>
      </c>
    </row>
    <row r="1821" spans="1:4">
      <c r="A1821" s="302">
        <v>100708</v>
      </c>
      <c r="B1821" s="301" t="s">
        <v>11866</v>
      </c>
      <c r="C1821" s="301" t="s">
        <v>28</v>
      </c>
      <c r="D1821" s="303">
        <v>71.64</v>
      </c>
    </row>
    <row r="1822" spans="1:4">
      <c r="A1822" s="302">
        <v>100709</v>
      </c>
      <c r="B1822" s="301" t="s">
        <v>11867</v>
      </c>
      <c r="C1822" s="301" t="s">
        <v>28</v>
      </c>
      <c r="D1822" s="303">
        <v>38.020000000000003</v>
      </c>
    </row>
    <row r="1823" spans="1:4">
      <c r="A1823" s="302">
        <v>100710</v>
      </c>
      <c r="B1823" s="301" t="s">
        <v>11868</v>
      </c>
      <c r="C1823" s="301" t="s">
        <v>28</v>
      </c>
      <c r="D1823" s="303">
        <v>96.12</v>
      </c>
    </row>
    <row r="1824" spans="1:4">
      <c r="A1824" s="302">
        <v>72116</v>
      </c>
      <c r="B1824" s="301" t="s">
        <v>2808</v>
      </c>
      <c r="C1824" s="301" t="s">
        <v>117</v>
      </c>
      <c r="D1824" s="303">
        <v>101.91</v>
      </c>
    </row>
    <row r="1825" spans="1:4">
      <c r="A1825" s="302">
        <v>72117</v>
      </c>
      <c r="B1825" s="301" t="s">
        <v>2809</v>
      </c>
      <c r="C1825" s="301" t="s">
        <v>117</v>
      </c>
      <c r="D1825" s="303">
        <v>130.30000000000001</v>
      </c>
    </row>
    <row r="1826" spans="1:4">
      <c r="A1826" s="302">
        <v>72118</v>
      </c>
      <c r="B1826" s="301" t="s">
        <v>304</v>
      </c>
      <c r="C1826" s="301" t="s">
        <v>117</v>
      </c>
      <c r="D1826" s="303">
        <v>189.11</v>
      </c>
    </row>
    <row r="1827" spans="1:4">
      <c r="A1827" s="302">
        <v>72119</v>
      </c>
      <c r="B1827" s="301" t="s">
        <v>68</v>
      </c>
      <c r="C1827" s="301" t="s">
        <v>117</v>
      </c>
      <c r="D1827" s="303">
        <v>238.49</v>
      </c>
    </row>
    <row r="1828" spans="1:4">
      <c r="A1828" s="302">
        <v>72120</v>
      </c>
      <c r="B1828" s="301" t="s">
        <v>2810</v>
      </c>
      <c r="C1828" s="301" t="s">
        <v>117</v>
      </c>
      <c r="D1828" s="303">
        <v>301.44</v>
      </c>
    </row>
    <row r="1829" spans="1:4">
      <c r="A1829" s="302">
        <v>72122</v>
      </c>
      <c r="B1829" s="301" t="s">
        <v>2811</v>
      </c>
      <c r="C1829" s="301" t="s">
        <v>117</v>
      </c>
      <c r="D1829" s="303">
        <v>112.31</v>
      </c>
    </row>
    <row r="1830" spans="1:4">
      <c r="A1830" s="302">
        <v>72123</v>
      </c>
      <c r="B1830" s="301" t="s">
        <v>2812</v>
      </c>
      <c r="C1830" s="301" t="s">
        <v>117</v>
      </c>
      <c r="D1830" s="303">
        <v>294.31</v>
      </c>
    </row>
    <row r="1831" spans="1:4">
      <c r="A1831" s="301" t="s">
        <v>2813</v>
      </c>
      <c r="B1831" s="301" t="s">
        <v>2814</v>
      </c>
      <c r="C1831" s="301" t="s">
        <v>28</v>
      </c>
      <c r="D1831" s="304">
        <v>2046.33</v>
      </c>
    </row>
    <row r="1832" spans="1:4">
      <c r="A1832" s="301" t="s">
        <v>2815</v>
      </c>
      <c r="B1832" s="301" t="s">
        <v>2816</v>
      </c>
      <c r="C1832" s="301" t="s">
        <v>117</v>
      </c>
      <c r="D1832" s="303">
        <v>389.44</v>
      </c>
    </row>
    <row r="1833" spans="1:4">
      <c r="A1833" s="301" t="s">
        <v>2817</v>
      </c>
      <c r="B1833" s="301" t="s">
        <v>2818</v>
      </c>
      <c r="C1833" s="301" t="s">
        <v>117</v>
      </c>
      <c r="D1833" s="303">
        <v>420.83</v>
      </c>
    </row>
    <row r="1834" spans="1:4">
      <c r="A1834" s="302">
        <v>84957</v>
      </c>
      <c r="B1834" s="301" t="s">
        <v>2819</v>
      </c>
      <c r="C1834" s="301" t="s">
        <v>117</v>
      </c>
      <c r="D1834" s="303">
        <v>156.83000000000001</v>
      </c>
    </row>
    <row r="1835" spans="1:4">
      <c r="A1835" s="302">
        <v>84959</v>
      </c>
      <c r="B1835" s="301" t="s">
        <v>2820</v>
      </c>
      <c r="C1835" s="301" t="s">
        <v>117</v>
      </c>
      <c r="D1835" s="303">
        <v>182.83</v>
      </c>
    </row>
    <row r="1836" spans="1:4">
      <c r="A1836" s="302">
        <v>85001</v>
      </c>
      <c r="B1836" s="301" t="s">
        <v>2821</v>
      </c>
      <c r="C1836" s="301" t="s">
        <v>117</v>
      </c>
      <c r="D1836" s="303">
        <v>174.16</v>
      </c>
    </row>
    <row r="1837" spans="1:4">
      <c r="A1837" s="302">
        <v>85002</v>
      </c>
      <c r="B1837" s="301" t="s">
        <v>2822</v>
      </c>
      <c r="C1837" s="301" t="s">
        <v>117</v>
      </c>
      <c r="D1837" s="303">
        <v>243.5</v>
      </c>
    </row>
    <row r="1838" spans="1:4">
      <c r="A1838" s="302">
        <v>85004</v>
      </c>
      <c r="B1838" s="301" t="s">
        <v>2823</v>
      </c>
      <c r="C1838" s="301" t="s">
        <v>117</v>
      </c>
      <c r="D1838" s="303">
        <v>122.16</v>
      </c>
    </row>
    <row r="1839" spans="1:4">
      <c r="A1839" s="302">
        <v>85005</v>
      </c>
      <c r="B1839" s="301" t="s">
        <v>70</v>
      </c>
      <c r="C1839" s="301" t="s">
        <v>117</v>
      </c>
      <c r="D1839" s="303">
        <v>351.37</v>
      </c>
    </row>
    <row r="1840" spans="1:4">
      <c r="A1840" s="302">
        <v>94569</v>
      </c>
      <c r="B1840" s="301" t="s">
        <v>11869</v>
      </c>
      <c r="C1840" s="301" t="s">
        <v>117</v>
      </c>
      <c r="D1840" s="303">
        <v>432.05</v>
      </c>
    </row>
    <row r="1841" spans="1:4">
      <c r="A1841" s="302">
        <v>94570</v>
      </c>
      <c r="B1841" s="301" t="s">
        <v>11870</v>
      </c>
      <c r="C1841" s="301" t="s">
        <v>117</v>
      </c>
      <c r="D1841" s="303">
        <v>269.98</v>
      </c>
    </row>
    <row r="1842" spans="1:4">
      <c r="A1842" s="302">
        <v>94572</v>
      </c>
      <c r="B1842" s="301" t="s">
        <v>11871</v>
      </c>
      <c r="C1842" s="301" t="s">
        <v>117</v>
      </c>
      <c r="D1842" s="303">
        <v>404.82</v>
      </c>
    </row>
    <row r="1843" spans="1:4">
      <c r="A1843" s="302">
        <v>94573</v>
      </c>
      <c r="B1843" s="301" t="s">
        <v>11872</v>
      </c>
      <c r="C1843" s="301" t="s">
        <v>117</v>
      </c>
      <c r="D1843" s="303">
        <v>312.68</v>
      </c>
    </row>
    <row r="1844" spans="1:4">
      <c r="A1844" s="302">
        <v>94580</v>
      </c>
      <c r="B1844" s="301" t="s">
        <v>11873</v>
      </c>
      <c r="C1844" s="301" t="s">
        <v>117</v>
      </c>
      <c r="D1844" s="303">
        <v>458.07</v>
      </c>
    </row>
    <row r="1845" spans="1:4">
      <c r="A1845" s="302">
        <v>100674</v>
      </c>
      <c r="B1845" s="301" t="s">
        <v>11874</v>
      </c>
      <c r="C1845" s="301" t="s">
        <v>117</v>
      </c>
      <c r="D1845" s="303">
        <v>297.43</v>
      </c>
    </row>
    <row r="1846" spans="1:4">
      <c r="A1846" s="301" t="s">
        <v>12420</v>
      </c>
      <c r="B1846" s="301" t="s">
        <v>12421</v>
      </c>
      <c r="C1846" s="301" t="s">
        <v>35</v>
      </c>
      <c r="D1846" s="303">
        <v>41.58</v>
      </c>
    </row>
    <row r="1847" spans="1:4">
      <c r="A1847" s="301" t="s">
        <v>12422</v>
      </c>
      <c r="B1847" s="301" t="s">
        <v>12423</v>
      </c>
      <c r="C1847" s="301" t="s">
        <v>35</v>
      </c>
      <c r="D1847" s="303">
        <v>32.04</v>
      </c>
    </row>
    <row r="1848" spans="1:4">
      <c r="A1848" s="302">
        <v>85015</v>
      </c>
      <c r="B1848" s="301" t="s">
        <v>12424</v>
      </c>
      <c r="C1848" s="301" t="s">
        <v>35</v>
      </c>
      <c r="D1848" s="303">
        <v>21.61</v>
      </c>
    </row>
    <row r="1849" spans="1:4">
      <c r="A1849" s="302">
        <v>85016</v>
      </c>
      <c r="B1849" s="301" t="s">
        <v>12425</v>
      </c>
      <c r="C1849" s="301" t="s">
        <v>35</v>
      </c>
      <c r="D1849" s="303">
        <v>27.15</v>
      </c>
    </row>
    <row r="1850" spans="1:4">
      <c r="A1850" s="302">
        <v>97751</v>
      </c>
      <c r="B1850" s="301" t="s">
        <v>2824</v>
      </c>
      <c r="C1850" s="301" t="s">
        <v>60</v>
      </c>
      <c r="D1850" s="303">
        <v>606.92999999999995</v>
      </c>
    </row>
    <row r="1851" spans="1:4">
      <c r="A1851" s="302">
        <v>97752</v>
      </c>
      <c r="B1851" s="301" t="s">
        <v>2825</v>
      </c>
      <c r="C1851" s="301" t="s">
        <v>60</v>
      </c>
      <c r="D1851" s="303">
        <v>577.95000000000005</v>
      </c>
    </row>
    <row r="1852" spans="1:4">
      <c r="A1852" s="302">
        <v>97753</v>
      </c>
      <c r="B1852" s="301" t="s">
        <v>2826</v>
      </c>
      <c r="C1852" s="301" t="s">
        <v>60</v>
      </c>
      <c r="D1852" s="303">
        <v>537.48</v>
      </c>
    </row>
    <row r="1853" spans="1:4">
      <c r="A1853" s="302">
        <v>97754</v>
      </c>
      <c r="B1853" s="301" t="s">
        <v>2827</v>
      </c>
      <c r="C1853" s="301" t="s">
        <v>60</v>
      </c>
      <c r="D1853" s="303">
        <v>510.93</v>
      </c>
    </row>
    <row r="1854" spans="1:4">
      <c r="A1854" s="302">
        <v>97755</v>
      </c>
      <c r="B1854" s="301" t="s">
        <v>2828</v>
      </c>
      <c r="C1854" s="301" t="s">
        <v>60</v>
      </c>
      <c r="D1854" s="303">
        <v>587.48</v>
      </c>
    </row>
    <row r="1855" spans="1:4">
      <c r="A1855" s="302">
        <v>97756</v>
      </c>
      <c r="B1855" s="301" t="s">
        <v>2829</v>
      </c>
      <c r="C1855" s="301" t="s">
        <v>60</v>
      </c>
      <c r="D1855" s="303">
        <v>561.66999999999996</v>
      </c>
    </row>
    <row r="1856" spans="1:4">
      <c r="A1856" s="302">
        <v>97757</v>
      </c>
      <c r="B1856" s="301" t="s">
        <v>2830</v>
      </c>
      <c r="C1856" s="301" t="s">
        <v>60</v>
      </c>
      <c r="D1856" s="303">
        <v>518.42999999999995</v>
      </c>
    </row>
    <row r="1857" spans="1:4">
      <c r="A1857" s="302">
        <v>97758</v>
      </c>
      <c r="B1857" s="301" t="s">
        <v>2831</v>
      </c>
      <c r="C1857" s="301" t="s">
        <v>60</v>
      </c>
      <c r="D1857" s="303">
        <v>485.99</v>
      </c>
    </row>
    <row r="1858" spans="1:4">
      <c r="A1858" s="302">
        <v>97759</v>
      </c>
      <c r="B1858" s="301" t="s">
        <v>2832</v>
      </c>
      <c r="C1858" s="301" t="s">
        <v>60</v>
      </c>
      <c r="D1858" s="303">
        <v>585.03</v>
      </c>
    </row>
    <row r="1859" spans="1:4">
      <c r="A1859" s="302">
        <v>97760</v>
      </c>
      <c r="B1859" s="301" t="s">
        <v>2833</v>
      </c>
      <c r="C1859" s="301" t="s">
        <v>60</v>
      </c>
      <c r="D1859" s="303">
        <v>551.63</v>
      </c>
    </row>
    <row r="1860" spans="1:4">
      <c r="A1860" s="302">
        <v>97761</v>
      </c>
      <c r="B1860" s="301" t="s">
        <v>2834</v>
      </c>
      <c r="C1860" s="301" t="s">
        <v>60</v>
      </c>
      <c r="D1860" s="303">
        <v>503.79</v>
      </c>
    </row>
    <row r="1861" spans="1:4">
      <c r="A1861" s="302">
        <v>97762</v>
      </c>
      <c r="B1861" s="301" t="s">
        <v>2835</v>
      </c>
      <c r="C1861" s="301" t="s">
        <v>60</v>
      </c>
      <c r="D1861" s="303">
        <v>467.56</v>
      </c>
    </row>
    <row r="1862" spans="1:4">
      <c r="A1862" s="302">
        <v>97763</v>
      </c>
      <c r="B1862" s="301" t="s">
        <v>2836</v>
      </c>
      <c r="C1862" s="301" t="s">
        <v>60</v>
      </c>
      <c r="D1862" s="303">
        <v>536.01</v>
      </c>
    </row>
    <row r="1863" spans="1:4">
      <c r="A1863" s="302">
        <v>97764</v>
      </c>
      <c r="B1863" s="301" t="s">
        <v>2837</v>
      </c>
      <c r="C1863" s="301" t="s">
        <v>60</v>
      </c>
      <c r="D1863" s="303">
        <v>515.37</v>
      </c>
    </row>
    <row r="1864" spans="1:4">
      <c r="A1864" s="302">
        <v>97765</v>
      </c>
      <c r="B1864" s="301" t="s">
        <v>2838</v>
      </c>
      <c r="C1864" s="301" t="s">
        <v>60</v>
      </c>
      <c r="D1864" s="303">
        <v>487.55</v>
      </c>
    </row>
    <row r="1865" spans="1:4">
      <c r="A1865" s="302">
        <v>97766</v>
      </c>
      <c r="B1865" s="301" t="s">
        <v>2839</v>
      </c>
      <c r="C1865" s="301" t="s">
        <v>60</v>
      </c>
      <c r="D1865" s="303">
        <v>470.03</v>
      </c>
    </row>
    <row r="1866" spans="1:4">
      <c r="A1866" s="302">
        <v>97767</v>
      </c>
      <c r="B1866" s="301" t="s">
        <v>2840</v>
      </c>
      <c r="C1866" s="301" t="s">
        <v>60</v>
      </c>
      <c r="D1866" s="303">
        <v>488.25</v>
      </c>
    </row>
    <row r="1867" spans="1:4">
      <c r="A1867" s="302">
        <v>97768</v>
      </c>
      <c r="B1867" s="301" t="s">
        <v>2841</v>
      </c>
      <c r="C1867" s="301" t="s">
        <v>60</v>
      </c>
      <c r="D1867" s="303">
        <v>476.49</v>
      </c>
    </row>
    <row r="1868" spans="1:4">
      <c r="A1868" s="302">
        <v>97769</v>
      </c>
      <c r="B1868" s="301" t="s">
        <v>2842</v>
      </c>
      <c r="C1868" s="301" t="s">
        <v>60</v>
      </c>
      <c r="D1868" s="303">
        <v>452.41</v>
      </c>
    </row>
    <row r="1869" spans="1:4">
      <c r="A1869" s="302">
        <v>97770</v>
      </c>
      <c r="B1869" s="301" t="s">
        <v>2843</v>
      </c>
      <c r="C1869" s="301" t="s">
        <v>60</v>
      </c>
      <c r="D1869" s="303">
        <v>432.34</v>
      </c>
    </row>
    <row r="1870" spans="1:4">
      <c r="A1870" s="302">
        <v>97771</v>
      </c>
      <c r="B1870" s="301" t="s">
        <v>2844</v>
      </c>
      <c r="C1870" s="301" t="s">
        <v>60</v>
      </c>
      <c r="D1870" s="303">
        <v>469.18</v>
      </c>
    </row>
    <row r="1871" spans="1:4">
      <c r="A1871" s="302">
        <v>97772</v>
      </c>
      <c r="B1871" s="301" t="s">
        <v>2845</v>
      </c>
      <c r="C1871" s="301" t="s">
        <v>60</v>
      </c>
      <c r="D1871" s="303">
        <v>453.28</v>
      </c>
    </row>
    <row r="1872" spans="1:4">
      <c r="A1872" s="302">
        <v>97773</v>
      </c>
      <c r="B1872" s="301" t="s">
        <v>2846</v>
      </c>
      <c r="C1872" s="301" t="s">
        <v>60</v>
      </c>
      <c r="D1872" s="303">
        <v>428.44</v>
      </c>
    </row>
    <row r="1873" spans="1:4">
      <c r="A1873" s="302">
        <v>97774</v>
      </c>
      <c r="B1873" s="301" t="s">
        <v>2847</v>
      </c>
      <c r="C1873" s="301" t="s">
        <v>60</v>
      </c>
      <c r="D1873" s="303">
        <v>406.91</v>
      </c>
    </row>
    <row r="1874" spans="1:4">
      <c r="A1874" s="302">
        <v>97775</v>
      </c>
      <c r="B1874" s="301" t="s">
        <v>2848</v>
      </c>
      <c r="C1874" s="301" t="s">
        <v>60</v>
      </c>
      <c r="D1874" s="303">
        <v>688.51</v>
      </c>
    </row>
    <row r="1875" spans="1:4">
      <c r="A1875" s="302">
        <v>97776</v>
      </c>
      <c r="B1875" s="301" t="s">
        <v>2849</v>
      </c>
      <c r="C1875" s="301" t="s">
        <v>60</v>
      </c>
      <c r="D1875" s="303">
        <v>657.73</v>
      </c>
    </row>
    <row r="1876" spans="1:4">
      <c r="A1876" s="302">
        <v>97777</v>
      </c>
      <c r="B1876" s="301" t="s">
        <v>2850</v>
      </c>
      <c r="C1876" s="301" t="s">
        <v>60</v>
      </c>
      <c r="D1876" s="303">
        <v>615.19000000000005</v>
      </c>
    </row>
    <row r="1877" spans="1:4">
      <c r="A1877" s="302">
        <v>97778</v>
      </c>
      <c r="B1877" s="301" t="s">
        <v>2851</v>
      </c>
      <c r="C1877" s="301" t="s">
        <v>60</v>
      </c>
      <c r="D1877" s="303">
        <v>587.72</v>
      </c>
    </row>
    <row r="1878" spans="1:4">
      <c r="A1878" s="302">
        <v>97779</v>
      </c>
      <c r="B1878" s="301" t="s">
        <v>2852</v>
      </c>
      <c r="C1878" s="301" t="s">
        <v>60</v>
      </c>
      <c r="D1878" s="303">
        <v>656.79</v>
      </c>
    </row>
    <row r="1879" spans="1:4">
      <c r="A1879" s="302">
        <v>97780</v>
      </c>
      <c r="B1879" s="301" t="s">
        <v>2853</v>
      </c>
      <c r="C1879" s="301" t="s">
        <v>60</v>
      </c>
      <c r="D1879" s="303">
        <v>630.73</v>
      </c>
    </row>
    <row r="1880" spans="1:4">
      <c r="A1880" s="302">
        <v>97781</v>
      </c>
      <c r="B1880" s="301" t="s">
        <v>2854</v>
      </c>
      <c r="C1880" s="301" t="s">
        <v>60</v>
      </c>
      <c r="D1880" s="303">
        <v>585.57000000000005</v>
      </c>
    </row>
    <row r="1881" spans="1:4">
      <c r="A1881" s="302">
        <v>97782</v>
      </c>
      <c r="B1881" s="301" t="s">
        <v>2855</v>
      </c>
      <c r="C1881" s="301" t="s">
        <v>60</v>
      </c>
      <c r="D1881" s="303">
        <v>551.12</v>
      </c>
    </row>
    <row r="1882" spans="1:4">
      <c r="A1882" s="302">
        <v>97783</v>
      </c>
      <c r="B1882" s="301" t="s">
        <v>2856</v>
      </c>
      <c r="C1882" s="301" t="s">
        <v>60</v>
      </c>
      <c r="D1882" s="303">
        <v>653.6</v>
      </c>
    </row>
    <row r="1883" spans="1:4">
      <c r="A1883" s="302">
        <v>97784</v>
      </c>
      <c r="B1883" s="301" t="s">
        <v>2857</v>
      </c>
      <c r="C1883" s="301" t="s">
        <v>60</v>
      </c>
      <c r="D1883" s="303">
        <v>618.63</v>
      </c>
    </row>
    <row r="1884" spans="1:4">
      <c r="A1884" s="302">
        <v>97785</v>
      </c>
      <c r="B1884" s="301" t="s">
        <v>2858</v>
      </c>
      <c r="C1884" s="301" t="s">
        <v>60</v>
      </c>
      <c r="D1884" s="303">
        <v>568.26</v>
      </c>
    </row>
    <row r="1885" spans="1:4">
      <c r="A1885" s="302">
        <v>97786</v>
      </c>
      <c r="B1885" s="301" t="s">
        <v>2859</v>
      </c>
      <c r="C1885" s="301" t="s">
        <v>60</v>
      </c>
      <c r="D1885" s="303">
        <v>529.33000000000004</v>
      </c>
    </row>
    <row r="1886" spans="1:4">
      <c r="A1886" s="302">
        <v>97787</v>
      </c>
      <c r="B1886" s="301" t="s">
        <v>2860</v>
      </c>
      <c r="C1886" s="301" t="s">
        <v>60</v>
      </c>
      <c r="D1886" s="303">
        <v>617.59</v>
      </c>
    </row>
    <row r="1887" spans="1:4">
      <c r="A1887" s="302">
        <v>97788</v>
      </c>
      <c r="B1887" s="301" t="s">
        <v>2861</v>
      </c>
      <c r="C1887" s="301" t="s">
        <v>60</v>
      </c>
      <c r="D1887" s="303">
        <v>595.15</v>
      </c>
    </row>
    <row r="1888" spans="1:4">
      <c r="A1888" s="302">
        <v>97789</v>
      </c>
      <c r="B1888" s="301" t="s">
        <v>2862</v>
      </c>
      <c r="C1888" s="301" t="s">
        <v>60</v>
      </c>
      <c r="D1888" s="303">
        <v>565.26</v>
      </c>
    </row>
    <row r="1889" spans="1:4">
      <c r="A1889" s="302">
        <v>97790</v>
      </c>
      <c r="B1889" s="301" t="s">
        <v>2863</v>
      </c>
      <c r="C1889" s="301" t="s">
        <v>60</v>
      </c>
      <c r="D1889" s="303">
        <v>546.82000000000005</v>
      </c>
    </row>
    <row r="1890" spans="1:4">
      <c r="A1890" s="302">
        <v>97791</v>
      </c>
      <c r="B1890" s="301" t="s">
        <v>2864</v>
      </c>
      <c r="C1890" s="301" t="s">
        <v>60</v>
      </c>
      <c r="D1890" s="303">
        <v>557.55999999999995</v>
      </c>
    </row>
    <row r="1891" spans="1:4">
      <c r="A1891" s="302">
        <v>97792</v>
      </c>
      <c r="B1891" s="301" t="s">
        <v>2865</v>
      </c>
      <c r="C1891" s="301" t="s">
        <v>60</v>
      </c>
      <c r="D1891" s="303">
        <v>545.54999999999995</v>
      </c>
    </row>
    <row r="1892" spans="1:4">
      <c r="A1892" s="302">
        <v>97793</v>
      </c>
      <c r="B1892" s="301" t="s">
        <v>2866</v>
      </c>
      <c r="C1892" s="301" t="s">
        <v>60</v>
      </c>
      <c r="D1892" s="303">
        <v>519.54999999999995</v>
      </c>
    </row>
    <row r="1893" spans="1:4">
      <c r="A1893" s="302">
        <v>97794</v>
      </c>
      <c r="B1893" s="301" t="s">
        <v>2867</v>
      </c>
      <c r="C1893" s="301" t="s">
        <v>60</v>
      </c>
      <c r="D1893" s="303">
        <v>497.47</v>
      </c>
    </row>
    <row r="1894" spans="1:4">
      <c r="A1894" s="302">
        <v>97795</v>
      </c>
      <c r="B1894" s="301" t="s">
        <v>2868</v>
      </c>
      <c r="C1894" s="301" t="s">
        <v>60</v>
      </c>
      <c r="D1894" s="303">
        <v>537.75</v>
      </c>
    </row>
    <row r="1895" spans="1:4">
      <c r="A1895" s="302">
        <v>97796</v>
      </c>
      <c r="B1895" s="301" t="s">
        <v>2869</v>
      </c>
      <c r="C1895" s="301" t="s">
        <v>60</v>
      </c>
      <c r="D1895" s="303">
        <v>520.28</v>
      </c>
    </row>
    <row r="1896" spans="1:4">
      <c r="A1896" s="302">
        <v>97797</v>
      </c>
      <c r="B1896" s="301" t="s">
        <v>2870</v>
      </c>
      <c r="C1896" s="301" t="s">
        <v>60</v>
      </c>
      <c r="D1896" s="303">
        <v>492.91</v>
      </c>
    </row>
    <row r="1897" spans="1:4">
      <c r="A1897" s="302">
        <v>97798</v>
      </c>
      <c r="B1897" s="301" t="s">
        <v>2871</v>
      </c>
      <c r="C1897" s="301" t="s">
        <v>60</v>
      </c>
      <c r="D1897" s="303">
        <v>468.68</v>
      </c>
    </row>
    <row r="1898" spans="1:4">
      <c r="A1898" s="302">
        <v>97799</v>
      </c>
      <c r="B1898" s="301" t="s">
        <v>2872</v>
      </c>
      <c r="C1898" s="301" t="s">
        <v>60</v>
      </c>
      <c r="D1898" s="303">
        <v>537.05999999999995</v>
      </c>
    </row>
    <row r="1899" spans="1:4">
      <c r="A1899" s="302">
        <v>97800</v>
      </c>
      <c r="B1899" s="301" t="s">
        <v>2873</v>
      </c>
      <c r="C1899" s="301" t="s">
        <v>60</v>
      </c>
      <c r="D1899" s="303">
        <v>620.02</v>
      </c>
    </row>
    <row r="1900" spans="1:4">
      <c r="A1900" s="302">
        <v>95601</v>
      </c>
      <c r="B1900" s="301" t="s">
        <v>2874</v>
      </c>
      <c r="C1900" s="301" t="s">
        <v>28</v>
      </c>
      <c r="D1900" s="303">
        <v>13.92</v>
      </c>
    </row>
    <row r="1901" spans="1:4">
      <c r="A1901" s="302">
        <v>95602</v>
      </c>
      <c r="B1901" s="301" t="s">
        <v>2875</v>
      </c>
      <c r="C1901" s="301" t="s">
        <v>28</v>
      </c>
      <c r="D1901" s="303">
        <v>17.809999999999999</v>
      </c>
    </row>
    <row r="1902" spans="1:4">
      <c r="A1902" s="302">
        <v>95603</v>
      </c>
      <c r="B1902" s="301" t="s">
        <v>2876</v>
      </c>
      <c r="C1902" s="301" t="s">
        <v>28</v>
      </c>
      <c r="D1902" s="303">
        <v>23.37</v>
      </c>
    </row>
    <row r="1903" spans="1:4">
      <c r="A1903" s="302">
        <v>95604</v>
      </c>
      <c r="B1903" s="301" t="s">
        <v>2877</v>
      </c>
      <c r="C1903" s="301" t="s">
        <v>28</v>
      </c>
      <c r="D1903" s="303">
        <v>30.78</v>
      </c>
    </row>
    <row r="1904" spans="1:4">
      <c r="A1904" s="302">
        <v>95605</v>
      </c>
      <c r="B1904" s="301" t="s">
        <v>2878</v>
      </c>
      <c r="C1904" s="301" t="s">
        <v>28</v>
      </c>
      <c r="D1904" s="303">
        <v>48.26</v>
      </c>
    </row>
    <row r="1905" spans="1:4">
      <c r="A1905" s="302">
        <v>95607</v>
      </c>
      <c r="B1905" s="301" t="s">
        <v>2879</v>
      </c>
      <c r="C1905" s="301" t="s">
        <v>28</v>
      </c>
      <c r="D1905" s="303">
        <v>5.7</v>
      </c>
    </row>
    <row r="1906" spans="1:4">
      <c r="A1906" s="302">
        <v>95608</v>
      </c>
      <c r="B1906" s="301" t="s">
        <v>2880</v>
      </c>
      <c r="C1906" s="301" t="s">
        <v>28</v>
      </c>
      <c r="D1906" s="303">
        <v>6.58</v>
      </c>
    </row>
    <row r="1907" spans="1:4">
      <c r="A1907" s="302">
        <v>95609</v>
      </c>
      <c r="B1907" s="301" t="s">
        <v>2881</v>
      </c>
      <c r="C1907" s="301" t="s">
        <v>28</v>
      </c>
      <c r="D1907" s="303">
        <v>7.33</v>
      </c>
    </row>
    <row r="1908" spans="1:4">
      <c r="A1908" s="302">
        <v>96160</v>
      </c>
      <c r="B1908" s="301" t="s">
        <v>2882</v>
      </c>
      <c r="C1908" s="301" t="s">
        <v>35</v>
      </c>
      <c r="D1908" s="303">
        <v>180.16</v>
      </c>
    </row>
    <row r="1909" spans="1:4">
      <c r="A1909" s="302">
        <v>96161</v>
      </c>
      <c r="B1909" s="301" t="s">
        <v>2883</v>
      </c>
      <c r="C1909" s="301" t="s">
        <v>35</v>
      </c>
      <c r="D1909" s="303">
        <v>265.48</v>
      </c>
    </row>
    <row r="1910" spans="1:4">
      <c r="A1910" s="302">
        <v>96162</v>
      </c>
      <c r="B1910" s="301" t="s">
        <v>2884</v>
      </c>
      <c r="C1910" s="301" t="s">
        <v>35</v>
      </c>
      <c r="D1910" s="303">
        <v>342.95</v>
      </c>
    </row>
    <row r="1911" spans="1:4">
      <c r="A1911" s="302">
        <v>96163</v>
      </c>
      <c r="B1911" s="301" t="s">
        <v>2885</v>
      </c>
      <c r="C1911" s="301" t="s">
        <v>35</v>
      </c>
      <c r="D1911" s="303">
        <v>385.82</v>
      </c>
    </row>
    <row r="1912" spans="1:4">
      <c r="A1912" s="302">
        <v>96164</v>
      </c>
      <c r="B1912" s="301" t="s">
        <v>2886</v>
      </c>
      <c r="C1912" s="301" t="s">
        <v>35</v>
      </c>
      <c r="D1912" s="303">
        <v>166.13</v>
      </c>
    </row>
    <row r="1913" spans="1:4">
      <c r="A1913" s="302">
        <v>96165</v>
      </c>
      <c r="B1913" s="301" t="s">
        <v>2887</v>
      </c>
      <c r="C1913" s="301" t="s">
        <v>35</v>
      </c>
      <c r="D1913" s="303">
        <v>246.15</v>
      </c>
    </row>
    <row r="1914" spans="1:4">
      <c r="A1914" s="302">
        <v>96166</v>
      </c>
      <c r="B1914" s="301" t="s">
        <v>2888</v>
      </c>
      <c r="C1914" s="301" t="s">
        <v>35</v>
      </c>
      <c r="D1914" s="303">
        <v>312.92</v>
      </c>
    </row>
    <row r="1915" spans="1:4">
      <c r="A1915" s="302">
        <v>96167</v>
      </c>
      <c r="B1915" s="301" t="s">
        <v>2889</v>
      </c>
      <c r="C1915" s="301" t="s">
        <v>35</v>
      </c>
      <c r="D1915" s="303">
        <v>342.83</v>
      </c>
    </row>
    <row r="1916" spans="1:4">
      <c r="A1916" s="302">
        <v>96168</v>
      </c>
      <c r="B1916" s="301" t="s">
        <v>2890</v>
      </c>
      <c r="C1916" s="301" t="s">
        <v>35</v>
      </c>
      <c r="D1916" s="303">
        <v>159.25</v>
      </c>
    </row>
    <row r="1917" spans="1:4">
      <c r="A1917" s="302">
        <v>96169</v>
      </c>
      <c r="B1917" s="301" t="s">
        <v>2891</v>
      </c>
      <c r="C1917" s="301" t="s">
        <v>35</v>
      </c>
      <c r="D1917" s="303">
        <v>237.3</v>
      </c>
    </row>
    <row r="1918" spans="1:4">
      <c r="A1918" s="302">
        <v>96170</v>
      </c>
      <c r="B1918" s="301" t="s">
        <v>2892</v>
      </c>
      <c r="C1918" s="301" t="s">
        <v>35</v>
      </c>
      <c r="D1918" s="303">
        <v>302.02999999999997</v>
      </c>
    </row>
    <row r="1919" spans="1:4">
      <c r="A1919" s="302">
        <v>96171</v>
      </c>
      <c r="B1919" s="301" t="s">
        <v>2893</v>
      </c>
      <c r="C1919" s="301" t="s">
        <v>35</v>
      </c>
      <c r="D1919" s="303">
        <v>328.09</v>
      </c>
    </row>
    <row r="1920" spans="1:4">
      <c r="A1920" s="302">
        <v>96172</v>
      </c>
      <c r="B1920" s="301" t="s">
        <v>2894</v>
      </c>
      <c r="C1920" s="301" t="s">
        <v>35</v>
      </c>
      <c r="D1920" s="303">
        <v>190.64</v>
      </c>
    </row>
    <row r="1921" spans="1:4">
      <c r="A1921" s="302">
        <v>96173</v>
      </c>
      <c r="B1921" s="301" t="s">
        <v>2895</v>
      </c>
      <c r="C1921" s="301" t="s">
        <v>35</v>
      </c>
      <c r="D1921" s="303">
        <v>278.55</v>
      </c>
    </row>
    <row r="1922" spans="1:4">
      <c r="A1922" s="302">
        <v>96174</v>
      </c>
      <c r="B1922" s="301" t="s">
        <v>2896</v>
      </c>
      <c r="C1922" s="301" t="s">
        <v>35</v>
      </c>
      <c r="D1922" s="303">
        <v>359.67</v>
      </c>
    </row>
    <row r="1923" spans="1:4">
      <c r="A1923" s="302">
        <v>96175</v>
      </c>
      <c r="B1923" s="301" t="s">
        <v>2897</v>
      </c>
      <c r="C1923" s="301" t="s">
        <v>35</v>
      </c>
      <c r="D1923" s="303">
        <v>405.32</v>
      </c>
    </row>
    <row r="1924" spans="1:4">
      <c r="A1924" s="302">
        <v>96176</v>
      </c>
      <c r="B1924" s="301" t="s">
        <v>2898</v>
      </c>
      <c r="C1924" s="301" t="s">
        <v>35</v>
      </c>
      <c r="D1924" s="303">
        <v>173.11</v>
      </c>
    </row>
    <row r="1925" spans="1:4">
      <c r="A1925" s="302">
        <v>96177</v>
      </c>
      <c r="B1925" s="301" t="s">
        <v>2899</v>
      </c>
      <c r="C1925" s="301" t="s">
        <v>35</v>
      </c>
      <c r="D1925" s="303">
        <v>254.19</v>
      </c>
    </row>
    <row r="1926" spans="1:4">
      <c r="A1926" s="302">
        <v>96178</v>
      </c>
      <c r="B1926" s="301" t="s">
        <v>2900</v>
      </c>
      <c r="C1926" s="301" t="s">
        <v>35</v>
      </c>
      <c r="D1926" s="303">
        <v>322.42</v>
      </c>
    </row>
    <row r="1927" spans="1:4">
      <c r="A1927" s="302">
        <v>96179</v>
      </c>
      <c r="B1927" s="301" t="s">
        <v>2901</v>
      </c>
      <c r="C1927" s="301" t="s">
        <v>35</v>
      </c>
      <c r="D1927" s="303">
        <v>353.14</v>
      </c>
    </row>
    <row r="1928" spans="1:4">
      <c r="A1928" s="302">
        <v>96180</v>
      </c>
      <c r="B1928" s="301" t="s">
        <v>2902</v>
      </c>
      <c r="C1928" s="301" t="s">
        <v>35</v>
      </c>
      <c r="D1928" s="303">
        <v>164.38</v>
      </c>
    </row>
    <row r="1929" spans="1:4">
      <c r="A1929" s="302">
        <v>96181</v>
      </c>
      <c r="B1929" s="301" t="s">
        <v>2903</v>
      </c>
      <c r="C1929" s="301" t="s">
        <v>35</v>
      </c>
      <c r="D1929" s="303">
        <v>243.25</v>
      </c>
    </row>
    <row r="1930" spans="1:4">
      <c r="A1930" s="302">
        <v>96182</v>
      </c>
      <c r="B1930" s="301" t="s">
        <v>2904</v>
      </c>
      <c r="C1930" s="301" t="s">
        <v>35</v>
      </c>
      <c r="D1930" s="303">
        <v>307.79000000000002</v>
      </c>
    </row>
    <row r="1931" spans="1:4">
      <c r="A1931" s="302">
        <v>96183</v>
      </c>
      <c r="B1931" s="301" t="s">
        <v>2905</v>
      </c>
      <c r="C1931" s="301" t="s">
        <v>35</v>
      </c>
      <c r="D1931" s="303">
        <v>335.12</v>
      </c>
    </row>
    <row r="1932" spans="1:4">
      <c r="A1932" s="302">
        <v>98228</v>
      </c>
      <c r="B1932" s="301" t="s">
        <v>2906</v>
      </c>
      <c r="C1932" s="301" t="s">
        <v>35</v>
      </c>
      <c r="D1932" s="303">
        <v>49.23</v>
      </c>
    </row>
    <row r="1933" spans="1:4">
      <c r="A1933" s="302">
        <v>98229</v>
      </c>
      <c r="B1933" s="301" t="s">
        <v>2907</v>
      </c>
      <c r="C1933" s="301" t="s">
        <v>35</v>
      </c>
      <c r="D1933" s="303">
        <v>66.489999999999995</v>
      </c>
    </row>
    <row r="1934" spans="1:4">
      <c r="A1934" s="302">
        <v>98230</v>
      </c>
      <c r="B1934" s="301" t="s">
        <v>2908</v>
      </c>
      <c r="C1934" s="301" t="s">
        <v>35</v>
      </c>
      <c r="D1934" s="303">
        <v>88.81</v>
      </c>
    </row>
    <row r="1935" spans="1:4">
      <c r="A1935" s="302">
        <v>100651</v>
      </c>
      <c r="B1935" s="301" t="s">
        <v>11875</v>
      </c>
      <c r="C1935" s="301" t="s">
        <v>35</v>
      </c>
      <c r="D1935" s="303">
        <v>96.83</v>
      </c>
    </row>
    <row r="1936" spans="1:4">
      <c r="A1936" s="302">
        <v>100652</v>
      </c>
      <c r="B1936" s="301" t="s">
        <v>11876</v>
      </c>
      <c r="C1936" s="301" t="s">
        <v>35</v>
      </c>
      <c r="D1936" s="303">
        <v>193.93</v>
      </c>
    </row>
    <row r="1937" spans="1:4">
      <c r="A1937" s="302">
        <v>100653</v>
      </c>
      <c r="B1937" s="301" t="s">
        <v>11877</v>
      </c>
      <c r="C1937" s="301" t="s">
        <v>35</v>
      </c>
      <c r="D1937" s="303">
        <v>329.7</v>
      </c>
    </row>
    <row r="1938" spans="1:4">
      <c r="A1938" s="302">
        <v>100654</v>
      </c>
      <c r="B1938" s="301" t="s">
        <v>11878</v>
      </c>
      <c r="C1938" s="301" t="s">
        <v>35</v>
      </c>
      <c r="D1938" s="303">
        <v>438.34</v>
      </c>
    </row>
    <row r="1939" spans="1:4">
      <c r="A1939" s="302">
        <v>100655</v>
      </c>
      <c r="B1939" s="301" t="s">
        <v>11879</v>
      </c>
      <c r="C1939" s="301" t="s">
        <v>35</v>
      </c>
      <c r="D1939" s="303">
        <v>512.04999999999995</v>
      </c>
    </row>
    <row r="1940" spans="1:4">
      <c r="A1940" s="302">
        <v>100656</v>
      </c>
      <c r="B1940" s="301" t="s">
        <v>11880</v>
      </c>
      <c r="C1940" s="301" t="s">
        <v>35</v>
      </c>
      <c r="D1940" s="303">
        <v>60.66</v>
      </c>
    </row>
    <row r="1941" spans="1:4">
      <c r="A1941" s="302">
        <v>100657</v>
      </c>
      <c r="B1941" s="301" t="s">
        <v>11881</v>
      </c>
      <c r="C1941" s="301" t="s">
        <v>35</v>
      </c>
      <c r="D1941" s="303">
        <v>77.569999999999993</v>
      </c>
    </row>
    <row r="1942" spans="1:4">
      <c r="A1942" s="302">
        <v>100658</v>
      </c>
      <c r="B1942" s="301" t="s">
        <v>11882</v>
      </c>
      <c r="C1942" s="301" t="s">
        <v>35</v>
      </c>
      <c r="D1942" s="303">
        <v>176.68</v>
      </c>
    </row>
    <row r="1943" spans="1:4">
      <c r="A1943" s="302">
        <v>100889</v>
      </c>
      <c r="B1943" s="301" t="s">
        <v>11883</v>
      </c>
      <c r="C1943" s="301" t="s">
        <v>34</v>
      </c>
      <c r="D1943" s="303">
        <v>8.36</v>
      </c>
    </row>
    <row r="1944" spans="1:4">
      <c r="A1944" s="302">
        <v>100890</v>
      </c>
      <c r="B1944" s="301" t="s">
        <v>11884</v>
      </c>
      <c r="C1944" s="301" t="s">
        <v>34</v>
      </c>
      <c r="D1944" s="303">
        <v>8.25</v>
      </c>
    </row>
    <row r="1945" spans="1:4">
      <c r="A1945" s="302">
        <v>100892</v>
      </c>
      <c r="B1945" s="301" t="s">
        <v>11885</v>
      </c>
      <c r="C1945" s="301" t="s">
        <v>34</v>
      </c>
      <c r="D1945" s="303">
        <v>7.98</v>
      </c>
    </row>
    <row r="1946" spans="1:4">
      <c r="A1946" s="302">
        <v>100893</v>
      </c>
      <c r="B1946" s="301" t="s">
        <v>11886</v>
      </c>
      <c r="C1946" s="301" t="s">
        <v>34</v>
      </c>
      <c r="D1946" s="303">
        <v>7.87</v>
      </c>
    </row>
    <row r="1947" spans="1:4">
      <c r="A1947" s="302">
        <v>100894</v>
      </c>
      <c r="B1947" s="301" t="s">
        <v>11887</v>
      </c>
      <c r="C1947" s="301" t="s">
        <v>34</v>
      </c>
      <c r="D1947" s="303">
        <v>7.77</v>
      </c>
    </row>
    <row r="1948" spans="1:4">
      <c r="A1948" s="302">
        <v>100896</v>
      </c>
      <c r="B1948" s="301" t="s">
        <v>11888</v>
      </c>
      <c r="C1948" s="301" t="s">
        <v>35</v>
      </c>
      <c r="D1948" s="303">
        <v>43.58</v>
      </c>
    </row>
    <row r="1949" spans="1:4">
      <c r="A1949" s="302">
        <v>100897</v>
      </c>
      <c r="B1949" s="301" t="s">
        <v>11889</v>
      </c>
      <c r="C1949" s="301" t="s">
        <v>35</v>
      </c>
      <c r="D1949" s="303">
        <v>88.86</v>
      </c>
    </row>
    <row r="1950" spans="1:4">
      <c r="A1950" s="302">
        <v>100898</v>
      </c>
      <c r="B1950" s="301" t="s">
        <v>11890</v>
      </c>
      <c r="C1950" s="301" t="s">
        <v>35</v>
      </c>
      <c r="D1950" s="303">
        <v>176.78</v>
      </c>
    </row>
    <row r="1951" spans="1:4">
      <c r="A1951" s="302">
        <v>100899</v>
      </c>
      <c r="B1951" s="301" t="s">
        <v>11891</v>
      </c>
      <c r="C1951" s="301" t="s">
        <v>35</v>
      </c>
      <c r="D1951" s="303">
        <v>61.27</v>
      </c>
    </row>
    <row r="1952" spans="1:4">
      <c r="A1952" s="302">
        <v>100900</v>
      </c>
      <c r="B1952" s="301" t="s">
        <v>11892</v>
      </c>
      <c r="C1952" s="301" t="s">
        <v>35</v>
      </c>
      <c r="D1952" s="303">
        <v>205.09</v>
      </c>
    </row>
    <row r="1953" spans="1:4">
      <c r="A1953" s="302">
        <v>83534</v>
      </c>
      <c r="B1953" s="301" t="s">
        <v>12426</v>
      </c>
      <c r="C1953" s="301" t="s">
        <v>60</v>
      </c>
      <c r="D1953" s="303">
        <v>492.33</v>
      </c>
    </row>
    <row r="1954" spans="1:4">
      <c r="A1954" s="302">
        <v>95240</v>
      </c>
      <c r="B1954" s="301" t="s">
        <v>2909</v>
      </c>
      <c r="C1954" s="301" t="s">
        <v>117</v>
      </c>
      <c r="D1954" s="303">
        <v>12.7</v>
      </c>
    </row>
    <row r="1955" spans="1:4">
      <c r="A1955" s="302">
        <v>95241</v>
      </c>
      <c r="B1955" s="301" t="s">
        <v>2910</v>
      </c>
      <c r="C1955" s="301" t="s">
        <v>117</v>
      </c>
      <c r="D1955" s="303">
        <v>21.17</v>
      </c>
    </row>
    <row r="1956" spans="1:4">
      <c r="A1956" s="302">
        <v>96616</v>
      </c>
      <c r="B1956" s="301" t="s">
        <v>987</v>
      </c>
      <c r="C1956" s="301" t="s">
        <v>60</v>
      </c>
      <c r="D1956" s="303">
        <v>442.5</v>
      </c>
    </row>
    <row r="1957" spans="1:4">
      <c r="A1957" s="302">
        <v>96617</v>
      </c>
      <c r="B1957" s="301" t="s">
        <v>2911</v>
      </c>
      <c r="C1957" s="301" t="s">
        <v>117</v>
      </c>
      <c r="D1957" s="303">
        <v>13.26</v>
      </c>
    </row>
    <row r="1958" spans="1:4">
      <c r="A1958" s="302">
        <v>96619</v>
      </c>
      <c r="B1958" s="301" t="s">
        <v>177</v>
      </c>
      <c r="C1958" s="301" t="s">
        <v>117</v>
      </c>
      <c r="D1958" s="303">
        <v>22.11</v>
      </c>
    </row>
    <row r="1959" spans="1:4">
      <c r="A1959" s="302">
        <v>96620</v>
      </c>
      <c r="B1959" s="301" t="s">
        <v>334</v>
      </c>
      <c r="C1959" s="301" t="s">
        <v>60</v>
      </c>
      <c r="D1959" s="303">
        <v>423.79</v>
      </c>
    </row>
    <row r="1960" spans="1:4">
      <c r="A1960" s="302">
        <v>96621</v>
      </c>
      <c r="B1960" s="301" t="s">
        <v>2912</v>
      </c>
      <c r="C1960" s="301" t="s">
        <v>60</v>
      </c>
      <c r="D1960" s="303">
        <v>176.09</v>
      </c>
    </row>
    <row r="1961" spans="1:4">
      <c r="A1961" s="302">
        <v>96622</v>
      </c>
      <c r="B1961" s="301" t="s">
        <v>2913</v>
      </c>
      <c r="C1961" s="301" t="s">
        <v>60</v>
      </c>
      <c r="D1961" s="303">
        <v>121.01</v>
      </c>
    </row>
    <row r="1962" spans="1:4">
      <c r="A1962" s="302">
        <v>96623</v>
      </c>
      <c r="B1962" s="301" t="s">
        <v>2914</v>
      </c>
      <c r="C1962" s="301" t="s">
        <v>60</v>
      </c>
      <c r="D1962" s="303">
        <v>163.29</v>
      </c>
    </row>
    <row r="1963" spans="1:4">
      <c r="A1963" s="302">
        <v>96624</v>
      </c>
      <c r="B1963" s="301" t="s">
        <v>2915</v>
      </c>
      <c r="C1963" s="301" t="s">
        <v>60</v>
      </c>
      <c r="D1963" s="303">
        <v>116.5</v>
      </c>
    </row>
    <row r="1964" spans="1:4">
      <c r="A1964" s="302">
        <v>97082</v>
      </c>
      <c r="B1964" s="301" t="s">
        <v>2916</v>
      </c>
      <c r="C1964" s="301" t="s">
        <v>60</v>
      </c>
      <c r="D1964" s="303">
        <v>46.2</v>
      </c>
    </row>
    <row r="1965" spans="1:4">
      <c r="A1965" s="302">
        <v>97083</v>
      </c>
      <c r="B1965" s="301" t="s">
        <v>2917</v>
      </c>
      <c r="C1965" s="301" t="s">
        <v>117</v>
      </c>
      <c r="D1965" s="303">
        <v>2.4500000000000002</v>
      </c>
    </row>
    <row r="1966" spans="1:4">
      <c r="A1966" s="302">
        <v>97084</v>
      </c>
      <c r="B1966" s="301" t="s">
        <v>2918</v>
      </c>
      <c r="C1966" s="301" t="s">
        <v>117</v>
      </c>
      <c r="D1966" s="303">
        <v>0.5</v>
      </c>
    </row>
    <row r="1967" spans="1:4">
      <c r="A1967" s="302">
        <v>97086</v>
      </c>
      <c r="B1967" s="301" t="s">
        <v>316</v>
      </c>
      <c r="C1967" s="301" t="s">
        <v>117</v>
      </c>
      <c r="D1967" s="303">
        <v>82.16</v>
      </c>
    </row>
    <row r="1968" spans="1:4">
      <c r="A1968" s="302">
        <v>97094</v>
      </c>
      <c r="B1968" s="301" t="s">
        <v>2919</v>
      </c>
      <c r="C1968" s="301" t="s">
        <v>60</v>
      </c>
      <c r="D1968" s="303">
        <v>507.91</v>
      </c>
    </row>
    <row r="1969" spans="1:4">
      <c r="A1969" s="302">
        <v>97095</v>
      </c>
      <c r="B1969" s="301" t="s">
        <v>2920</v>
      </c>
      <c r="C1969" s="301" t="s">
        <v>60</v>
      </c>
      <c r="D1969" s="303">
        <v>477.05</v>
      </c>
    </row>
    <row r="1970" spans="1:4">
      <c r="A1970" s="302">
        <v>97096</v>
      </c>
      <c r="B1970" s="301" t="s">
        <v>2921</v>
      </c>
      <c r="C1970" s="301" t="s">
        <v>60</v>
      </c>
      <c r="D1970" s="303">
        <v>461.19</v>
      </c>
    </row>
    <row r="1971" spans="1:4">
      <c r="A1971" s="302">
        <v>100322</v>
      </c>
      <c r="B1971" s="301" t="s">
        <v>2922</v>
      </c>
      <c r="C1971" s="301" t="s">
        <v>60</v>
      </c>
      <c r="D1971" s="303">
        <v>116.5</v>
      </c>
    </row>
    <row r="1972" spans="1:4">
      <c r="A1972" s="302">
        <v>100323</v>
      </c>
      <c r="B1972" s="301" t="s">
        <v>2923</v>
      </c>
      <c r="C1972" s="301" t="s">
        <v>60</v>
      </c>
      <c r="D1972" s="303">
        <v>96.72</v>
      </c>
    </row>
    <row r="1973" spans="1:4">
      <c r="A1973" s="302">
        <v>100324</v>
      </c>
      <c r="B1973" s="301" t="s">
        <v>2924</v>
      </c>
      <c r="C1973" s="301" t="s">
        <v>60</v>
      </c>
      <c r="D1973" s="303">
        <v>116.5</v>
      </c>
    </row>
    <row r="1974" spans="1:4">
      <c r="A1974" s="302">
        <v>90996</v>
      </c>
      <c r="B1974" s="301" t="s">
        <v>2925</v>
      </c>
      <c r="C1974" s="301" t="s">
        <v>117</v>
      </c>
      <c r="D1974" s="303">
        <v>11.98</v>
      </c>
    </row>
    <row r="1975" spans="1:4">
      <c r="A1975" s="302">
        <v>90997</v>
      </c>
      <c r="B1975" s="301" t="s">
        <v>2926</v>
      </c>
      <c r="C1975" s="301" t="s">
        <v>117</v>
      </c>
      <c r="D1975" s="303">
        <v>16.39</v>
      </c>
    </row>
    <row r="1976" spans="1:4">
      <c r="A1976" s="302">
        <v>90998</v>
      </c>
      <c r="B1976" s="301" t="s">
        <v>2927</v>
      </c>
      <c r="C1976" s="301" t="s">
        <v>117</v>
      </c>
      <c r="D1976" s="303">
        <v>19.850000000000001</v>
      </c>
    </row>
    <row r="1977" spans="1:4">
      <c r="A1977" s="302">
        <v>91000</v>
      </c>
      <c r="B1977" s="301" t="s">
        <v>2928</v>
      </c>
      <c r="C1977" s="301" t="s">
        <v>117</v>
      </c>
      <c r="D1977" s="303">
        <v>15.07</v>
      </c>
    </row>
    <row r="1978" spans="1:4">
      <c r="A1978" s="302">
        <v>91002</v>
      </c>
      <c r="B1978" s="301" t="s">
        <v>2929</v>
      </c>
      <c r="C1978" s="301" t="s">
        <v>117</v>
      </c>
      <c r="D1978" s="303">
        <v>13.84</v>
      </c>
    </row>
    <row r="1979" spans="1:4">
      <c r="A1979" s="302">
        <v>91003</v>
      </c>
      <c r="B1979" s="301" t="s">
        <v>2930</v>
      </c>
      <c r="C1979" s="301" t="s">
        <v>117</v>
      </c>
      <c r="D1979" s="303">
        <v>16.07</v>
      </c>
    </row>
    <row r="1980" spans="1:4">
      <c r="A1980" s="302">
        <v>91004</v>
      </c>
      <c r="B1980" s="301" t="s">
        <v>2931</v>
      </c>
      <c r="C1980" s="301" t="s">
        <v>117</v>
      </c>
      <c r="D1980" s="303">
        <v>12.71</v>
      </c>
    </row>
    <row r="1981" spans="1:4">
      <c r="A1981" s="302">
        <v>91005</v>
      </c>
      <c r="B1981" s="301" t="s">
        <v>2932</v>
      </c>
      <c r="C1981" s="301" t="s">
        <v>117</v>
      </c>
      <c r="D1981" s="303">
        <v>15.29</v>
      </c>
    </row>
    <row r="1982" spans="1:4">
      <c r="A1982" s="302">
        <v>91006</v>
      </c>
      <c r="B1982" s="301" t="s">
        <v>2933</v>
      </c>
      <c r="C1982" s="301" t="s">
        <v>117</v>
      </c>
      <c r="D1982" s="303">
        <v>11.73</v>
      </c>
    </row>
    <row r="1983" spans="1:4">
      <c r="A1983" s="302">
        <v>91007</v>
      </c>
      <c r="B1983" s="301" t="s">
        <v>2934</v>
      </c>
      <c r="C1983" s="301" t="s">
        <v>117</v>
      </c>
      <c r="D1983" s="303">
        <v>10.49</v>
      </c>
    </row>
    <row r="1984" spans="1:4">
      <c r="A1984" s="302">
        <v>91008</v>
      </c>
      <c r="B1984" s="301" t="s">
        <v>2935</v>
      </c>
      <c r="C1984" s="301" t="s">
        <v>117</v>
      </c>
      <c r="D1984" s="303">
        <v>12.72</v>
      </c>
    </row>
    <row r="1985" spans="1:4">
      <c r="A1985" s="302">
        <v>92263</v>
      </c>
      <c r="B1985" s="301" t="s">
        <v>2936</v>
      </c>
      <c r="C1985" s="301" t="s">
        <v>117</v>
      </c>
      <c r="D1985" s="303">
        <v>102.5</v>
      </c>
    </row>
    <row r="1986" spans="1:4">
      <c r="A1986" s="302">
        <v>92264</v>
      </c>
      <c r="B1986" s="301" t="s">
        <v>2937</v>
      </c>
      <c r="C1986" s="301" t="s">
        <v>117</v>
      </c>
      <c r="D1986" s="303">
        <v>124.66</v>
      </c>
    </row>
    <row r="1987" spans="1:4">
      <c r="A1987" s="302">
        <v>92265</v>
      </c>
      <c r="B1987" s="301" t="s">
        <v>2938</v>
      </c>
      <c r="C1987" s="301" t="s">
        <v>117</v>
      </c>
      <c r="D1987" s="303">
        <v>77.98</v>
      </c>
    </row>
    <row r="1988" spans="1:4">
      <c r="A1988" s="302">
        <v>92266</v>
      </c>
      <c r="B1988" s="301" t="s">
        <v>2939</v>
      </c>
      <c r="C1988" s="301" t="s">
        <v>117</v>
      </c>
      <c r="D1988" s="303">
        <v>97.74</v>
      </c>
    </row>
    <row r="1989" spans="1:4">
      <c r="A1989" s="302">
        <v>92267</v>
      </c>
      <c r="B1989" s="301" t="s">
        <v>2940</v>
      </c>
      <c r="C1989" s="301" t="s">
        <v>117</v>
      </c>
      <c r="D1989" s="303">
        <v>28</v>
      </c>
    </row>
    <row r="1990" spans="1:4">
      <c r="A1990" s="302">
        <v>92268</v>
      </c>
      <c r="B1990" s="301" t="s">
        <v>917</v>
      </c>
      <c r="C1990" s="301" t="s">
        <v>117</v>
      </c>
      <c r="D1990" s="303">
        <v>45.43</v>
      </c>
    </row>
    <row r="1991" spans="1:4">
      <c r="A1991" s="302">
        <v>92269</v>
      </c>
      <c r="B1991" s="301" t="s">
        <v>2941</v>
      </c>
      <c r="C1991" s="301" t="s">
        <v>117</v>
      </c>
      <c r="D1991" s="303">
        <v>68.83</v>
      </c>
    </row>
    <row r="1992" spans="1:4">
      <c r="A1992" s="302">
        <v>92270</v>
      </c>
      <c r="B1992" s="301" t="s">
        <v>2942</v>
      </c>
      <c r="C1992" s="301" t="s">
        <v>117</v>
      </c>
      <c r="D1992" s="303">
        <v>53.52</v>
      </c>
    </row>
    <row r="1993" spans="1:4">
      <c r="A1993" s="302">
        <v>92271</v>
      </c>
      <c r="B1993" s="301" t="s">
        <v>939</v>
      </c>
      <c r="C1993" s="301" t="s">
        <v>117</v>
      </c>
      <c r="D1993" s="303">
        <v>33.450000000000003</v>
      </c>
    </row>
    <row r="1994" spans="1:4">
      <c r="A1994" s="302">
        <v>92272</v>
      </c>
      <c r="B1994" s="301" t="s">
        <v>2943</v>
      </c>
      <c r="C1994" s="301" t="s">
        <v>35</v>
      </c>
      <c r="D1994" s="303">
        <v>22.7</v>
      </c>
    </row>
    <row r="1995" spans="1:4">
      <c r="A1995" s="302">
        <v>92273</v>
      </c>
      <c r="B1995" s="301" t="s">
        <v>2944</v>
      </c>
      <c r="C1995" s="301" t="s">
        <v>35</v>
      </c>
      <c r="D1995" s="303">
        <v>10.06</v>
      </c>
    </row>
    <row r="1996" spans="1:4">
      <c r="A1996" s="302">
        <v>92408</v>
      </c>
      <c r="B1996" s="301" t="s">
        <v>2945</v>
      </c>
      <c r="C1996" s="301" t="s">
        <v>117</v>
      </c>
      <c r="D1996" s="303">
        <v>148.32</v>
      </c>
    </row>
    <row r="1997" spans="1:4">
      <c r="A1997" s="302">
        <v>92409</v>
      </c>
      <c r="B1997" s="301" t="s">
        <v>2946</v>
      </c>
      <c r="C1997" s="301" t="s">
        <v>117</v>
      </c>
      <c r="D1997" s="303">
        <v>139.25</v>
      </c>
    </row>
    <row r="1998" spans="1:4">
      <c r="A1998" s="302">
        <v>92410</v>
      </c>
      <c r="B1998" s="301" t="s">
        <v>891</v>
      </c>
      <c r="C1998" s="301" t="s">
        <v>117</v>
      </c>
      <c r="D1998" s="303">
        <v>105.48</v>
      </c>
    </row>
    <row r="1999" spans="1:4">
      <c r="A1999" s="302">
        <v>92411</v>
      </c>
      <c r="B1999" s="301" t="s">
        <v>2947</v>
      </c>
      <c r="C1999" s="301" t="s">
        <v>117</v>
      </c>
      <c r="D1999" s="303">
        <v>97.45</v>
      </c>
    </row>
    <row r="2000" spans="1:4">
      <c r="A2000" s="302">
        <v>92412</v>
      </c>
      <c r="B2000" s="301" t="s">
        <v>313</v>
      </c>
      <c r="C2000" s="301" t="s">
        <v>117</v>
      </c>
      <c r="D2000" s="303">
        <v>72.099999999999994</v>
      </c>
    </row>
    <row r="2001" spans="1:4">
      <c r="A2001" s="302">
        <v>92413</v>
      </c>
      <c r="B2001" s="301" t="s">
        <v>1138</v>
      </c>
      <c r="C2001" s="301" t="s">
        <v>117</v>
      </c>
      <c r="D2001" s="303">
        <v>65.930000000000007</v>
      </c>
    </row>
    <row r="2002" spans="1:4">
      <c r="A2002" s="302">
        <v>92414</v>
      </c>
      <c r="B2002" s="301" t="s">
        <v>2948</v>
      </c>
      <c r="C2002" s="301" t="s">
        <v>117</v>
      </c>
      <c r="D2002" s="303">
        <v>98.02</v>
      </c>
    </row>
    <row r="2003" spans="1:4">
      <c r="A2003" s="302">
        <v>92415</v>
      </c>
      <c r="B2003" s="301" t="s">
        <v>2949</v>
      </c>
      <c r="C2003" s="301" t="s">
        <v>117</v>
      </c>
      <c r="D2003" s="303">
        <v>90</v>
      </c>
    </row>
    <row r="2004" spans="1:4">
      <c r="A2004" s="302">
        <v>92416</v>
      </c>
      <c r="B2004" s="301" t="s">
        <v>2950</v>
      </c>
      <c r="C2004" s="301" t="s">
        <v>117</v>
      </c>
      <c r="D2004" s="303">
        <v>114.5</v>
      </c>
    </row>
    <row r="2005" spans="1:4">
      <c r="A2005" s="302">
        <v>92417</v>
      </c>
      <c r="B2005" s="301" t="s">
        <v>2951</v>
      </c>
      <c r="C2005" s="301" t="s">
        <v>117</v>
      </c>
      <c r="D2005" s="303">
        <v>106.51</v>
      </c>
    </row>
    <row r="2006" spans="1:4">
      <c r="A2006" s="302">
        <v>92418</v>
      </c>
      <c r="B2006" s="301" t="s">
        <v>2952</v>
      </c>
      <c r="C2006" s="301" t="s">
        <v>117</v>
      </c>
      <c r="D2006" s="303">
        <v>63.41</v>
      </c>
    </row>
    <row r="2007" spans="1:4">
      <c r="A2007" s="302">
        <v>92419</v>
      </c>
      <c r="B2007" s="301" t="s">
        <v>2953</v>
      </c>
      <c r="C2007" s="301" t="s">
        <v>117</v>
      </c>
      <c r="D2007" s="303">
        <v>57.27</v>
      </c>
    </row>
    <row r="2008" spans="1:4">
      <c r="A2008" s="302">
        <v>92420</v>
      </c>
      <c r="B2008" s="301" t="s">
        <v>2954</v>
      </c>
      <c r="C2008" s="301" t="s">
        <v>117</v>
      </c>
      <c r="D2008" s="303">
        <v>76.09</v>
      </c>
    </row>
    <row r="2009" spans="1:4">
      <c r="A2009" s="302">
        <v>92421</v>
      </c>
      <c r="B2009" s="301" t="s">
        <v>2955</v>
      </c>
      <c r="C2009" s="301" t="s">
        <v>117</v>
      </c>
      <c r="D2009" s="303">
        <v>69.94</v>
      </c>
    </row>
    <row r="2010" spans="1:4">
      <c r="A2010" s="302">
        <v>92422</v>
      </c>
      <c r="B2010" s="301" t="s">
        <v>2956</v>
      </c>
      <c r="C2010" s="301" t="s">
        <v>117</v>
      </c>
      <c r="D2010" s="303">
        <v>52.34</v>
      </c>
    </row>
    <row r="2011" spans="1:4">
      <c r="A2011" s="302">
        <v>92423</v>
      </c>
      <c r="B2011" s="301" t="s">
        <v>2957</v>
      </c>
      <c r="C2011" s="301" t="s">
        <v>117</v>
      </c>
      <c r="D2011" s="303">
        <v>47</v>
      </c>
    </row>
    <row r="2012" spans="1:4">
      <c r="A2012" s="302">
        <v>92424</v>
      </c>
      <c r="B2012" s="301" t="s">
        <v>2958</v>
      </c>
      <c r="C2012" s="301" t="s">
        <v>117</v>
      </c>
      <c r="D2012" s="303">
        <v>63.37</v>
      </c>
    </row>
    <row r="2013" spans="1:4">
      <c r="A2013" s="302">
        <v>92425</v>
      </c>
      <c r="B2013" s="301" t="s">
        <v>2959</v>
      </c>
      <c r="C2013" s="301" t="s">
        <v>117</v>
      </c>
      <c r="D2013" s="303">
        <v>58.02</v>
      </c>
    </row>
    <row r="2014" spans="1:4">
      <c r="A2014" s="302">
        <v>92426</v>
      </c>
      <c r="B2014" s="301" t="s">
        <v>2960</v>
      </c>
      <c r="C2014" s="301" t="s">
        <v>117</v>
      </c>
      <c r="D2014" s="303">
        <v>46.74</v>
      </c>
    </row>
    <row r="2015" spans="1:4">
      <c r="A2015" s="302">
        <v>92427</v>
      </c>
      <c r="B2015" s="301" t="s">
        <v>2961</v>
      </c>
      <c r="C2015" s="301" t="s">
        <v>117</v>
      </c>
      <c r="D2015" s="303">
        <v>41.8</v>
      </c>
    </row>
    <row r="2016" spans="1:4">
      <c r="A2016" s="302">
        <v>92428</v>
      </c>
      <c r="B2016" s="301" t="s">
        <v>2962</v>
      </c>
      <c r="C2016" s="301" t="s">
        <v>117</v>
      </c>
      <c r="D2016" s="303">
        <v>56.96</v>
      </c>
    </row>
    <row r="2017" spans="1:4">
      <c r="A2017" s="302">
        <v>92429</v>
      </c>
      <c r="B2017" s="301" t="s">
        <v>2963</v>
      </c>
      <c r="C2017" s="301" t="s">
        <v>117</v>
      </c>
      <c r="D2017" s="303">
        <v>52</v>
      </c>
    </row>
    <row r="2018" spans="1:4">
      <c r="A2018" s="302">
        <v>92430</v>
      </c>
      <c r="B2018" s="301" t="s">
        <v>2964</v>
      </c>
      <c r="C2018" s="301" t="s">
        <v>117</v>
      </c>
      <c r="D2018" s="303">
        <v>43.41</v>
      </c>
    </row>
    <row r="2019" spans="1:4">
      <c r="A2019" s="302">
        <v>92431</v>
      </c>
      <c r="B2019" s="301" t="s">
        <v>2965</v>
      </c>
      <c r="C2019" s="301" t="s">
        <v>117</v>
      </c>
      <c r="D2019" s="303">
        <v>38.71</v>
      </c>
    </row>
    <row r="2020" spans="1:4">
      <c r="A2020" s="302">
        <v>92432</v>
      </c>
      <c r="B2020" s="301" t="s">
        <v>2966</v>
      </c>
      <c r="C2020" s="301" t="s">
        <v>117</v>
      </c>
      <c r="D2020" s="303">
        <v>53.1</v>
      </c>
    </row>
    <row r="2021" spans="1:4">
      <c r="A2021" s="302">
        <v>92433</v>
      </c>
      <c r="B2021" s="301" t="s">
        <v>2967</v>
      </c>
      <c r="C2021" s="301" t="s">
        <v>117</v>
      </c>
      <c r="D2021" s="303">
        <v>48.4</v>
      </c>
    </row>
    <row r="2022" spans="1:4">
      <c r="A2022" s="302">
        <v>92434</v>
      </c>
      <c r="B2022" s="301" t="s">
        <v>2968</v>
      </c>
      <c r="C2022" s="301" t="s">
        <v>117</v>
      </c>
      <c r="D2022" s="303">
        <v>41.37</v>
      </c>
    </row>
    <row r="2023" spans="1:4">
      <c r="A2023" s="302">
        <v>92435</v>
      </c>
      <c r="B2023" s="301" t="s">
        <v>2969</v>
      </c>
      <c r="C2023" s="301" t="s">
        <v>117</v>
      </c>
      <c r="D2023" s="303">
        <v>36.82</v>
      </c>
    </row>
    <row r="2024" spans="1:4">
      <c r="A2024" s="302">
        <v>92436</v>
      </c>
      <c r="B2024" s="301" t="s">
        <v>2970</v>
      </c>
      <c r="C2024" s="301" t="s">
        <v>117</v>
      </c>
      <c r="D2024" s="303">
        <v>50.71</v>
      </c>
    </row>
    <row r="2025" spans="1:4">
      <c r="A2025" s="302">
        <v>92437</v>
      </c>
      <c r="B2025" s="301" t="s">
        <v>2971</v>
      </c>
      <c r="C2025" s="301" t="s">
        <v>117</v>
      </c>
      <c r="D2025" s="303">
        <v>46.18</v>
      </c>
    </row>
    <row r="2026" spans="1:4">
      <c r="A2026" s="302">
        <v>92438</v>
      </c>
      <c r="B2026" s="301" t="s">
        <v>2972</v>
      </c>
      <c r="C2026" s="301" t="s">
        <v>117</v>
      </c>
      <c r="D2026" s="303">
        <v>39.9</v>
      </c>
    </row>
    <row r="2027" spans="1:4">
      <c r="A2027" s="302">
        <v>92439</v>
      </c>
      <c r="B2027" s="301" t="s">
        <v>2973</v>
      </c>
      <c r="C2027" s="301" t="s">
        <v>117</v>
      </c>
      <c r="D2027" s="303">
        <v>35.47</v>
      </c>
    </row>
    <row r="2028" spans="1:4">
      <c r="A2028" s="302">
        <v>92440</v>
      </c>
      <c r="B2028" s="301" t="s">
        <v>2974</v>
      </c>
      <c r="C2028" s="301" t="s">
        <v>117</v>
      </c>
      <c r="D2028" s="303">
        <v>48.99</v>
      </c>
    </row>
    <row r="2029" spans="1:4">
      <c r="A2029" s="302">
        <v>92441</v>
      </c>
      <c r="B2029" s="301" t="s">
        <v>2975</v>
      </c>
      <c r="C2029" s="301" t="s">
        <v>117</v>
      </c>
      <c r="D2029" s="303">
        <v>44.6</v>
      </c>
    </row>
    <row r="2030" spans="1:4">
      <c r="A2030" s="302">
        <v>92442</v>
      </c>
      <c r="B2030" s="301" t="s">
        <v>2976</v>
      </c>
      <c r="C2030" s="301" t="s">
        <v>117</v>
      </c>
      <c r="D2030" s="303">
        <v>36.869999999999997</v>
      </c>
    </row>
    <row r="2031" spans="1:4">
      <c r="A2031" s="302">
        <v>92443</v>
      </c>
      <c r="B2031" s="301" t="s">
        <v>2977</v>
      </c>
      <c r="C2031" s="301" t="s">
        <v>117</v>
      </c>
      <c r="D2031" s="303">
        <v>32.6</v>
      </c>
    </row>
    <row r="2032" spans="1:4">
      <c r="A2032" s="302">
        <v>92444</v>
      </c>
      <c r="B2032" s="301" t="s">
        <v>2978</v>
      </c>
      <c r="C2032" s="301" t="s">
        <v>117</v>
      </c>
      <c r="D2032" s="303">
        <v>45.68</v>
      </c>
    </row>
    <row r="2033" spans="1:4">
      <c r="A2033" s="302">
        <v>92445</v>
      </c>
      <c r="B2033" s="301" t="s">
        <v>2979</v>
      </c>
      <c r="C2033" s="301" t="s">
        <v>117</v>
      </c>
      <c r="D2033" s="303">
        <v>41.41</v>
      </c>
    </row>
    <row r="2034" spans="1:4">
      <c r="A2034" s="302">
        <v>92446</v>
      </c>
      <c r="B2034" s="301" t="s">
        <v>2980</v>
      </c>
      <c r="C2034" s="301" t="s">
        <v>117</v>
      </c>
      <c r="D2034" s="303">
        <v>134.43</v>
      </c>
    </row>
    <row r="2035" spans="1:4">
      <c r="A2035" s="302">
        <v>92447</v>
      </c>
      <c r="B2035" s="301" t="s">
        <v>1140</v>
      </c>
      <c r="C2035" s="301" t="s">
        <v>117</v>
      </c>
      <c r="D2035" s="303">
        <v>99.52</v>
      </c>
    </row>
    <row r="2036" spans="1:4">
      <c r="A2036" s="302">
        <v>92448</v>
      </c>
      <c r="B2036" s="301" t="s">
        <v>2981</v>
      </c>
      <c r="C2036" s="301" t="s">
        <v>117</v>
      </c>
      <c r="D2036" s="303">
        <v>82.58</v>
      </c>
    </row>
    <row r="2037" spans="1:4">
      <c r="A2037" s="302">
        <v>92449</v>
      </c>
      <c r="B2037" s="301" t="s">
        <v>2982</v>
      </c>
      <c r="C2037" s="301" t="s">
        <v>117</v>
      </c>
      <c r="D2037" s="303">
        <v>173.46</v>
      </c>
    </row>
    <row r="2038" spans="1:4">
      <c r="A2038" s="302">
        <v>92450</v>
      </c>
      <c r="B2038" s="301" t="s">
        <v>2983</v>
      </c>
      <c r="C2038" s="301" t="s">
        <v>117</v>
      </c>
      <c r="D2038" s="303">
        <v>229.47</v>
      </c>
    </row>
    <row r="2039" spans="1:4">
      <c r="A2039" s="302">
        <v>92451</v>
      </c>
      <c r="B2039" s="301" t="s">
        <v>2984</v>
      </c>
      <c r="C2039" s="301" t="s">
        <v>117</v>
      </c>
      <c r="D2039" s="303">
        <v>118.68</v>
      </c>
    </row>
    <row r="2040" spans="1:4">
      <c r="A2040" s="302">
        <v>92452</v>
      </c>
      <c r="B2040" s="301" t="s">
        <v>2985</v>
      </c>
      <c r="C2040" s="301" t="s">
        <v>117</v>
      </c>
      <c r="D2040" s="303">
        <v>112.13</v>
      </c>
    </row>
    <row r="2041" spans="1:4">
      <c r="A2041" s="302">
        <v>92453</v>
      </c>
      <c r="B2041" s="301" t="s">
        <v>2986</v>
      </c>
      <c r="C2041" s="301" t="s">
        <v>117</v>
      </c>
      <c r="D2041" s="303">
        <v>149.22</v>
      </c>
    </row>
    <row r="2042" spans="1:4">
      <c r="A2042" s="302">
        <v>92454</v>
      </c>
      <c r="B2042" s="301" t="s">
        <v>2987</v>
      </c>
      <c r="C2042" s="301" t="s">
        <v>117</v>
      </c>
      <c r="D2042" s="303">
        <v>209.3</v>
      </c>
    </row>
    <row r="2043" spans="1:4">
      <c r="A2043" s="302">
        <v>92455</v>
      </c>
      <c r="B2043" s="301" t="s">
        <v>2988</v>
      </c>
      <c r="C2043" s="301" t="s">
        <v>117</v>
      </c>
      <c r="D2043" s="303">
        <v>97.73</v>
      </c>
    </row>
    <row r="2044" spans="1:4">
      <c r="A2044" s="302">
        <v>92456</v>
      </c>
      <c r="B2044" s="301" t="s">
        <v>2989</v>
      </c>
      <c r="C2044" s="301" t="s">
        <v>117</v>
      </c>
      <c r="D2044" s="303">
        <v>91.8</v>
      </c>
    </row>
    <row r="2045" spans="1:4">
      <c r="A2045" s="302">
        <v>92457</v>
      </c>
      <c r="B2045" s="301" t="s">
        <v>2990</v>
      </c>
      <c r="C2045" s="301" t="s">
        <v>117</v>
      </c>
      <c r="D2045" s="303">
        <v>129.37</v>
      </c>
    </row>
    <row r="2046" spans="1:4">
      <c r="A2046" s="302">
        <v>92458</v>
      </c>
      <c r="B2046" s="301" t="s">
        <v>2991</v>
      </c>
      <c r="C2046" s="301" t="s">
        <v>117</v>
      </c>
      <c r="D2046" s="303">
        <v>196.42</v>
      </c>
    </row>
    <row r="2047" spans="1:4">
      <c r="A2047" s="302">
        <v>92459</v>
      </c>
      <c r="B2047" s="301" t="s">
        <v>2992</v>
      </c>
      <c r="C2047" s="301" t="s">
        <v>117</v>
      </c>
      <c r="D2047" s="303">
        <v>82.8</v>
      </c>
    </row>
    <row r="2048" spans="1:4">
      <c r="A2048" s="302">
        <v>92460</v>
      </c>
      <c r="B2048" s="301" t="s">
        <v>2993</v>
      </c>
      <c r="C2048" s="301" t="s">
        <v>117</v>
      </c>
      <c r="D2048" s="303">
        <v>75.19</v>
      </c>
    </row>
    <row r="2049" spans="1:4">
      <c r="A2049" s="302">
        <v>92461</v>
      </c>
      <c r="B2049" s="301" t="s">
        <v>2994</v>
      </c>
      <c r="C2049" s="301" t="s">
        <v>117</v>
      </c>
      <c r="D2049" s="303">
        <v>119.06</v>
      </c>
    </row>
    <row r="2050" spans="1:4">
      <c r="A2050" s="302">
        <v>92462</v>
      </c>
      <c r="B2050" s="301" t="s">
        <v>2995</v>
      </c>
      <c r="C2050" s="301" t="s">
        <v>117</v>
      </c>
      <c r="D2050" s="303">
        <v>188.19</v>
      </c>
    </row>
    <row r="2051" spans="1:4">
      <c r="A2051" s="302">
        <v>92463</v>
      </c>
      <c r="B2051" s="301" t="s">
        <v>2996</v>
      </c>
      <c r="C2051" s="301" t="s">
        <v>117</v>
      </c>
      <c r="D2051" s="303">
        <v>74.819999999999993</v>
      </c>
    </row>
    <row r="2052" spans="1:4">
      <c r="A2052" s="302">
        <v>92464</v>
      </c>
      <c r="B2052" s="301" t="s">
        <v>2997</v>
      </c>
      <c r="C2052" s="301" t="s">
        <v>117</v>
      </c>
      <c r="D2052" s="303">
        <v>71.260000000000005</v>
      </c>
    </row>
    <row r="2053" spans="1:4">
      <c r="A2053" s="302">
        <v>92465</v>
      </c>
      <c r="B2053" s="301" t="s">
        <v>2998</v>
      </c>
      <c r="C2053" s="301" t="s">
        <v>117</v>
      </c>
      <c r="D2053" s="303">
        <v>94.33</v>
      </c>
    </row>
    <row r="2054" spans="1:4">
      <c r="A2054" s="302">
        <v>92466</v>
      </c>
      <c r="B2054" s="301" t="s">
        <v>2999</v>
      </c>
      <c r="C2054" s="301" t="s">
        <v>117</v>
      </c>
      <c r="D2054" s="303">
        <v>182.7</v>
      </c>
    </row>
    <row r="2055" spans="1:4">
      <c r="A2055" s="302">
        <v>92467</v>
      </c>
      <c r="B2055" s="301" t="s">
        <v>3000</v>
      </c>
      <c r="C2055" s="301" t="s">
        <v>117</v>
      </c>
      <c r="D2055" s="303">
        <v>60.92</v>
      </c>
    </row>
    <row r="2056" spans="1:4">
      <c r="A2056" s="302">
        <v>92468</v>
      </c>
      <c r="B2056" s="301" t="s">
        <v>3001</v>
      </c>
      <c r="C2056" s="301" t="s">
        <v>117</v>
      </c>
      <c r="D2056" s="303">
        <v>66.069999999999993</v>
      </c>
    </row>
    <row r="2057" spans="1:4">
      <c r="A2057" s="302">
        <v>92469</v>
      </c>
      <c r="B2057" s="301" t="s">
        <v>3002</v>
      </c>
      <c r="C2057" s="301" t="s">
        <v>117</v>
      </c>
      <c r="D2057" s="303">
        <v>85.72</v>
      </c>
    </row>
    <row r="2058" spans="1:4">
      <c r="A2058" s="302">
        <v>92470</v>
      </c>
      <c r="B2058" s="301" t="s">
        <v>3003</v>
      </c>
      <c r="C2058" s="301" t="s">
        <v>117</v>
      </c>
      <c r="D2058" s="303">
        <v>178.08</v>
      </c>
    </row>
    <row r="2059" spans="1:4">
      <c r="A2059" s="302">
        <v>92471</v>
      </c>
      <c r="B2059" s="301" t="s">
        <v>3004</v>
      </c>
      <c r="C2059" s="301" t="s">
        <v>117</v>
      </c>
      <c r="D2059" s="303">
        <v>55.43</v>
      </c>
    </row>
    <row r="2060" spans="1:4">
      <c r="A2060" s="302">
        <v>92472</v>
      </c>
      <c r="B2060" s="301" t="s">
        <v>3005</v>
      </c>
      <c r="C2060" s="301" t="s">
        <v>117</v>
      </c>
      <c r="D2060" s="303">
        <v>62.05</v>
      </c>
    </row>
    <row r="2061" spans="1:4">
      <c r="A2061" s="302">
        <v>92473</v>
      </c>
      <c r="B2061" s="301" t="s">
        <v>3006</v>
      </c>
      <c r="C2061" s="301" t="s">
        <v>117</v>
      </c>
      <c r="D2061" s="303">
        <v>78.72</v>
      </c>
    </row>
    <row r="2062" spans="1:4">
      <c r="A2062" s="302">
        <v>92474</v>
      </c>
      <c r="B2062" s="301" t="s">
        <v>3007</v>
      </c>
      <c r="C2062" s="301" t="s">
        <v>117</v>
      </c>
      <c r="D2062" s="303">
        <v>174.09</v>
      </c>
    </row>
    <row r="2063" spans="1:4">
      <c r="A2063" s="302">
        <v>92475</v>
      </c>
      <c r="B2063" s="301" t="s">
        <v>3008</v>
      </c>
      <c r="C2063" s="301" t="s">
        <v>117</v>
      </c>
      <c r="D2063" s="303">
        <v>50.94</v>
      </c>
    </row>
    <row r="2064" spans="1:4">
      <c r="A2064" s="302">
        <v>92476</v>
      </c>
      <c r="B2064" s="301" t="s">
        <v>3009</v>
      </c>
      <c r="C2064" s="301" t="s">
        <v>117</v>
      </c>
      <c r="D2064" s="303">
        <v>58.64</v>
      </c>
    </row>
    <row r="2065" spans="1:4">
      <c r="A2065" s="302">
        <v>92477</v>
      </c>
      <c r="B2065" s="301" t="s">
        <v>3010</v>
      </c>
      <c r="C2065" s="301" t="s">
        <v>117</v>
      </c>
      <c r="D2065" s="303">
        <v>63.85</v>
      </c>
    </row>
    <row r="2066" spans="1:4">
      <c r="A2066" s="302">
        <v>92478</v>
      </c>
      <c r="B2066" s="301" t="s">
        <v>3011</v>
      </c>
      <c r="C2066" s="301" t="s">
        <v>117</v>
      </c>
      <c r="D2066" s="303">
        <v>166.26</v>
      </c>
    </row>
    <row r="2067" spans="1:4">
      <c r="A2067" s="302">
        <v>92479</v>
      </c>
      <c r="B2067" s="301" t="s">
        <v>3012</v>
      </c>
      <c r="C2067" s="301" t="s">
        <v>117</v>
      </c>
      <c r="D2067" s="303">
        <v>41.43</v>
      </c>
    </row>
    <row r="2068" spans="1:4">
      <c r="A2068" s="302">
        <v>92480</v>
      </c>
      <c r="B2068" s="301" t="s">
        <v>3013</v>
      </c>
      <c r="C2068" s="301" t="s">
        <v>117</v>
      </c>
      <c r="D2068" s="303">
        <v>51.85</v>
      </c>
    </row>
    <row r="2069" spans="1:4">
      <c r="A2069" s="302">
        <v>92481</v>
      </c>
      <c r="B2069" s="301" t="s">
        <v>3014</v>
      </c>
      <c r="C2069" s="301" t="s">
        <v>117</v>
      </c>
      <c r="D2069" s="303">
        <v>168.72</v>
      </c>
    </row>
    <row r="2070" spans="1:4">
      <c r="A2070" s="302">
        <v>92482</v>
      </c>
      <c r="B2070" s="301" t="s">
        <v>3015</v>
      </c>
      <c r="C2070" s="301" t="s">
        <v>117</v>
      </c>
      <c r="D2070" s="303">
        <v>158.13999999999999</v>
      </c>
    </row>
    <row r="2071" spans="1:4">
      <c r="A2071" s="302">
        <v>92483</v>
      </c>
      <c r="B2071" s="301" t="s">
        <v>3016</v>
      </c>
      <c r="C2071" s="301" t="s">
        <v>117</v>
      </c>
      <c r="D2071" s="303">
        <v>133</v>
      </c>
    </row>
    <row r="2072" spans="1:4">
      <c r="A2072" s="302">
        <v>92484</v>
      </c>
      <c r="B2072" s="301" t="s">
        <v>3017</v>
      </c>
      <c r="C2072" s="301" t="s">
        <v>117</v>
      </c>
      <c r="D2072" s="303">
        <v>123.66</v>
      </c>
    </row>
    <row r="2073" spans="1:4">
      <c r="A2073" s="302">
        <v>92485</v>
      </c>
      <c r="B2073" s="301" t="s">
        <v>1141</v>
      </c>
      <c r="C2073" s="301" t="s">
        <v>117</v>
      </c>
      <c r="D2073" s="303">
        <v>97.84</v>
      </c>
    </row>
    <row r="2074" spans="1:4">
      <c r="A2074" s="302">
        <v>92486</v>
      </c>
      <c r="B2074" s="301" t="s">
        <v>315</v>
      </c>
      <c r="C2074" s="301" t="s">
        <v>117</v>
      </c>
      <c r="D2074" s="303">
        <v>90.66</v>
      </c>
    </row>
    <row r="2075" spans="1:4">
      <c r="A2075" s="302">
        <v>92487</v>
      </c>
      <c r="B2075" s="301" t="s">
        <v>3018</v>
      </c>
      <c r="C2075" s="301" t="s">
        <v>117</v>
      </c>
      <c r="D2075" s="303">
        <v>71.459999999999994</v>
      </c>
    </row>
    <row r="2076" spans="1:4">
      <c r="A2076" s="302">
        <v>92488</v>
      </c>
      <c r="B2076" s="301" t="s">
        <v>3019</v>
      </c>
      <c r="C2076" s="301" t="s">
        <v>117</v>
      </c>
      <c r="D2076" s="303">
        <v>68.989999999999995</v>
      </c>
    </row>
    <row r="2077" spans="1:4">
      <c r="A2077" s="302">
        <v>92489</v>
      </c>
      <c r="B2077" s="301" t="s">
        <v>3020</v>
      </c>
      <c r="C2077" s="301" t="s">
        <v>117</v>
      </c>
      <c r="D2077" s="303">
        <v>40.78</v>
      </c>
    </row>
    <row r="2078" spans="1:4">
      <c r="A2078" s="302">
        <v>92490</v>
      </c>
      <c r="B2078" s="301" t="s">
        <v>3021</v>
      </c>
      <c r="C2078" s="301" t="s">
        <v>117</v>
      </c>
      <c r="D2078" s="303">
        <v>38.520000000000003</v>
      </c>
    </row>
    <row r="2079" spans="1:4">
      <c r="A2079" s="302">
        <v>92491</v>
      </c>
      <c r="B2079" s="301" t="s">
        <v>3022</v>
      </c>
      <c r="C2079" s="301" t="s">
        <v>117</v>
      </c>
      <c r="D2079" s="303">
        <v>68.989999999999995</v>
      </c>
    </row>
    <row r="2080" spans="1:4">
      <c r="A2080" s="302">
        <v>92492</v>
      </c>
      <c r="B2080" s="301" t="s">
        <v>3023</v>
      </c>
      <c r="C2080" s="301" t="s">
        <v>117</v>
      </c>
      <c r="D2080" s="303">
        <v>66.63</v>
      </c>
    </row>
    <row r="2081" spans="1:4">
      <c r="A2081" s="302">
        <v>92493</v>
      </c>
      <c r="B2081" s="301" t="s">
        <v>3024</v>
      </c>
      <c r="C2081" s="301" t="s">
        <v>117</v>
      </c>
      <c r="D2081" s="303">
        <v>36.409999999999997</v>
      </c>
    </row>
    <row r="2082" spans="1:4">
      <c r="A2082" s="302">
        <v>92494</v>
      </c>
      <c r="B2082" s="301" t="s">
        <v>3025</v>
      </c>
      <c r="C2082" s="301" t="s">
        <v>117</v>
      </c>
      <c r="D2082" s="303">
        <v>36.53</v>
      </c>
    </row>
    <row r="2083" spans="1:4">
      <c r="A2083" s="302">
        <v>92495</v>
      </c>
      <c r="B2083" s="301" t="s">
        <v>3026</v>
      </c>
      <c r="C2083" s="301" t="s">
        <v>117</v>
      </c>
      <c r="D2083" s="303">
        <v>67.319999999999993</v>
      </c>
    </row>
    <row r="2084" spans="1:4">
      <c r="A2084" s="302">
        <v>92496</v>
      </c>
      <c r="B2084" s="301" t="s">
        <v>3027</v>
      </c>
      <c r="C2084" s="301" t="s">
        <v>117</v>
      </c>
      <c r="D2084" s="303">
        <v>65.05</v>
      </c>
    </row>
    <row r="2085" spans="1:4">
      <c r="A2085" s="302">
        <v>92497</v>
      </c>
      <c r="B2085" s="301" t="s">
        <v>3028</v>
      </c>
      <c r="C2085" s="301" t="s">
        <v>117</v>
      </c>
      <c r="D2085" s="303">
        <v>37.299999999999997</v>
      </c>
    </row>
    <row r="2086" spans="1:4">
      <c r="A2086" s="302">
        <v>92498</v>
      </c>
      <c r="B2086" s="301" t="s">
        <v>3029</v>
      </c>
      <c r="C2086" s="301" t="s">
        <v>117</v>
      </c>
      <c r="D2086" s="303">
        <v>35.19</v>
      </c>
    </row>
    <row r="2087" spans="1:4">
      <c r="A2087" s="302">
        <v>92499</v>
      </c>
      <c r="B2087" s="301" t="s">
        <v>3030</v>
      </c>
      <c r="C2087" s="301" t="s">
        <v>117</v>
      </c>
      <c r="D2087" s="303">
        <v>66.31</v>
      </c>
    </row>
    <row r="2088" spans="1:4">
      <c r="A2088" s="302">
        <v>92500</v>
      </c>
      <c r="B2088" s="301" t="s">
        <v>3031</v>
      </c>
      <c r="C2088" s="301" t="s">
        <v>117</v>
      </c>
      <c r="D2088" s="303">
        <v>64.11</v>
      </c>
    </row>
    <row r="2089" spans="1:4">
      <c r="A2089" s="302">
        <v>92501</v>
      </c>
      <c r="B2089" s="301" t="s">
        <v>3032</v>
      </c>
      <c r="C2089" s="301" t="s">
        <v>117</v>
      </c>
      <c r="D2089" s="303">
        <v>36.479999999999997</v>
      </c>
    </row>
    <row r="2090" spans="1:4">
      <c r="A2090" s="302">
        <v>92502</v>
      </c>
      <c r="B2090" s="301" t="s">
        <v>3033</v>
      </c>
      <c r="C2090" s="301" t="s">
        <v>117</v>
      </c>
      <c r="D2090" s="303">
        <v>34.42</v>
      </c>
    </row>
    <row r="2091" spans="1:4">
      <c r="A2091" s="302">
        <v>92503</v>
      </c>
      <c r="B2091" s="301" t="s">
        <v>3034</v>
      </c>
      <c r="C2091" s="301" t="s">
        <v>117</v>
      </c>
      <c r="D2091" s="303">
        <v>64.7</v>
      </c>
    </row>
    <row r="2092" spans="1:4">
      <c r="A2092" s="302">
        <v>92504</v>
      </c>
      <c r="B2092" s="301" t="s">
        <v>3035</v>
      </c>
      <c r="C2092" s="301" t="s">
        <v>117</v>
      </c>
      <c r="D2092" s="303">
        <v>39.799999999999997</v>
      </c>
    </row>
    <row r="2093" spans="1:4">
      <c r="A2093" s="302">
        <v>92505</v>
      </c>
      <c r="B2093" s="301" t="s">
        <v>3036</v>
      </c>
      <c r="C2093" s="301" t="s">
        <v>117</v>
      </c>
      <c r="D2093" s="303">
        <v>35.119999999999997</v>
      </c>
    </row>
    <row r="2094" spans="1:4">
      <c r="A2094" s="302">
        <v>92506</v>
      </c>
      <c r="B2094" s="301" t="s">
        <v>3037</v>
      </c>
      <c r="C2094" s="301" t="s">
        <v>117</v>
      </c>
      <c r="D2094" s="303">
        <v>33.14</v>
      </c>
    </row>
    <row r="2095" spans="1:4">
      <c r="A2095" s="302">
        <v>92507</v>
      </c>
      <c r="B2095" s="301" t="s">
        <v>3038</v>
      </c>
      <c r="C2095" s="301" t="s">
        <v>117</v>
      </c>
      <c r="D2095" s="303">
        <v>71.760000000000005</v>
      </c>
    </row>
    <row r="2096" spans="1:4">
      <c r="A2096" s="302">
        <v>92508</v>
      </c>
      <c r="B2096" s="301" t="s">
        <v>3039</v>
      </c>
      <c r="C2096" s="301" t="s">
        <v>117</v>
      </c>
      <c r="D2096" s="303">
        <v>69.790000000000006</v>
      </c>
    </row>
    <row r="2097" spans="1:4">
      <c r="A2097" s="302">
        <v>92509</v>
      </c>
      <c r="B2097" s="301" t="s">
        <v>3040</v>
      </c>
      <c r="C2097" s="301" t="s">
        <v>117</v>
      </c>
      <c r="D2097" s="303">
        <v>37.57</v>
      </c>
    </row>
    <row r="2098" spans="1:4">
      <c r="A2098" s="302">
        <v>92510</v>
      </c>
      <c r="B2098" s="301" t="s">
        <v>3041</v>
      </c>
      <c r="C2098" s="301" t="s">
        <v>117</v>
      </c>
      <c r="D2098" s="303">
        <v>35.76</v>
      </c>
    </row>
    <row r="2099" spans="1:4">
      <c r="A2099" s="302">
        <v>92511</v>
      </c>
      <c r="B2099" s="301" t="s">
        <v>3042</v>
      </c>
      <c r="C2099" s="301" t="s">
        <v>117</v>
      </c>
      <c r="D2099" s="303">
        <v>58.48</v>
      </c>
    </row>
    <row r="2100" spans="1:4">
      <c r="A2100" s="302">
        <v>92512</v>
      </c>
      <c r="B2100" s="301" t="s">
        <v>3043</v>
      </c>
      <c r="C2100" s="301" t="s">
        <v>117</v>
      </c>
      <c r="D2100" s="303">
        <v>56.96</v>
      </c>
    </row>
    <row r="2101" spans="1:4">
      <c r="A2101" s="302">
        <v>92513</v>
      </c>
      <c r="B2101" s="301" t="s">
        <v>3044</v>
      </c>
      <c r="C2101" s="301" t="s">
        <v>117</v>
      </c>
      <c r="D2101" s="303">
        <v>26.94</v>
      </c>
    </row>
    <row r="2102" spans="1:4">
      <c r="A2102" s="302">
        <v>92514</v>
      </c>
      <c r="B2102" s="301" t="s">
        <v>3045</v>
      </c>
      <c r="C2102" s="301" t="s">
        <v>117</v>
      </c>
      <c r="D2102" s="303">
        <v>25.54</v>
      </c>
    </row>
    <row r="2103" spans="1:4">
      <c r="A2103" s="302">
        <v>92515</v>
      </c>
      <c r="B2103" s="301" t="s">
        <v>3046</v>
      </c>
      <c r="C2103" s="301" t="s">
        <v>117</v>
      </c>
      <c r="D2103" s="303">
        <v>52.86</v>
      </c>
    </row>
    <row r="2104" spans="1:4">
      <c r="A2104" s="302">
        <v>92516</v>
      </c>
      <c r="B2104" s="301" t="s">
        <v>3047</v>
      </c>
      <c r="C2104" s="301" t="s">
        <v>117</v>
      </c>
      <c r="D2104" s="303">
        <v>51.56</v>
      </c>
    </row>
    <row r="2105" spans="1:4">
      <c r="A2105" s="302">
        <v>92517</v>
      </c>
      <c r="B2105" s="301" t="s">
        <v>3048</v>
      </c>
      <c r="C2105" s="301" t="s">
        <v>117</v>
      </c>
      <c r="D2105" s="303">
        <v>22.52</v>
      </c>
    </row>
    <row r="2106" spans="1:4">
      <c r="A2106" s="302">
        <v>92518</v>
      </c>
      <c r="B2106" s="301" t="s">
        <v>3049</v>
      </c>
      <c r="C2106" s="301" t="s">
        <v>117</v>
      </c>
      <c r="D2106" s="303">
        <v>21.28</v>
      </c>
    </row>
    <row r="2107" spans="1:4">
      <c r="A2107" s="302">
        <v>92519</v>
      </c>
      <c r="B2107" s="301" t="s">
        <v>3050</v>
      </c>
      <c r="C2107" s="301" t="s">
        <v>117</v>
      </c>
      <c r="D2107" s="303">
        <v>50</v>
      </c>
    </row>
    <row r="2108" spans="1:4">
      <c r="A2108" s="302">
        <v>92520</v>
      </c>
      <c r="B2108" s="301" t="s">
        <v>3051</v>
      </c>
      <c r="C2108" s="301" t="s">
        <v>117</v>
      </c>
      <c r="D2108" s="303">
        <v>48.8</v>
      </c>
    </row>
    <row r="2109" spans="1:4">
      <c r="A2109" s="302">
        <v>92521</v>
      </c>
      <c r="B2109" s="301" t="s">
        <v>3052</v>
      </c>
      <c r="C2109" s="301" t="s">
        <v>117</v>
      </c>
      <c r="D2109" s="303">
        <v>20.23</v>
      </c>
    </row>
    <row r="2110" spans="1:4">
      <c r="A2110" s="302">
        <v>92522</v>
      </c>
      <c r="B2110" s="301" t="s">
        <v>3053</v>
      </c>
      <c r="C2110" s="301" t="s">
        <v>117</v>
      </c>
      <c r="D2110" s="303">
        <v>19.100000000000001</v>
      </c>
    </row>
    <row r="2111" spans="1:4">
      <c r="A2111" s="302">
        <v>92523</v>
      </c>
      <c r="B2111" s="301" t="s">
        <v>3054</v>
      </c>
      <c r="C2111" s="301" t="s">
        <v>117</v>
      </c>
      <c r="D2111" s="303">
        <v>49.81</v>
      </c>
    </row>
    <row r="2112" spans="1:4">
      <c r="A2112" s="302">
        <v>92524</v>
      </c>
      <c r="B2112" s="301" t="s">
        <v>3055</v>
      </c>
      <c r="C2112" s="301" t="s">
        <v>117</v>
      </c>
      <c r="D2112" s="303">
        <v>48.65</v>
      </c>
    </row>
    <row r="2113" spans="1:4">
      <c r="A2113" s="302">
        <v>92525</v>
      </c>
      <c r="B2113" s="301" t="s">
        <v>3056</v>
      </c>
      <c r="C2113" s="301" t="s">
        <v>117</v>
      </c>
      <c r="D2113" s="303">
        <v>20.399999999999999</v>
      </c>
    </row>
    <row r="2114" spans="1:4">
      <c r="A2114" s="302">
        <v>92526</v>
      </c>
      <c r="B2114" s="301" t="s">
        <v>3057</v>
      </c>
      <c r="C2114" s="301" t="s">
        <v>117</v>
      </c>
      <c r="D2114" s="303">
        <v>19.3</v>
      </c>
    </row>
    <row r="2115" spans="1:4">
      <c r="A2115" s="302">
        <v>92527</v>
      </c>
      <c r="B2115" s="301" t="s">
        <v>3058</v>
      </c>
      <c r="C2115" s="301" t="s">
        <v>117</v>
      </c>
      <c r="D2115" s="303">
        <v>48.6</v>
      </c>
    </row>
    <row r="2116" spans="1:4">
      <c r="A2116" s="302">
        <v>92528</v>
      </c>
      <c r="B2116" s="301" t="s">
        <v>3059</v>
      </c>
      <c r="C2116" s="301" t="s">
        <v>117</v>
      </c>
      <c r="D2116" s="303">
        <v>47.48</v>
      </c>
    </row>
    <row r="2117" spans="1:4">
      <c r="A2117" s="302">
        <v>92529</v>
      </c>
      <c r="B2117" s="301" t="s">
        <v>3060</v>
      </c>
      <c r="C2117" s="301" t="s">
        <v>117</v>
      </c>
      <c r="D2117" s="303">
        <v>19.399999999999999</v>
      </c>
    </row>
    <row r="2118" spans="1:4">
      <c r="A2118" s="302">
        <v>92530</v>
      </c>
      <c r="B2118" s="301" t="s">
        <v>3061</v>
      </c>
      <c r="C2118" s="301" t="s">
        <v>117</v>
      </c>
      <c r="D2118" s="303">
        <v>18.350000000000001</v>
      </c>
    </row>
    <row r="2119" spans="1:4">
      <c r="A2119" s="302">
        <v>92531</v>
      </c>
      <c r="B2119" s="301" t="s">
        <v>3062</v>
      </c>
      <c r="C2119" s="301" t="s">
        <v>117</v>
      </c>
      <c r="D2119" s="303">
        <v>47.68</v>
      </c>
    </row>
    <row r="2120" spans="1:4">
      <c r="A2120" s="302">
        <v>92532</v>
      </c>
      <c r="B2120" s="301" t="s">
        <v>3063</v>
      </c>
      <c r="C2120" s="301" t="s">
        <v>117</v>
      </c>
      <c r="D2120" s="303">
        <v>46.59</v>
      </c>
    </row>
    <row r="2121" spans="1:4">
      <c r="A2121" s="302">
        <v>92533</v>
      </c>
      <c r="B2121" s="301" t="s">
        <v>3064</v>
      </c>
      <c r="C2121" s="301" t="s">
        <v>117</v>
      </c>
      <c r="D2121" s="303">
        <v>18.649999999999999</v>
      </c>
    </row>
    <row r="2122" spans="1:4">
      <c r="A2122" s="302">
        <v>92534</v>
      </c>
      <c r="B2122" s="301" t="s">
        <v>3065</v>
      </c>
      <c r="C2122" s="301" t="s">
        <v>117</v>
      </c>
      <c r="D2122" s="303">
        <v>17.649999999999999</v>
      </c>
    </row>
    <row r="2123" spans="1:4">
      <c r="A2123" s="302">
        <v>92535</v>
      </c>
      <c r="B2123" s="301" t="s">
        <v>3066</v>
      </c>
      <c r="C2123" s="301" t="s">
        <v>117</v>
      </c>
      <c r="D2123" s="303">
        <v>46.03</v>
      </c>
    </row>
    <row r="2124" spans="1:4">
      <c r="A2124" s="302">
        <v>92536</v>
      </c>
      <c r="B2124" s="301" t="s">
        <v>3067</v>
      </c>
      <c r="C2124" s="301" t="s">
        <v>117</v>
      </c>
      <c r="D2124" s="303">
        <v>44.98</v>
      </c>
    </row>
    <row r="2125" spans="1:4">
      <c r="A2125" s="302">
        <v>92537</v>
      </c>
      <c r="B2125" s="301" t="s">
        <v>3068</v>
      </c>
      <c r="C2125" s="301" t="s">
        <v>117</v>
      </c>
      <c r="D2125" s="303">
        <v>17.21</v>
      </c>
    </row>
    <row r="2126" spans="1:4">
      <c r="A2126" s="302">
        <v>92538</v>
      </c>
      <c r="B2126" s="301" t="s">
        <v>3069</v>
      </c>
      <c r="C2126" s="301" t="s">
        <v>117</v>
      </c>
      <c r="D2126" s="303">
        <v>16.23</v>
      </c>
    </row>
    <row r="2127" spans="1:4">
      <c r="A2127" s="302">
        <v>95934</v>
      </c>
      <c r="B2127" s="301" t="s">
        <v>3070</v>
      </c>
      <c r="C2127" s="301" t="s">
        <v>117</v>
      </c>
      <c r="D2127" s="303">
        <v>122.81</v>
      </c>
    </row>
    <row r="2128" spans="1:4">
      <c r="A2128" s="302">
        <v>95935</v>
      </c>
      <c r="B2128" s="301" t="s">
        <v>3071</v>
      </c>
      <c r="C2128" s="301" t="s">
        <v>117</v>
      </c>
      <c r="D2128" s="303">
        <v>100.48</v>
      </c>
    </row>
    <row r="2129" spans="1:4">
      <c r="A2129" s="302">
        <v>95936</v>
      </c>
      <c r="B2129" s="301" t="s">
        <v>3072</v>
      </c>
      <c r="C2129" s="301" t="s">
        <v>117</v>
      </c>
      <c r="D2129" s="303">
        <v>91.26</v>
      </c>
    </row>
    <row r="2130" spans="1:4">
      <c r="A2130" s="302">
        <v>95937</v>
      </c>
      <c r="B2130" s="301" t="s">
        <v>3073</v>
      </c>
      <c r="C2130" s="301" t="s">
        <v>117</v>
      </c>
      <c r="D2130" s="303">
        <v>247.18</v>
      </c>
    </row>
    <row r="2131" spans="1:4">
      <c r="A2131" s="302">
        <v>95938</v>
      </c>
      <c r="B2131" s="301" t="s">
        <v>198</v>
      </c>
      <c r="C2131" s="301" t="s">
        <v>117</v>
      </c>
      <c r="D2131" s="303">
        <v>205.51</v>
      </c>
    </row>
    <row r="2132" spans="1:4">
      <c r="A2132" s="302">
        <v>95939</v>
      </c>
      <c r="B2132" s="301" t="s">
        <v>3074</v>
      </c>
      <c r="C2132" s="301" t="s">
        <v>117</v>
      </c>
      <c r="D2132" s="303">
        <v>157.84</v>
      </c>
    </row>
    <row r="2133" spans="1:4">
      <c r="A2133" s="302">
        <v>95940</v>
      </c>
      <c r="B2133" s="301" t="s">
        <v>3075</v>
      </c>
      <c r="C2133" s="301" t="s">
        <v>117</v>
      </c>
      <c r="D2133" s="303">
        <v>130.33000000000001</v>
      </c>
    </row>
    <row r="2134" spans="1:4">
      <c r="A2134" s="302">
        <v>95941</v>
      </c>
      <c r="B2134" s="301" t="s">
        <v>3076</v>
      </c>
      <c r="C2134" s="301" t="s">
        <v>117</v>
      </c>
      <c r="D2134" s="303">
        <v>114.72</v>
      </c>
    </row>
    <row r="2135" spans="1:4">
      <c r="A2135" s="302">
        <v>95942</v>
      </c>
      <c r="B2135" s="301" t="s">
        <v>3077</v>
      </c>
      <c r="C2135" s="301" t="s">
        <v>117</v>
      </c>
      <c r="D2135" s="303">
        <v>104.97</v>
      </c>
    </row>
    <row r="2136" spans="1:4">
      <c r="A2136" s="302">
        <v>96252</v>
      </c>
      <c r="B2136" s="301" t="s">
        <v>3078</v>
      </c>
      <c r="C2136" s="301" t="s">
        <v>117</v>
      </c>
      <c r="D2136" s="303">
        <v>153.81</v>
      </c>
    </row>
    <row r="2137" spans="1:4">
      <c r="A2137" s="302">
        <v>96257</v>
      </c>
      <c r="B2137" s="301" t="s">
        <v>3079</v>
      </c>
      <c r="C2137" s="301" t="s">
        <v>117</v>
      </c>
      <c r="D2137" s="303">
        <v>132.62</v>
      </c>
    </row>
    <row r="2138" spans="1:4">
      <c r="A2138" s="302">
        <v>96258</v>
      </c>
      <c r="B2138" s="301" t="s">
        <v>3080</v>
      </c>
      <c r="C2138" s="301" t="s">
        <v>117</v>
      </c>
      <c r="D2138" s="303">
        <v>123.81</v>
      </c>
    </row>
    <row r="2139" spans="1:4">
      <c r="A2139" s="302">
        <v>96259</v>
      </c>
      <c r="B2139" s="301" t="s">
        <v>3081</v>
      </c>
      <c r="C2139" s="301" t="s">
        <v>117</v>
      </c>
      <c r="D2139" s="303">
        <v>150.16999999999999</v>
      </c>
    </row>
    <row r="2140" spans="1:4">
      <c r="A2140" s="302">
        <v>96529</v>
      </c>
      <c r="B2140" s="301" t="s">
        <v>3082</v>
      </c>
      <c r="C2140" s="301" t="s">
        <v>117</v>
      </c>
      <c r="D2140" s="303">
        <v>196.34</v>
      </c>
    </row>
    <row r="2141" spans="1:4">
      <c r="A2141" s="302">
        <v>96530</v>
      </c>
      <c r="B2141" s="301" t="s">
        <v>3083</v>
      </c>
      <c r="C2141" s="301" t="s">
        <v>117</v>
      </c>
      <c r="D2141" s="303">
        <v>93.91</v>
      </c>
    </row>
    <row r="2142" spans="1:4">
      <c r="A2142" s="302">
        <v>96531</v>
      </c>
      <c r="B2142" s="301" t="s">
        <v>3084</v>
      </c>
      <c r="C2142" s="301" t="s">
        <v>117</v>
      </c>
      <c r="D2142" s="303">
        <v>71.62</v>
      </c>
    </row>
    <row r="2143" spans="1:4">
      <c r="A2143" s="302">
        <v>96532</v>
      </c>
      <c r="B2143" s="301" t="s">
        <v>3085</v>
      </c>
      <c r="C2143" s="301" t="s">
        <v>117</v>
      </c>
      <c r="D2143" s="303">
        <v>130.36000000000001</v>
      </c>
    </row>
    <row r="2144" spans="1:4">
      <c r="A2144" s="302">
        <v>96533</v>
      </c>
      <c r="B2144" s="301" t="s">
        <v>3086</v>
      </c>
      <c r="C2144" s="301" t="s">
        <v>117</v>
      </c>
      <c r="D2144" s="303">
        <v>61.87</v>
      </c>
    </row>
    <row r="2145" spans="1:4">
      <c r="A2145" s="302">
        <v>96534</v>
      </c>
      <c r="B2145" s="301" t="s">
        <v>3087</v>
      </c>
      <c r="C2145" s="301" t="s">
        <v>117</v>
      </c>
      <c r="D2145" s="303">
        <v>53.71</v>
      </c>
    </row>
    <row r="2146" spans="1:4">
      <c r="A2146" s="302">
        <v>96535</v>
      </c>
      <c r="B2146" s="301" t="s">
        <v>311</v>
      </c>
      <c r="C2146" s="301" t="s">
        <v>117</v>
      </c>
      <c r="D2146" s="303">
        <v>96.01</v>
      </c>
    </row>
    <row r="2147" spans="1:4">
      <c r="A2147" s="302">
        <v>96536</v>
      </c>
      <c r="B2147" s="301" t="s">
        <v>312</v>
      </c>
      <c r="C2147" s="301" t="s">
        <v>117</v>
      </c>
      <c r="D2147" s="303">
        <v>45.21</v>
      </c>
    </row>
    <row r="2148" spans="1:4">
      <c r="A2148" s="302">
        <v>96537</v>
      </c>
      <c r="B2148" s="301" t="s">
        <v>3088</v>
      </c>
      <c r="C2148" s="301" t="s">
        <v>117</v>
      </c>
      <c r="D2148" s="303">
        <v>119.6</v>
      </c>
    </row>
    <row r="2149" spans="1:4">
      <c r="A2149" s="302">
        <v>96538</v>
      </c>
      <c r="B2149" s="301" t="s">
        <v>3089</v>
      </c>
      <c r="C2149" s="301" t="s">
        <v>117</v>
      </c>
      <c r="D2149" s="303">
        <v>187.35</v>
      </c>
    </row>
    <row r="2150" spans="1:4">
      <c r="A2150" s="302">
        <v>96539</v>
      </c>
      <c r="B2150" s="301" t="s">
        <v>3090</v>
      </c>
      <c r="C2150" s="301" t="s">
        <v>117</v>
      </c>
      <c r="D2150" s="303">
        <v>83.54</v>
      </c>
    </row>
    <row r="2151" spans="1:4">
      <c r="A2151" s="302">
        <v>96540</v>
      </c>
      <c r="B2151" s="301" t="s">
        <v>3091</v>
      </c>
      <c r="C2151" s="301" t="s">
        <v>117</v>
      </c>
      <c r="D2151" s="303">
        <v>86.41</v>
      </c>
    </row>
    <row r="2152" spans="1:4">
      <c r="A2152" s="302">
        <v>96541</v>
      </c>
      <c r="B2152" s="301" t="s">
        <v>3092</v>
      </c>
      <c r="C2152" s="301" t="s">
        <v>117</v>
      </c>
      <c r="D2152" s="303">
        <v>134.12</v>
      </c>
    </row>
    <row r="2153" spans="1:4">
      <c r="A2153" s="302">
        <v>96542</v>
      </c>
      <c r="B2153" s="301" t="s">
        <v>3093</v>
      </c>
      <c r="C2153" s="301" t="s">
        <v>117</v>
      </c>
      <c r="D2153" s="303">
        <v>63.86</v>
      </c>
    </row>
    <row r="2154" spans="1:4">
      <c r="A2154" s="302">
        <v>96543</v>
      </c>
      <c r="B2154" s="301" t="s">
        <v>179</v>
      </c>
      <c r="C2154" s="301" t="s">
        <v>34</v>
      </c>
      <c r="D2154" s="303">
        <v>12.11</v>
      </c>
    </row>
    <row r="2155" spans="1:4">
      <c r="A2155" s="302">
        <v>97747</v>
      </c>
      <c r="B2155" s="301" t="s">
        <v>3094</v>
      </c>
      <c r="C2155" s="301" t="s">
        <v>117</v>
      </c>
      <c r="D2155" s="303">
        <v>138.9</v>
      </c>
    </row>
    <row r="2156" spans="1:4">
      <c r="A2156" s="301" t="s">
        <v>12427</v>
      </c>
      <c r="B2156" s="301" t="s">
        <v>12428</v>
      </c>
      <c r="C2156" s="301" t="s">
        <v>28</v>
      </c>
      <c r="D2156" s="303">
        <v>20.72</v>
      </c>
    </row>
    <row r="2157" spans="1:4">
      <c r="A2157" s="301" t="s">
        <v>12429</v>
      </c>
      <c r="B2157" s="301" t="s">
        <v>12430</v>
      </c>
      <c r="C2157" s="301" t="s">
        <v>28</v>
      </c>
      <c r="D2157" s="303">
        <v>528.66</v>
      </c>
    </row>
    <row r="2158" spans="1:4">
      <c r="A2158" s="302">
        <v>85662</v>
      </c>
      <c r="B2158" s="301" t="s">
        <v>12431</v>
      </c>
      <c r="C2158" s="301" t="s">
        <v>117</v>
      </c>
      <c r="D2158" s="303">
        <v>11.06</v>
      </c>
    </row>
    <row r="2159" spans="1:4">
      <c r="A2159" s="302">
        <v>89996</v>
      </c>
      <c r="B2159" s="301" t="s">
        <v>3095</v>
      </c>
      <c r="C2159" s="301" t="s">
        <v>34</v>
      </c>
      <c r="D2159" s="303">
        <v>6.97</v>
      </c>
    </row>
    <row r="2160" spans="1:4">
      <c r="A2160" s="302">
        <v>89997</v>
      </c>
      <c r="B2160" s="301" t="s">
        <v>3096</v>
      </c>
      <c r="C2160" s="301" t="s">
        <v>34</v>
      </c>
      <c r="D2160" s="303">
        <v>5.61</v>
      </c>
    </row>
    <row r="2161" spans="1:4">
      <c r="A2161" s="302">
        <v>89998</v>
      </c>
      <c r="B2161" s="301" t="s">
        <v>3097</v>
      </c>
      <c r="C2161" s="301" t="s">
        <v>34</v>
      </c>
      <c r="D2161" s="303">
        <v>6.55</v>
      </c>
    </row>
    <row r="2162" spans="1:4">
      <c r="A2162" s="302">
        <v>89999</v>
      </c>
      <c r="B2162" s="301" t="s">
        <v>3098</v>
      </c>
      <c r="C2162" s="301" t="s">
        <v>34</v>
      </c>
      <c r="D2162" s="303">
        <v>10.039999999999999</v>
      </c>
    </row>
    <row r="2163" spans="1:4">
      <c r="A2163" s="302">
        <v>90000</v>
      </c>
      <c r="B2163" s="301" t="s">
        <v>3099</v>
      </c>
      <c r="C2163" s="301" t="s">
        <v>34</v>
      </c>
      <c r="D2163" s="303">
        <v>8.0399999999999991</v>
      </c>
    </row>
    <row r="2164" spans="1:4">
      <c r="A2164" s="302">
        <v>91593</v>
      </c>
      <c r="B2164" s="301" t="s">
        <v>3100</v>
      </c>
      <c r="C2164" s="301" t="s">
        <v>34</v>
      </c>
      <c r="D2164" s="303">
        <v>7.32</v>
      </c>
    </row>
    <row r="2165" spans="1:4">
      <c r="A2165" s="302">
        <v>91594</v>
      </c>
      <c r="B2165" s="301" t="s">
        <v>3101</v>
      </c>
      <c r="C2165" s="301" t="s">
        <v>34</v>
      </c>
      <c r="D2165" s="303">
        <v>7.62</v>
      </c>
    </row>
    <row r="2166" spans="1:4">
      <c r="A2166" s="302">
        <v>91595</v>
      </c>
      <c r="B2166" s="301" t="s">
        <v>3102</v>
      </c>
      <c r="C2166" s="301" t="s">
        <v>34</v>
      </c>
      <c r="D2166" s="303">
        <v>8.15</v>
      </c>
    </row>
    <row r="2167" spans="1:4">
      <c r="A2167" s="302">
        <v>91596</v>
      </c>
      <c r="B2167" s="301" t="s">
        <v>3103</v>
      </c>
      <c r="C2167" s="301" t="s">
        <v>34</v>
      </c>
      <c r="D2167" s="303">
        <v>7.54</v>
      </c>
    </row>
    <row r="2168" spans="1:4">
      <c r="A2168" s="302">
        <v>91597</v>
      </c>
      <c r="B2168" s="301" t="s">
        <v>3104</v>
      </c>
      <c r="C2168" s="301" t="s">
        <v>34</v>
      </c>
      <c r="D2168" s="303">
        <v>5.39</v>
      </c>
    </row>
    <row r="2169" spans="1:4">
      <c r="A2169" s="302">
        <v>91598</v>
      </c>
      <c r="B2169" s="301" t="s">
        <v>3105</v>
      </c>
      <c r="C2169" s="301" t="s">
        <v>34</v>
      </c>
      <c r="D2169" s="303">
        <v>7.44</v>
      </c>
    </row>
    <row r="2170" spans="1:4">
      <c r="A2170" s="302">
        <v>91599</v>
      </c>
      <c r="B2170" s="301" t="s">
        <v>3106</v>
      </c>
      <c r="C2170" s="301" t="s">
        <v>34</v>
      </c>
      <c r="D2170" s="303">
        <v>5.67</v>
      </c>
    </row>
    <row r="2171" spans="1:4">
      <c r="A2171" s="302">
        <v>91600</v>
      </c>
      <c r="B2171" s="301" t="s">
        <v>3107</v>
      </c>
      <c r="C2171" s="301" t="s">
        <v>34</v>
      </c>
      <c r="D2171" s="303">
        <v>9.41</v>
      </c>
    </row>
    <row r="2172" spans="1:4">
      <c r="A2172" s="302">
        <v>91601</v>
      </c>
      <c r="B2172" s="301" t="s">
        <v>3108</v>
      </c>
      <c r="C2172" s="301" t="s">
        <v>34</v>
      </c>
      <c r="D2172" s="303">
        <v>7.91</v>
      </c>
    </row>
    <row r="2173" spans="1:4">
      <c r="A2173" s="302">
        <v>91602</v>
      </c>
      <c r="B2173" s="301" t="s">
        <v>3109</v>
      </c>
      <c r="C2173" s="301" t="s">
        <v>34</v>
      </c>
      <c r="D2173" s="303">
        <v>7.18</v>
      </c>
    </row>
    <row r="2174" spans="1:4">
      <c r="A2174" s="302">
        <v>91603</v>
      </c>
      <c r="B2174" s="301" t="s">
        <v>3110</v>
      </c>
      <c r="C2174" s="301" t="s">
        <v>34</v>
      </c>
      <c r="D2174" s="303">
        <v>6.78</v>
      </c>
    </row>
    <row r="2175" spans="1:4">
      <c r="A2175" s="302">
        <v>92759</v>
      </c>
      <c r="B2175" s="301" t="s">
        <v>3111</v>
      </c>
      <c r="C2175" s="301" t="s">
        <v>34</v>
      </c>
      <c r="D2175" s="303">
        <v>9.9499999999999993</v>
      </c>
    </row>
    <row r="2176" spans="1:4">
      <c r="A2176" s="302">
        <v>92760</v>
      </c>
      <c r="B2176" s="301" t="s">
        <v>3112</v>
      </c>
      <c r="C2176" s="301" t="s">
        <v>34</v>
      </c>
      <c r="D2176" s="303">
        <v>9.09</v>
      </c>
    </row>
    <row r="2177" spans="1:4">
      <c r="A2177" s="302">
        <v>92761</v>
      </c>
      <c r="B2177" s="301" t="s">
        <v>3113</v>
      </c>
      <c r="C2177" s="301" t="s">
        <v>34</v>
      </c>
      <c r="D2177" s="303">
        <v>8.35</v>
      </c>
    </row>
    <row r="2178" spans="1:4">
      <c r="A2178" s="302">
        <v>92762</v>
      </c>
      <c r="B2178" s="301" t="s">
        <v>3114</v>
      </c>
      <c r="C2178" s="301" t="s">
        <v>34</v>
      </c>
      <c r="D2178" s="303">
        <v>7.37</v>
      </c>
    </row>
    <row r="2179" spans="1:4">
      <c r="A2179" s="302">
        <v>92763</v>
      </c>
      <c r="B2179" s="301" t="s">
        <v>3115</v>
      </c>
      <c r="C2179" s="301" t="s">
        <v>34</v>
      </c>
      <c r="D2179" s="303">
        <v>6.16</v>
      </c>
    </row>
    <row r="2180" spans="1:4">
      <c r="A2180" s="302">
        <v>92764</v>
      </c>
      <c r="B2180" s="301" t="s">
        <v>3116</v>
      </c>
      <c r="C2180" s="301" t="s">
        <v>34</v>
      </c>
      <c r="D2180" s="303">
        <v>5.78</v>
      </c>
    </row>
    <row r="2181" spans="1:4">
      <c r="A2181" s="302">
        <v>92765</v>
      </c>
      <c r="B2181" s="301" t="s">
        <v>3117</v>
      </c>
      <c r="C2181" s="301" t="s">
        <v>34</v>
      </c>
      <c r="D2181" s="303">
        <v>6.42</v>
      </c>
    </row>
    <row r="2182" spans="1:4">
      <c r="A2182" s="302">
        <v>92766</v>
      </c>
      <c r="B2182" s="301" t="s">
        <v>3118</v>
      </c>
      <c r="C2182" s="301" t="s">
        <v>34</v>
      </c>
      <c r="D2182" s="303">
        <v>6.24</v>
      </c>
    </row>
    <row r="2183" spans="1:4">
      <c r="A2183" s="302">
        <v>92767</v>
      </c>
      <c r="B2183" s="301" t="s">
        <v>3119</v>
      </c>
      <c r="C2183" s="301" t="s">
        <v>34</v>
      </c>
      <c r="D2183" s="303">
        <v>10.1</v>
      </c>
    </row>
    <row r="2184" spans="1:4">
      <c r="A2184" s="302">
        <v>92768</v>
      </c>
      <c r="B2184" s="301" t="s">
        <v>3120</v>
      </c>
      <c r="C2184" s="301" t="s">
        <v>34</v>
      </c>
      <c r="D2184" s="303">
        <v>8.82</v>
      </c>
    </row>
    <row r="2185" spans="1:4">
      <c r="A2185" s="302">
        <v>92769</v>
      </c>
      <c r="B2185" s="301" t="s">
        <v>3121</v>
      </c>
      <c r="C2185" s="301" t="s">
        <v>34</v>
      </c>
      <c r="D2185" s="303">
        <v>8.24</v>
      </c>
    </row>
    <row r="2186" spans="1:4">
      <c r="A2186" s="302">
        <v>92770</v>
      </c>
      <c r="B2186" s="301" t="s">
        <v>3122</v>
      </c>
      <c r="C2186" s="301" t="s">
        <v>34</v>
      </c>
      <c r="D2186" s="303">
        <v>7.69</v>
      </c>
    </row>
    <row r="2187" spans="1:4">
      <c r="A2187" s="302">
        <v>92771</v>
      </c>
      <c r="B2187" s="301" t="s">
        <v>3123</v>
      </c>
      <c r="C2187" s="301" t="s">
        <v>34</v>
      </c>
      <c r="D2187" s="303">
        <v>6.85</v>
      </c>
    </row>
    <row r="2188" spans="1:4">
      <c r="A2188" s="302">
        <v>92772</v>
      </c>
      <c r="B2188" s="301" t="s">
        <v>3124</v>
      </c>
      <c r="C2188" s="301" t="s">
        <v>34</v>
      </c>
      <c r="D2188" s="303">
        <v>5.78</v>
      </c>
    </row>
    <row r="2189" spans="1:4">
      <c r="A2189" s="302">
        <v>92773</v>
      </c>
      <c r="B2189" s="301" t="s">
        <v>3125</v>
      </c>
      <c r="C2189" s="301" t="s">
        <v>34</v>
      </c>
      <c r="D2189" s="303">
        <v>5.5</v>
      </c>
    </row>
    <row r="2190" spans="1:4">
      <c r="A2190" s="302">
        <v>92774</v>
      </c>
      <c r="B2190" s="301" t="s">
        <v>3126</v>
      </c>
      <c r="C2190" s="301" t="s">
        <v>34</v>
      </c>
      <c r="D2190" s="303">
        <v>6.23</v>
      </c>
    </row>
    <row r="2191" spans="1:4">
      <c r="A2191" s="302">
        <v>92775</v>
      </c>
      <c r="B2191" s="301" t="s">
        <v>184</v>
      </c>
      <c r="C2191" s="301" t="s">
        <v>34</v>
      </c>
      <c r="D2191" s="303">
        <v>12.18</v>
      </c>
    </row>
    <row r="2192" spans="1:4">
      <c r="A2192" s="302">
        <v>92776</v>
      </c>
      <c r="B2192" s="301" t="s">
        <v>197</v>
      </c>
      <c r="C2192" s="301" t="s">
        <v>34</v>
      </c>
      <c r="D2192" s="303">
        <v>10.79</v>
      </c>
    </row>
    <row r="2193" spans="1:4">
      <c r="A2193" s="302">
        <v>92777</v>
      </c>
      <c r="B2193" s="301" t="s">
        <v>188</v>
      </c>
      <c r="C2193" s="301" t="s">
        <v>34</v>
      </c>
      <c r="D2193" s="303">
        <v>9.61</v>
      </c>
    </row>
    <row r="2194" spans="1:4">
      <c r="A2194" s="302">
        <v>92778</v>
      </c>
      <c r="B2194" s="301" t="s">
        <v>185</v>
      </c>
      <c r="C2194" s="301" t="s">
        <v>34</v>
      </c>
      <c r="D2194" s="303">
        <v>8.31</v>
      </c>
    </row>
    <row r="2195" spans="1:4">
      <c r="A2195" s="302">
        <v>92779</v>
      </c>
      <c r="B2195" s="301" t="s">
        <v>186</v>
      </c>
      <c r="C2195" s="301" t="s">
        <v>34</v>
      </c>
      <c r="D2195" s="303">
        <v>6.85</v>
      </c>
    </row>
    <row r="2196" spans="1:4">
      <c r="A2196" s="302">
        <v>92780</v>
      </c>
      <c r="B2196" s="301" t="s">
        <v>187</v>
      </c>
      <c r="C2196" s="301" t="s">
        <v>34</v>
      </c>
      <c r="D2196" s="303">
        <v>6.25</v>
      </c>
    </row>
    <row r="2197" spans="1:4">
      <c r="A2197" s="302">
        <v>92781</v>
      </c>
      <c r="B2197" s="301" t="s">
        <v>314</v>
      </c>
      <c r="C2197" s="301" t="s">
        <v>34</v>
      </c>
      <c r="D2197" s="303">
        <v>6.73</v>
      </c>
    </row>
    <row r="2198" spans="1:4">
      <c r="A2198" s="302">
        <v>92782</v>
      </c>
      <c r="B2198" s="301" t="s">
        <v>3127</v>
      </c>
      <c r="C2198" s="301" t="s">
        <v>34</v>
      </c>
      <c r="D2198" s="303">
        <v>6.43</v>
      </c>
    </row>
    <row r="2199" spans="1:4">
      <c r="A2199" s="302">
        <v>92783</v>
      </c>
      <c r="B2199" s="301" t="s">
        <v>3128</v>
      </c>
      <c r="C2199" s="301" t="s">
        <v>34</v>
      </c>
      <c r="D2199" s="303">
        <v>11.99</v>
      </c>
    </row>
    <row r="2200" spans="1:4">
      <c r="A2200" s="302">
        <v>92784</v>
      </c>
      <c r="B2200" s="301" t="s">
        <v>189</v>
      </c>
      <c r="C2200" s="301" t="s">
        <v>34</v>
      </c>
      <c r="D2200" s="303">
        <v>10.35</v>
      </c>
    </row>
    <row r="2201" spans="1:4">
      <c r="A2201" s="302">
        <v>92785</v>
      </c>
      <c r="B2201" s="301" t="s">
        <v>190</v>
      </c>
      <c r="C2201" s="301" t="s">
        <v>34</v>
      </c>
      <c r="D2201" s="303">
        <v>9.4</v>
      </c>
    </row>
    <row r="2202" spans="1:4">
      <c r="A2202" s="302">
        <v>92786</v>
      </c>
      <c r="B2202" s="301" t="s">
        <v>191</v>
      </c>
      <c r="C2202" s="301" t="s">
        <v>34</v>
      </c>
      <c r="D2202" s="303">
        <v>8.5500000000000007</v>
      </c>
    </row>
    <row r="2203" spans="1:4">
      <c r="A2203" s="302">
        <v>92787</v>
      </c>
      <c r="B2203" s="301" t="s">
        <v>192</v>
      </c>
      <c r="C2203" s="301" t="s">
        <v>34</v>
      </c>
      <c r="D2203" s="303">
        <v>7.47</v>
      </c>
    </row>
    <row r="2204" spans="1:4">
      <c r="A2204" s="302">
        <v>92788</v>
      </c>
      <c r="B2204" s="301" t="s">
        <v>3129</v>
      </c>
      <c r="C2204" s="301" t="s">
        <v>34</v>
      </c>
      <c r="D2204" s="303">
        <v>6.22</v>
      </c>
    </row>
    <row r="2205" spans="1:4">
      <c r="A2205" s="302">
        <v>92789</v>
      </c>
      <c r="B2205" s="301" t="s">
        <v>3130</v>
      </c>
      <c r="C2205" s="301" t="s">
        <v>34</v>
      </c>
      <c r="D2205" s="303">
        <v>5.79</v>
      </c>
    </row>
    <row r="2206" spans="1:4">
      <c r="A2206" s="302">
        <v>92790</v>
      </c>
      <c r="B2206" s="301" t="s">
        <v>3131</v>
      </c>
      <c r="C2206" s="301" t="s">
        <v>34</v>
      </c>
      <c r="D2206" s="303">
        <v>6.4</v>
      </c>
    </row>
    <row r="2207" spans="1:4">
      <c r="A2207" s="302">
        <v>92791</v>
      </c>
      <c r="B2207" s="301" t="s">
        <v>1151</v>
      </c>
      <c r="C2207" s="301" t="s">
        <v>34</v>
      </c>
      <c r="D2207" s="303">
        <v>6.76</v>
      </c>
    </row>
    <row r="2208" spans="1:4">
      <c r="A2208" s="302">
        <v>92792</v>
      </c>
      <c r="B2208" s="301" t="s">
        <v>968</v>
      </c>
      <c r="C2208" s="301" t="s">
        <v>34</v>
      </c>
      <c r="D2208" s="303">
        <v>6.58</v>
      </c>
    </row>
    <row r="2209" spans="1:4">
      <c r="A2209" s="302">
        <v>92793</v>
      </c>
      <c r="B2209" s="301" t="s">
        <v>969</v>
      </c>
      <c r="C2209" s="301" t="s">
        <v>34</v>
      </c>
      <c r="D2209" s="303">
        <v>6.4</v>
      </c>
    </row>
    <row r="2210" spans="1:4">
      <c r="A2210" s="302">
        <v>92794</v>
      </c>
      <c r="B2210" s="301" t="s">
        <v>1150</v>
      </c>
      <c r="C2210" s="301" t="s">
        <v>34</v>
      </c>
      <c r="D2210" s="303">
        <v>5.84</v>
      </c>
    </row>
    <row r="2211" spans="1:4">
      <c r="A2211" s="302">
        <v>92795</v>
      </c>
      <c r="B2211" s="301" t="s">
        <v>965</v>
      </c>
      <c r="C2211" s="301" t="s">
        <v>34</v>
      </c>
      <c r="D2211" s="303">
        <v>4.97</v>
      </c>
    </row>
    <row r="2212" spans="1:4">
      <c r="A2212" s="302">
        <v>92796</v>
      </c>
      <c r="B2212" s="301" t="s">
        <v>967</v>
      </c>
      <c r="C2212" s="301" t="s">
        <v>34</v>
      </c>
      <c r="D2212" s="303">
        <v>4.9000000000000004</v>
      </c>
    </row>
    <row r="2213" spans="1:4">
      <c r="A2213" s="302">
        <v>92797</v>
      </c>
      <c r="B2213" s="301" t="s">
        <v>3132</v>
      </c>
      <c r="C2213" s="301" t="s">
        <v>34</v>
      </c>
      <c r="D2213" s="303">
        <v>5.75</v>
      </c>
    </row>
    <row r="2214" spans="1:4">
      <c r="A2214" s="302">
        <v>92798</v>
      </c>
      <c r="B2214" s="301" t="s">
        <v>3133</v>
      </c>
      <c r="C2214" s="301" t="s">
        <v>34</v>
      </c>
      <c r="D2214" s="303">
        <v>5.74</v>
      </c>
    </row>
    <row r="2215" spans="1:4">
      <c r="A2215" s="302">
        <v>92799</v>
      </c>
      <c r="B2215" s="301" t="s">
        <v>3134</v>
      </c>
      <c r="C2215" s="301" t="s">
        <v>34</v>
      </c>
      <c r="D2215" s="303">
        <v>7.11</v>
      </c>
    </row>
    <row r="2216" spans="1:4">
      <c r="A2216" s="302">
        <v>92800</v>
      </c>
      <c r="B2216" s="301" t="s">
        <v>3135</v>
      </c>
      <c r="C2216" s="301" t="s">
        <v>34</v>
      </c>
      <c r="D2216" s="303">
        <v>6.35</v>
      </c>
    </row>
    <row r="2217" spans="1:4">
      <c r="A2217" s="302">
        <v>92801</v>
      </c>
      <c r="B2217" s="301" t="s">
        <v>3136</v>
      </c>
      <c r="C2217" s="301" t="s">
        <v>34</v>
      </c>
      <c r="D2217" s="303">
        <v>6.35</v>
      </c>
    </row>
    <row r="2218" spans="1:4">
      <c r="A2218" s="302">
        <v>92802</v>
      </c>
      <c r="B2218" s="301" t="s">
        <v>3137</v>
      </c>
      <c r="C2218" s="301" t="s">
        <v>34</v>
      </c>
      <c r="D2218" s="303">
        <v>6.26</v>
      </c>
    </row>
    <row r="2219" spans="1:4">
      <c r="A2219" s="302">
        <v>92803</v>
      </c>
      <c r="B2219" s="301" t="s">
        <v>3138</v>
      </c>
      <c r="C2219" s="301" t="s">
        <v>34</v>
      </c>
      <c r="D2219" s="303">
        <v>5.76</v>
      </c>
    </row>
    <row r="2220" spans="1:4">
      <c r="A2220" s="302">
        <v>92804</v>
      </c>
      <c r="B2220" s="301" t="s">
        <v>3139</v>
      </c>
      <c r="C2220" s="301" t="s">
        <v>34</v>
      </c>
      <c r="D2220" s="303">
        <v>4.93</v>
      </c>
    </row>
    <row r="2221" spans="1:4">
      <c r="A2221" s="302">
        <v>92805</v>
      </c>
      <c r="B2221" s="301" t="s">
        <v>3140</v>
      </c>
      <c r="C2221" s="301" t="s">
        <v>34</v>
      </c>
      <c r="D2221" s="303">
        <v>4.87</v>
      </c>
    </row>
    <row r="2222" spans="1:4">
      <c r="A2222" s="302">
        <v>92806</v>
      </c>
      <c r="B2222" s="301" t="s">
        <v>3141</v>
      </c>
      <c r="C2222" s="301" t="s">
        <v>34</v>
      </c>
      <c r="D2222" s="303">
        <v>5.74</v>
      </c>
    </row>
    <row r="2223" spans="1:4">
      <c r="A2223" s="302">
        <v>92875</v>
      </c>
      <c r="B2223" s="301" t="s">
        <v>3142</v>
      </c>
      <c r="C2223" s="301" t="s">
        <v>34</v>
      </c>
      <c r="D2223" s="303">
        <v>6.06</v>
      </c>
    </row>
    <row r="2224" spans="1:4">
      <c r="A2224" s="302">
        <v>92876</v>
      </c>
      <c r="B2224" s="301" t="s">
        <v>3143</v>
      </c>
      <c r="C2224" s="301" t="s">
        <v>34</v>
      </c>
      <c r="D2224" s="303">
        <v>5.84</v>
      </c>
    </row>
    <row r="2225" spans="1:4">
      <c r="A2225" s="302">
        <v>92877</v>
      </c>
      <c r="B2225" s="301" t="s">
        <v>3144</v>
      </c>
      <c r="C2225" s="301" t="s">
        <v>34</v>
      </c>
      <c r="D2225" s="303">
        <v>6.26</v>
      </c>
    </row>
    <row r="2226" spans="1:4">
      <c r="A2226" s="302">
        <v>92878</v>
      </c>
      <c r="B2226" s="301" t="s">
        <v>3145</v>
      </c>
      <c r="C2226" s="301" t="s">
        <v>34</v>
      </c>
      <c r="D2226" s="303">
        <v>6.14</v>
      </c>
    </row>
    <row r="2227" spans="1:4">
      <c r="A2227" s="302">
        <v>92879</v>
      </c>
      <c r="B2227" s="301" t="s">
        <v>3146</v>
      </c>
      <c r="C2227" s="301" t="s">
        <v>34</v>
      </c>
      <c r="D2227" s="303">
        <v>6.07</v>
      </c>
    </row>
    <row r="2228" spans="1:4">
      <c r="A2228" s="302">
        <v>92880</v>
      </c>
      <c r="B2228" s="301" t="s">
        <v>3147</v>
      </c>
      <c r="C2228" s="301" t="s">
        <v>34</v>
      </c>
      <c r="D2228" s="303">
        <v>6.19</v>
      </c>
    </row>
    <row r="2229" spans="1:4">
      <c r="A2229" s="302">
        <v>92881</v>
      </c>
      <c r="B2229" s="301" t="s">
        <v>3148</v>
      </c>
      <c r="C2229" s="301" t="s">
        <v>34</v>
      </c>
      <c r="D2229" s="303">
        <v>6.18</v>
      </c>
    </row>
    <row r="2230" spans="1:4">
      <c r="A2230" s="302">
        <v>92882</v>
      </c>
      <c r="B2230" s="301" t="s">
        <v>3149</v>
      </c>
      <c r="C2230" s="301" t="s">
        <v>34</v>
      </c>
      <c r="D2230" s="303">
        <v>8.57</v>
      </c>
    </row>
    <row r="2231" spans="1:4">
      <c r="A2231" s="302">
        <v>92883</v>
      </c>
      <c r="B2231" s="301" t="s">
        <v>3150</v>
      </c>
      <c r="C2231" s="301" t="s">
        <v>34</v>
      </c>
      <c r="D2231" s="303">
        <v>7.79</v>
      </c>
    </row>
    <row r="2232" spans="1:4">
      <c r="A2232" s="302">
        <v>92884</v>
      </c>
      <c r="B2232" s="301" t="s">
        <v>3151</v>
      </c>
      <c r="C2232" s="301" t="s">
        <v>34</v>
      </c>
      <c r="D2232" s="303">
        <v>7.79</v>
      </c>
    </row>
    <row r="2233" spans="1:4">
      <c r="A2233" s="302">
        <v>92885</v>
      </c>
      <c r="B2233" s="301" t="s">
        <v>3152</v>
      </c>
      <c r="C2233" s="301" t="s">
        <v>34</v>
      </c>
      <c r="D2233" s="303">
        <v>7.33</v>
      </c>
    </row>
    <row r="2234" spans="1:4">
      <c r="A2234" s="302">
        <v>92886</v>
      </c>
      <c r="B2234" s="301" t="s">
        <v>3153</v>
      </c>
      <c r="C2234" s="301" t="s">
        <v>34</v>
      </c>
      <c r="D2234" s="303">
        <v>6.95</v>
      </c>
    </row>
    <row r="2235" spans="1:4">
      <c r="A2235" s="302">
        <v>92887</v>
      </c>
      <c r="B2235" s="301" t="s">
        <v>3154</v>
      </c>
      <c r="C2235" s="301" t="s">
        <v>34</v>
      </c>
      <c r="D2235" s="303">
        <v>6.86</v>
      </c>
    </row>
    <row r="2236" spans="1:4">
      <c r="A2236" s="302">
        <v>92888</v>
      </c>
      <c r="B2236" s="301" t="s">
        <v>3155</v>
      </c>
      <c r="C2236" s="301" t="s">
        <v>34</v>
      </c>
      <c r="D2236" s="303">
        <v>6.68</v>
      </c>
    </row>
    <row r="2237" spans="1:4">
      <c r="A2237" s="302">
        <v>92915</v>
      </c>
      <c r="B2237" s="301" t="s">
        <v>3156</v>
      </c>
      <c r="C2237" s="301" t="s">
        <v>34</v>
      </c>
      <c r="D2237" s="303">
        <v>11.07</v>
      </c>
    </row>
    <row r="2238" spans="1:4">
      <c r="A2238" s="302">
        <v>92916</v>
      </c>
      <c r="B2238" s="301" t="s">
        <v>3157</v>
      </c>
      <c r="C2238" s="301" t="s">
        <v>34</v>
      </c>
      <c r="D2238" s="303">
        <v>9.9499999999999993</v>
      </c>
    </row>
    <row r="2239" spans="1:4">
      <c r="A2239" s="302">
        <v>92917</v>
      </c>
      <c r="B2239" s="301" t="s">
        <v>812</v>
      </c>
      <c r="C2239" s="301" t="s">
        <v>34</v>
      </c>
      <c r="D2239" s="303">
        <v>8.98</v>
      </c>
    </row>
    <row r="2240" spans="1:4">
      <c r="A2240" s="302">
        <v>92919</v>
      </c>
      <c r="B2240" s="301" t="s">
        <v>3158</v>
      </c>
      <c r="C2240" s="301" t="s">
        <v>34</v>
      </c>
      <c r="D2240" s="303">
        <v>7.84</v>
      </c>
    </row>
    <row r="2241" spans="1:4">
      <c r="A2241" s="302">
        <v>92921</v>
      </c>
      <c r="B2241" s="301" t="s">
        <v>322</v>
      </c>
      <c r="C2241" s="301" t="s">
        <v>34</v>
      </c>
      <c r="D2241" s="303">
        <v>6.5</v>
      </c>
    </row>
    <row r="2242" spans="1:4">
      <c r="A2242" s="302">
        <v>92922</v>
      </c>
      <c r="B2242" s="301" t="s">
        <v>323</v>
      </c>
      <c r="C2242" s="301" t="s">
        <v>34</v>
      </c>
      <c r="D2242" s="303">
        <v>6.02</v>
      </c>
    </row>
    <row r="2243" spans="1:4">
      <c r="A2243" s="302">
        <v>92923</v>
      </c>
      <c r="B2243" s="301" t="s">
        <v>3159</v>
      </c>
      <c r="C2243" s="301" t="s">
        <v>34</v>
      </c>
      <c r="D2243" s="303">
        <v>6.58</v>
      </c>
    </row>
    <row r="2244" spans="1:4">
      <c r="A2244" s="302">
        <v>92924</v>
      </c>
      <c r="B2244" s="301" t="s">
        <v>3160</v>
      </c>
      <c r="C2244" s="301" t="s">
        <v>34</v>
      </c>
      <c r="D2244" s="303">
        <v>6.33</v>
      </c>
    </row>
    <row r="2245" spans="1:4">
      <c r="A2245" s="302">
        <v>95445</v>
      </c>
      <c r="B2245" s="301" t="s">
        <v>3161</v>
      </c>
      <c r="C2245" s="301" t="s">
        <v>34</v>
      </c>
      <c r="D2245" s="303">
        <v>5.31</v>
      </c>
    </row>
    <row r="2246" spans="1:4">
      <c r="A2246" s="302">
        <v>95446</v>
      </c>
      <c r="B2246" s="301" t="s">
        <v>3162</v>
      </c>
      <c r="C2246" s="301" t="s">
        <v>34</v>
      </c>
      <c r="D2246" s="303">
        <v>5.72</v>
      </c>
    </row>
    <row r="2247" spans="1:4">
      <c r="A2247" s="302">
        <v>95576</v>
      </c>
      <c r="B2247" s="301" t="s">
        <v>3163</v>
      </c>
      <c r="C2247" s="301" t="s">
        <v>34</v>
      </c>
      <c r="D2247" s="303">
        <v>8.49</v>
      </c>
    </row>
    <row r="2248" spans="1:4">
      <c r="A2248" s="302">
        <v>95577</v>
      </c>
      <c r="B2248" s="301" t="s">
        <v>3164</v>
      </c>
      <c r="C2248" s="301" t="s">
        <v>34</v>
      </c>
      <c r="D2248" s="303">
        <v>7.56</v>
      </c>
    </row>
    <row r="2249" spans="1:4">
      <c r="A2249" s="302">
        <v>95578</v>
      </c>
      <c r="B2249" s="301" t="s">
        <v>3165</v>
      </c>
      <c r="C2249" s="301" t="s">
        <v>34</v>
      </c>
      <c r="D2249" s="303">
        <v>6.41</v>
      </c>
    </row>
    <row r="2250" spans="1:4">
      <c r="A2250" s="302">
        <v>95579</v>
      </c>
      <c r="B2250" s="301" t="s">
        <v>3166</v>
      </c>
      <c r="C2250" s="301" t="s">
        <v>34</v>
      </c>
      <c r="D2250" s="303">
        <v>6.06</v>
      </c>
    </row>
    <row r="2251" spans="1:4">
      <c r="A2251" s="302">
        <v>95580</v>
      </c>
      <c r="B2251" s="301" t="s">
        <v>3167</v>
      </c>
      <c r="C2251" s="301" t="s">
        <v>34</v>
      </c>
      <c r="D2251" s="303">
        <v>6.74</v>
      </c>
    </row>
    <row r="2252" spans="1:4">
      <c r="A2252" s="302">
        <v>95581</v>
      </c>
      <c r="B2252" s="301" t="s">
        <v>3168</v>
      </c>
      <c r="C2252" s="301" t="s">
        <v>34</v>
      </c>
      <c r="D2252" s="303">
        <v>6.58</v>
      </c>
    </row>
    <row r="2253" spans="1:4">
      <c r="A2253" s="302">
        <v>95583</v>
      </c>
      <c r="B2253" s="301" t="s">
        <v>3169</v>
      </c>
      <c r="C2253" s="301" t="s">
        <v>34</v>
      </c>
      <c r="D2253" s="303">
        <v>11.5</v>
      </c>
    </row>
    <row r="2254" spans="1:4">
      <c r="A2254" s="302">
        <v>95584</v>
      </c>
      <c r="B2254" s="301" t="s">
        <v>3170</v>
      </c>
      <c r="C2254" s="301" t="s">
        <v>34</v>
      </c>
      <c r="D2254" s="303">
        <v>9.65</v>
      </c>
    </row>
    <row r="2255" spans="1:4">
      <c r="A2255" s="302">
        <v>95585</v>
      </c>
      <c r="B2255" s="301" t="s">
        <v>3171</v>
      </c>
      <c r="C2255" s="301" t="s">
        <v>34</v>
      </c>
      <c r="D2255" s="303">
        <v>8.8699999999999992</v>
      </c>
    </row>
    <row r="2256" spans="1:4">
      <c r="A2256" s="302">
        <v>95586</v>
      </c>
      <c r="B2256" s="301" t="s">
        <v>3172</v>
      </c>
      <c r="C2256" s="301" t="s">
        <v>34</v>
      </c>
      <c r="D2256" s="303">
        <v>7.85</v>
      </c>
    </row>
    <row r="2257" spans="1:4">
      <c r="A2257" s="302">
        <v>95587</v>
      </c>
      <c r="B2257" s="301" t="s">
        <v>3173</v>
      </c>
      <c r="C2257" s="301" t="s">
        <v>34</v>
      </c>
      <c r="D2257" s="303">
        <v>6.66</v>
      </c>
    </row>
    <row r="2258" spans="1:4">
      <c r="A2258" s="302">
        <v>95588</v>
      </c>
      <c r="B2258" s="301" t="s">
        <v>3174</v>
      </c>
      <c r="C2258" s="301" t="s">
        <v>34</v>
      </c>
      <c r="D2258" s="303">
        <v>6.26</v>
      </c>
    </row>
    <row r="2259" spans="1:4">
      <c r="A2259" s="302">
        <v>95589</v>
      </c>
      <c r="B2259" s="301" t="s">
        <v>3175</v>
      </c>
      <c r="C2259" s="301" t="s">
        <v>34</v>
      </c>
      <c r="D2259" s="303">
        <v>6.89</v>
      </c>
    </row>
    <row r="2260" spans="1:4">
      <c r="A2260" s="302">
        <v>95590</v>
      </c>
      <c r="B2260" s="301" t="s">
        <v>3176</v>
      </c>
      <c r="C2260" s="301" t="s">
        <v>34</v>
      </c>
      <c r="D2260" s="303">
        <v>6.71</v>
      </c>
    </row>
    <row r="2261" spans="1:4">
      <c r="A2261" s="302">
        <v>95592</v>
      </c>
      <c r="B2261" s="301" t="s">
        <v>3177</v>
      </c>
      <c r="C2261" s="301" t="s">
        <v>34</v>
      </c>
      <c r="D2261" s="303">
        <v>14.15</v>
      </c>
    </row>
    <row r="2262" spans="1:4">
      <c r="A2262" s="302">
        <v>95593</v>
      </c>
      <c r="B2262" s="301" t="s">
        <v>3178</v>
      </c>
      <c r="C2262" s="301" t="s">
        <v>34</v>
      </c>
      <c r="D2262" s="303">
        <v>11.24</v>
      </c>
    </row>
    <row r="2263" spans="1:4">
      <c r="A2263" s="302">
        <v>95943</v>
      </c>
      <c r="B2263" s="301" t="s">
        <v>320</v>
      </c>
      <c r="C2263" s="301" t="s">
        <v>34</v>
      </c>
      <c r="D2263" s="303">
        <v>14.87</v>
      </c>
    </row>
    <row r="2264" spans="1:4">
      <c r="A2264" s="302">
        <v>95944</v>
      </c>
      <c r="B2264" s="301" t="s">
        <v>3179</v>
      </c>
      <c r="C2264" s="301" t="s">
        <v>34</v>
      </c>
      <c r="D2264" s="303">
        <v>13.31</v>
      </c>
    </row>
    <row r="2265" spans="1:4">
      <c r="A2265" s="302">
        <v>95945</v>
      </c>
      <c r="B2265" s="301" t="s">
        <v>3180</v>
      </c>
      <c r="C2265" s="301" t="s">
        <v>34</v>
      </c>
      <c r="D2265" s="303">
        <v>10.49</v>
      </c>
    </row>
    <row r="2266" spans="1:4">
      <c r="A2266" s="302">
        <v>95946</v>
      </c>
      <c r="B2266" s="301" t="s">
        <v>321</v>
      </c>
      <c r="C2266" s="301" t="s">
        <v>34</v>
      </c>
      <c r="D2266" s="303">
        <v>8.18</v>
      </c>
    </row>
    <row r="2267" spans="1:4">
      <c r="A2267" s="302">
        <v>95947</v>
      </c>
      <c r="B2267" s="301" t="s">
        <v>3181</v>
      </c>
      <c r="C2267" s="301" t="s">
        <v>34</v>
      </c>
      <c r="D2267" s="303">
        <v>6.17</v>
      </c>
    </row>
    <row r="2268" spans="1:4">
      <c r="A2268" s="302">
        <v>95948</v>
      </c>
      <c r="B2268" s="301" t="s">
        <v>3182</v>
      </c>
      <c r="C2268" s="301" t="s">
        <v>34</v>
      </c>
      <c r="D2268" s="303">
        <v>5.32</v>
      </c>
    </row>
    <row r="2269" spans="1:4">
      <c r="A2269" s="302">
        <v>96544</v>
      </c>
      <c r="B2269" s="301" t="s">
        <v>195</v>
      </c>
      <c r="C2269" s="301" t="s">
        <v>34</v>
      </c>
      <c r="D2269" s="303">
        <v>10.74</v>
      </c>
    </row>
    <row r="2270" spans="1:4">
      <c r="A2270" s="302">
        <v>96545</v>
      </c>
      <c r="B2270" s="301" t="s">
        <v>180</v>
      </c>
      <c r="C2270" s="301" t="s">
        <v>34</v>
      </c>
      <c r="D2270" s="303">
        <v>9.6199999999999992</v>
      </c>
    </row>
    <row r="2271" spans="1:4">
      <c r="A2271" s="302">
        <v>96546</v>
      </c>
      <c r="B2271" s="301" t="s">
        <v>181</v>
      </c>
      <c r="C2271" s="301" t="s">
        <v>34</v>
      </c>
      <c r="D2271" s="303">
        <v>8.3800000000000008</v>
      </c>
    </row>
    <row r="2272" spans="1:4">
      <c r="A2272" s="302">
        <v>96547</v>
      </c>
      <c r="B2272" s="301" t="s">
        <v>182</v>
      </c>
      <c r="C2272" s="301" t="s">
        <v>34</v>
      </c>
      <c r="D2272" s="303">
        <v>6.97</v>
      </c>
    </row>
    <row r="2273" spans="1:4">
      <c r="A2273" s="302">
        <v>96548</v>
      </c>
      <c r="B2273" s="301" t="s">
        <v>183</v>
      </c>
      <c r="C2273" s="301" t="s">
        <v>34</v>
      </c>
      <c r="D2273" s="303">
        <v>6.42</v>
      </c>
    </row>
    <row r="2274" spans="1:4">
      <c r="A2274" s="302">
        <v>96549</v>
      </c>
      <c r="B2274" s="301" t="s">
        <v>3183</v>
      </c>
      <c r="C2274" s="301" t="s">
        <v>34</v>
      </c>
      <c r="D2274" s="303">
        <v>6.94</v>
      </c>
    </row>
    <row r="2275" spans="1:4">
      <c r="A2275" s="302">
        <v>96550</v>
      </c>
      <c r="B2275" s="301" t="s">
        <v>3184</v>
      </c>
      <c r="C2275" s="301" t="s">
        <v>34</v>
      </c>
      <c r="D2275" s="303">
        <v>6.67</v>
      </c>
    </row>
    <row r="2276" spans="1:4">
      <c r="A2276" s="302">
        <v>100066</v>
      </c>
      <c r="B2276" s="301" t="s">
        <v>3185</v>
      </c>
      <c r="C2276" s="301" t="s">
        <v>34</v>
      </c>
      <c r="D2276" s="303">
        <v>7.43</v>
      </c>
    </row>
    <row r="2277" spans="1:4">
      <c r="A2277" s="302">
        <v>100067</v>
      </c>
      <c r="B2277" s="301" t="s">
        <v>3186</v>
      </c>
      <c r="C2277" s="301" t="s">
        <v>34</v>
      </c>
      <c r="D2277" s="303">
        <v>7.77</v>
      </c>
    </row>
    <row r="2278" spans="1:4">
      <c r="A2278" s="302">
        <v>100068</v>
      </c>
      <c r="B2278" s="301" t="s">
        <v>3187</v>
      </c>
      <c r="C2278" s="301" t="s">
        <v>34</v>
      </c>
      <c r="D2278" s="303">
        <v>5.78</v>
      </c>
    </row>
    <row r="2279" spans="1:4">
      <c r="A2279" s="302">
        <v>40780</v>
      </c>
      <c r="B2279" s="301" t="s">
        <v>12432</v>
      </c>
      <c r="C2279" s="301" t="s">
        <v>117</v>
      </c>
      <c r="D2279" s="303">
        <v>9.35</v>
      </c>
    </row>
    <row r="2280" spans="1:4">
      <c r="A2280" s="301" t="s">
        <v>3188</v>
      </c>
      <c r="B2280" s="301" t="s">
        <v>12433</v>
      </c>
      <c r="C2280" s="301" t="s">
        <v>60</v>
      </c>
      <c r="D2280" s="303">
        <v>104.64</v>
      </c>
    </row>
    <row r="2281" spans="1:4">
      <c r="A2281" s="302">
        <v>89993</v>
      </c>
      <c r="B2281" s="301" t="s">
        <v>3189</v>
      </c>
      <c r="C2281" s="301" t="s">
        <v>60</v>
      </c>
      <c r="D2281" s="303">
        <v>631.57000000000005</v>
      </c>
    </row>
    <row r="2282" spans="1:4">
      <c r="A2282" s="302">
        <v>89994</v>
      </c>
      <c r="B2282" s="301" t="s">
        <v>3190</v>
      </c>
      <c r="C2282" s="301" t="s">
        <v>60</v>
      </c>
      <c r="D2282" s="303">
        <v>526.92999999999995</v>
      </c>
    </row>
    <row r="2283" spans="1:4">
      <c r="A2283" s="302">
        <v>89995</v>
      </c>
      <c r="B2283" s="301" t="s">
        <v>3191</v>
      </c>
      <c r="C2283" s="301" t="s">
        <v>60</v>
      </c>
      <c r="D2283" s="303">
        <v>604.80999999999995</v>
      </c>
    </row>
    <row r="2284" spans="1:4">
      <c r="A2284" s="302">
        <v>90278</v>
      </c>
      <c r="B2284" s="301" t="s">
        <v>3192</v>
      </c>
      <c r="C2284" s="301" t="s">
        <v>60</v>
      </c>
      <c r="D2284" s="303">
        <v>298.14</v>
      </c>
    </row>
    <row r="2285" spans="1:4">
      <c r="A2285" s="302">
        <v>90279</v>
      </c>
      <c r="B2285" s="301" t="s">
        <v>3193</v>
      </c>
      <c r="C2285" s="301" t="s">
        <v>60</v>
      </c>
      <c r="D2285" s="303">
        <v>315.86</v>
      </c>
    </row>
    <row r="2286" spans="1:4">
      <c r="A2286" s="302">
        <v>90280</v>
      </c>
      <c r="B2286" s="301" t="s">
        <v>3194</v>
      </c>
      <c r="C2286" s="301" t="s">
        <v>60</v>
      </c>
      <c r="D2286" s="303">
        <v>350.13</v>
      </c>
    </row>
    <row r="2287" spans="1:4">
      <c r="A2287" s="302">
        <v>90281</v>
      </c>
      <c r="B2287" s="301" t="s">
        <v>3195</v>
      </c>
      <c r="C2287" s="301" t="s">
        <v>60</v>
      </c>
      <c r="D2287" s="303">
        <v>397.32</v>
      </c>
    </row>
    <row r="2288" spans="1:4">
      <c r="A2288" s="302">
        <v>90282</v>
      </c>
      <c r="B2288" s="301" t="s">
        <v>3196</v>
      </c>
      <c r="C2288" s="301" t="s">
        <v>60</v>
      </c>
      <c r="D2288" s="303">
        <v>302.61</v>
      </c>
    </row>
    <row r="2289" spans="1:4">
      <c r="A2289" s="302">
        <v>90283</v>
      </c>
      <c r="B2289" s="301" t="s">
        <v>3197</v>
      </c>
      <c r="C2289" s="301" t="s">
        <v>60</v>
      </c>
      <c r="D2289" s="303">
        <v>321.5</v>
      </c>
    </row>
    <row r="2290" spans="1:4">
      <c r="A2290" s="302">
        <v>90284</v>
      </c>
      <c r="B2290" s="301" t="s">
        <v>3198</v>
      </c>
      <c r="C2290" s="301" t="s">
        <v>60</v>
      </c>
      <c r="D2290" s="303">
        <v>356.39</v>
      </c>
    </row>
    <row r="2291" spans="1:4">
      <c r="A2291" s="302">
        <v>90285</v>
      </c>
      <c r="B2291" s="301" t="s">
        <v>3199</v>
      </c>
      <c r="C2291" s="301" t="s">
        <v>60</v>
      </c>
      <c r="D2291" s="303">
        <v>406.25</v>
      </c>
    </row>
    <row r="2292" spans="1:4">
      <c r="A2292" s="302">
        <v>90853</v>
      </c>
      <c r="B2292" s="301" t="s">
        <v>3200</v>
      </c>
      <c r="C2292" s="301" t="s">
        <v>60</v>
      </c>
      <c r="D2292" s="303">
        <v>484.5</v>
      </c>
    </row>
    <row r="2293" spans="1:4">
      <c r="A2293" s="302">
        <v>90854</v>
      </c>
      <c r="B2293" s="301" t="s">
        <v>3201</v>
      </c>
      <c r="C2293" s="301" t="s">
        <v>60</v>
      </c>
      <c r="D2293" s="303">
        <v>469.88</v>
      </c>
    </row>
    <row r="2294" spans="1:4">
      <c r="A2294" s="302">
        <v>90855</v>
      </c>
      <c r="B2294" s="301" t="s">
        <v>3202</v>
      </c>
      <c r="C2294" s="301" t="s">
        <v>60</v>
      </c>
      <c r="D2294" s="303">
        <v>512.73</v>
      </c>
    </row>
    <row r="2295" spans="1:4">
      <c r="A2295" s="302">
        <v>90856</v>
      </c>
      <c r="B2295" s="301" t="s">
        <v>3203</v>
      </c>
      <c r="C2295" s="301" t="s">
        <v>60</v>
      </c>
      <c r="D2295" s="303">
        <v>488.1</v>
      </c>
    </row>
    <row r="2296" spans="1:4">
      <c r="A2296" s="302">
        <v>90857</v>
      </c>
      <c r="B2296" s="301" t="s">
        <v>3204</v>
      </c>
      <c r="C2296" s="301" t="s">
        <v>60</v>
      </c>
      <c r="D2296" s="303">
        <v>472.26</v>
      </c>
    </row>
    <row r="2297" spans="1:4">
      <c r="A2297" s="302">
        <v>90858</v>
      </c>
      <c r="B2297" s="301" t="s">
        <v>3205</v>
      </c>
      <c r="C2297" s="301" t="s">
        <v>60</v>
      </c>
      <c r="D2297" s="303">
        <v>529.17999999999995</v>
      </c>
    </row>
    <row r="2298" spans="1:4">
      <c r="A2298" s="302">
        <v>90859</v>
      </c>
      <c r="B2298" s="301" t="s">
        <v>3206</v>
      </c>
      <c r="C2298" s="301" t="s">
        <v>60</v>
      </c>
      <c r="D2298" s="303">
        <v>462.31</v>
      </c>
    </row>
    <row r="2299" spans="1:4">
      <c r="A2299" s="302">
        <v>90860</v>
      </c>
      <c r="B2299" s="301" t="s">
        <v>3207</v>
      </c>
      <c r="C2299" s="301" t="s">
        <v>60</v>
      </c>
      <c r="D2299" s="303">
        <v>467.29</v>
      </c>
    </row>
    <row r="2300" spans="1:4">
      <c r="A2300" s="302">
        <v>90861</v>
      </c>
      <c r="B2300" s="301" t="s">
        <v>3208</v>
      </c>
      <c r="C2300" s="301" t="s">
        <v>60</v>
      </c>
      <c r="D2300" s="303">
        <v>476.76</v>
      </c>
    </row>
    <row r="2301" spans="1:4">
      <c r="A2301" s="302">
        <v>90862</v>
      </c>
      <c r="B2301" s="301" t="s">
        <v>3209</v>
      </c>
      <c r="C2301" s="301" t="s">
        <v>60</v>
      </c>
      <c r="D2301" s="303">
        <v>434.83</v>
      </c>
    </row>
    <row r="2302" spans="1:4">
      <c r="A2302" s="302">
        <v>92718</v>
      </c>
      <c r="B2302" s="301" t="s">
        <v>3210</v>
      </c>
      <c r="C2302" s="301" t="s">
        <v>60</v>
      </c>
      <c r="D2302" s="303">
        <v>547.26</v>
      </c>
    </row>
    <row r="2303" spans="1:4">
      <c r="A2303" s="302">
        <v>92719</v>
      </c>
      <c r="B2303" s="301" t="s">
        <v>3211</v>
      </c>
      <c r="C2303" s="301" t="s">
        <v>60</v>
      </c>
      <c r="D2303" s="303">
        <v>416.11</v>
      </c>
    </row>
    <row r="2304" spans="1:4">
      <c r="A2304" s="302">
        <v>92720</v>
      </c>
      <c r="B2304" s="301" t="s">
        <v>196</v>
      </c>
      <c r="C2304" s="301" t="s">
        <v>60</v>
      </c>
      <c r="D2304" s="303">
        <v>476.34</v>
      </c>
    </row>
    <row r="2305" spans="1:4">
      <c r="A2305" s="302">
        <v>92721</v>
      </c>
      <c r="B2305" s="301" t="s">
        <v>3212</v>
      </c>
      <c r="C2305" s="301" t="s">
        <v>60</v>
      </c>
      <c r="D2305" s="303">
        <v>408.09</v>
      </c>
    </row>
    <row r="2306" spans="1:4">
      <c r="A2306" s="302">
        <v>92722</v>
      </c>
      <c r="B2306" s="301" t="s">
        <v>3213</v>
      </c>
      <c r="C2306" s="301" t="s">
        <v>60</v>
      </c>
      <c r="D2306" s="303">
        <v>472.99</v>
      </c>
    </row>
    <row r="2307" spans="1:4">
      <c r="A2307" s="302">
        <v>92723</v>
      </c>
      <c r="B2307" s="301" t="s">
        <v>3214</v>
      </c>
      <c r="C2307" s="301" t="s">
        <v>60</v>
      </c>
      <c r="D2307" s="303">
        <v>458.7</v>
      </c>
    </row>
    <row r="2308" spans="1:4">
      <c r="A2308" s="302">
        <v>92724</v>
      </c>
      <c r="B2308" s="301" t="s">
        <v>3215</v>
      </c>
      <c r="C2308" s="301" t="s">
        <v>60</v>
      </c>
      <c r="D2308" s="303">
        <v>455.77</v>
      </c>
    </row>
    <row r="2309" spans="1:4">
      <c r="A2309" s="302">
        <v>92725</v>
      </c>
      <c r="B2309" s="301" t="s">
        <v>3216</v>
      </c>
      <c r="C2309" s="301" t="s">
        <v>60</v>
      </c>
      <c r="D2309" s="303">
        <v>454.54</v>
      </c>
    </row>
    <row r="2310" spans="1:4">
      <c r="A2310" s="302">
        <v>92726</v>
      </c>
      <c r="B2310" s="301" t="s">
        <v>3217</v>
      </c>
      <c r="C2310" s="301" t="s">
        <v>60</v>
      </c>
      <c r="D2310" s="303">
        <v>452.48</v>
      </c>
    </row>
    <row r="2311" spans="1:4">
      <c r="A2311" s="302">
        <v>92727</v>
      </c>
      <c r="B2311" s="301" t="s">
        <v>3218</v>
      </c>
      <c r="C2311" s="301" t="s">
        <v>60</v>
      </c>
      <c r="D2311" s="303">
        <v>484.85</v>
      </c>
    </row>
    <row r="2312" spans="1:4">
      <c r="A2312" s="302">
        <v>92728</v>
      </c>
      <c r="B2312" s="301" t="s">
        <v>3219</v>
      </c>
      <c r="C2312" s="301" t="s">
        <v>60</v>
      </c>
      <c r="D2312" s="303">
        <v>463.89</v>
      </c>
    </row>
    <row r="2313" spans="1:4">
      <c r="A2313" s="302">
        <v>92729</v>
      </c>
      <c r="B2313" s="301" t="s">
        <v>3220</v>
      </c>
      <c r="C2313" s="301" t="s">
        <v>60</v>
      </c>
      <c r="D2313" s="303">
        <v>455.01</v>
      </c>
    </row>
    <row r="2314" spans="1:4">
      <c r="A2314" s="302">
        <v>92730</v>
      </c>
      <c r="B2314" s="301" t="s">
        <v>3221</v>
      </c>
      <c r="C2314" s="301" t="s">
        <v>60</v>
      </c>
      <c r="D2314" s="303">
        <v>440.23</v>
      </c>
    </row>
    <row r="2315" spans="1:4">
      <c r="A2315" s="302">
        <v>92731</v>
      </c>
      <c r="B2315" s="301" t="s">
        <v>3222</v>
      </c>
      <c r="C2315" s="301" t="s">
        <v>60</v>
      </c>
      <c r="D2315" s="303">
        <v>457.42</v>
      </c>
    </row>
    <row r="2316" spans="1:4">
      <c r="A2316" s="302">
        <v>92732</v>
      </c>
      <c r="B2316" s="301" t="s">
        <v>3223</v>
      </c>
      <c r="C2316" s="301" t="s">
        <v>60</v>
      </c>
      <c r="D2316" s="303">
        <v>443.06</v>
      </c>
    </row>
    <row r="2317" spans="1:4">
      <c r="A2317" s="302">
        <v>92733</v>
      </c>
      <c r="B2317" s="301" t="s">
        <v>3224</v>
      </c>
      <c r="C2317" s="301" t="s">
        <v>60</v>
      </c>
      <c r="D2317" s="303">
        <v>436.95</v>
      </c>
    </row>
    <row r="2318" spans="1:4">
      <c r="A2318" s="302">
        <v>92734</v>
      </c>
      <c r="B2318" s="301" t="s">
        <v>3225</v>
      </c>
      <c r="C2318" s="301" t="s">
        <v>60</v>
      </c>
      <c r="D2318" s="303">
        <v>426.81</v>
      </c>
    </row>
    <row r="2319" spans="1:4">
      <c r="A2319" s="302">
        <v>92735</v>
      </c>
      <c r="B2319" s="301" t="s">
        <v>3226</v>
      </c>
      <c r="C2319" s="301" t="s">
        <v>60</v>
      </c>
      <c r="D2319" s="303">
        <v>432.35</v>
      </c>
    </row>
    <row r="2320" spans="1:4">
      <c r="A2320" s="302">
        <v>92736</v>
      </c>
      <c r="B2320" s="301" t="s">
        <v>3227</v>
      </c>
      <c r="C2320" s="301" t="s">
        <v>60</v>
      </c>
      <c r="D2320" s="303">
        <v>421.44</v>
      </c>
    </row>
    <row r="2321" spans="1:4">
      <c r="A2321" s="302">
        <v>92739</v>
      </c>
      <c r="B2321" s="301" t="s">
        <v>3228</v>
      </c>
      <c r="C2321" s="301" t="s">
        <v>60</v>
      </c>
      <c r="D2321" s="303">
        <v>405.62</v>
      </c>
    </row>
    <row r="2322" spans="1:4">
      <c r="A2322" s="302">
        <v>92740</v>
      </c>
      <c r="B2322" s="301" t="s">
        <v>3229</v>
      </c>
      <c r="C2322" s="301" t="s">
        <v>60</v>
      </c>
      <c r="D2322" s="303">
        <v>400.22</v>
      </c>
    </row>
    <row r="2323" spans="1:4">
      <c r="A2323" s="302">
        <v>92741</v>
      </c>
      <c r="B2323" s="301" t="s">
        <v>3230</v>
      </c>
      <c r="C2323" s="301" t="s">
        <v>60</v>
      </c>
      <c r="D2323" s="303">
        <v>599.55999999999995</v>
      </c>
    </row>
    <row r="2324" spans="1:4">
      <c r="A2324" s="302">
        <v>92742</v>
      </c>
      <c r="B2324" s="301" t="s">
        <v>3231</v>
      </c>
      <c r="C2324" s="301" t="s">
        <v>60</v>
      </c>
      <c r="D2324" s="303">
        <v>809.05</v>
      </c>
    </row>
    <row r="2325" spans="1:4">
      <c r="A2325" s="302">
        <v>92873</v>
      </c>
      <c r="B2325" s="301" t="s">
        <v>892</v>
      </c>
      <c r="C2325" s="301" t="s">
        <v>60</v>
      </c>
      <c r="D2325" s="303">
        <v>162.15</v>
      </c>
    </row>
    <row r="2326" spans="1:4">
      <c r="A2326" s="302">
        <v>92874</v>
      </c>
      <c r="B2326" s="301" t="s">
        <v>787</v>
      </c>
      <c r="C2326" s="301" t="s">
        <v>60</v>
      </c>
      <c r="D2326" s="303">
        <v>26.92</v>
      </c>
    </row>
    <row r="2327" spans="1:4">
      <c r="A2327" s="302">
        <v>94962</v>
      </c>
      <c r="B2327" s="301" t="s">
        <v>960</v>
      </c>
      <c r="C2327" s="301" t="s">
        <v>60</v>
      </c>
      <c r="D2327" s="303">
        <v>261.25</v>
      </c>
    </row>
    <row r="2328" spans="1:4">
      <c r="A2328" s="302">
        <v>94963</v>
      </c>
      <c r="B2328" s="301" t="s">
        <v>3232</v>
      </c>
      <c r="C2328" s="301" t="s">
        <v>60</v>
      </c>
      <c r="D2328" s="303">
        <v>289.58</v>
      </c>
    </row>
    <row r="2329" spans="1:4">
      <c r="A2329" s="302">
        <v>94964</v>
      </c>
      <c r="B2329" s="301" t="s">
        <v>3233</v>
      </c>
      <c r="C2329" s="301" t="s">
        <v>60</v>
      </c>
      <c r="D2329" s="303">
        <v>316.75</v>
      </c>
    </row>
    <row r="2330" spans="1:4">
      <c r="A2330" s="302">
        <v>94965</v>
      </c>
      <c r="B2330" s="301" t="s">
        <v>890</v>
      </c>
      <c r="C2330" s="301" t="s">
        <v>60</v>
      </c>
      <c r="D2330" s="303">
        <v>329</v>
      </c>
    </row>
    <row r="2331" spans="1:4">
      <c r="A2331" s="302">
        <v>94966</v>
      </c>
      <c r="B2331" s="301" t="s">
        <v>3234</v>
      </c>
      <c r="C2331" s="301" t="s">
        <v>60</v>
      </c>
      <c r="D2331" s="303">
        <v>340.3</v>
      </c>
    </row>
    <row r="2332" spans="1:4">
      <c r="A2332" s="302">
        <v>94967</v>
      </c>
      <c r="B2332" s="301" t="s">
        <v>3235</v>
      </c>
      <c r="C2332" s="301" t="s">
        <v>60</v>
      </c>
      <c r="D2332" s="303">
        <v>387.57</v>
      </c>
    </row>
    <row r="2333" spans="1:4">
      <c r="A2333" s="302">
        <v>94968</v>
      </c>
      <c r="B2333" s="301" t="s">
        <v>3236</v>
      </c>
      <c r="C2333" s="301" t="s">
        <v>60</v>
      </c>
      <c r="D2333" s="303">
        <v>258.85000000000002</v>
      </c>
    </row>
    <row r="2334" spans="1:4">
      <c r="A2334" s="302">
        <v>94969</v>
      </c>
      <c r="B2334" s="301" t="s">
        <v>3237</v>
      </c>
      <c r="C2334" s="301" t="s">
        <v>60</v>
      </c>
      <c r="D2334" s="303">
        <v>284.82</v>
      </c>
    </row>
    <row r="2335" spans="1:4">
      <c r="A2335" s="302">
        <v>94970</v>
      </c>
      <c r="B2335" s="301" t="s">
        <v>3238</v>
      </c>
      <c r="C2335" s="301" t="s">
        <v>60</v>
      </c>
      <c r="D2335" s="303">
        <v>307.72000000000003</v>
      </c>
    </row>
    <row r="2336" spans="1:4">
      <c r="A2336" s="302">
        <v>94971</v>
      </c>
      <c r="B2336" s="301" t="s">
        <v>1139</v>
      </c>
      <c r="C2336" s="301" t="s">
        <v>60</v>
      </c>
      <c r="D2336" s="303">
        <v>324.27999999999997</v>
      </c>
    </row>
    <row r="2337" spans="1:4">
      <c r="A2337" s="302">
        <v>94972</v>
      </c>
      <c r="B2337" s="301" t="s">
        <v>3239</v>
      </c>
      <c r="C2337" s="301" t="s">
        <v>60</v>
      </c>
      <c r="D2337" s="303">
        <v>335.38</v>
      </c>
    </row>
    <row r="2338" spans="1:4">
      <c r="A2338" s="302">
        <v>94973</v>
      </c>
      <c r="B2338" s="301" t="s">
        <v>3240</v>
      </c>
      <c r="C2338" s="301" t="s">
        <v>60</v>
      </c>
      <c r="D2338" s="303">
        <v>381.53</v>
      </c>
    </row>
    <row r="2339" spans="1:4">
      <c r="A2339" s="302">
        <v>94974</v>
      </c>
      <c r="B2339" s="301" t="s">
        <v>3241</v>
      </c>
      <c r="C2339" s="301" t="s">
        <v>60</v>
      </c>
      <c r="D2339" s="303">
        <v>367.22</v>
      </c>
    </row>
    <row r="2340" spans="1:4">
      <c r="A2340" s="302">
        <v>94975</v>
      </c>
      <c r="B2340" s="301" t="s">
        <v>811</v>
      </c>
      <c r="C2340" s="301" t="s">
        <v>60</v>
      </c>
      <c r="D2340" s="303">
        <v>393.73</v>
      </c>
    </row>
    <row r="2341" spans="1:4">
      <c r="A2341" s="302">
        <v>96555</v>
      </c>
      <c r="B2341" s="301" t="s">
        <v>3242</v>
      </c>
      <c r="C2341" s="301" t="s">
        <v>60</v>
      </c>
      <c r="D2341" s="303">
        <v>472.56</v>
      </c>
    </row>
    <row r="2342" spans="1:4">
      <c r="A2342" s="302">
        <v>96556</v>
      </c>
      <c r="B2342" s="301" t="s">
        <v>3243</v>
      </c>
      <c r="C2342" s="301" t="s">
        <v>60</v>
      </c>
      <c r="D2342" s="303">
        <v>536.16999999999996</v>
      </c>
    </row>
    <row r="2343" spans="1:4">
      <c r="A2343" s="302">
        <v>96557</v>
      </c>
      <c r="B2343" s="301" t="s">
        <v>3244</v>
      </c>
      <c r="C2343" s="301" t="s">
        <v>60</v>
      </c>
      <c r="D2343" s="303">
        <v>500.31</v>
      </c>
    </row>
    <row r="2344" spans="1:4">
      <c r="A2344" s="302">
        <v>96558</v>
      </c>
      <c r="B2344" s="301" t="s">
        <v>3245</v>
      </c>
      <c r="C2344" s="301" t="s">
        <v>60</v>
      </c>
      <c r="D2344" s="303">
        <v>506.05</v>
      </c>
    </row>
    <row r="2345" spans="1:4">
      <c r="A2345" s="302">
        <v>99235</v>
      </c>
      <c r="B2345" s="301" t="s">
        <v>3246</v>
      </c>
      <c r="C2345" s="301" t="s">
        <v>60</v>
      </c>
      <c r="D2345" s="303">
        <v>449.77</v>
      </c>
    </row>
    <row r="2346" spans="1:4">
      <c r="A2346" s="302">
        <v>99431</v>
      </c>
      <c r="B2346" s="301" t="s">
        <v>3247</v>
      </c>
      <c r="C2346" s="301" t="s">
        <v>60</v>
      </c>
      <c r="D2346" s="303">
        <v>532.32000000000005</v>
      </c>
    </row>
    <row r="2347" spans="1:4">
      <c r="A2347" s="302">
        <v>99432</v>
      </c>
      <c r="B2347" s="301" t="s">
        <v>3248</v>
      </c>
      <c r="C2347" s="301" t="s">
        <v>60</v>
      </c>
      <c r="D2347" s="303">
        <v>505.88</v>
      </c>
    </row>
    <row r="2348" spans="1:4">
      <c r="A2348" s="302">
        <v>99433</v>
      </c>
      <c r="B2348" s="301" t="s">
        <v>3249</v>
      </c>
      <c r="C2348" s="301" t="s">
        <v>60</v>
      </c>
      <c r="D2348" s="303">
        <v>562.27</v>
      </c>
    </row>
    <row r="2349" spans="1:4">
      <c r="A2349" s="302">
        <v>99434</v>
      </c>
      <c r="B2349" s="301" t="s">
        <v>3250</v>
      </c>
      <c r="C2349" s="301" t="s">
        <v>60</v>
      </c>
      <c r="D2349" s="303">
        <v>535.91999999999996</v>
      </c>
    </row>
    <row r="2350" spans="1:4">
      <c r="A2350" s="302">
        <v>99435</v>
      </c>
      <c r="B2350" s="301" t="s">
        <v>3251</v>
      </c>
      <c r="C2350" s="301" t="s">
        <v>60</v>
      </c>
      <c r="D2350" s="303">
        <v>518.79</v>
      </c>
    </row>
    <row r="2351" spans="1:4">
      <c r="A2351" s="302">
        <v>99436</v>
      </c>
      <c r="B2351" s="301" t="s">
        <v>3252</v>
      </c>
      <c r="C2351" s="301" t="s">
        <v>60</v>
      </c>
      <c r="D2351" s="303">
        <v>578.72</v>
      </c>
    </row>
    <row r="2352" spans="1:4">
      <c r="A2352" s="302">
        <v>99437</v>
      </c>
      <c r="B2352" s="301" t="s">
        <v>3253</v>
      </c>
      <c r="C2352" s="301" t="s">
        <v>60</v>
      </c>
      <c r="D2352" s="303">
        <v>478.07</v>
      </c>
    </row>
    <row r="2353" spans="1:4">
      <c r="A2353" s="302">
        <v>99438</v>
      </c>
      <c r="B2353" s="301" t="s">
        <v>3254</v>
      </c>
      <c r="C2353" s="301" t="s">
        <v>60</v>
      </c>
      <c r="D2353" s="303">
        <v>483.05</v>
      </c>
    </row>
    <row r="2354" spans="1:4">
      <c r="A2354" s="302">
        <v>99439</v>
      </c>
      <c r="B2354" s="301" t="s">
        <v>3255</v>
      </c>
      <c r="C2354" s="301" t="s">
        <v>60</v>
      </c>
      <c r="D2354" s="303">
        <v>523.71</v>
      </c>
    </row>
    <row r="2355" spans="1:4">
      <c r="A2355" s="301" t="s">
        <v>3256</v>
      </c>
      <c r="B2355" s="301" t="s">
        <v>3257</v>
      </c>
      <c r="C2355" s="301" t="s">
        <v>117</v>
      </c>
      <c r="D2355" s="303">
        <v>88.94</v>
      </c>
    </row>
    <row r="2356" spans="1:4">
      <c r="A2356" s="301" t="s">
        <v>3258</v>
      </c>
      <c r="B2356" s="301" t="s">
        <v>865</v>
      </c>
      <c r="C2356" s="301" t="s">
        <v>117</v>
      </c>
      <c r="D2356" s="303">
        <v>98.13</v>
      </c>
    </row>
    <row r="2357" spans="1:4">
      <c r="A2357" s="301" t="s">
        <v>3259</v>
      </c>
      <c r="B2357" s="301" t="s">
        <v>3260</v>
      </c>
      <c r="C2357" s="301" t="s">
        <v>117</v>
      </c>
      <c r="D2357" s="303">
        <v>118.01</v>
      </c>
    </row>
    <row r="2358" spans="1:4">
      <c r="A2358" s="301" t="s">
        <v>3261</v>
      </c>
      <c r="B2358" s="301" t="s">
        <v>3262</v>
      </c>
      <c r="C2358" s="301" t="s">
        <v>117</v>
      </c>
      <c r="D2358" s="303">
        <v>136.4</v>
      </c>
    </row>
    <row r="2359" spans="1:4">
      <c r="A2359" s="301" t="s">
        <v>3263</v>
      </c>
      <c r="B2359" s="301" t="s">
        <v>3264</v>
      </c>
      <c r="C2359" s="301" t="s">
        <v>117</v>
      </c>
      <c r="D2359" s="303">
        <v>79.66</v>
      </c>
    </row>
    <row r="2360" spans="1:4">
      <c r="A2360" s="301" t="s">
        <v>3265</v>
      </c>
      <c r="B2360" s="301" t="s">
        <v>3266</v>
      </c>
      <c r="C2360" s="301" t="s">
        <v>117</v>
      </c>
      <c r="D2360" s="303">
        <v>87</v>
      </c>
    </row>
    <row r="2361" spans="1:4">
      <c r="A2361" s="301" t="s">
        <v>12434</v>
      </c>
      <c r="B2361" s="301" t="s">
        <v>12435</v>
      </c>
      <c r="C2361" s="301" t="s">
        <v>60</v>
      </c>
      <c r="D2361" s="303">
        <v>108.5</v>
      </c>
    </row>
    <row r="2362" spans="1:4">
      <c r="A2362" s="301" t="s">
        <v>12436</v>
      </c>
      <c r="B2362" s="301" t="s">
        <v>12437</v>
      </c>
      <c r="C2362" s="301" t="s">
        <v>60</v>
      </c>
      <c r="D2362" s="303">
        <v>140.13</v>
      </c>
    </row>
    <row r="2363" spans="1:4">
      <c r="A2363" s="301" t="s">
        <v>12438</v>
      </c>
      <c r="B2363" s="301" t="s">
        <v>12439</v>
      </c>
      <c r="C2363" s="301" t="s">
        <v>117</v>
      </c>
      <c r="D2363" s="303">
        <v>32.22</v>
      </c>
    </row>
    <row r="2364" spans="1:4">
      <c r="A2364" s="302">
        <v>83518</v>
      </c>
      <c r="B2364" s="301" t="s">
        <v>3267</v>
      </c>
      <c r="C2364" s="301" t="s">
        <v>60</v>
      </c>
      <c r="D2364" s="303">
        <v>343.52</v>
      </c>
    </row>
    <row r="2365" spans="1:4">
      <c r="A2365" s="302">
        <v>95467</v>
      </c>
      <c r="B2365" s="301" t="s">
        <v>12440</v>
      </c>
      <c r="C2365" s="301" t="s">
        <v>60</v>
      </c>
      <c r="D2365" s="303">
        <v>396.17</v>
      </c>
    </row>
    <row r="2366" spans="1:4">
      <c r="A2366" s="302">
        <v>68328</v>
      </c>
      <c r="B2366" s="301" t="s">
        <v>12441</v>
      </c>
      <c r="C2366" s="301" t="s">
        <v>117</v>
      </c>
      <c r="D2366" s="303">
        <v>10.29</v>
      </c>
    </row>
    <row r="2367" spans="1:4">
      <c r="A2367" s="301" t="s">
        <v>12442</v>
      </c>
      <c r="B2367" s="301" t="s">
        <v>12443</v>
      </c>
      <c r="C2367" s="301" t="s">
        <v>35</v>
      </c>
      <c r="D2367" s="303">
        <v>96.5</v>
      </c>
    </row>
    <row r="2368" spans="1:4">
      <c r="A2368" s="302">
        <v>79471</v>
      </c>
      <c r="B2368" s="301" t="s">
        <v>12444</v>
      </c>
      <c r="C2368" s="301" t="s">
        <v>34</v>
      </c>
      <c r="D2368" s="303">
        <v>51.61</v>
      </c>
    </row>
    <row r="2369" spans="1:4">
      <c r="A2369" s="302">
        <v>98576</v>
      </c>
      <c r="B2369" s="301" t="s">
        <v>3268</v>
      </c>
      <c r="C2369" s="301" t="s">
        <v>35</v>
      </c>
      <c r="D2369" s="303">
        <v>16.54</v>
      </c>
    </row>
    <row r="2370" spans="1:4">
      <c r="A2370" s="302">
        <v>93182</v>
      </c>
      <c r="B2370" s="301" t="s">
        <v>3269</v>
      </c>
      <c r="C2370" s="301" t="s">
        <v>35</v>
      </c>
      <c r="D2370" s="303">
        <v>22.59</v>
      </c>
    </row>
    <row r="2371" spans="1:4">
      <c r="A2371" s="302">
        <v>93183</v>
      </c>
      <c r="B2371" s="301" t="s">
        <v>3270</v>
      </c>
      <c r="C2371" s="301" t="s">
        <v>35</v>
      </c>
      <c r="D2371" s="303">
        <v>28.35</v>
      </c>
    </row>
    <row r="2372" spans="1:4">
      <c r="A2372" s="302">
        <v>93184</v>
      </c>
      <c r="B2372" s="301" t="s">
        <v>3271</v>
      </c>
      <c r="C2372" s="301" t="s">
        <v>35</v>
      </c>
      <c r="D2372" s="303">
        <v>17.32</v>
      </c>
    </row>
    <row r="2373" spans="1:4">
      <c r="A2373" s="302">
        <v>93185</v>
      </c>
      <c r="B2373" s="301" t="s">
        <v>3272</v>
      </c>
      <c r="C2373" s="301" t="s">
        <v>35</v>
      </c>
      <c r="D2373" s="303">
        <v>27.86</v>
      </c>
    </row>
    <row r="2374" spans="1:4">
      <c r="A2374" s="302">
        <v>93186</v>
      </c>
      <c r="B2374" s="301" t="s">
        <v>977</v>
      </c>
      <c r="C2374" s="301" t="s">
        <v>35</v>
      </c>
      <c r="D2374" s="303">
        <v>40.729999999999997</v>
      </c>
    </row>
    <row r="2375" spans="1:4">
      <c r="A2375" s="302">
        <v>93187</v>
      </c>
      <c r="B2375" s="301" t="s">
        <v>979</v>
      </c>
      <c r="C2375" s="301" t="s">
        <v>35</v>
      </c>
      <c r="D2375" s="303">
        <v>45.91</v>
      </c>
    </row>
    <row r="2376" spans="1:4">
      <c r="A2376" s="302">
        <v>93188</v>
      </c>
      <c r="B2376" s="301" t="s">
        <v>976</v>
      </c>
      <c r="C2376" s="301" t="s">
        <v>35</v>
      </c>
      <c r="D2376" s="303">
        <v>40.200000000000003</v>
      </c>
    </row>
    <row r="2377" spans="1:4">
      <c r="A2377" s="302">
        <v>93189</v>
      </c>
      <c r="B2377" s="301" t="s">
        <v>3273</v>
      </c>
      <c r="C2377" s="301" t="s">
        <v>35</v>
      </c>
      <c r="D2377" s="303">
        <v>46.52</v>
      </c>
    </row>
    <row r="2378" spans="1:4">
      <c r="A2378" s="302">
        <v>93190</v>
      </c>
      <c r="B2378" s="301" t="s">
        <v>3274</v>
      </c>
      <c r="C2378" s="301" t="s">
        <v>35</v>
      </c>
      <c r="D2378" s="303">
        <v>30.43</v>
      </c>
    </row>
    <row r="2379" spans="1:4">
      <c r="A2379" s="302">
        <v>93191</v>
      </c>
      <c r="B2379" s="301" t="s">
        <v>3275</v>
      </c>
      <c r="C2379" s="301" t="s">
        <v>35</v>
      </c>
      <c r="D2379" s="303">
        <v>31.12</v>
      </c>
    </row>
    <row r="2380" spans="1:4">
      <c r="A2380" s="302">
        <v>93192</v>
      </c>
      <c r="B2380" s="301" t="s">
        <v>3276</v>
      </c>
      <c r="C2380" s="301" t="s">
        <v>35</v>
      </c>
      <c r="D2380" s="303">
        <v>34.39</v>
      </c>
    </row>
    <row r="2381" spans="1:4">
      <c r="A2381" s="302">
        <v>93193</v>
      </c>
      <c r="B2381" s="301" t="s">
        <v>3277</v>
      </c>
      <c r="C2381" s="301" t="s">
        <v>35</v>
      </c>
      <c r="D2381" s="303">
        <v>31.78</v>
      </c>
    </row>
    <row r="2382" spans="1:4">
      <c r="A2382" s="302">
        <v>93194</v>
      </c>
      <c r="B2382" s="301" t="s">
        <v>3278</v>
      </c>
      <c r="C2382" s="301" t="s">
        <v>35</v>
      </c>
      <c r="D2382" s="303">
        <v>22.27</v>
      </c>
    </row>
    <row r="2383" spans="1:4">
      <c r="A2383" s="302">
        <v>93195</v>
      </c>
      <c r="B2383" s="301" t="s">
        <v>3279</v>
      </c>
      <c r="C2383" s="301" t="s">
        <v>35</v>
      </c>
      <c r="D2383" s="303">
        <v>26.3</v>
      </c>
    </row>
    <row r="2384" spans="1:4">
      <c r="A2384" s="302">
        <v>93196</v>
      </c>
      <c r="B2384" s="301" t="s">
        <v>978</v>
      </c>
      <c r="C2384" s="301" t="s">
        <v>35</v>
      </c>
      <c r="D2384" s="303">
        <v>38.770000000000003</v>
      </c>
    </row>
    <row r="2385" spans="1:4">
      <c r="A2385" s="302">
        <v>93197</v>
      </c>
      <c r="B2385" s="301" t="s">
        <v>980</v>
      </c>
      <c r="C2385" s="301" t="s">
        <v>35</v>
      </c>
      <c r="D2385" s="303">
        <v>42.86</v>
      </c>
    </row>
    <row r="2386" spans="1:4">
      <c r="A2386" s="302">
        <v>93198</v>
      </c>
      <c r="B2386" s="301" t="s">
        <v>3280</v>
      </c>
      <c r="C2386" s="301" t="s">
        <v>35</v>
      </c>
      <c r="D2386" s="303">
        <v>27.39</v>
      </c>
    </row>
    <row r="2387" spans="1:4">
      <c r="A2387" s="302">
        <v>93199</v>
      </c>
      <c r="B2387" s="301" t="s">
        <v>3281</v>
      </c>
      <c r="C2387" s="301" t="s">
        <v>35</v>
      </c>
      <c r="D2387" s="303">
        <v>26.95</v>
      </c>
    </row>
    <row r="2388" spans="1:4">
      <c r="A2388" s="302">
        <v>93200</v>
      </c>
      <c r="B2388" s="301" t="s">
        <v>3282</v>
      </c>
      <c r="C2388" s="301" t="s">
        <v>35</v>
      </c>
      <c r="D2388" s="303">
        <v>2.11</v>
      </c>
    </row>
    <row r="2389" spans="1:4">
      <c r="A2389" s="302">
        <v>93201</v>
      </c>
      <c r="B2389" s="301" t="s">
        <v>3283</v>
      </c>
      <c r="C2389" s="301" t="s">
        <v>35</v>
      </c>
      <c r="D2389" s="303">
        <v>4.5599999999999996</v>
      </c>
    </row>
    <row r="2390" spans="1:4">
      <c r="A2390" s="302">
        <v>93202</v>
      </c>
      <c r="B2390" s="301" t="s">
        <v>3284</v>
      </c>
      <c r="C2390" s="301" t="s">
        <v>35</v>
      </c>
      <c r="D2390" s="303">
        <v>17.96</v>
      </c>
    </row>
    <row r="2391" spans="1:4">
      <c r="A2391" s="302">
        <v>93203</v>
      </c>
      <c r="B2391" s="301" t="s">
        <v>3285</v>
      </c>
      <c r="C2391" s="301" t="s">
        <v>35</v>
      </c>
      <c r="D2391" s="303">
        <v>11.6</v>
      </c>
    </row>
    <row r="2392" spans="1:4">
      <c r="A2392" s="302">
        <v>93204</v>
      </c>
      <c r="B2392" s="301" t="s">
        <v>3286</v>
      </c>
      <c r="C2392" s="301" t="s">
        <v>35</v>
      </c>
      <c r="D2392" s="303">
        <v>31.32</v>
      </c>
    </row>
    <row r="2393" spans="1:4">
      <c r="A2393" s="302">
        <v>93205</v>
      </c>
      <c r="B2393" s="301" t="s">
        <v>3287</v>
      </c>
      <c r="C2393" s="301" t="s">
        <v>35</v>
      </c>
      <c r="D2393" s="303">
        <v>24.06</v>
      </c>
    </row>
    <row r="2394" spans="1:4">
      <c r="A2394" s="302">
        <v>71623</v>
      </c>
      <c r="B2394" s="301" t="s">
        <v>12445</v>
      </c>
      <c r="C2394" s="301" t="s">
        <v>35</v>
      </c>
      <c r="D2394" s="303">
        <v>27.61</v>
      </c>
    </row>
    <row r="2395" spans="1:4">
      <c r="A2395" s="301" t="s">
        <v>12446</v>
      </c>
      <c r="B2395" s="301" t="s">
        <v>12447</v>
      </c>
      <c r="C2395" s="301" t="s">
        <v>28</v>
      </c>
      <c r="D2395" s="303">
        <v>14.34</v>
      </c>
    </row>
    <row r="2396" spans="1:4">
      <c r="A2396" s="302">
        <v>84153</v>
      </c>
      <c r="B2396" s="301" t="s">
        <v>12448</v>
      </c>
      <c r="C2396" s="301" t="s">
        <v>34</v>
      </c>
      <c r="D2396" s="303">
        <v>66.27</v>
      </c>
    </row>
    <row r="2397" spans="1:4">
      <c r="A2397" s="302">
        <v>84154</v>
      </c>
      <c r="B2397" s="301" t="s">
        <v>12449</v>
      </c>
      <c r="C2397" s="301" t="s">
        <v>12450</v>
      </c>
      <c r="D2397" s="303">
        <v>137.69</v>
      </c>
    </row>
    <row r="2398" spans="1:4">
      <c r="A2398" s="302">
        <v>85233</v>
      </c>
      <c r="B2398" s="301" t="s">
        <v>3288</v>
      </c>
      <c r="C2398" s="301" t="s">
        <v>60</v>
      </c>
      <c r="D2398" s="304">
        <v>2297.33</v>
      </c>
    </row>
    <row r="2399" spans="1:4">
      <c r="A2399" s="302">
        <v>95952</v>
      </c>
      <c r="B2399" s="301" t="s">
        <v>3289</v>
      </c>
      <c r="C2399" s="301" t="s">
        <v>60</v>
      </c>
      <c r="D2399" s="304">
        <v>1516.34</v>
      </c>
    </row>
    <row r="2400" spans="1:4">
      <c r="A2400" s="302">
        <v>95953</v>
      </c>
      <c r="B2400" s="301" t="s">
        <v>3290</v>
      </c>
      <c r="C2400" s="301" t="s">
        <v>60</v>
      </c>
      <c r="D2400" s="304">
        <v>2465.5</v>
      </c>
    </row>
    <row r="2401" spans="1:4">
      <c r="A2401" s="302">
        <v>95954</v>
      </c>
      <c r="B2401" s="301" t="s">
        <v>3291</v>
      </c>
      <c r="C2401" s="301" t="s">
        <v>60</v>
      </c>
      <c r="D2401" s="304">
        <v>1743.75</v>
      </c>
    </row>
    <row r="2402" spans="1:4">
      <c r="A2402" s="302">
        <v>95955</v>
      </c>
      <c r="B2402" s="301" t="s">
        <v>3292</v>
      </c>
      <c r="C2402" s="301" t="s">
        <v>60</v>
      </c>
      <c r="D2402" s="304">
        <v>2152.41</v>
      </c>
    </row>
    <row r="2403" spans="1:4">
      <c r="A2403" s="302">
        <v>95956</v>
      </c>
      <c r="B2403" s="301" t="s">
        <v>3293</v>
      </c>
      <c r="C2403" s="301" t="s">
        <v>60</v>
      </c>
      <c r="D2403" s="304">
        <v>1676.31</v>
      </c>
    </row>
    <row r="2404" spans="1:4">
      <c r="A2404" s="302">
        <v>95957</v>
      </c>
      <c r="B2404" s="301" t="s">
        <v>3294</v>
      </c>
      <c r="C2404" s="301" t="s">
        <v>60</v>
      </c>
      <c r="D2404" s="304">
        <v>2131</v>
      </c>
    </row>
    <row r="2405" spans="1:4">
      <c r="A2405" s="302">
        <v>95969</v>
      </c>
      <c r="B2405" s="301" t="s">
        <v>3295</v>
      </c>
      <c r="C2405" s="301" t="s">
        <v>60</v>
      </c>
      <c r="D2405" s="304">
        <v>2120.1799999999998</v>
      </c>
    </row>
    <row r="2406" spans="1:4">
      <c r="A2406" s="302">
        <v>97733</v>
      </c>
      <c r="B2406" s="301" t="s">
        <v>3296</v>
      </c>
      <c r="C2406" s="301" t="s">
        <v>60</v>
      </c>
      <c r="D2406" s="304">
        <v>2399.81</v>
      </c>
    </row>
    <row r="2407" spans="1:4">
      <c r="A2407" s="302">
        <v>97734</v>
      </c>
      <c r="B2407" s="301" t="s">
        <v>3297</v>
      </c>
      <c r="C2407" s="301" t="s">
        <v>60</v>
      </c>
      <c r="D2407" s="304">
        <v>2095.7199999999998</v>
      </c>
    </row>
    <row r="2408" spans="1:4">
      <c r="A2408" s="302">
        <v>97735</v>
      </c>
      <c r="B2408" s="301" t="s">
        <v>3298</v>
      </c>
      <c r="C2408" s="301" t="s">
        <v>60</v>
      </c>
      <c r="D2408" s="304">
        <v>1724.59</v>
      </c>
    </row>
    <row r="2409" spans="1:4">
      <c r="A2409" s="302">
        <v>97736</v>
      </c>
      <c r="B2409" s="301" t="s">
        <v>3299</v>
      </c>
      <c r="C2409" s="301" t="s">
        <v>60</v>
      </c>
      <c r="D2409" s="304">
        <v>1047.9100000000001</v>
      </c>
    </row>
    <row r="2410" spans="1:4">
      <c r="A2410" s="302">
        <v>97737</v>
      </c>
      <c r="B2410" s="301" t="s">
        <v>3300</v>
      </c>
      <c r="C2410" s="301" t="s">
        <v>60</v>
      </c>
      <c r="D2410" s="304">
        <v>2346.94</v>
      </c>
    </row>
    <row r="2411" spans="1:4">
      <c r="A2411" s="302">
        <v>97738</v>
      </c>
      <c r="B2411" s="301" t="s">
        <v>3301</v>
      </c>
      <c r="C2411" s="301" t="s">
        <v>60</v>
      </c>
      <c r="D2411" s="304">
        <v>3195.59</v>
      </c>
    </row>
    <row r="2412" spans="1:4">
      <c r="A2412" s="302">
        <v>97739</v>
      </c>
      <c r="B2412" s="301" t="s">
        <v>3302</v>
      </c>
      <c r="C2412" s="301" t="s">
        <v>60</v>
      </c>
      <c r="D2412" s="304">
        <v>1966.1</v>
      </c>
    </row>
    <row r="2413" spans="1:4">
      <c r="A2413" s="302">
        <v>97740</v>
      </c>
      <c r="B2413" s="301" t="s">
        <v>3303</v>
      </c>
      <c r="C2413" s="301" t="s">
        <v>60</v>
      </c>
      <c r="D2413" s="304">
        <v>1390.68</v>
      </c>
    </row>
    <row r="2414" spans="1:4">
      <c r="A2414" s="302">
        <v>98615</v>
      </c>
      <c r="B2414" s="301" t="s">
        <v>3304</v>
      </c>
      <c r="C2414" s="301" t="s">
        <v>117</v>
      </c>
      <c r="D2414" s="303">
        <v>93.14</v>
      </c>
    </row>
    <row r="2415" spans="1:4">
      <c r="A2415" s="302">
        <v>98616</v>
      </c>
      <c r="B2415" s="301" t="s">
        <v>3305</v>
      </c>
      <c r="C2415" s="301" t="s">
        <v>117</v>
      </c>
      <c r="D2415" s="303">
        <v>74.400000000000006</v>
      </c>
    </row>
    <row r="2416" spans="1:4">
      <c r="A2416" s="302">
        <v>98617</v>
      </c>
      <c r="B2416" s="301" t="s">
        <v>3306</v>
      </c>
      <c r="C2416" s="301" t="s">
        <v>117</v>
      </c>
      <c r="D2416" s="303">
        <v>69.38</v>
      </c>
    </row>
    <row r="2417" spans="1:4">
      <c r="A2417" s="302">
        <v>98618</v>
      </c>
      <c r="B2417" s="301" t="s">
        <v>3307</v>
      </c>
      <c r="C2417" s="301" t="s">
        <v>117</v>
      </c>
      <c r="D2417" s="303">
        <v>94.92</v>
      </c>
    </row>
    <row r="2418" spans="1:4">
      <c r="A2418" s="302">
        <v>98619</v>
      </c>
      <c r="B2418" s="301" t="s">
        <v>3308</v>
      </c>
      <c r="C2418" s="301" t="s">
        <v>117</v>
      </c>
      <c r="D2418" s="303">
        <v>87.33</v>
      </c>
    </row>
    <row r="2419" spans="1:4">
      <c r="A2419" s="302">
        <v>98620</v>
      </c>
      <c r="B2419" s="301" t="s">
        <v>3309</v>
      </c>
      <c r="C2419" s="301" t="s">
        <v>117</v>
      </c>
      <c r="D2419" s="303">
        <v>83.48</v>
      </c>
    </row>
    <row r="2420" spans="1:4">
      <c r="A2420" s="302">
        <v>98621</v>
      </c>
      <c r="B2420" s="301" t="s">
        <v>3310</v>
      </c>
      <c r="C2420" s="301" t="s">
        <v>117</v>
      </c>
      <c r="D2420" s="303">
        <v>108.84</v>
      </c>
    </row>
    <row r="2421" spans="1:4">
      <c r="A2421" s="302">
        <v>98622</v>
      </c>
      <c r="B2421" s="301" t="s">
        <v>3311</v>
      </c>
      <c r="C2421" s="301" t="s">
        <v>117</v>
      </c>
      <c r="D2421" s="303">
        <v>102.72</v>
      </c>
    </row>
    <row r="2422" spans="1:4">
      <c r="A2422" s="302">
        <v>98623</v>
      </c>
      <c r="B2422" s="301" t="s">
        <v>3312</v>
      </c>
      <c r="C2422" s="301" t="s">
        <v>117</v>
      </c>
      <c r="D2422" s="303">
        <v>99.6</v>
      </c>
    </row>
    <row r="2423" spans="1:4">
      <c r="A2423" s="302">
        <v>98624</v>
      </c>
      <c r="B2423" s="301" t="s">
        <v>3313</v>
      </c>
      <c r="C2423" s="301" t="s">
        <v>117</v>
      </c>
      <c r="D2423" s="303">
        <v>123.75</v>
      </c>
    </row>
    <row r="2424" spans="1:4">
      <c r="A2424" s="302">
        <v>98625</v>
      </c>
      <c r="B2424" s="301" t="s">
        <v>3314</v>
      </c>
      <c r="C2424" s="301" t="s">
        <v>117</v>
      </c>
      <c r="D2424" s="303">
        <v>118.58</v>
      </c>
    </row>
    <row r="2425" spans="1:4">
      <c r="A2425" s="302">
        <v>98626</v>
      </c>
      <c r="B2425" s="301" t="s">
        <v>3315</v>
      </c>
      <c r="C2425" s="301" t="s">
        <v>117</v>
      </c>
      <c r="D2425" s="303">
        <v>115.87</v>
      </c>
    </row>
    <row r="2426" spans="1:4">
      <c r="A2426" s="302">
        <v>98655</v>
      </c>
      <c r="B2426" s="301" t="s">
        <v>3316</v>
      </c>
      <c r="C2426" s="301" t="s">
        <v>35</v>
      </c>
      <c r="D2426" s="303">
        <v>413</v>
      </c>
    </row>
    <row r="2427" spans="1:4">
      <c r="A2427" s="302">
        <v>98656</v>
      </c>
      <c r="B2427" s="301" t="s">
        <v>3317</v>
      </c>
      <c r="C2427" s="301" t="s">
        <v>35</v>
      </c>
      <c r="D2427" s="303">
        <v>418.57</v>
      </c>
    </row>
    <row r="2428" spans="1:4">
      <c r="A2428" s="302">
        <v>98657</v>
      </c>
      <c r="B2428" s="301" t="s">
        <v>3318</v>
      </c>
      <c r="C2428" s="301" t="s">
        <v>35</v>
      </c>
      <c r="D2428" s="303">
        <v>424.15</v>
      </c>
    </row>
    <row r="2429" spans="1:4">
      <c r="A2429" s="302">
        <v>98658</v>
      </c>
      <c r="B2429" s="301" t="s">
        <v>3319</v>
      </c>
      <c r="C2429" s="301" t="s">
        <v>35</v>
      </c>
      <c r="D2429" s="303">
        <v>429.72</v>
      </c>
    </row>
    <row r="2430" spans="1:4">
      <c r="A2430" s="302">
        <v>98659</v>
      </c>
      <c r="B2430" s="301" t="s">
        <v>3320</v>
      </c>
      <c r="C2430" s="301" t="s">
        <v>35</v>
      </c>
      <c r="D2430" s="303">
        <v>440.87</v>
      </c>
    </row>
    <row r="2431" spans="1:4">
      <c r="A2431" s="302">
        <v>98746</v>
      </c>
      <c r="B2431" s="301" t="s">
        <v>3321</v>
      </c>
      <c r="C2431" s="301" t="s">
        <v>35</v>
      </c>
      <c r="D2431" s="303">
        <v>39.049999999999997</v>
      </c>
    </row>
    <row r="2432" spans="1:4">
      <c r="A2432" s="302">
        <v>98749</v>
      </c>
      <c r="B2432" s="301" t="s">
        <v>3322</v>
      </c>
      <c r="C2432" s="301" t="s">
        <v>35</v>
      </c>
      <c r="D2432" s="303">
        <v>44.29</v>
      </c>
    </row>
    <row r="2433" spans="1:4">
      <c r="A2433" s="302">
        <v>98750</v>
      </c>
      <c r="B2433" s="301" t="s">
        <v>3323</v>
      </c>
      <c r="C2433" s="301" t="s">
        <v>35</v>
      </c>
      <c r="D2433" s="303">
        <v>50.39</v>
      </c>
    </row>
    <row r="2434" spans="1:4">
      <c r="A2434" s="302">
        <v>98751</v>
      </c>
      <c r="B2434" s="301" t="s">
        <v>3324</v>
      </c>
      <c r="C2434" s="301" t="s">
        <v>35</v>
      </c>
      <c r="D2434" s="303">
        <v>66.22</v>
      </c>
    </row>
    <row r="2435" spans="1:4">
      <c r="A2435" s="302">
        <v>98752</v>
      </c>
      <c r="B2435" s="301" t="s">
        <v>3325</v>
      </c>
      <c r="C2435" s="301" t="s">
        <v>35</v>
      </c>
      <c r="D2435" s="303">
        <v>84.96</v>
      </c>
    </row>
    <row r="2436" spans="1:4">
      <c r="A2436" s="302">
        <v>98753</v>
      </c>
      <c r="B2436" s="301" t="s">
        <v>3326</v>
      </c>
      <c r="C2436" s="301" t="s">
        <v>35</v>
      </c>
      <c r="D2436" s="303">
        <v>107.98</v>
      </c>
    </row>
    <row r="2437" spans="1:4">
      <c r="A2437" s="302">
        <v>100763</v>
      </c>
      <c r="B2437" s="301" t="s">
        <v>11893</v>
      </c>
      <c r="C2437" s="301" t="s">
        <v>34</v>
      </c>
      <c r="D2437" s="303">
        <v>9.68</v>
      </c>
    </row>
    <row r="2438" spans="1:4">
      <c r="A2438" s="302">
        <v>100764</v>
      </c>
      <c r="B2438" s="301" t="s">
        <v>11894</v>
      </c>
      <c r="C2438" s="301" t="s">
        <v>34</v>
      </c>
      <c r="D2438" s="303">
        <v>9.69</v>
      </c>
    </row>
    <row r="2439" spans="1:4">
      <c r="A2439" s="302">
        <v>100765</v>
      </c>
      <c r="B2439" s="301" t="s">
        <v>11895</v>
      </c>
      <c r="C2439" s="301" t="s">
        <v>34</v>
      </c>
      <c r="D2439" s="303">
        <v>8.93</v>
      </c>
    </row>
    <row r="2440" spans="1:4">
      <c r="A2440" s="302">
        <v>100766</v>
      </c>
      <c r="B2440" s="301" t="s">
        <v>11896</v>
      </c>
      <c r="C2440" s="301" t="s">
        <v>34</v>
      </c>
      <c r="D2440" s="303">
        <v>9.2200000000000006</v>
      </c>
    </row>
    <row r="2441" spans="1:4">
      <c r="A2441" s="302">
        <v>100767</v>
      </c>
      <c r="B2441" s="301" t="s">
        <v>11897</v>
      </c>
      <c r="C2441" s="301" t="s">
        <v>34</v>
      </c>
      <c r="D2441" s="303">
        <v>9.4</v>
      </c>
    </row>
    <row r="2442" spans="1:4">
      <c r="A2442" s="302">
        <v>100768</v>
      </c>
      <c r="B2442" s="301" t="s">
        <v>11898</v>
      </c>
      <c r="C2442" s="301" t="s">
        <v>34</v>
      </c>
      <c r="D2442" s="303">
        <v>12.56</v>
      </c>
    </row>
    <row r="2443" spans="1:4">
      <c r="A2443" s="302">
        <v>100769</v>
      </c>
      <c r="B2443" s="301" t="s">
        <v>11899</v>
      </c>
      <c r="C2443" s="301" t="s">
        <v>34</v>
      </c>
      <c r="D2443" s="303">
        <v>13.69</v>
      </c>
    </row>
    <row r="2444" spans="1:4">
      <c r="A2444" s="302">
        <v>100770</v>
      </c>
      <c r="B2444" s="301" t="s">
        <v>11900</v>
      </c>
      <c r="C2444" s="301" t="s">
        <v>34</v>
      </c>
      <c r="D2444" s="303">
        <v>13.55</v>
      </c>
    </row>
    <row r="2445" spans="1:4">
      <c r="A2445" s="302">
        <v>100771</v>
      </c>
      <c r="B2445" s="301" t="s">
        <v>11901</v>
      </c>
      <c r="C2445" s="301" t="s">
        <v>34</v>
      </c>
      <c r="D2445" s="303">
        <v>15.83</v>
      </c>
    </row>
    <row r="2446" spans="1:4">
      <c r="A2446" s="302">
        <v>100772</v>
      </c>
      <c r="B2446" s="301" t="s">
        <v>11902</v>
      </c>
      <c r="C2446" s="301" t="s">
        <v>34</v>
      </c>
      <c r="D2446" s="303">
        <v>9.6</v>
      </c>
    </row>
    <row r="2447" spans="1:4">
      <c r="A2447" s="302">
        <v>100773</v>
      </c>
      <c r="B2447" s="301" t="s">
        <v>11903</v>
      </c>
      <c r="C2447" s="301" t="s">
        <v>34</v>
      </c>
      <c r="D2447" s="303">
        <v>12.92</v>
      </c>
    </row>
    <row r="2448" spans="1:4">
      <c r="A2448" s="302">
        <v>100774</v>
      </c>
      <c r="B2448" s="301" t="s">
        <v>11904</v>
      </c>
      <c r="C2448" s="301" t="s">
        <v>34</v>
      </c>
      <c r="D2448" s="303">
        <v>7.07</v>
      </c>
    </row>
    <row r="2449" spans="1:4">
      <c r="A2449" s="302">
        <v>100775</v>
      </c>
      <c r="B2449" s="301" t="s">
        <v>11905</v>
      </c>
      <c r="C2449" s="301" t="s">
        <v>34</v>
      </c>
      <c r="D2449" s="303">
        <v>8.4600000000000009</v>
      </c>
    </row>
    <row r="2450" spans="1:4">
      <c r="A2450" s="302">
        <v>100776</v>
      </c>
      <c r="B2450" s="301" t="s">
        <v>11906</v>
      </c>
      <c r="C2450" s="301" t="s">
        <v>34</v>
      </c>
      <c r="D2450" s="303">
        <v>12.96</v>
      </c>
    </row>
    <row r="2451" spans="1:4">
      <c r="A2451" s="302">
        <v>100777</v>
      </c>
      <c r="B2451" s="301" t="s">
        <v>11907</v>
      </c>
      <c r="C2451" s="301" t="s">
        <v>34</v>
      </c>
      <c r="D2451" s="303">
        <v>8.92</v>
      </c>
    </row>
    <row r="2452" spans="1:4">
      <c r="A2452" s="302">
        <v>100778</v>
      </c>
      <c r="B2452" s="301" t="s">
        <v>11908</v>
      </c>
      <c r="C2452" s="301" t="s">
        <v>34</v>
      </c>
      <c r="D2452" s="303">
        <v>5.9</v>
      </c>
    </row>
    <row r="2453" spans="1:4">
      <c r="A2453" s="302">
        <v>98560</v>
      </c>
      <c r="B2453" s="301" t="s">
        <v>3327</v>
      </c>
      <c r="C2453" s="301" t="s">
        <v>117</v>
      </c>
      <c r="D2453" s="303">
        <v>34.42</v>
      </c>
    </row>
    <row r="2454" spans="1:4">
      <c r="A2454" s="302">
        <v>98561</v>
      </c>
      <c r="B2454" s="301" t="s">
        <v>3328</v>
      </c>
      <c r="C2454" s="301" t="s">
        <v>117</v>
      </c>
      <c r="D2454" s="303">
        <v>30.48</v>
      </c>
    </row>
    <row r="2455" spans="1:4">
      <c r="A2455" s="302">
        <v>98562</v>
      </c>
      <c r="B2455" s="301" t="s">
        <v>3329</v>
      </c>
      <c r="C2455" s="301" t="s">
        <v>117</v>
      </c>
      <c r="D2455" s="303">
        <v>30.13</v>
      </c>
    </row>
    <row r="2456" spans="1:4">
      <c r="A2456" s="302">
        <v>83735</v>
      </c>
      <c r="B2456" s="301" t="s">
        <v>12451</v>
      </c>
      <c r="C2456" s="301" t="s">
        <v>117</v>
      </c>
      <c r="D2456" s="303">
        <v>57.27</v>
      </c>
    </row>
    <row r="2457" spans="1:4">
      <c r="A2457" s="302">
        <v>98555</v>
      </c>
      <c r="B2457" s="301" t="s">
        <v>3330</v>
      </c>
      <c r="C2457" s="301" t="s">
        <v>117</v>
      </c>
      <c r="D2457" s="303">
        <v>20.11</v>
      </c>
    </row>
    <row r="2458" spans="1:4">
      <c r="A2458" s="302">
        <v>98556</v>
      </c>
      <c r="B2458" s="301" t="s">
        <v>3331</v>
      </c>
      <c r="C2458" s="301" t="s">
        <v>117</v>
      </c>
      <c r="D2458" s="303">
        <v>37.89</v>
      </c>
    </row>
    <row r="2459" spans="1:4">
      <c r="A2459" s="302">
        <v>98558</v>
      </c>
      <c r="B2459" s="301" t="s">
        <v>3332</v>
      </c>
      <c r="C2459" s="301" t="s">
        <v>28</v>
      </c>
      <c r="D2459" s="303">
        <v>5.77</v>
      </c>
    </row>
    <row r="2460" spans="1:4">
      <c r="A2460" s="302">
        <v>98559</v>
      </c>
      <c r="B2460" s="301" t="s">
        <v>3333</v>
      </c>
      <c r="C2460" s="301" t="s">
        <v>35</v>
      </c>
      <c r="D2460" s="303">
        <v>3.49</v>
      </c>
    </row>
    <row r="2461" spans="1:4">
      <c r="A2461" s="302">
        <v>68053</v>
      </c>
      <c r="B2461" s="301" t="s">
        <v>12452</v>
      </c>
      <c r="C2461" s="301" t="s">
        <v>117</v>
      </c>
      <c r="D2461" s="303">
        <v>5.13</v>
      </c>
    </row>
    <row r="2462" spans="1:4">
      <c r="A2462" s="301" t="s">
        <v>12453</v>
      </c>
      <c r="B2462" s="301" t="s">
        <v>12454</v>
      </c>
      <c r="C2462" s="301" t="s">
        <v>117</v>
      </c>
      <c r="D2462" s="303">
        <v>46.47</v>
      </c>
    </row>
    <row r="2463" spans="1:4">
      <c r="A2463" s="302">
        <v>98546</v>
      </c>
      <c r="B2463" s="301" t="s">
        <v>3334</v>
      </c>
      <c r="C2463" s="301" t="s">
        <v>117</v>
      </c>
      <c r="D2463" s="303">
        <v>79.540000000000006</v>
      </c>
    </row>
    <row r="2464" spans="1:4">
      <c r="A2464" s="302">
        <v>98547</v>
      </c>
      <c r="B2464" s="301" t="s">
        <v>3335</v>
      </c>
      <c r="C2464" s="301" t="s">
        <v>117</v>
      </c>
      <c r="D2464" s="303">
        <v>146.75</v>
      </c>
    </row>
    <row r="2465" spans="1:4">
      <c r="A2465" s="301" t="s">
        <v>12455</v>
      </c>
      <c r="B2465" s="301" t="s">
        <v>12456</v>
      </c>
      <c r="C2465" s="301" t="s">
        <v>117</v>
      </c>
      <c r="D2465" s="303">
        <v>152.02000000000001</v>
      </c>
    </row>
    <row r="2466" spans="1:4">
      <c r="A2466" s="301" t="s">
        <v>12457</v>
      </c>
      <c r="B2466" s="301" t="s">
        <v>12458</v>
      </c>
      <c r="C2466" s="301" t="s">
        <v>117</v>
      </c>
      <c r="D2466" s="303">
        <v>71.66</v>
      </c>
    </row>
    <row r="2467" spans="1:4">
      <c r="A2467" s="301" t="s">
        <v>3336</v>
      </c>
      <c r="B2467" s="301" t="s">
        <v>12459</v>
      </c>
      <c r="C2467" s="301" t="s">
        <v>117</v>
      </c>
      <c r="D2467" s="303">
        <v>9.89</v>
      </c>
    </row>
    <row r="2468" spans="1:4">
      <c r="A2468" s="302">
        <v>98557</v>
      </c>
      <c r="B2468" s="301" t="s">
        <v>3337</v>
      </c>
      <c r="C2468" s="301" t="s">
        <v>117</v>
      </c>
      <c r="D2468" s="303">
        <v>31.17</v>
      </c>
    </row>
    <row r="2469" spans="1:4">
      <c r="A2469" s="301" t="s">
        <v>12460</v>
      </c>
      <c r="B2469" s="301" t="s">
        <v>12461</v>
      </c>
      <c r="C2469" s="301" t="s">
        <v>117</v>
      </c>
      <c r="D2469" s="303">
        <v>30.04</v>
      </c>
    </row>
    <row r="2470" spans="1:4">
      <c r="A2470" s="301" t="s">
        <v>12462</v>
      </c>
      <c r="B2470" s="301" t="s">
        <v>12463</v>
      </c>
      <c r="C2470" s="301" t="s">
        <v>117</v>
      </c>
      <c r="D2470" s="303">
        <v>58.71</v>
      </c>
    </row>
    <row r="2471" spans="1:4">
      <c r="A2471" s="302">
        <v>72124</v>
      </c>
      <c r="B2471" s="301" t="s">
        <v>12464</v>
      </c>
      <c r="C2471" s="301" t="s">
        <v>12450</v>
      </c>
      <c r="D2471" s="303">
        <v>81.09</v>
      </c>
    </row>
    <row r="2472" spans="1:4">
      <c r="A2472" s="301" t="s">
        <v>12465</v>
      </c>
      <c r="B2472" s="301" t="s">
        <v>12466</v>
      </c>
      <c r="C2472" s="301" t="s">
        <v>35</v>
      </c>
      <c r="D2472" s="303">
        <v>52.39</v>
      </c>
    </row>
    <row r="2473" spans="1:4">
      <c r="A2473" s="301" t="s">
        <v>12467</v>
      </c>
      <c r="B2473" s="301" t="s">
        <v>12468</v>
      </c>
      <c r="C2473" s="301" t="s">
        <v>117</v>
      </c>
      <c r="D2473" s="303">
        <v>173.64</v>
      </c>
    </row>
    <row r="2474" spans="1:4">
      <c r="A2474" s="302">
        <v>98563</v>
      </c>
      <c r="B2474" s="301" t="s">
        <v>3338</v>
      </c>
      <c r="C2474" s="301" t="s">
        <v>117</v>
      </c>
      <c r="D2474" s="303">
        <v>24.73</v>
      </c>
    </row>
    <row r="2475" spans="1:4">
      <c r="A2475" s="302">
        <v>98564</v>
      </c>
      <c r="B2475" s="301" t="s">
        <v>3339</v>
      </c>
      <c r="C2475" s="301" t="s">
        <v>117</v>
      </c>
      <c r="D2475" s="303">
        <v>32.96</v>
      </c>
    </row>
    <row r="2476" spans="1:4">
      <c r="A2476" s="302">
        <v>98565</v>
      </c>
      <c r="B2476" s="301" t="s">
        <v>3340</v>
      </c>
      <c r="C2476" s="301" t="s">
        <v>117</v>
      </c>
      <c r="D2476" s="303">
        <v>35.630000000000003</v>
      </c>
    </row>
    <row r="2477" spans="1:4">
      <c r="A2477" s="302">
        <v>98566</v>
      </c>
      <c r="B2477" s="301" t="s">
        <v>3341</v>
      </c>
      <c r="C2477" s="301" t="s">
        <v>117</v>
      </c>
      <c r="D2477" s="303">
        <v>43.86</v>
      </c>
    </row>
    <row r="2478" spans="1:4">
      <c r="A2478" s="302">
        <v>98567</v>
      </c>
      <c r="B2478" s="301" t="s">
        <v>3342</v>
      </c>
      <c r="C2478" s="301" t="s">
        <v>117</v>
      </c>
      <c r="D2478" s="303">
        <v>46.02</v>
      </c>
    </row>
    <row r="2479" spans="1:4">
      <c r="A2479" s="302">
        <v>98568</v>
      </c>
      <c r="B2479" s="301" t="s">
        <v>3343</v>
      </c>
      <c r="C2479" s="301" t="s">
        <v>117</v>
      </c>
      <c r="D2479" s="303">
        <v>54.24</v>
      </c>
    </row>
    <row r="2480" spans="1:4">
      <c r="A2480" s="302">
        <v>98569</v>
      </c>
      <c r="B2480" s="301" t="s">
        <v>3344</v>
      </c>
      <c r="C2480" s="301" t="s">
        <v>117</v>
      </c>
      <c r="D2480" s="303">
        <v>56.91</v>
      </c>
    </row>
    <row r="2481" spans="1:4">
      <c r="A2481" s="302">
        <v>98570</v>
      </c>
      <c r="B2481" s="301" t="s">
        <v>3345</v>
      </c>
      <c r="C2481" s="301" t="s">
        <v>117</v>
      </c>
      <c r="D2481" s="303">
        <v>65.16</v>
      </c>
    </row>
    <row r="2482" spans="1:4">
      <c r="A2482" s="302">
        <v>98571</v>
      </c>
      <c r="B2482" s="301" t="s">
        <v>3346</v>
      </c>
      <c r="C2482" s="301" t="s">
        <v>117</v>
      </c>
      <c r="D2482" s="303">
        <v>31.14</v>
      </c>
    </row>
    <row r="2483" spans="1:4">
      <c r="A2483" s="302">
        <v>98572</v>
      </c>
      <c r="B2483" s="301" t="s">
        <v>3347</v>
      </c>
      <c r="C2483" s="301" t="s">
        <v>117</v>
      </c>
      <c r="D2483" s="303">
        <v>38.4</v>
      </c>
    </row>
    <row r="2484" spans="1:4">
      <c r="A2484" s="302">
        <v>98573</v>
      </c>
      <c r="B2484" s="301" t="s">
        <v>3348</v>
      </c>
      <c r="C2484" s="301" t="s">
        <v>117</v>
      </c>
      <c r="D2484" s="303">
        <v>46.33</v>
      </c>
    </row>
    <row r="2485" spans="1:4">
      <c r="A2485" s="301" t="s">
        <v>12469</v>
      </c>
      <c r="B2485" s="301" t="s">
        <v>12470</v>
      </c>
      <c r="C2485" s="301" t="s">
        <v>35</v>
      </c>
      <c r="D2485" s="303">
        <v>23.37</v>
      </c>
    </row>
    <row r="2486" spans="1:4">
      <c r="A2486" s="301" t="s">
        <v>12471</v>
      </c>
      <c r="B2486" s="301" t="s">
        <v>12472</v>
      </c>
      <c r="C2486" s="301" t="s">
        <v>35</v>
      </c>
      <c r="D2486" s="303">
        <v>36.35</v>
      </c>
    </row>
    <row r="2487" spans="1:4">
      <c r="A2487" s="302">
        <v>91831</v>
      </c>
      <c r="B2487" s="301" t="s">
        <v>3349</v>
      </c>
      <c r="C2487" s="301" t="s">
        <v>35</v>
      </c>
      <c r="D2487" s="303">
        <v>5.64</v>
      </c>
    </row>
    <row r="2488" spans="1:4">
      <c r="A2488" s="302">
        <v>91833</v>
      </c>
      <c r="B2488" s="301" t="s">
        <v>3350</v>
      </c>
      <c r="C2488" s="301" t="s">
        <v>35</v>
      </c>
      <c r="D2488" s="303">
        <v>5.92</v>
      </c>
    </row>
    <row r="2489" spans="1:4">
      <c r="A2489" s="302">
        <v>91834</v>
      </c>
      <c r="B2489" s="301" t="s">
        <v>144</v>
      </c>
      <c r="C2489" s="301" t="s">
        <v>35</v>
      </c>
      <c r="D2489" s="303">
        <v>6.28</v>
      </c>
    </row>
    <row r="2490" spans="1:4">
      <c r="A2490" s="302">
        <v>91835</v>
      </c>
      <c r="B2490" s="301" t="s">
        <v>3351</v>
      </c>
      <c r="C2490" s="301" t="s">
        <v>35</v>
      </c>
      <c r="D2490" s="303">
        <v>7.01</v>
      </c>
    </row>
    <row r="2491" spans="1:4">
      <c r="A2491" s="302">
        <v>91836</v>
      </c>
      <c r="B2491" s="301" t="s">
        <v>145</v>
      </c>
      <c r="C2491" s="301" t="s">
        <v>35</v>
      </c>
      <c r="D2491" s="303">
        <v>8</v>
      </c>
    </row>
    <row r="2492" spans="1:4">
      <c r="A2492" s="302">
        <v>91837</v>
      </c>
      <c r="B2492" s="301" t="s">
        <v>3352</v>
      </c>
      <c r="C2492" s="301" t="s">
        <v>35</v>
      </c>
      <c r="D2492" s="303">
        <v>9.68</v>
      </c>
    </row>
    <row r="2493" spans="1:4">
      <c r="A2493" s="302">
        <v>91839</v>
      </c>
      <c r="B2493" s="301" t="s">
        <v>3353</v>
      </c>
      <c r="C2493" s="301" t="s">
        <v>35</v>
      </c>
      <c r="D2493" s="303">
        <v>7.92</v>
      </c>
    </row>
    <row r="2494" spans="1:4">
      <c r="A2494" s="302">
        <v>91840</v>
      </c>
      <c r="B2494" s="301" t="s">
        <v>3354</v>
      </c>
      <c r="C2494" s="301" t="s">
        <v>35</v>
      </c>
      <c r="D2494" s="303">
        <v>9.93</v>
      </c>
    </row>
    <row r="2495" spans="1:4">
      <c r="A2495" s="302">
        <v>91841</v>
      </c>
      <c r="B2495" s="301" t="s">
        <v>3355</v>
      </c>
      <c r="C2495" s="301" t="s">
        <v>35</v>
      </c>
      <c r="D2495" s="303">
        <v>9.4</v>
      </c>
    </row>
    <row r="2496" spans="1:4">
      <c r="A2496" s="302">
        <v>91842</v>
      </c>
      <c r="B2496" s="301" t="s">
        <v>3356</v>
      </c>
      <c r="C2496" s="301" t="s">
        <v>35</v>
      </c>
      <c r="D2496" s="303">
        <v>3.89</v>
      </c>
    </row>
    <row r="2497" spans="1:4">
      <c r="A2497" s="302">
        <v>91843</v>
      </c>
      <c r="B2497" s="301" t="s">
        <v>3357</v>
      </c>
      <c r="C2497" s="301" t="s">
        <v>35</v>
      </c>
      <c r="D2497" s="303">
        <v>4.17</v>
      </c>
    </row>
    <row r="2498" spans="1:4">
      <c r="A2498" s="302">
        <v>91844</v>
      </c>
      <c r="B2498" s="301" t="s">
        <v>3358</v>
      </c>
      <c r="C2498" s="301" t="s">
        <v>35</v>
      </c>
      <c r="D2498" s="303">
        <v>4.54</v>
      </c>
    </row>
    <row r="2499" spans="1:4">
      <c r="A2499" s="302">
        <v>91845</v>
      </c>
      <c r="B2499" s="301" t="s">
        <v>3359</v>
      </c>
      <c r="C2499" s="301" t="s">
        <v>35</v>
      </c>
      <c r="D2499" s="303">
        <v>5.27</v>
      </c>
    </row>
    <row r="2500" spans="1:4">
      <c r="A2500" s="302">
        <v>91846</v>
      </c>
      <c r="B2500" s="301" t="s">
        <v>3360</v>
      </c>
      <c r="C2500" s="301" t="s">
        <v>35</v>
      </c>
      <c r="D2500" s="303">
        <v>6.26</v>
      </c>
    </row>
    <row r="2501" spans="1:4">
      <c r="A2501" s="302">
        <v>91847</v>
      </c>
      <c r="B2501" s="301" t="s">
        <v>3361</v>
      </c>
      <c r="C2501" s="301" t="s">
        <v>35</v>
      </c>
      <c r="D2501" s="303">
        <v>7.94</v>
      </c>
    </row>
    <row r="2502" spans="1:4">
      <c r="A2502" s="302">
        <v>91849</v>
      </c>
      <c r="B2502" s="301" t="s">
        <v>3362</v>
      </c>
      <c r="C2502" s="301" t="s">
        <v>35</v>
      </c>
      <c r="D2502" s="303">
        <v>6.18</v>
      </c>
    </row>
    <row r="2503" spans="1:4">
      <c r="A2503" s="302">
        <v>91850</v>
      </c>
      <c r="B2503" s="301" t="s">
        <v>3363</v>
      </c>
      <c r="C2503" s="301" t="s">
        <v>35</v>
      </c>
      <c r="D2503" s="303">
        <v>8.23</v>
      </c>
    </row>
    <row r="2504" spans="1:4">
      <c r="A2504" s="302">
        <v>91851</v>
      </c>
      <c r="B2504" s="301" t="s">
        <v>3364</v>
      </c>
      <c r="C2504" s="301" t="s">
        <v>35</v>
      </c>
      <c r="D2504" s="303">
        <v>7.7</v>
      </c>
    </row>
    <row r="2505" spans="1:4">
      <c r="A2505" s="302">
        <v>91852</v>
      </c>
      <c r="B2505" s="301" t="s">
        <v>3365</v>
      </c>
      <c r="C2505" s="301" t="s">
        <v>35</v>
      </c>
      <c r="D2505" s="303">
        <v>5.85</v>
      </c>
    </row>
    <row r="2506" spans="1:4">
      <c r="A2506" s="302">
        <v>91853</v>
      </c>
      <c r="B2506" s="301" t="s">
        <v>3366</v>
      </c>
      <c r="C2506" s="301" t="s">
        <v>35</v>
      </c>
      <c r="D2506" s="303">
        <v>6.11</v>
      </c>
    </row>
    <row r="2507" spans="1:4">
      <c r="A2507" s="302">
        <v>91854</v>
      </c>
      <c r="B2507" s="301" t="s">
        <v>415</v>
      </c>
      <c r="C2507" s="301" t="s">
        <v>35</v>
      </c>
      <c r="D2507" s="303">
        <v>6.5</v>
      </c>
    </row>
    <row r="2508" spans="1:4">
      <c r="A2508" s="302">
        <v>91855</v>
      </c>
      <c r="B2508" s="301" t="s">
        <v>3367</v>
      </c>
      <c r="C2508" s="301" t="s">
        <v>35</v>
      </c>
      <c r="D2508" s="303">
        <v>7.17</v>
      </c>
    </row>
    <row r="2509" spans="1:4">
      <c r="A2509" s="302">
        <v>91856</v>
      </c>
      <c r="B2509" s="301" t="s">
        <v>108</v>
      </c>
      <c r="C2509" s="301" t="s">
        <v>35</v>
      </c>
      <c r="D2509" s="303">
        <v>8.1300000000000008</v>
      </c>
    </row>
    <row r="2510" spans="1:4">
      <c r="A2510" s="302">
        <v>91857</v>
      </c>
      <c r="B2510" s="301" t="s">
        <v>3368</v>
      </c>
      <c r="C2510" s="301" t="s">
        <v>35</v>
      </c>
      <c r="D2510" s="303">
        <v>9.69</v>
      </c>
    </row>
    <row r="2511" spans="1:4">
      <c r="A2511" s="302">
        <v>91859</v>
      </c>
      <c r="B2511" s="301" t="s">
        <v>3369</v>
      </c>
      <c r="C2511" s="301" t="s">
        <v>35</v>
      </c>
      <c r="D2511" s="303">
        <v>8.06</v>
      </c>
    </row>
    <row r="2512" spans="1:4">
      <c r="A2512" s="302">
        <v>91860</v>
      </c>
      <c r="B2512" s="301" t="s">
        <v>3370</v>
      </c>
      <c r="C2512" s="301" t="s">
        <v>35</v>
      </c>
      <c r="D2512" s="303">
        <v>10.02</v>
      </c>
    </row>
    <row r="2513" spans="1:4">
      <c r="A2513" s="302">
        <v>91861</v>
      </c>
      <c r="B2513" s="301" t="s">
        <v>3371</v>
      </c>
      <c r="C2513" s="301" t="s">
        <v>35</v>
      </c>
      <c r="D2513" s="303">
        <v>9.5299999999999994</v>
      </c>
    </row>
    <row r="2514" spans="1:4">
      <c r="A2514" s="302">
        <v>91862</v>
      </c>
      <c r="B2514" s="301" t="s">
        <v>3372</v>
      </c>
      <c r="C2514" s="301" t="s">
        <v>35</v>
      </c>
      <c r="D2514" s="303">
        <v>6.68</v>
      </c>
    </row>
    <row r="2515" spans="1:4">
      <c r="A2515" s="302">
        <v>91863</v>
      </c>
      <c r="B2515" s="301" t="s">
        <v>3373</v>
      </c>
      <c r="C2515" s="301" t="s">
        <v>35</v>
      </c>
      <c r="D2515" s="303">
        <v>7.78</v>
      </c>
    </row>
    <row r="2516" spans="1:4">
      <c r="A2516" s="302">
        <v>91864</v>
      </c>
      <c r="B2516" s="301" t="s">
        <v>3374</v>
      </c>
      <c r="C2516" s="301" t="s">
        <v>35</v>
      </c>
      <c r="D2516" s="303">
        <v>10.01</v>
      </c>
    </row>
    <row r="2517" spans="1:4">
      <c r="A2517" s="302">
        <v>91865</v>
      </c>
      <c r="B2517" s="301" t="s">
        <v>3375</v>
      </c>
      <c r="C2517" s="301" t="s">
        <v>35</v>
      </c>
      <c r="D2517" s="303">
        <v>12.29</v>
      </c>
    </row>
    <row r="2518" spans="1:4">
      <c r="A2518" s="302">
        <v>91866</v>
      </c>
      <c r="B2518" s="301" t="s">
        <v>3376</v>
      </c>
      <c r="C2518" s="301" t="s">
        <v>35</v>
      </c>
      <c r="D2518" s="303">
        <v>5.04</v>
      </c>
    </row>
    <row r="2519" spans="1:4">
      <c r="A2519" s="302">
        <v>91867</v>
      </c>
      <c r="B2519" s="301" t="s">
        <v>3377</v>
      </c>
      <c r="C2519" s="301" t="s">
        <v>35</v>
      </c>
      <c r="D2519" s="303">
        <v>6.15</v>
      </c>
    </row>
    <row r="2520" spans="1:4">
      <c r="A2520" s="302">
        <v>91868</v>
      </c>
      <c r="B2520" s="301" t="s">
        <v>3378</v>
      </c>
      <c r="C2520" s="301" t="s">
        <v>35</v>
      </c>
      <c r="D2520" s="303">
        <v>8.3800000000000008</v>
      </c>
    </row>
    <row r="2521" spans="1:4">
      <c r="A2521" s="302">
        <v>91869</v>
      </c>
      <c r="B2521" s="301" t="s">
        <v>3379</v>
      </c>
      <c r="C2521" s="301" t="s">
        <v>35</v>
      </c>
      <c r="D2521" s="303">
        <v>10.66</v>
      </c>
    </row>
    <row r="2522" spans="1:4">
      <c r="A2522" s="302">
        <v>91870</v>
      </c>
      <c r="B2522" s="301" t="s">
        <v>3380</v>
      </c>
      <c r="C2522" s="301" t="s">
        <v>35</v>
      </c>
      <c r="D2522" s="303">
        <v>7.46</v>
      </c>
    </row>
    <row r="2523" spans="1:4">
      <c r="A2523" s="302">
        <v>91871</v>
      </c>
      <c r="B2523" s="301" t="s">
        <v>3381</v>
      </c>
      <c r="C2523" s="301" t="s">
        <v>35</v>
      </c>
      <c r="D2523" s="303">
        <v>8.6</v>
      </c>
    </row>
    <row r="2524" spans="1:4">
      <c r="A2524" s="302">
        <v>91872</v>
      </c>
      <c r="B2524" s="301" t="s">
        <v>209</v>
      </c>
      <c r="C2524" s="301" t="s">
        <v>35</v>
      </c>
      <c r="D2524" s="303">
        <v>10.84</v>
      </c>
    </row>
    <row r="2525" spans="1:4">
      <c r="A2525" s="302">
        <v>91873</v>
      </c>
      <c r="B2525" s="301" t="s">
        <v>3382</v>
      </c>
      <c r="C2525" s="301" t="s">
        <v>35</v>
      </c>
      <c r="D2525" s="303">
        <v>13.08</v>
      </c>
    </row>
    <row r="2526" spans="1:4">
      <c r="A2526" s="302">
        <v>93008</v>
      </c>
      <c r="B2526" s="301" t="s">
        <v>3383</v>
      </c>
      <c r="C2526" s="301" t="s">
        <v>35</v>
      </c>
      <c r="D2526" s="303">
        <v>10.06</v>
      </c>
    </row>
    <row r="2527" spans="1:4">
      <c r="A2527" s="302">
        <v>93009</v>
      </c>
      <c r="B2527" s="301" t="s">
        <v>3384</v>
      </c>
      <c r="C2527" s="301" t="s">
        <v>35</v>
      </c>
      <c r="D2527" s="303">
        <v>14.5</v>
      </c>
    </row>
    <row r="2528" spans="1:4">
      <c r="A2528" s="302">
        <v>93010</v>
      </c>
      <c r="B2528" s="301" t="s">
        <v>3385</v>
      </c>
      <c r="C2528" s="301" t="s">
        <v>35</v>
      </c>
      <c r="D2528" s="303">
        <v>19.920000000000002</v>
      </c>
    </row>
    <row r="2529" spans="1:4">
      <c r="A2529" s="302">
        <v>93011</v>
      </c>
      <c r="B2529" s="301" t="s">
        <v>3386</v>
      </c>
      <c r="C2529" s="301" t="s">
        <v>35</v>
      </c>
      <c r="D2529" s="303">
        <v>24.17</v>
      </c>
    </row>
    <row r="2530" spans="1:4">
      <c r="A2530" s="302">
        <v>93012</v>
      </c>
      <c r="B2530" s="301" t="s">
        <v>3387</v>
      </c>
      <c r="C2530" s="301" t="s">
        <v>35</v>
      </c>
      <c r="D2530" s="303">
        <v>36.06</v>
      </c>
    </row>
    <row r="2531" spans="1:4">
      <c r="A2531" s="302">
        <v>95726</v>
      </c>
      <c r="B2531" s="301" t="s">
        <v>3388</v>
      </c>
      <c r="C2531" s="301" t="s">
        <v>35</v>
      </c>
      <c r="D2531" s="303">
        <v>4.6500000000000004</v>
      </c>
    </row>
    <row r="2532" spans="1:4">
      <c r="A2532" s="302">
        <v>95727</v>
      </c>
      <c r="B2532" s="301" t="s">
        <v>3389</v>
      </c>
      <c r="C2532" s="301" t="s">
        <v>35</v>
      </c>
      <c r="D2532" s="303">
        <v>5.24</v>
      </c>
    </row>
    <row r="2533" spans="1:4">
      <c r="A2533" s="302">
        <v>95728</v>
      </c>
      <c r="B2533" s="301" t="s">
        <v>3390</v>
      </c>
      <c r="C2533" s="301" t="s">
        <v>35</v>
      </c>
      <c r="D2533" s="303">
        <v>6.46</v>
      </c>
    </row>
    <row r="2534" spans="1:4">
      <c r="A2534" s="302">
        <v>95729</v>
      </c>
      <c r="B2534" s="301" t="s">
        <v>3391</v>
      </c>
      <c r="C2534" s="301" t="s">
        <v>35</v>
      </c>
      <c r="D2534" s="303">
        <v>6.2</v>
      </c>
    </row>
    <row r="2535" spans="1:4">
      <c r="A2535" s="302">
        <v>95730</v>
      </c>
      <c r="B2535" s="301" t="s">
        <v>3392</v>
      </c>
      <c r="C2535" s="301" t="s">
        <v>35</v>
      </c>
      <c r="D2535" s="303">
        <v>6.79</v>
      </c>
    </row>
    <row r="2536" spans="1:4">
      <c r="A2536" s="302">
        <v>95731</v>
      </c>
      <c r="B2536" s="301" t="s">
        <v>3393</v>
      </c>
      <c r="C2536" s="301" t="s">
        <v>35</v>
      </c>
      <c r="D2536" s="303">
        <v>8.01</v>
      </c>
    </row>
    <row r="2537" spans="1:4">
      <c r="A2537" s="302">
        <v>95732</v>
      </c>
      <c r="B2537" s="301" t="s">
        <v>3394</v>
      </c>
      <c r="C2537" s="301" t="s">
        <v>28</v>
      </c>
      <c r="D2537" s="303">
        <v>3.39</v>
      </c>
    </row>
    <row r="2538" spans="1:4">
      <c r="A2538" s="302">
        <v>95745</v>
      </c>
      <c r="B2538" s="301" t="s">
        <v>3395</v>
      </c>
      <c r="C2538" s="301" t="s">
        <v>35</v>
      </c>
      <c r="D2538" s="303">
        <v>16.670000000000002</v>
      </c>
    </row>
    <row r="2539" spans="1:4">
      <c r="A2539" s="302">
        <v>95746</v>
      </c>
      <c r="B2539" s="301" t="s">
        <v>3396</v>
      </c>
      <c r="C2539" s="301" t="s">
        <v>35</v>
      </c>
      <c r="D2539" s="303">
        <v>20.69</v>
      </c>
    </row>
    <row r="2540" spans="1:4">
      <c r="A2540" s="302">
        <v>95747</v>
      </c>
      <c r="B2540" s="301" t="s">
        <v>3397</v>
      </c>
      <c r="C2540" s="301" t="s">
        <v>35</v>
      </c>
      <c r="D2540" s="303">
        <v>34.130000000000003</v>
      </c>
    </row>
    <row r="2541" spans="1:4">
      <c r="A2541" s="302">
        <v>95748</v>
      </c>
      <c r="B2541" s="301" t="s">
        <v>3398</v>
      </c>
      <c r="C2541" s="301" t="s">
        <v>35</v>
      </c>
      <c r="D2541" s="303">
        <v>36.86</v>
      </c>
    </row>
    <row r="2542" spans="1:4">
      <c r="A2542" s="302">
        <v>95749</v>
      </c>
      <c r="B2542" s="301" t="s">
        <v>3399</v>
      </c>
      <c r="C2542" s="301" t="s">
        <v>35</v>
      </c>
      <c r="D2542" s="303">
        <v>21.69</v>
      </c>
    </row>
    <row r="2543" spans="1:4">
      <c r="A2543" s="302">
        <v>95750</v>
      </c>
      <c r="B2543" s="301" t="s">
        <v>3400</v>
      </c>
      <c r="C2543" s="301" t="s">
        <v>35</v>
      </c>
      <c r="D2543" s="303">
        <v>25.6</v>
      </c>
    </row>
    <row r="2544" spans="1:4">
      <c r="A2544" s="302">
        <v>95751</v>
      </c>
      <c r="B2544" s="301" t="s">
        <v>3401</v>
      </c>
      <c r="C2544" s="301" t="s">
        <v>35</v>
      </c>
      <c r="D2544" s="303">
        <v>38.89</v>
      </c>
    </row>
    <row r="2545" spans="1:4">
      <c r="A2545" s="302">
        <v>95752</v>
      </c>
      <c r="B2545" s="301" t="s">
        <v>3402</v>
      </c>
      <c r="C2545" s="301" t="s">
        <v>35</v>
      </c>
      <c r="D2545" s="303">
        <v>41.43</v>
      </c>
    </row>
    <row r="2546" spans="1:4">
      <c r="A2546" s="302">
        <v>97667</v>
      </c>
      <c r="B2546" s="301" t="s">
        <v>3403</v>
      </c>
      <c r="C2546" s="301" t="s">
        <v>35</v>
      </c>
      <c r="D2546" s="303">
        <v>6.22</v>
      </c>
    </row>
    <row r="2547" spans="1:4">
      <c r="A2547" s="302">
        <v>97668</v>
      </c>
      <c r="B2547" s="301" t="s">
        <v>3404</v>
      </c>
      <c r="C2547" s="301" t="s">
        <v>35</v>
      </c>
      <c r="D2547" s="303">
        <v>9.51</v>
      </c>
    </row>
    <row r="2548" spans="1:4">
      <c r="A2548" s="302">
        <v>97669</v>
      </c>
      <c r="B2548" s="301" t="s">
        <v>3405</v>
      </c>
      <c r="C2548" s="301" t="s">
        <v>35</v>
      </c>
      <c r="D2548" s="303">
        <v>15.11</v>
      </c>
    </row>
    <row r="2549" spans="1:4">
      <c r="A2549" s="302">
        <v>97670</v>
      </c>
      <c r="B2549" s="301" t="s">
        <v>3406</v>
      </c>
      <c r="C2549" s="301" t="s">
        <v>35</v>
      </c>
      <c r="D2549" s="303">
        <v>19.489999999999998</v>
      </c>
    </row>
    <row r="2550" spans="1:4">
      <c r="A2550" s="302">
        <v>72263</v>
      </c>
      <c r="B2550" s="301" t="s">
        <v>207</v>
      </c>
      <c r="C2550" s="301" t="s">
        <v>28</v>
      </c>
      <c r="D2550" s="303">
        <v>20.62</v>
      </c>
    </row>
    <row r="2551" spans="1:4">
      <c r="A2551" s="302">
        <v>72271</v>
      </c>
      <c r="B2551" s="301" t="s">
        <v>12473</v>
      </c>
      <c r="C2551" s="301" t="s">
        <v>28</v>
      </c>
      <c r="D2551" s="303">
        <v>12.19</v>
      </c>
    </row>
    <row r="2552" spans="1:4">
      <c r="A2552" s="302">
        <v>72272</v>
      </c>
      <c r="B2552" s="301" t="s">
        <v>12474</v>
      </c>
      <c r="C2552" s="301" t="s">
        <v>28</v>
      </c>
      <c r="D2552" s="303">
        <v>13.76</v>
      </c>
    </row>
    <row r="2553" spans="1:4">
      <c r="A2553" s="302">
        <v>91874</v>
      </c>
      <c r="B2553" s="301" t="s">
        <v>3407</v>
      </c>
      <c r="C2553" s="301" t="s">
        <v>28</v>
      </c>
      <c r="D2553" s="303">
        <v>3.57</v>
      </c>
    </row>
    <row r="2554" spans="1:4">
      <c r="A2554" s="302">
        <v>91875</v>
      </c>
      <c r="B2554" s="301" t="s">
        <v>3408</v>
      </c>
      <c r="C2554" s="301" t="s">
        <v>28</v>
      </c>
      <c r="D2554" s="303">
        <v>4.71</v>
      </c>
    </row>
    <row r="2555" spans="1:4">
      <c r="A2555" s="302">
        <v>91876</v>
      </c>
      <c r="B2555" s="301" t="s">
        <v>3409</v>
      </c>
      <c r="C2555" s="301" t="s">
        <v>28</v>
      </c>
      <c r="D2555" s="303">
        <v>6.21</v>
      </c>
    </row>
    <row r="2556" spans="1:4">
      <c r="A2556" s="302">
        <v>91877</v>
      </c>
      <c r="B2556" s="301" t="s">
        <v>3410</v>
      </c>
      <c r="C2556" s="301" t="s">
        <v>28</v>
      </c>
      <c r="D2556" s="303">
        <v>8.1999999999999993</v>
      </c>
    </row>
    <row r="2557" spans="1:4">
      <c r="A2557" s="302">
        <v>91878</v>
      </c>
      <c r="B2557" s="301" t="s">
        <v>3411</v>
      </c>
      <c r="C2557" s="301" t="s">
        <v>28</v>
      </c>
      <c r="D2557" s="303">
        <v>4.62</v>
      </c>
    </row>
    <row r="2558" spans="1:4">
      <c r="A2558" s="302">
        <v>91879</v>
      </c>
      <c r="B2558" s="301" t="s">
        <v>3412</v>
      </c>
      <c r="C2558" s="301" t="s">
        <v>28</v>
      </c>
      <c r="D2558" s="303">
        <v>5.73</v>
      </c>
    </row>
    <row r="2559" spans="1:4">
      <c r="A2559" s="302">
        <v>91880</v>
      </c>
      <c r="B2559" s="301" t="s">
        <v>3413</v>
      </c>
      <c r="C2559" s="301" t="s">
        <v>28</v>
      </c>
      <c r="D2559" s="303">
        <v>7.26</v>
      </c>
    </row>
    <row r="2560" spans="1:4">
      <c r="A2560" s="302">
        <v>91881</v>
      </c>
      <c r="B2560" s="301" t="s">
        <v>3414</v>
      </c>
      <c r="C2560" s="301" t="s">
        <v>28</v>
      </c>
      <c r="D2560" s="303">
        <v>9.25</v>
      </c>
    </row>
    <row r="2561" spans="1:4">
      <c r="A2561" s="302">
        <v>91882</v>
      </c>
      <c r="B2561" s="301" t="s">
        <v>3415</v>
      </c>
      <c r="C2561" s="301" t="s">
        <v>28</v>
      </c>
      <c r="D2561" s="303">
        <v>5.75</v>
      </c>
    </row>
    <row r="2562" spans="1:4">
      <c r="A2562" s="302">
        <v>91884</v>
      </c>
      <c r="B2562" s="301" t="s">
        <v>3416</v>
      </c>
      <c r="C2562" s="301" t="s">
        <v>28</v>
      </c>
      <c r="D2562" s="303">
        <v>6.6</v>
      </c>
    </row>
    <row r="2563" spans="1:4">
      <c r="A2563" s="302">
        <v>91885</v>
      </c>
      <c r="B2563" s="301" t="s">
        <v>3417</v>
      </c>
      <c r="C2563" s="301" t="s">
        <v>28</v>
      </c>
      <c r="D2563" s="303">
        <v>7.77</v>
      </c>
    </row>
    <row r="2564" spans="1:4">
      <c r="A2564" s="302">
        <v>91886</v>
      </c>
      <c r="B2564" s="301" t="s">
        <v>3418</v>
      </c>
      <c r="C2564" s="301" t="s">
        <v>28</v>
      </c>
      <c r="D2564" s="303">
        <v>9.36</v>
      </c>
    </row>
    <row r="2565" spans="1:4">
      <c r="A2565" s="302">
        <v>91887</v>
      </c>
      <c r="B2565" s="301" t="s">
        <v>3419</v>
      </c>
      <c r="C2565" s="301" t="s">
        <v>28</v>
      </c>
      <c r="D2565" s="303">
        <v>6.44</v>
      </c>
    </row>
    <row r="2566" spans="1:4">
      <c r="A2566" s="302">
        <v>91889</v>
      </c>
      <c r="B2566" s="301" t="s">
        <v>3420</v>
      </c>
      <c r="C2566" s="301" t="s">
        <v>28</v>
      </c>
      <c r="D2566" s="303">
        <v>6.23</v>
      </c>
    </row>
    <row r="2567" spans="1:4">
      <c r="A2567" s="302">
        <v>91890</v>
      </c>
      <c r="B2567" s="301" t="s">
        <v>3421</v>
      </c>
      <c r="C2567" s="301" t="s">
        <v>28</v>
      </c>
      <c r="D2567" s="303">
        <v>7.73</v>
      </c>
    </row>
    <row r="2568" spans="1:4">
      <c r="A2568" s="302">
        <v>91892</v>
      </c>
      <c r="B2568" s="301" t="s">
        <v>3422</v>
      </c>
      <c r="C2568" s="301" t="s">
        <v>28</v>
      </c>
      <c r="D2568" s="303">
        <v>9.11</v>
      </c>
    </row>
    <row r="2569" spans="1:4">
      <c r="A2569" s="302">
        <v>91893</v>
      </c>
      <c r="B2569" s="301" t="s">
        <v>3423</v>
      </c>
      <c r="C2569" s="301" t="s">
        <v>28</v>
      </c>
      <c r="D2569" s="303">
        <v>10.5</v>
      </c>
    </row>
    <row r="2570" spans="1:4">
      <c r="A2570" s="302">
        <v>91895</v>
      </c>
      <c r="B2570" s="301" t="s">
        <v>3424</v>
      </c>
      <c r="C2570" s="301" t="s">
        <v>28</v>
      </c>
      <c r="D2570" s="303">
        <v>11.9</v>
      </c>
    </row>
    <row r="2571" spans="1:4">
      <c r="A2571" s="302">
        <v>91896</v>
      </c>
      <c r="B2571" s="301" t="s">
        <v>3425</v>
      </c>
      <c r="C2571" s="301" t="s">
        <v>28</v>
      </c>
      <c r="D2571" s="303">
        <v>12.88</v>
      </c>
    </row>
    <row r="2572" spans="1:4">
      <c r="A2572" s="302">
        <v>91898</v>
      </c>
      <c r="B2572" s="301" t="s">
        <v>3426</v>
      </c>
      <c r="C2572" s="301" t="s">
        <v>28</v>
      </c>
      <c r="D2572" s="303">
        <v>14.38</v>
      </c>
    </row>
    <row r="2573" spans="1:4">
      <c r="A2573" s="302">
        <v>91899</v>
      </c>
      <c r="B2573" s="301" t="s">
        <v>3427</v>
      </c>
      <c r="C2573" s="301" t="s">
        <v>28</v>
      </c>
      <c r="D2573" s="303">
        <v>7.96</v>
      </c>
    </row>
    <row r="2574" spans="1:4">
      <c r="A2574" s="302">
        <v>91901</v>
      </c>
      <c r="B2574" s="301" t="s">
        <v>3428</v>
      </c>
      <c r="C2574" s="301" t="s">
        <v>28</v>
      </c>
      <c r="D2574" s="303">
        <v>7.75</v>
      </c>
    </row>
    <row r="2575" spans="1:4">
      <c r="A2575" s="302">
        <v>91902</v>
      </c>
      <c r="B2575" s="301" t="s">
        <v>3429</v>
      </c>
      <c r="C2575" s="301" t="s">
        <v>28</v>
      </c>
      <c r="D2575" s="303">
        <v>9.25</v>
      </c>
    </row>
    <row r="2576" spans="1:4">
      <c r="A2576" s="302">
        <v>91904</v>
      </c>
      <c r="B2576" s="301" t="s">
        <v>3430</v>
      </c>
      <c r="C2576" s="301" t="s">
        <v>28</v>
      </c>
      <c r="D2576" s="303">
        <v>10.63</v>
      </c>
    </row>
    <row r="2577" spans="1:4">
      <c r="A2577" s="302">
        <v>91905</v>
      </c>
      <c r="B2577" s="301" t="s">
        <v>3431</v>
      </c>
      <c r="C2577" s="301" t="s">
        <v>28</v>
      </c>
      <c r="D2577" s="303">
        <v>12.03</v>
      </c>
    </row>
    <row r="2578" spans="1:4">
      <c r="A2578" s="302">
        <v>91907</v>
      </c>
      <c r="B2578" s="301" t="s">
        <v>3432</v>
      </c>
      <c r="C2578" s="301" t="s">
        <v>28</v>
      </c>
      <c r="D2578" s="303">
        <v>13.43</v>
      </c>
    </row>
    <row r="2579" spans="1:4">
      <c r="A2579" s="302">
        <v>91908</v>
      </c>
      <c r="B2579" s="301" t="s">
        <v>3433</v>
      </c>
      <c r="C2579" s="301" t="s">
        <v>28</v>
      </c>
      <c r="D2579" s="303">
        <v>14.44</v>
      </c>
    </row>
    <row r="2580" spans="1:4">
      <c r="A2580" s="302">
        <v>91910</v>
      </c>
      <c r="B2580" s="301" t="s">
        <v>3434</v>
      </c>
      <c r="C2580" s="301" t="s">
        <v>28</v>
      </c>
      <c r="D2580" s="303">
        <v>15.94</v>
      </c>
    </row>
    <row r="2581" spans="1:4">
      <c r="A2581" s="302">
        <v>91911</v>
      </c>
      <c r="B2581" s="301" t="s">
        <v>3435</v>
      </c>
      <c r="C2581" s="301" t="s">
        <v>28</v>
      </c>
      <c r="D2581" s="303">
        <v>9.7100000000000009</v>
      </c>
    </row>
    <row r="2582" spans="1:4">
      <c r="A2582" s="302">
        <v>91913</v>
      </c>
      <c r="B2582" s="301" t="s">
        <v>3436</v>
      </c>
      <c r="C2582" s="301" t="s">
        <v>28</v>
      </c>
      <c r="D2582" s="303">
        <v>9.5</v>
      </c>
    </row>
    <row r="2583" spans="1:4">
      <c r="A2583" s="302">
        <v>91914</v>
      </c>
      <c r="B2583" s="301" t="s">
        <v>3437</v>
      </c>
      <c r="C2583" s="301" t="s">
        <v>28</v>
      </c>
      <c r="D2583" s="303">
        <v>10.6</v>
      </c>
    </row>
    <row r="2584" spans="1:4">
      <c r="A2584" s="302">
        <v>91916</v>
      </c>
      <c r="B2584" s="301" t="s">
        <v>3438</v>
      </c>
      <c r="C2584" s="301" t="s">
        <v>28</v>
      </c>
      <c r="D2584" s="303">
        <v>11.98</v>
      </c>
    </row>
    <row r="2585" spans="1:4">
      <c r="A2585" s="302">
        <v>91917</v>
      </c>
      <c r="B2585" s="301" t="s">
        <v>3439</v>
      </c>
      <c r="C2585" s="301" t="s">
        <v>28</v>
      </c>
      <c r="D2585" s="303">
        <v>12.83</v>
      </c>
    </row>
    <row r="2586" spans="1:4">
      <c r="A2586" s="302">
        <v>91919</v>
      </c>
      <c r="B2586" s="301" t="s">
        <v>3440</v>
      </c>
      <c r="C2586" s="301" t="s">
        <v>28</v>
      </c>
      <c r="D2586" s="303">
        <v>14.23</v>
      </c>
    </row>
    <row r="2587" spans="1:4">
      <c r="A2587" s="302">
        <v>91920</v>
      </c>
      <c r="B2587" s="301" t="s">
        <v>3441</v>
      </c>
      <c r="C2587" s="301" t="s">
        <v>28</v>
      </c>
      <c r="D2587" s="303">
        <v>14.63</v>
      </c>
    </row>
    <row r="2588" spans="1:4">
      <c r="A2588" s="302">
        <v>91922</v>
      </c>
      <c r="B2588" s="301" t="s">
        <v>3442</v>
      </c>
      <c r="C2588" s="301" t="s">
        <v>28</v>
      </c>
      <c r="D2588" s="303">
        <v>16.13</v>
      </c>
    </row>
    <row r="2589" spans="1:4">
      <c r="A2589" s="302">
        <v>93013</v>
      </c>
      <c r="B2589" s="301" t="s">
        <v>3443</v>
      </c>
      <c r="C2589" s="301" t="s">
        <v>28</v>
      </c>
      <c r="D2589" s="303">
        <v>10.61</v>
      </c>
    </row>
    <row r="2590" spans="1:4">
      <c r="A2590" s="302">
        <v>93014</v>
      </c>
      <c r="B2590" s="301" t="s">
        <v>3444</v>
      </c>
      <c r="C2590" s="301" t="s">
        <v>28</v>
      </c>
      <c r="D2590" s="303">
        <v>12.97</v>
      </c>
    </row>
    <row r="2591" spans="1:4">
      <c r="A2591" s="302">
        <v>93015</v>
      </c>
      <c r="B2591" s="301" t="s">
        <v>3445</v>
      </c>
      <c r="C2591" s="301" t="s">
        <v>28</v>
      </c>
      <c r="D2591" s="303">
        <v>19.190000000000001</v>
      </c>
    </row>
    <row r="2592" spans="1:4">
      <c r="A2592" s="302">
        <v>93016</v>
      </c>
      <c r="B2592" s="301" t="s">
        <v>3446</v>
      </c>
      <c r="C2592" s="301" t="s">
        <v>28</v>
      </c>
      <c r="D2592" s="303">
        <v>23.17</v>
      </c>
    </row>
    <row r="2593" spans="1:4">
      <c r="A2593" s="302">
        <v>93017</v>
      </c>
      <c r="B2593" s="301" t="s">
        <v>3447</v>
      </c>
      <c r="C2593" s="301" t="s">
        <v>28</v>
      </c>
      <c r="D2593" s="303">
        <v>34.36</v>
      </c>
    </row>
    <row r="2594" spans="1:4">
      <c r="A2594" s="302">
        <v>93018</v>
      </c>
      <c r="B2594" s="301" t="s">
        <v>3448</v>
      </c>
      <c r="C2594" s="301" t="s">
        <v>28</v>
      </c>
      <c r="D2594" s="303">
        <v>16.190000000000001</v>
      </c>
    </row>
    <row r="2595" spans="1:4">
      <c r="A2595" s="302">
        <v>93020</v>
      </c>
      <c r="B2595" s="301" t="s">
        <v>3449</v>
      </c>
      <c r="C2595" s="301" t="s">
        <v>28</v>
      </c>
      <c r="D2595" s="303">
        <v>20.54</v>
      </c>
    </row>
    <row r="2596" spans="1:4">
      <c r="A2596" s="302">
        <v>93022</v>
      </c>
      <c r="B2596" s="301" t="s">
        <v>3450</v>
      </c>
      <c r="C2596" s="301" t="s">
        <v>28</v>
      </c>
      <c r="D2596" s="303">
        <v>33.35</v>
      </c>
    </row>
    <row r="2597" spans="1:4">
      <c r="A2597" s="302">
        <v>93024</v>
      </c>
      <c r="B2597" s="301" t="s">
        <v>3451</v>
      </c>
      <c r="C2597" s="301" t="s">
        <v>28</v>
      </c>
      <c r="D2597" s="303">
        <v>35.18</v>
      </c>
    </row>
    <row r="2598" spans="1:4">
      <c r="A2598" s="302">
        <v>93026</v>
      </c>
      <c r="B2598" s="301" t="s">
        <v>3452</v>
      </c>
      <c r="C2598" s="301" t="s">
        <v>28</v>
      </c>
      <c r="D2598" s="303">
        <v>56.46</v>
      </c>
    </row>
    <row r="2599" spans="1:4">
      <c r="A2599" s="302">
        <v>95733</v>
      </c>
      <c r="B2599" s="301" t="s">
        <v>3453</v>
      </c>
      <c r="C2599" s="301" t="s">
        <v>28</v>
      </c>
      <c r="D2599" s="303">
        <v>4.41</v>
      </c>
    </row>
    <row r="2600" spans="1:4">
      <c r="A2600" s="302">
        <v>95734</v>
      </c>
      <c r="B2600" s="301" t="s">
        <v>3454</v>
      </c>
      <c r="C2600" s="301" t="s">
        <v>28</v>
      </c>
      <c r="D2600" s="303">
        <v>5.86</v>
      </c>
    </row>
    <row r="2601" spans="1:4">
      <c r="A2601" s="302">
        <v>95735</v>
      </c>
      <c r="B2601" s="301" t="s">
        <v>3455</v>
      </c>
      <c r="C2601" s="301" t="s">
        <v>28</v>
      </c>
      <c r="D2601" s="303">
        <v>5</v>
      </c>
    </row>
    <row r="2602" spans="1:4">
      <c r="A2602" s="302">
        <v>95736</v>
      </c>
      <c r="B2602" s="301" t="s">
        <v>3456</v>
      </c>
      <c r="C2602" s="301" t="s">
        <v>28</v>
      </c>
      <c r="D2602" s="303">
        <v>5.84</v>
      </c>
    </row>
    <row r="2603" spans="1:4">
      <c r="A2603" s="302">
        <v>95738</v>
      </c>
      <c r="B2603" s="301" t="s">
        <v>3457</v>
      </c>
      <c r="C2603" s="301" t="s">
        <v>28</v>
      </c>
      <c r="D2603" s="303">
        <v>7.02</v>
      </c>
    </row>
    <row r="2604" spans="1:4">
      <c r="A2604" s="302">
        <v>95753</v>
      </c>
      <c r="B2604" s="301" t="s">
        <v>3458</v>
      </c>
      <c r="C2604" s="301" t="s">
        <v>28</v>
      </c>
      <c r="D2604" s="303">
        <v>5.49</v>
      </c>
    </row>
    <row r="2605" spans="1:4">
      <c r="A2605" s="302">
        <v>95754</v>
      </c>
      <c r="B2605" s="301" t="s">
        <v>3459</v>
      </c>
      <c r="C2605" s="301" t="s">
        <v>28</v>
      </c>
      <c r="D2605" s="303">
        <v>6.84</v>
      </c>
    </row>
    <row r="2606" spans="1:4">
      <c r="A2606" s="302">
        <v>95755</v>
      </c>
      <c r="B2606" s="301" t="s">
        <v>3460</v>
      </c>
      <c r="C2606" s="301" t="s">
        <v>28</v>
      </c>
      <c r="D2606" s="303">
        <v>9.86</v>
      </c>
    </row>
    <row r="2607" spans="1:4">
      <c r="A2607" s="302">
        <v>95756</v>
      </c>
      <c r="B2607" s="301" t="s">
        <v>3461</v>
      </c>
      <c r="C2607" s="301" t="s">
        <v>28</v>
      </c>
      <c r="D2607" s="303">
        <v>13.11</v>
      </c>
    </row>
    <row r="2608" spans="1:4">
      <c r="A2608" s="302">
        <v>95757</v>
      </c>
      <c r="B2608" s="301" t="s">
        <v>3462</v>
      </c>
      <c r="C2608" s="301" t="s">
        <v>28</v>
      </c>
      <c r="D2608" s="303">
        <v>8.2899999999999991</v>
      </c>
    </row>
    <row r="2609" spans="1:4">
      <c r="A2609" s="302">
        <v>95758</v>
      </c>
      <c r="B2609" s="301" t="s">
        <v>3463</v>
      </c>
      <c r="C2609" s="301" t="s">
        <v>28</v>
      </c>
      <c r="D2609" s="303">
        <v>9.32</v>
      </c>
    </row>
    <row r="2610" spans="1:4">
      <c r="A2610" s="302">
        <v>95759</v>
      </c>
      <c r="B2610" s="301" t="s">
        <v>3464</v>
      </c>
      <c r="C2610" s="301" t="s">
        <v>28</v>
      </c>
      <c r="D2610" s="303">
        <v>11.86</v>
      </c>
    </row>
    <row r="2611" spans="1:4">
      <c r="A2611" s="302">
        <v>95760</v>
      </c>
      <c r="B2611" s="301" t="s">
        <v>3465</v>
      </c>
      <c r="C2611" s="301" t="s">
        <v>28</v>
      </c>
      <c r="D2611" s="303">
        <v>14.58</v>
      </c>
    </row>
    <row r="2612" spans="1:4">
      <c r="A2612" s="302">
        <v>97559</v>
      </c>
      <c r="B2612" s="301" t="s">
        <v>3466</v>
      </c>
      <c r="C2612" s="301" t="s">
        <v>28</v>
      </c>
      <c r="D2612" s="303">
        <v>7.58</v>
      </c>
    </row>
    <row r="2613" spans="1:4">
      <c r="A2613" s="302">
        <v>97562</v>
      </c>
      <c r="B2613" s="301" t="s">
        <v>3467</v>
      </c>
      <c r="C2613" s="301" t="s">
        <v>28</v>
      </c>
      <c r="D2613" s="303">
        <v>9.1</v>
      </c>
    </row>
    <row r="2614" spans="1:4">
      <c r="A2614" s="302">
        <v>97564</v>
      </c>
      <c r="B2614" s="301" t="s">
        <v>3468</v>
      </c>
      <c r="C2614" s="301" t="s">
        <v>28</v>
      </c>
      <c r="D2614" s="303">
        <v>10.45</v>
      </c>
    </row>
    <row r="2615" spans="1:4">
      <c r="A2615" s="302">
        <v>91924</v>
      </c>
      <c r="B2615" s="301" t="s">
        <v>3469</v>
      </c>
      <c r="C2615" s="301" t="s">
        <v>35</v>
      </c>
      <c r="D2615" s="303">
        <v>1.89</v>
      </c>
    </row>
    <row r="2616" spans="1:4">
      <c r="A2616" s="302">
        <v>91925</v>
      </c>
      <c r="B2616" s="301" t="s">
        <v>3470</v>
      </c>
      <c r="C2616" s="301" t="s">
        <v>35</v>
      </c>
      <c r="D2616" s="303">
        <v>2.61</v>
      </c>
    </row>
    <row r="2617" spans="1:4">
      <c r="A2617" s="302">
        <v>91926</v>
      </c>
      <c r="B2617" s="301" t="s">
        <v>135</v>
      </c>
      <c r="C2617" s="301" t="s">
        <v>35</v>
      </c>
      <c r="D2617" s="303">
        <v>2.71</v>
      </c>
    </row>
    <row r="2618" spans="1:4">
      <c r="A2618" s="302">
        <v>91927</v>
      </c>
      <c r="B2618" s="301" t="s">
        <v>148</v>
      </c>
      <c r="C2618" s="301" t="s">
        <v>35</v>
      </c>
      <c r="D2618" s="303">
        <v>3.49</v>
      </c>
    </row>
    <row r="2619" spans="1:4">
      <c r="A2619" s="302">
        <v>91928</v>
      </c>
      <c r="B2619" s="301" t="s">
        <v>136</v>
      </c>
      <c r="C2619" s="301" t="s">
        <v>35</v>
      </c>
      <c r="D2619" s="303">
        <v>4.34</v>
      </c>
    </row>
    <row r="2620" spans="1:4">
      <c r="A2620" s="302">
        <v>91929</v>
      </c>
      <c r="B2620" s="301" t="s">
        <v>3471</v>
      </c>
      <c r="C2620" s="301" t="s">
        <v>35</v>
      </c>
      <c r="D2620" s="303">
        <v>4.8899999999999997</v>
      </c>
    </row>
    <row r="2621" spans="1:4">
      <c r="A2621" s="302">
        <v>91930</v>
      </c>
      <c r="B2621" s="301" t="s">
        <v>3472</v>
      </c>
      <c r="C2621" s="301" t="s">
        <v>35</v>
      </c>
      <c r="D2621" s="303">
        <v>5.92</v>
      </c>
    </row>
    <row r="2622" spans="1:4">
      <c r="A2622" s="302">
        <v>91931</v>
      </c>
      <c r="B2622" s="301" t="s">
        <v>3473</v>
      </c>
      <c r="C2622" s="301" t="s">
        <v>35</v>
      </c>
      <c r="D2622" s="303">
        <v>6.57</v>
      </c>
    </row>
    <row r="2623" spans="1:4">
      <c r="A2623" s="302">
        <v>91932</v>
      </c>
      <c r="B2623" s="301" t="s">
        <v>3474</v>
      </c>
      <c r="C2623" s="301" t="s">
        <v>35</v>
      </c>
      <c r="D2623" s="303">
        <v>9.68</v>
      </c>
    </row>
    <row r="2624" spans="1:4">
      <c r="A2624" s="302">
        <v>91933</v>
      </c>
      <c r="B2624" s="301" t="s">
        <v>3475</v>
      </c>
      <c r="C2624" s="301" t="s">
        <v>35</v>
      </c>
      <c r="D2624" s="303">
        <v>10.3</v>
      </c>
    </row>
    <row r="2625" spans="1:4">
      <c r="A2625" s="302">
        <v>91934</v>
      </c>
      <c r="B2625" s="301" t="s">
        <v>3476</v>
      </c>
      <c r="C2625" s="301" t="s">
        <v>35</v>
      </c>
      <c r="D2625" s="303">
        <v>14.77</v>
      </c>
    </row>
    <row r="2626" spans="1:4">
      <c r="A2626" s="302">
        <v>91935</v>
      </c>
      <c r="B2626" s="301" t="s">
        <v>3477</v>
      </c>
      <c r="C2626" s="301" t="s">
        <v>35</v>
      </c>
      <c r="D2626" s="303">
        <v>15.68</v>
      </c>
    </row>
    <row r="2627" spans="1:4">
      <c r="A2627" s="302">
        <v>92979</v>
      </c>
      <c r="B2627" s="301" t="s">
        <v>3478</v>
      </c>
      <c r="C2627" s="301" t="s">
        <v>35</v>
      </c>
      <c r="D2627" s="303">
        <v>6.27</v>
      </c>
    </row>
    <row r="2628" spans="1:4">
      <c r="A2628" s="302">
        <v>92980</v>
      </c>
      <c r="B2628" s="301" t="s">
        <v>3479</v>
      </c>
      <c r="C2628" s="301" t="s">
        <v>35</v>
      </c>
      <c r="D2628" s="303">
        <v>6.8</v>
      </c>
    </row>
    <row r="2629" spans="1:4">
      <c r="A2629" s="302">
        <v>92981</v>
      </c>
      <c r="B2629" s="301" t="s">
        <v>3480</v>
      </c>
      <c r="C2629" s="301" t="s">
        <v>35</v>
      </c>
      <c r="D2629" s="303">
        <v>9.6199999999999992</v>
      </c>
    </row>
    <row r="2630" spans="1:4">
      <c r="A2630" s="302">
        <v>92982</v>
      </c>
      <c r="B2630" s="301" t="s">
        <v>3481</v>
      </c>
      <c r="C2630" s="301" t="s">
        <v>35</v>
      </c>
      <c r="D2630" s="303">
        <v>10.4</v>
      </c>
    </row>
    <row r="2631" spans="1:4">
      <c r="A2631" s="302">
        <v>92983</v>
      </c>
      <c r="B2631" s="301" t="s">
        <v>3482</v>
      </c>
      <c r="C2631" s="301" t="s">
        <v>35</v>
      </c>
      <c r="D2631" s="303">
        <v>16.82</v>
      </c>
    </row>
    <row r="2632" spans="1:4">
      <c r="A2632" s="302">
        <v>92984</v>
      </c>
      <c r="B2632" s="301" t="s">
        <v>3483</v>
      </c>
      <c r="C2632" s="301" t="s">
        <v>35</v>
      </c>
      <c r="D2632" s="303">
        <v>17.25</v>
      </c>
    </row>
    <row r="2633" spans="1:4">
      <c r="A2633" s="302">
        <v>92985</v>
      </c>
      <c r="B2633" s="301" t="s">
        <v>3484</v>
      </c>
      <c r="C2633" s="301" t="s">
        <v>35</v>
      </c>
      <c r="D2633" s="303">
        <v>22.57</v>
      </c>
    </row>
    <row r="2634" spans="1:4">
      <c r="A2634" s="302">
        <v>92986</v>
      </c>
      <c r="B2634" s="301" t="s">
        <v>3485</v>
      </c>
      <c r="C2634" s="301" t="s">
        <v>35</v>
      </c>
      <c r="D2634" s="303">
        <v>23.21</v>
      </c>
    </row>
    <row r="2635" spans="1:4">
      <c r="A2635" s="302">
        <v>92987</v>
      </c>
      <c r="B2635" s="301" t="s">
        <v>3486</v>
      </c>
      <c r="C2635" s="301" t="s">
        <v>35</v>
      </c>
      <c r="D2635" s="303">
        <v>32.380000000000003</v>
      </c>
    </row>
    <row r="2636" spans="1:4">
      <c r="A2636" s="302">
        <v>92988</v>
      </c>
      <c r="B2636" s="301" t="s">
        <v>3487</v>
      </c>
      <c r="C2636" s="301" t="s">
        <v>35</v>
      </c>
      <c r="D2636" s="303">
        <v>32.46</v>
      </c>
    </row>
    <row r="2637" spans="1:4">
      <c r="A2637" s="302">
        <v>92989</v>
      </c>
      <c r="B2637" s="301" t="s">
        <v>3488</v>
      </c>
      <c r="C2637" s="301" t="s">
        <v>35</v>
      </c>
      <c r="D2637" s="303">
        <v>44.91</v>
      </c>
    </row>
    <row r="2638" spans="1:4">
      <c r="A2638" s="302">
        <v>92990</v>
      </c>
      <c r="B2638" s="301" t="s">
        <v>3489</v>
      </c>
      <c r="C2638" s="301" t="s">
        <v>35</v>
      </c>
      <c r="D2638" s="303">
        <v>44.4</v>
      </c>
    </row>
    <row r="2639" spans="1:4">
      <c r="A2639" s="302">
        <v>92991</v>
      </c>
      <c r="B2639" s="301" t="s">
        <v>3490</v>
      </c>
      <c r="C2639" s="301" t="s">
        <v>35</v>
      </c>
      <c r="D2639" s="303">
        <v>58.52</v>
      </c>
    </row>
    <row r="2640" spans="1:4">
      <c r="A2640" s="302">
        <v>92992</v>
      </c>
      <c r="B2640" s="301" t="s">
        <v>3491</v>
      </c>
      <c r="C2640" s="301" t="s">
        <v>35</v>
      </c>
      <c r="D2640" s="303">
        <v>58.56</v>
      </c>
    </row>
    <row r="2641" spans="1:4">
      <c r="A2641" s="302">
        <v>92993</v>
      </c>
      <c r="B2641" s="301" t="s">
        <v>3492</v>
      </c>
      <c r="C2641" s="301" t="s">
        <v>35</v>
      </c>
      <c r="D2641" s="303">
        <v>74.95</v>
      </c>
    </row>
    <row r="2642" spans="1:4">
      <c r="A2642" s="302">
        <v>92994</v>
      </c>
      <c r="B2642" s="301" t="s">
        <v>3493</v>
      </c>
      <c r="C2642" s="301" t="s">
        <v>35</v>
      </c>
      <c r="D2642" s="303">
        <v>75.69</v>
      </c>
    </row>
    <row r="2643" spans="1:4">
      <c r="A2643" s="302">
        <v>92995</v>
      </c>
      <c r="B2643" s="301" t="s">
        <v>3494</v>
      </c>
      <c r="C2643" s="301" t="s">
        <v>35</v>
      </c>
      <c r="D2643" s="303">
        <v>93.2</v>
      </c>
    </row>
    <row r="2644" spans="1:4">
      <c r="A2644" s="302">
        <v>92996</v>
      </c>
      <c r="B2644" s="301" t="s">
        <v>3495</v>
      </c>
      <c r="C2644" s="301" t="s">
        <v>35</v>
      </c>
      <c r="D2644" s="303">
        <v>93.45</v>
      </c>
    </row>
    <row r="2645" spans="1:4">
      <c r="A2645" s="302">
        <v>92997</v>
      </c>
      <c r="B2645" s="301" t="s">
        <v>3496</v>
      </c>
      <c r="C2645" s="301" t="s">
        <v>35</v>
      </c>
      <c r="D2645" s="303">
        <v>113.2</v>
      </c>
    </row>
    <row r="2646" spans="1:4">
      <c r="A2646" s="302">
        <v>92998</v>
      </c>
      <c r="B2646" s="301" t="s">
        <v>3497</v>
      </c>
      <c r="C2646" s="301" t="s">
        <v>35</v>
      </c>
      <c r="D2646" s="303">
        <v>114.28</v>
      </c>
    </row>
    <row r="2647" spans="1:4">
      <c r="A2647" s="302">
        <v>92999</v>
      </c>
      <c r="B2647" s="301" t="s">
        <v>3498</v>
      </c>
      <c r="C2647" s="301" t="s">
        <v>35</v>
      </c>
      <c r="D2647" s="303">
        <v>148.99</v>
      </c>
    </row>
    <row r="2648" spans="1:4">
      <c r="A2648" s="302">
        <v>93000</v>
      </c>
      <c r="B2648" s="301" t="s">
        <v>3499</v>
      </c>
      <c r="C2648" s="301" t="s">
        <v>35</v>
      </c>
      <c r="D2648" s="303">
        <v>149.88999999999999</v>
      </c>
    </row>
    <row r="2649" spans="1:4">
      <c r="A2649" s="302">
        <v>93001</v>
      </c>
      <c r="B2649" s="301" t="s">
        <v>3500</v>
      </c>
      <c r="C2649" s="301" t="s">
        <v>35</v>
      </c>
      <c r="D2649" s="303">
        <v>181.91</v>
      </c>
    </row>
    <row r="2650" spans="1:4">
      <c r="A2650" s="302">
        <v>93002</v>
      </c>
      <c r="B2650" s="301" t="s">
        <v>3501</v>
      </c>
      <c r="C2650" s="301" t="s">
        <v>35</v>
      </c>
      <c r="D2650" s="303">
        <v>186.92</v>
      </c>
    </row>
    <row r="2651" spans="1:4">
      <c r="A2651" s="302">
        <v>83446</v>
      </c>
      <c r="B2651" s="301" t="s">
        <v>134</v>
      </c>
      <c r="C2651" s="301" t="s">
        <v>28</v>
      </c>
      <c r="D2651" s="303">
        <v>156.87</v>
      </c>
    </row>
    <row r="2652" spans="1:4">
      <c r="A2652" s="302">
        <v>91936</v>
      </c>
      <c r="B2652" s="301" t="s">
        <v>3502</v>
      </c>
      <c r="C2652" s="301" t="s">
        <v>28</v>
      </c>
      <c r="D2652" s="303">
        <v>9.48</v>
      </c>
    </row>
    <row r="2653" spans="1:4">
      <c r="A2653" s="302">
        <v>91937</v>
      </c>
      <c r="B2653" s="301" t="s">
        <v>407</v>
      </c>
      <c r="C2653" s="301" t="s">
        <v>28</v>
      </c>
      <c r="D2653" s="303">
        <v>8.16</v>
      </c>
    </row>
    <row r="2654" spans="1:4">
      <c r="A2654" s="302">
        <v>91939</v>
      </c>
      <c r="B2654" s="301" t="s">
        <v>406</v>
      </c>
      <c r="C2654" s="301" t="s">
        <v>28</v>
      </c>
      <c r="D2654" s="303">
        <v>20.91</v>
      </c>
    </row>
    <row r="2655" spans="1:4">
      <c r="A2655" s="302">
        <v>91940</v>
      </c>
      <c r="B2655" s="301" t="s">
        <v>146</v>
      </c>
      <c r="C2655" s="301" t="s">
        <v>28</v>
      </c>
      <c r="D2655" s="303">
        <v>11.02</v>
      </c>
    </row>
    <row r="2656" spans="1:4">
      <c r="A2656" s="302">
        <v>91941</v>
      </c>
      <c r="B2656" s="301" t="s">
        <v>989</v>
      </c>
      <c r="C2656" s="301" t="s">
        <v>28</v>
      </c>
      <c r="D2656" s="303">
        <v>7.31</v>
      </c>
    </row>
    <row r="2657" spans="1:4">
      <c r="A2657" s="302">
        <v>91942</v>
      </c>
      <c r="B2657" s="301" t="s">
        <v>3503</v>
      </c>
      <c r="C2657" s="301" t="s">
        <v>28</v>
      </c>
      <c r="D2657" s="303">
        <v>25.48</v>
      </c>
    </row>
    <row r="2658" spans="1:4">
      <c r="A2658" s="302">
        <v>91943</v>
      </c>
      <c r="B2658" s="301" t="s">
        <v>3504</v>
      </c>
      <c r="C2658" s="301" t="s">
        <v>28</v>
      </c>
      <c r="D2658" s="303">
        <v>14.1</v>
      </c>
    </row>
    <row r="2659" spans="1:4">
      <c r="A2659" s="302">
        <v>91944</v>
      </c>
      <c r="B2659" s="301" t="s">
        <v>3505</v>
      </c>
      <c r="C2659" s="301" t="s">
        <v>28</v>
      </c>
      <c r="D2659" s="303">
        <v>9.84</v>
      </c>
    </row>
    <row r="2660" spans="1:4">
      <c r="A2660" s="302">
        <v>92865</v>
      </c>
      <c r="B2660" s="301" t="s">
        <v>3506</v>
      </c>
      <c r="C2660" s="301" t="s">
        <v>28</v>
      </c>
      <c r="D2660" s="303">
        <v>7.45</v>
      </c>
    </row>
    <row r="2661" spans="1:4">
      <c r="A2661" s="302">
        <v>92866</v>
      </c>
      <c r="B2661" s="301" t="s">
        <v>3507</v>
      </c>
      <c r="C2661" s="301" t="s">
        <v>28</v>
      </c>
      <c r="D2661" s="303">
        <v>6.22</v>
      </c>
    </row>
    <row r="2662" spans="1:4">
      <c r="A2662" s="302">
        <v>92867</v>
      </c>
      <c r="B2662" s="301" t="s">
        <v>3508</v>
      </c>
      <c r="C2662" s="301" t="s">
        <v>28</v>
      </c>
      <c r="D2662" s="303">
        <v>20.32</v>
      </c>
    </row>
    <row r="2663" spans="1:4">
      <c r="A2663" s="302">
        <v>92868</v>
      </c>
      <c r="B2663" s="301" t="s">
        <v>3509</v>
      </c>
      <c r="C2663" s="301" t="s">
        <v>28</v>
      </c>
      <c r="D2663" s="303">
        <v>10.43</v>
      </c>
    </row>
    <row r="2664" spans="1:4">
      <c r="A2664" s="302">
        <v>92869</v>
      </c>
      <c r="B2664" s="301" t="s">
        <v>3510</v>
      </c>
      <c r="C2664" s="301" t="s">
        <v>28</v>
      </c>
      <c r="D2664" s="303">
        <v>6.72</v>
      </c>
    </row>
    <row r="2665" spans="1:4">
      <c r="A2665" s="302">
        <v>92870</v>
      </c>
      <c r="B2665" s="301" t="s">
        <v>3511</v>
      </c>
      <c r="C2665" s="301" t="s">
        <v>28</v>
      </c>
      <c r="D2665" s="303">
        <v>24.44</v>
      </c>
    </row>
    <row r="2666" spans="1:4">
      <c r="A2666" s="302">
        <v>92871</v>
      </c>
      <c r="B2666" s="301" t="s">
        <v>3512</v>
      </c>
      <c r="C2666" s="301" t="s">
        <v>28</v>
      </c>
      <c r="D2666" s="303">
        <v>13.06</v>
      </c>
    </row>
    <row r="2667" spans="1:4">
      <c r="A2667" s="302">
        <v>92872</v>
      </c>
      <c r="B2667" s="301" t="s">
        <v>3513</v>
      </c>
      <c r="C2667" s="301" t="s">
        <v>28</v>
      </c>
      <c r="D2667" s="303">
        <v>8.8000000000000007</v>
      </c>
    </row>
    <row r="2668" spans="1:4">
      <c r="A2668" s="302">
        <v>95777</v>
      </c>
      <c r="B2668" s="301" t="s">
        <v>3514</v>
      </c>
      <c r="C2668" s="301" t="s">
        <v>28</v>
      </c>
      <c r="D2668" s="303">
        <v>19.440000000000001</v>
      </c>
    </row>
    <row r="2669" spans="1:4">
      <c r="A2669" s="302">
        <v>95778</v>
      </c>
      <c r="B2669" s="301" t="s">
        <v>3515</v>
      </c>
      <c r="C2669" s="301" t="s">
        <v>28</v>
      </c>
      <c r="D2669" s="303">
        <v>19.850000000000001</v>
      </c>
    </row>
    <row r="2670" spans="1:4">
      <c r="A2670" s="302">
        <v>95779</v>
      </c>
      <c r="B2670" s="301" t="s">
        <v>3516</v>
      </c>
      <c r="C2670" s="301" t="s">
        <v>28</v>
      </c>
      <c r="D2670" s="303">
        <v>18.48</v>
      </c>
    </row>
    <row r="2671" spans="1:4">
      <c r="A2671" s="302">
        <v>95780</v>
      </c>
      <c r="B2671" s="301" t="s">
        <v>3517</v>
      </c>
      <c r="C2671" s="301" t="s">
        <v>28</v>
      </c>
      <c r="D2671" s="303">
        <v>21.84</v>
      </c>
    </row>
    <row r="2672" spans="1:4">
      <c r="A2672" s="302">
        <v>95781</v>
      </c>
      <c r="B2672" s="301" t="s">
        <v>3518</v>
      </c>
      <c r="C2672" s="301" t="s">
        <v>28</v>
      </c>
      <c r="D2672" s="303">
        <v>22.15</v>
      </c>
    </row>
    <row r="2673" spans="1:4">
      <c r="A2673" s="302">
        <v>95782</v>
      </c>
      <c r="B2673" s="301" t="s">
        <v>3519</v>
      </c>
      <c r="C2673" s="301" t="s">
        <v>28</v>
      </c>
      <c r="D2673" s="303">
        <v>22.94</v>
      </c>
    </row>
    <row r="2674" spans="1:4">
      <c r="A2674" s="302">
        <v>95785</v>
      </c>
      <c r="B2674" s="301" t="s">
        <v>3520</v>
      </c>
      <c r="C2674" s="301" t="s">
        <v>28</v>
      </c>
      <c r="D2674" s="303">
        <v>25.84</v>
      </c>
    </row>
    <row r="2675" spans="1:4">
      <c r="A2675" s="302">
        <v>95787</v>
      </c>
      <c r="B2675" s="301" t="s">
        <v>3521</v>
      </c>
      <c r="C2675" s="301" t="s">
        <v>28</v>
      </c>
      <c r="D2675" s="303">
        <v>19.91</v>
      </c>
    </row>
    <row r="2676" spans="1:4">
      <c r="A2676" s="302">
        <v>95789</v>
      </c>
      <c r="B2676" s="301" t="s">
        <v>3522</v>
      </c>
      <c r="C2676" s="301" t="s">
        <v>28</v>
      </c>
      <c r="D2676" s="303">
        <v>24.1</v>
      </c>
    </row>
    <row r="2677" spans="1:4">
      <c r="A2677" s="302">
        <v>95791</v>
      </c>
      <c r="B2677" s="301" t="s">
        <v>3523</v>
      </c>
      <c r="C2677" s="301" t="s">
        <v>28</v>
      </c>
      <c r="D2677" s="303">
        <v>30.34</v>
      </c>
    </row>
    <row r="2678" spans="1:4">
      <c r="A2678" s="302">
        <v>95795</v>
      </c>
      <c r="B2678" s="301" t="s">
        <v>3524</v>
      </c>
      <c r="C2678" s="301" t="s">
        <v>28</v>
      </c>
      <c r="D2678" s="303">
        <v>23</v>
      </c>
    </row>
    <row r="2679" spans="1:4">
      <c r="A2679" s="302">
        <v>95796</v>
      </c>
      <c r="B2679" s="301" t="s">
        <v>3525</v>
      </c>
      <c r="C2679" s="301" t="s">
        <v>28</v>
      </c>
      <c r="D2679" s="303">
        <v>28.37</v>
      </c>
    </row>
    <row r="2680" spans="1:4">
      <c r="A2680" s="302">
        <v>95797</v>
      </c>
      <c r="B2680" s="301" t="s">
        <v>3526</v>
      </c>
      <c r="C2680" s="301" t="s">
        <v>28</v>
      </c>
      <c r="D2680" s="303">
        <v>35.39</v>
      </c>
    </row>
    <row r="2681" spans="1:4">
      <c r="A2681" s="302">
        <v>95801</v>
      </c>
      <c r="B2681" s="301" t="s">
        <v>3527</v>
      </c>
      <c r="C2681" s="301" t="s">
        <v>28</v>
      </c>
      <c r="D2681" s="303">
        <v>27.4</v>
      </c>
    </row>
    <row r="2682" spans="1:4">
      <c r="A2682" s="302">
        <v>95802</v>
      </c>
      <c r="B2682" s="301" t="s">
        <v>3528</v>
      </c>
      <c r="C2682" s="301" t="s">
        <v>28</v>
      </c>
      <c r="D2682" s="303">
        <v>30.45</v>
      </c>
    </row>
    <row r="2683" spans="1:4">
      <c r="A2683" s="302">
        <v>95803</v>
      </c>
      <c r="B2683" s="301" t="s">
        <v>3529</v>
      </c>
      <c r="C2683" s="301" t="s">
        <v>28</v>
      </c>
      <c r="D2683" s="303">
        <v>39.43</v>
      </c>
    </row>
    <row r="2684" spans="1:4">
      <c r="A2684" s="302">
        <v>95804</v>
      </c>
      <c r="B2684" s="301" t="s">
        <v>3530</v>
      </c>
      <c r="C2684" s="301" t="s">
        <v>28</v>
      </c>
      <c r="D2684" s="303">
        <v>17.510000000000002</v>
      </c>
    </row>
    <row r="2685" spans="1:4">
      <c r="A2685" s="302">
        <v>95805</v>
      </c>
      <c r="B2685" s="301" t="s">
        <v>3531</v>
      </c>
      <c r="C2685" s="301" t="s">
        <v>28</v>
      </c>
      <c r="D2685" s="303">
        <v>17.670000000000002</v>
      </c>
    </row>
    <row r="2686" spans="1:4">
      <c r="A2686" s="302">
        <v>95806</v>
      </c>
      <c r="B2686" s="301" t="s">
        <v>3532</v>
      </c>
      <c r="C2686" s="301" t="s">
        <v>28</v>
      </c>
      <c r="D2686" s="303">
        <v>18.239999999999998</v>
      </c>
    </row>
    <row r="2687" spans="1:4">
      <c r="A2687" s="302">
        <v>95807</v>
      </c>
      <c r="B2687" s="301" t="s">
        <v>3533</v>
      </c>
      <c r="C2687" s="301" t="s">
        <v>28</v>
      </c>
      <c r="D2687" s="303">
        <v>20.170000000000002</v>
      </c>
    </row>
    <row r="2688" spans="1:4">
      <c r="A2688" s="302">
        <v>95808</v>
      </c>
      <c r="B2688" s="301" t="s">
        <v>3534</v>
      </c>
      <c r="C2688" s="301" t="s">
        <v>28</v>
      </c>
      <c r="D2688" s="303">
        <v>20.69</v>
      </c>
    </row>
    <row r="2689" spans="1:4">
      <c r="A2689" s="302">
        <v>95809</v>
      </c>
      <c r="B2689" s="301" t="s">
        <v>3535</v>
      </c>
      <c r="C2689" s="301" t="s">
        <v>28</v>
      </c>
      <c r="D2689" s="303">
        <v>22.67</v>
      </c>
    </row>
    <row r="2690" spans="1:4">
      <c r="A2690" s="302">
        <v>95810</v>
      </c>
      <c r="B2690" s="301" t="s">
        <v>3536</v>
      </c>
      <c r="C2690" s="301" t="s">
        <v>28</v>
      </c>
      <c r="D2690" s="303">
        <v>10.63</v>
      </c>
    </row>
    <row r="2691" spans="1:4">
      <c r="A2691" s="302">
        <v>95811</v>
      </c>
      <c r="B2691" s="301" t="s">
        <v>3537</v>
      </c>
      <c r="C2691" s="301" t="s">
        <v>28</v>
      </c>
      <c r="D2691" s="303">
        <v>11.14</v>
      </c>
    </row>
    <row r="2692" spans="1:4">
      <c r="A2692" s="302">
        <v>95812</v>
      </c>
      <c r="B2692" s="301" t="s">
        <v>3538</v>
      </c>
      <c r="C2692" s="301" t="s">
        <v>28</v>
      </c>
      <c r="D2692" s="303">
        <v>13.12</v>
      </c>
    </row>
    <row r="2693" spans="1:4">
      <c r="A2693" s="302">
        <v>95813</v>
      </c>
      <c r="B2693" s="301" t="s">
        <v>3539</v>
      </c>
      <c r="C2693" s="301" t="s">
        <v>28</v>
      </c>
      <c r="D2693" s="303">
        <v>12.89</v>
      </c>
    </row>
    <row r="2694" spans="1:4">
      <c r="A2694" s="302">
        <v>95814</v>
      </c>
      <c r="B2694" s="301" t="s">
        <v>3540</v>
      </c>
      <c r="C2694" s="301" t="s">
        <v>28</v>
      </c>
      <c r="D2694" s="303">
        <v>13.67</v>
      </c>
    </row>
    <row r="2695" spans="1:4">
      <c r="A2695" s="302">
        <v>95815</v>
      </c>
      <c r="B2695" s="301" t="s">
        <v>3541</v>
      </c>
      <c r="C2695" s="301" t="s">
        <v>28</v>
      </c>
      <c r="D2695" s="303">
        <v>17.45</v>
      </c>
    </row>
    <row r="2696" spans="1:4">
      <c r="A2696" s="302">
        <v>95816</v>
      </c>
      <c r="B2696" s="301" t="s">
        <v>3542</v>
      </c>
      <c r="C2696" s="301" t="s">
        <v>28</v>
      </c>
      <c r="D2696" s="303">
        <v>24.89</v>
      </c>
    </row>
    <row r="2697" spans="1:4">
      <c r="A2697" s="302">
        <v>95817</v>
      </c>
      <c r="B2697" s="301" t="s">
        <v>3543</v>
      </c>
      <c r="C2697" s="301" t="s">
        <v>28</v>
      </c>
      <c r="D2697" s="303">
        <v>25.59</v>
      </c>
    </row>
    <row r="2698" spans="1:4">
      <c r="A2698" s="302">
        <v>95818</v>
      </c>
      <c r="B2698" s="301" t="s">
        <v>264</v>
      </c>
      <c r="C2698" s="301" t="s">
        <v>28</v>
      </c>
      <c r="D2698" s="303">
        <v>30.68</v>
      </c>
    </row>
    <row r="2699" spans="1:4">
      <c r="A2699" s="302">
        <v>97886</v>
      </c>
      <c r="B2699" s="301" t="s">
        <v>3544</v>
      </c>
      <c r="C2699" s="301" t="s">
        <v>28</v>
      </c>
      <c r="D2699" s="303">
        <v>127.66</v>
      </c>
    </row>
    <row r="2700" spans="1:4">
      <c r="A2700" s="302">
        <v>97887</v>
      </c>
      <c r="B2700" s="301" t="s">
        <v>3545</v>
      </c>
      <c r="C2700" s="301" t="s">
        <v>28</v>
      </c>
      <c r="D2700" s="303">
        <v>201.47</v>
      </c>
    </row>
    <row r="2701" spans="1:4">
      <c r="A2701" s="302">
        <v>97888</v>
      </c>
      <c r="B2701" s="301" t="s">
        <v>3546</v>
      </c>
      <c r="C2701" s="301" t="s">
        <v>28</v>
      </c>
      <c r="D2701" s="303">
        <v>387.75</v>
      </c>
    </row>
    <row r="2702" spans="1:4">
      <c r="A2702" s="302">
        <v>97889</v>
      </c>
      <c r="B2702" s="301" t="s">
        <v>3547</v>
      </c>
      <c r="C2702" s="301" t="s">
        <v>28</v>
      </c>
      <c r="D2702" s="303">
        <v>519.72</v>
      </c>
    </row>
    <row r="2703" spans="1:4">
      <c r="A2703" s="302">
        <v>97890</v>
      </c>
      <c r="B2703" s="301" t="s">
        <v>3548</v>
      </c>
      <c r="C2703" s="301" t="s">
        <v>28</v>
      </c>
      <c r="D2703" s="303">
        <v>595.72</v>
      </c>
    </row>
    <row r="2704" spans="1:4">
      <c r="A2704" s="302">
        <v>97891</v>
      </c>
      <c r="B2704" s="301" t="s">
        <v>3549</v>
      </c>
      <c r="C2704" s="301" t="s">
        <v>28</v>
      </c>
      <c r="D2704" s="303">
        <v>153.21</v>
      </c>
    </row>
    <row r="2705" spans="1:4">
      <c r="A2705" s="302">
        <v>97892</v>
      </c>
      <c r="B2705" s="301" t="s">
        <v>3550</v>
      </c>
      <c r="C2705" s="301" t="s">
        <v>28</v>
      </c>
      <c r="D2705" s="303">
        <v>285.72000000000003</v>
      </c>
    </row>
    <row r="2706" spans="1:4">
      <c r="A2706" s="302">
        <v>97893</v>
      </c>
      <c r="B2706" s="301" t="s">
        <v>3551</v>
      </c>
      <c r="C2706" s="301" t="s">
        <v>28</v>
      </c>
      <c r="D2706" s="303">
        <v>389.62</v>
      </c>
    </row>
    <row r="2707" spans="1:4">
      <c r="A2707" s="302">
        <v>97894</v>
      </c>
      <c r="B2707" s="301" t="s">
        <v>3552</v>
      </c>
      <c r="C2707" s="301" t="s">
        <v>28</v>
      </c>
      <c r="D2707" s="303">
        <v>438.05</v>
      </c>
    </row>
    <row r="2708" spans="1:4">
      <c r="A2708" s="302">
        <v>68066</v>
      </c>
      <c r="B2708" s="301" t="s">
        <v>3553</v>
      </c>
      <c r="C2708" s="301" t="s">
        <v>28</v>
      </c>
      <c r="D2708" s="303">
        <v>120.3</v>
      </c>
    </row>
    <row r="2709" spans="1:4">
      <c r="A2709" s="302">
        <v>72319</v>
      </c>
      <c r="B2709" s="301" t="s">
        <v>3554</v>
      </c>
      <c r="C2709" s="301" t="s">
        <v>28</v>
      </c>
      <c r="D2709" s="304">
        <v>3977.58</v>
      </c>
    </row>
    <row r="2710" spans="1:4">
      <c r="A2710" s="302">
        <v>72341</v>
      </c>
      <c r="B2710" s="301" t="s">
        <v>3555</v>
      </c>
      <c r="C2710" s="301" t="s">
        <v>28</v>
      </c>
      <c r="D2710" s="303">
        <v>220.76</v>
      </c>
    </row>
    <row r="2711" spans="1:4">
      <c r="A2711" s="302">
        <v>72343</v>
      </c>
      <c r="B2711" s="301" t="s">
        <v>3556</v>
      </c>
      <c r="C2711" s="301" t="s">
        <v>28</v>
      </c>
      <c r="D2711" s="303">
        <v>261.86</v>
      </c>
    </row>
    <row r="2712" spans="1:4">
      <c r="A2712" s="302">
        <v>72344</v>
      </c>
      <c r="B2712" s="301" t="s">
        <v>3557</v>
      </c>
      <c r="C2712" s="301" t="s">
        <v>28</v>
      </c>
      <c r="D2712" s="303">
        <v>410.32</v>
      </c>
    </row>
    <row r="2713" spans="1:4">
      <c r="A2713" s="302">
        <v>72345</v>
      </c>
      <c r="B2713" s="301" t="s">
        <v>3558</v>
      </c>
      <c r="C2713" s="301" t="s">
        <v>28</v>
      </c>
      <c r="D2713" s="304">
        <v>1169.97</v>
      </c>
    </row>
    <row r="2714" spans="1:4">
      <c r="A2714" s="301" t="s">
        <v>3559</v>
      </c>
      <c r="B2714" s="301" t="s">
        <v>3560</v>
      </c>
      <c r="C2714" s="301" t="s">
        <v>28</v>
      </c>
      <c r="D2714" s="303">
        <v>12.01</v>
      </c>
    </row>
    <row r="2715" spans="1:4">
      <c r="A2715" s="301" t="s">
        <v>3561</v>
      </c>
      <c r="B2715" s="301" t="s">
        <v>3562</v>
      </c>
      <c r="C2715" s="301" t="s">
        <v>28</v>
      </c>
      <c r="D2715" s="303">
        <v>18.41</v>
      </c>
    </row>
    <row r="2716" spans="1:4">
      <c r="A2716" s="301" t="s">
        <v>3563</v>
      </c>
      <c r="B2716" s="301" t="s">
        <v>3564</v>
      </c>
      <c r="C2716" s="301" t="s">
        <v>28</v>
      </c>
      <c r="D2716" s="303">
        <v>53.93</v>
      </c>
    </row>
    <row r="2717" spans="1:4">
      <c r="A2717" s="301" t="s">
        <v>3565</v>
      </c>
      <c r="B2717" s="301" t="s">
        <v>994</v>
      </c>
      <c r="C2717" s="301" t="s">
        <v>28</v>
      </c>
      <c r="D2717" s="303">
        <v>77.959999999999994</v>
      </c>
    </row>
    <row r="2718" spans="1:4">
      <c r="A2718" s="301" t="s">
        <v>3566</v>
      </c>
      <c r="B2718" s="301" t="s">
        <v>142</v>
      </c>
      <c r="C2718" s="301" t="s">
        <v>28</v>
      </c>
      <c r="D2718" s="303">
        <v>103.9</v>
      </c>
    </row>
    <row r="2719" spans="1:4">
      <c r="A2719" s="301" t="s">
        <v>3567</v>
      </c>
      <c r="B2719" s="301" t="s">
        <v>3568</v>
      </c>
      <c r="C2719" s="301" t="s">
        <v>28</v>
      </c>
      <c r="D2719" s="303">
        <v>294.04000000000002</v>
      </c>
    </row>
    <row r="2720" spans="1:4">
      <c r="A2720" s="301" t="s">
        <v>3569</v>
      </c>
      <c r="B2720" s="301" t="s">
        <v>3570</v>
      </c>
      <c r="C2720" s="301" t="s">
        <v>28</v>
      </c>
      <c r="D2720" s="303">
        <v>759.75</v>
      </c>
    </row>
    <row r="2721" spans="1:4">
      <c r="A2721" s="301" t="s">
        <v>3571</v>
      </c>
      <c r="B2721" s="301" t="s">
        <v>143</v>
      </c>
      <c r="C2721" s="301" t="s">
        <v>28</v>
      </c>
      <c r="D2721" s="304">
        <v>1038.2</v>
      </c>
    </row>
    <row r="2722" spans="1:4">
      <c r="A2722" s="301" t="s">
        <v>3572</v>
      </c>
      <c r="B2722" s="301" t="s">
        <v>3573</v>
      </c>
      <c r="C2722" s="301" t="s">
        <v>28</v>
      </c>
      <c r="D2722" s="304">
        <v>1700.5</v>
      </c>
    </row>
    <row r="2723" spans="1:4">
      <c r="A2723" s="301" t="s">
        <v>3574</v>
      </c>
      <c r="B2723" s="301" t="s">
        <v>3575</v>
      </c>
      <c r="C2723" s="301" t="s">
        <v>28</v>
      </c>
      <c r="D2723" s="303">
        <v>459.54</v>
      </c>
    </row>
    <row r="2724" spans="1:4">
      <c r="A2724" s="301" t="s">
        <v>3576</v>
      </c>
      <c r="B2724" s="301" t="s">
        <v>3577</v>
      </c>
      <c r="C2724" s="301" t="s">
        <v>28</v>
      </c>
      <c r="D2724" s="303">
        <v>58.02</v>
      </c>
    </row>
    <row r="2725" spans="1:4">
      <c r="A2725" s="301" t="s">
        <v>3578</v>
      </c>
      <c r="B2725" s="301" t="s">
        <v>3579</v>
      </c>
      <c r="C2725" s="301" t="s">
        <v>28</v>
      </c>
      <c r="D2725" s="303">
        <v>405.54</v>
      </c>
    </row>
    <row r="2726" spans="1:4">
      <c r="A2726" s="301" t="s">
        <v>3580</v>
      </c>
      <c r="B2726" s="301" t="s">
        <v>413</v>
      </c>
      <c r="C2726" s="301" t="s">
        <v>28</v>
      </c>
      <c r="D2726" s="303">
        <v>466.34</v>
      </c>
    </row>
    <row r="2727" spans="1:4">
      <c r="A2727" s="301" t="s">
        <v>3581</v>
      </c>
      <c r="B2727" s="301" t="s">
        <v>992</v>
      </c>
      <c r="C2727" s="301" t="s">
        <v>28</v>
      </c>
      <c r="D2727" s="303">
        <v>536.97</v>
      </c>
    </row>
    <row r="2728" spans="1:4">
      <c r="A2728" s="301" t="s">
        <v>3582</v>
      </c>
      <c r="B2728" s="301" t="s">
        <v>3583</v>
      </c>
      <c r="C2728" s="301" t="s">
        <v>28</v>
      </c>
      <c r="D2728" s="303">
        <v>746.63</v>
      </c>
    </row>
    <row r="2729" spans="1:4">
      <c r="A2729" s="301" t="s">
        <v>3584</v>
      </c>
      <c r="B2729" s="301" t="s">
        <v>3585</v>
      </c>
      <c r="C2729" s="301" t="s">
        <v>28</v>
      </c>
      <c r="D2729" s="304">
        <v>1083.2</v>
      </c>
    </row>
    <row r="2730" spans="1:4">
      <c r="A2730" s="302">
        <v>83463</v>
      </c>
      <c r="B2730" s="301" t="s">
        <v>412</v>
      </c>
      <c r="C2730" s="301" t="s">
        <v>28</v>
      </c>
      <c r="D2730" s="303">
        <v>315.31</v>
      </c>
    </row>
    <row r="2731" spans="1:4">
      <c r="A2731" s="302">
        <v>84402</v>
      </c>
      <c r="B2731" s="301" t="s">
        <v>3586</v>
      </c>
      <c r="C2731" s="301" t="s">
        <v>28</v>
      </c>
      <c r="D2731" s="303">
        <v>66.150000000000006</v>
      </c>
    </row>
    <row r="2732" spans="1:4">
      <c r="A2732" s="302">
        <v>93653</v>
      </c>
      <c r="B2732" s="301" t="s">
        <v>3587</v>
      </c>
      <c r="C2732" s="301" t="s">
        <v>28</v>
      </c>
      <c r="D2732" s="303">
        <v>9.19</v>
      </c>
    </row>
    <row r="2733" spans="1:4">
      <c r="A2733" s="302">
        <v>93654</v>
      </c>
      <c r="B2733" s="301" t="s">
        <v>414</v>
      </c>
      <c r="C2733" s="301" t="s">
        <v>28</v>
      </c>
      <c r="D2733" s="303">
        <v>9.67</v>
      </c>
    </row>
    <row r="2734" spans="1:4">
      <c r="A2734" s="302">
        <v>93655</v>
      </c>
      <c r="B2734" s="301" t="s">
        <v>140</v>
      </c>
      <c r="C2734" s="301" t="s">
        <v>28</v>
      </c>
      <c r="D2734" s="303">
        <v>10.51</v>
      </c>
    </row>
    <row r="2735" spans="1:4">
      <c r="A2735" s="302">
        <v>93656</v>
      </c>
      <c r="B2735" s="301" t="s">
        <v>3588</v>
      </c>
      <c r="C2735" s="301" t="s">
        <v>28</v>
      </c>
      <c r="D2735" s="303">
        <v>10.51</v>
      </c>
    </row>
    <row r="2736" spans="1:4">
      <c r="A2736" s="302">
        <v>93657</v>
      </c>
      <c r="B2736" s="301" t="s">
        <v>3589</v>
      </c>
      <c r="C2736" s="301" t="s">
        <v>28</v>
      </c>
      <c r="D2736" s="303">
        <v>11.58</v>
      </c>
    </row>
    <row r="2737" spans="1:4">
      <c r="A2737" s="302">
        <v>93658</v>
      </c>
      <c r="B2737" s="301" t="s">
        <v>3590</v>
      </c>
      <c r="C2737" s="301" t="s">
        <v>28</v>
      </c>
      <c r="D2737" s="303">
        <v>16.79</v>
      </c>
    </row>
    <row r="2738" spans="1:4">
      <c r="A2738" s="302">
        <v>93659</v>
      </c>
      <c r="B2738" s="301" t="s">
        <v>3591</v>
      </c>
      <c r="C2738" s="301" t="s">
        <v>28</v>
      </c>
      <c r="D2738" s="303">
        <v>18.95</v>
      </c>
    </row>
    <row r="2739" spans="1:4">
      <c r="A2739" s="302">
        <v>93660</v>
      </c>
      <c r="B2739" s="301" t="s">
        <v>3592</v>
      </c>
      <c r="C2739" s="301" t="s">
        <v>28</v>
      </c>
      <c r="D2739" s="303">
        <v>45.63</v>
      </c>
    </row>
    <row r="2740" spans="1:4">
      <c r="A2740" s="302">
        <v>93661</v>
      </c>
      <c r="B2740" s="301" t="s">
        <v>993</v>
      </c>
      <c r="C2740" s="301" t="s">
        <v>28</v>
      </c>
      <c r="D2740" s="303">
        <v>46.54</v>
      </c>
    </row>
    <row r="2741" spans="1:4">
      <c r="A2741" s="302">
        <v>93662</v>
      </c>
      <c r="B2741" s="301" t="s">
        <v>141</v>
      </c>
      <c r="C2741" s="301" t="s">
        <v>28</v>
      </c>
      <c r="D2741" s="303">
        <v>48.3</v>
      </c>
    </row>
    <row r="2742" spans="1:4">
      <c r="A2742" s="302">
        <v>93663</v>
      </c>
      <c r="B2742" s="301" t="s">
        <v>3593</v>
      </c>
      <c r="C2742" s="301" t="s">
        <v>28</v>
      </c>
      <c r="D2742" s="303">
        <v>48.3</v>
      </c>
    </row>
    <row r="2743" spans="1:4">
      <c r="A2743" s="302">
        <v>93664</v>
      </c>
      <c r="B2743" s="301" t="s">
        <v>3594</v>
      </c>
      <c r="C2743" s="301" t="s">
        <v>28</v>
      </c>
      <c r="D2743" s="303">
        <v>50.41</v>
      </c>
    </row>
    <row r="2744" spans="1:4">
      <c r="A2744" s="302">
        <v>93665</v>
      </c>
      <c r="B2744" s="301" t="s">
        <v>3595</v>
      </c>
      <c r="C2744" s="301" t="s">
        <v>28</v>
      </c>
      <c r="D2744" s="303">
        <v>53.13</v>
      </c>
    </row>
    <row r="2745" spans="1:4">
      <c r="A2745" s="302">
        <v>93666</v>
      </c>
      <c r="B2745" s="301" t="s">
        <v>3596</v>
      </c>
      <c r="C2745" s="301" t="s">
        <v>28</v>
      </c>
      <c r="D2745" s="303">
        <v>57.45</v>
      </c>
    </row>
    <row r="2746" spans="1:4">
      <c r="A2746" s="302">
        <v>93667</v>
      </c>
      <c r="B2746" s="301" t="s">
        <v>3597</v>
      </c>
      <c r="C2746" s="301" t="s">
        <v>28</v>
      </c>
      <c r="D2746" s="303">
        <v>56.97</v>
      </c>
    </row>
    <row r="2747" spans="1:4">
      <c r="A2747" s="302">
        <v>93668</v>
      </c>
      <c r="B2747" s="301" t="s">
        <v>3598</v>
      </c>
      <c r="C2747" s="301" t="s">
        <v>28</v>
      </c>
      <c r="D2747" s="303">
        <v>58.35</v>
      </c>
    </row>
    <row r="2748" spans="1:4">
      <c r="A2748" s="302">
        <v>93669</v>
      </c>
      <c r="B2748" s="301" t="s">
        <v>3599</v>
      </c>
      <c r="C2748" s="301" t="s">
        <v>28</v>
      </c>
      <c r="D2748" s="303">
        <v>60.96</v>
      </c>
    </row>
    <row r="2749" spans="1:4">
      <c r="A2749" s="302">
        <v>93670</v>
      </c>
      <c r="B2749" s="301" t="s">
        <v>301</v>
      </c>
      <c r="C2749" s="301" t="s">
        <v>28</v>
      </c>
      <c r="D2749" s="303">
        <v>60.96</v>
      </c>
    </row>
    <row r="2750" spans="1:4">
      <c r="A2750" s="302">
        <v>93671</v>
      </c>
      <c r="B2750" s="301" t="s">
        <v>3600</v>
      </c>
      <c r="C2750" s="301" t="s">
        <v>28</v>
      </c>
      <c r="D2750" s="303">
        <v>64.13</v>
      </c>
    </row>
    <row r="2751" spans="1:4">
      <c r="A2751" s="302">
        <v>93672</v>
      </c>
      <c r="B2751" s="301" t="s">
        <v>302</v>
      </c>
      <c r="C2751" s="301" t="s">
        <v>28</v>
      </c>
      <c r="D2751" s="303">
        <v>69.209999999999994</v>
      </c>
    </row>
    <row r="2752" spans="1:4">
      <c r="A2752" s="302">
        <v>93673</v>
      </c>
      <c r="B2752" s="301" t="s">
        <v>3601</v>
      </c>
      <c r="C2752" s="301" t="s">
        <v>28</v>
      </c>
      <c r="D2752" s="303">
        <v>75.69</v>
      </c>
    </row>
    <row r="2753" spans="1:4">
      <c r="A2753" s="302">
        <v>72339</v>
      </c>
      <c r="B2753" s="301" t="s">
        <v>12475</v>
      </c>
      <c r="C2753" s="301" t="s">
        <v>28</v>
      </c>
      <c r="D2753" s="303">
        <v>44.19</v>
      </c>
    </row>
    <row r="2754" spans="1:4">
      <c r="A2754" s="302">
        <v>83403</v>
      </c>
      <c r="B2754" s="301" t="s">
        <v>12476</v>
      </c>
      <c r="C2754" s="301" t="s">
        <v>28</v>
      </c>
      <c r="D2754" s="303">
        <v>14.89</v>
      </c>
    </row>
    <row r="2755" spans="1:4">
      <c r="A2755" s="302">
        <v>83465</v>
      </c>
      <c r="B2755" s="301" t="s">
        <v>12477</v>
      </c>
      <c r="C2755" s="301" t="s">
        <v>28</v>
      </c>
      <c r="D2755" s="303">
        <v>37.700000000000003</v>
      </c>
    </row>
    <row r="2756" spans="1:4">
      <c r="A2756" s="302">
        <v>91945</v>
      </c>
      <c r="B2756" s="301" t="s">
        <v>3602</v>
      </c>
      <c r="C2756" s="301" t="s">
        <v>28</v>
      </c>
      <c r="D2756" s="303">
        <v>6.61</v>
      </c>
    </row>
    <row r="2757" spans="1:4">
      <c r="A2757" s="302">
        <v>91946</v>
      </c>
      <c r="B2757" s="301" t="s">
        <v>3603</v>
      </c>
      <c r="C2757" s="301" t="s">
        <v>28</v>
      </c>
      <c r="D2757" s="303">
        <v>5.42</v>
      </c>
    </row>
    <row r="2758" spans="1:4">
      <c r="A2758" s="302">
        <v>91947</v>
      </c>
      <c r="B2758" s="301" t="s">
        <v>3604</v>
      </c>
      <c r="C2758" s="301" t="s">
        <v>28</v>
      </c>
      <c r="D2758" s="303">
        <v>4.68</v>
      </c>
    </row>
    <row r="2759" spans="1:4">
      <c r="A2759" s="302">
        <v>91949</v>
      </c>
      <c r="B2759" s="301" t="s">
        <v>3605</v>
      </c>
      <c r="C2759" s="301" t="s">
        <v>28</v>
      </c>
      <c r="D2759" s="303">
        <v>9.9</v>
      </c>
    </row>
    <row r="2760" spans="1:4">
      <c r="A2760" s="302">
        <v>91950</v>
      </c>
      <c r="B2760" s="301" t="s">
        <v>3606</v>
      </c>
      <c r="C2760" s="301" t="s">
        <v>28</v>
      </c>
      <c r="D2760" s="303">
        <v>8.4600000000000009</v>
      </c>
    </row>
    <row r="2761" spans="1:4">
      <c r="A2761" s="302">
        <v>91951</v>
      </c>
      <c r="B2761" s="301" t="s">
        <v>3607</v>
      </c>
      <c r="C2761" s="301" t="s">
        <v>28</v>
      </c>
      <c r="D2761" s="303">
        <v>7.6</v>
      </c>
    </row>
    <row r="2762" spans="1:4">
      <c r="A2762" s="302">
        <v>91952</v>
      </c>
      <c r="B2762" s="301" t="s">
        <v>3608</v>
      </c>
      <c r="C2762" s="301" t="s">
        <v>28</v>
      </c>
      <c r="D2762" s="303">
        <v>12.65</v>
      </c>
    </row>
    <row r="2763" spans="1:4">
      <c r="A2763" s="302">
        <v>91953</v>
      </c>
      <c r="B2763" s="301" t="s">
        <v>137</v>
      </c>
      <c r="C2763" s="301" t="s">
        <v>28</v>
      </c>
      <c r="D2763" s="303">
        <v>18.07</v>
      </c>
    </row>
    <row r="2764" spans="1:4">
      <c r="A2764" s="302">
        <v>91954</v>
      </c>
      <c r="B2764" s="301" t="s">
        <v>3609</v>
      </c>
      <c r="C2764" s="301" t="s">
        <v>28</v>
      </c>
      <c r="D2764" s="303">
        <v>17.03</v>
      </c>
    </row>
    <row r="2765" spans="1:4">
      <c r="A2765" s="302">
        <v>91955</v>
      </c>
      <c r="B2765" s="301" t="s">
        <v>990</v>
      </c>
      <c r="C2765" s="301" t="s">
        <v>28</v>
      </c>
      <c r="D2765" s="303">
        <v>22.45</v>
      </c>
    </row>
    <row r="2766" spans="1:4">
      <c r="A2766" s="302">
        <v>91956</v>
      </c>
      <c r="B2766" s="301" t="s">
        <v>3610</v>
      </c>
      <c r="C2766" s="301" t="s">
        <v>28</v>
      </c>
      <c r="D2766" s="303">
        <v>27.47</v>
      </c>
    </row>
    <row r="2767" spans="1:4">
      <c r="A2767" s="302">
        <v>91957</v>
      </c>
      <c r="B2767" s="301" t="s">
        <v>3611</v>
      </c>
      <c r="C2767" s="301" t="s">
        <v>28</v>
      </c>
      <c r="D2767" s="303">
        <v>32.89</v>
      </c>
    </row>
    <row r="2768" spans="1:4">
      <c r="A2768" s="302">
        <v>91958</v>
      </c>
      <c r="B2768" s="301" t="s">
        <v>3612</v>
      </c>
      <c r="C2768" s="301" t="s">
        <v>28</v>
      </c>
      <c r="D2768" s="303">
        <v>23.13</v>
      </c>
    </row>
    <row r="2769" spans="1:4">
      <c r="A2769" s="302">
        <v>91959</v>
      </c>
      <c r="B2769" s="301" t="s">
        <v>138</v>
      </c>
      <c r="C2769" s="301" t="s">
        <v>28</v>
      </c>
      <c r="D2769" s="303">
        <v>28.55</v>
      </c>
    </row>
    <row r="2770" spans="1:4">
      <c r="A2770" s="302">
        <v>91960</v>
      </c>
      <c r="B2770" s="301" t="s">
        <v>3613</v>
      </c>
      <c r="C2770" s="301" t="s">
        <v>28</v>
      </c>
      <c r="D2770" s="303">
        <v>31.85</v>
      </c>
    </row>
    <row r="2771" spans="1:4">
      <c r="A2771" s="302">
        <v>91961</v>
      </c>
      <c r="B2771" s="301" t="s">
        <v>3614</v>
      </c>
      <c r="C2771" s="301" t="s">
        <v>28</v>
      </c>
      <c r="D2771" s="303">
        <v>37.270000000000003</v>
      </c>
    </row>
    <row r="2772" spans="1:4">
      <c r="A2772" s="302">
        <v>91962</v>
      </c>
      <c r="B2772" s="301" t="s">
        <v>3615</v>
      </c>
      <c r="C2772" s="301" t="s">
        <v>28</v>
      </c>
      <c r="D2772" s="303">
        <v>42.33</v>
      </c>
    </row>
    <row r="2773" spans="1:4">
      <c r="A2773" s="302">
        <v>91963</v>
      </c>
      <c r="B2773" s="301" t="s">
        <v>3616</v>
      </c>
      <c r="C2773" s="301" t="s">
        <v>28</v>
      </c>
      <c r="D2773" s="303">
        <v>47.75</v>
      </c>
    </row>
    <row r="2774" spans="1:4">
      <c r="A2774" s="302">
        <v>91964</v>
      </c>
      <c r="B2774" s="301" t="s">
        <v>3617</v>
      </c>
      <c r="C2774" s="301" t="s">
        <v>28</v>
      </c>
      <c r="D2774" s="303">
        <v>37.96</v>
      </c>
    </row>
    <row r="2775" spans="1:4">
      <c r="A2775" s="302">
        <v>91965</v>
      </c>
      <c r="B2775" s="301" t="s">
        <v>3618</v>
      </c>
      <c r="C2775" s="301" t="s">
        <v>28</v>
      </c>
      <c r="D2775" s="303">
        <v>43.38</v>
      </c>
    </row>
    <row r="2776" spans="1:4">
      <c r="A2776" s="302">
        <v>91966</v>
      </c>
      <c r="B2776" s="301" t="s">
        <v>3619</v>
      </c>
      <c r="C2776" s="301" t="s">
        <v>28</v>
      </c>
      <c r="D2776" s="303">
        <v>33.61</v>
      </c>
    </row>
    <row r="2777" spans="1:4">
      <c r="A2777" s="302">
        <v>91967</v>
      </c>
      <c r="B2777" s="301" t="s">
        <v>139</v>
      </c>
      <c r="C2777" s="301" t="s">
        <v>28</v>
      </c>
      <c r="D2777" s="303">
        <v>39.03</v>
      </c>
    </row>
    <row r="2778" spans="1:4">
      <c r="A2778" s="302">
        <v>91968</v>
      </c>
      <c r="B2778" s="301" t="s">
        <v>3620</v>
      </c>
      <c r="C2778" s="301" t="s">
        <v>28</v>
      </c>
      <c r="D2778" s="303">
        <v>46.67</v>
      </c>
    </row>
    <row r="2779" spans="1:4">
      <c r="A2779" s="302">
        <v>91969</v>
      </c>
      <c r="B2779" s="301" t="s">
        <v>3621</v>
      </c>
      <c r="C2779" s="301" t="s">
        <v>28</v>
      </c>
      <c r="D2779" s="303">
        <v>52.09</v>
      </c>
    </row>
    <row r="2780" spans="1:4">
      <c r="A2780" s="302">
        <v>91970</v>
      </c>
      <c r="B2780" s="301" t="s">
        <v>3622</v>
      </c>
      <c r="C2780" s="301" t="s">
        <v>28</v>
      </c>
      <c r="D2780" s="303">
        <v>48.69</v>
      </c>
    </row>
    <row r="2781" spans="1:4">
      <c r="A2781" s="302">
        <v>91971</v>
      </c>
      <c r="B2781" s="301" t="s">
        <v>3623</v>
      </c>
      <c r="C2781" s="301" t="s">
        <v>28</v>
      </c>
      <c r="D2781" s="303">
        <v>57.15</v>
      </c>
    </row>
    <row r="2782" spans="1:4">
      <c r="A2782" s="302">
        <v>91972</v>
      </c>
      <c r="B2782" s="301" t="s">
        <v>3624</v>
      </c>
      <c r="C2782" s="301" t="s">
        <v>28</v>
      </c>
      <c r="D2782" s="303">
        <v>53.06</v>
      </c>
    </row>
    <row r="2783" spans="1:4">
      <c r="A2783" s="302">
        <v>91973</v>
      </c>
      <c r="B2783" s="301" t="s">
        <v>3625</v>
      </c>
      <c r="C2783" s="301" t="s">
        <v>28</v>
      </c>
      <c r="D2783" s="303">
        <v>61.52</v>
      </c>
    </row>
    <row r="2784" spans="1:4">
      <c r="A2784" s="302">
        <v>91974</v>
      </c>
      <c r="B2784" s="301" t="s">
        <v>3626</v>
      </c>
      <c r="C2784" s="301" t="s">
        <v>28</v>
      </c>
      <c r="D2784" s="303">
        <v>44.3</v>
      </c>
    </row>
    <row r="2785" spans="1:4">
      <c r="A2785" s="302">
        <v>91975</v>
      </c>
      <c r="B2785" s="301" t="s">
        <v>3627</v>
      </c>
      <c r="C2785" s="301" t="s">
        <v>28</v>
      </c>
      <c r="D2785" s="303">
        <v>52.76</v>
      </c>
    </row>
    <row r="2786" spans="1:4">
      <c r="A2786" s="302">
        <v>91976</v>
      </c>
      <c r="B2786" s="301" t="s">
        <v>3628</v>
      </c>
      <c r="C2786" s="301" t="s">
        <v>28</v>
      </c>
      <c r="D2786" s="303">
        <v>65.34</v>
      </c>
    </row>
    <row r="2787" spans="1:4">
      <c r="A2787" s="302">
        <v>91977</v>
      </c>
      <c r="B2787" s="301" t="s">
        <v>3629</v>
      </c>
      <c r="C2787" s="301" t="s">
        <v>28</v>
      </c>
      <c r="D2787" s="303">
        <v>73.8</v>
      </c>
    </row>
    <row r="2788" spans="1:4">
      <c r="A2788" s="302">
        <v>91978</v>
      </c>
      <c r="B2788" s="301" t="s">
        <v>3630</v>
      </c>
      <c r="C2788" s="301" t="s">
        <v>28</v>
      </c>
      <c r="D2788" s="303">
        <v>26.58</v>
      </c>
    </row>
    <row r="2789" spans="1:4">
      <c r="A2789" s="302">
        <v>91979</v>
      </c>
      <c r="B2789" s="301" t="s">
        <v>3631</v>
      </c>
      <c r="C2789" s="301" t="s">
        <v>28</v>
      </c>
      <c r="D2789" s="303">
        <v>32</v>
      </c>
    </row>
    <row r="2790" spans="1:4">
      <c r="A2790" s="302">
        <v>91980</v>
      </c>
      <c r="B2790" s="301" t="s">
        <v>3632</v>
      </c>
      <c r="C2790" s="301" t="s">
        <v>28</v>
      </c>
      <c r="D2790" s="303">
        <v>25.79</v>
      </c>
    </row>
    <row r="2791" spans="1:4">
      <c r="A2791" s="302">
        <v>91981</v>
      </c>
      <c r="B2791" s="301" t="s">
        <v>3633</v>
      </c>
      <c r="C2791" s="301" t="s">
        <v>28</v>
      </c>
      <c r="D2791" s="303">
        <v>31.21</v>
      </c>
    </row>
    <row r="2792" spans="1:4">
      <c r="A2792" s="302">
        <v>91982</v>
      </c>
      <c r="B2792" s="301" t="s">
        <v>3634</v>
      </c>
      <c r="C2792" s="301" t="s">
        <v>28</v>
      </c>
      <c r="D2792" s="303">
        <v>58.11</v>
      </c>
    </row>
    <row r="2793" spans="1:4">
      <c r="A2793" s="302">
        <v>91983</v>
      </c>
      <c r="B2793" s="301" t="s">
        <v>3635</v>
      </c>
      <c r="C2793" s="301" t="s">
        <v>28</v>
      </c>
      <c r="D2793" s="303">
        <v>63.53</v>
      </c>
    </row>
    <row r="2794" spans="1:4">
      <c r="A2794" s="302">
        <v>91984</v>
      </c>
      <c r="B2794" s="301" t="s">
        <v>3636</v>
      </c>
      <c r="C2794" s="301" t="s">
        <v>28</v>
      </c>
      <c r="D2794" s="303">
        <v>11.93</v>
      </c>
    </row>
    <row r="2795" spans="1:4">
      <c r="A2795" s="302">
        <v>91985</v>
      </c>
      <c r="B2795" s="301" t="s">
        <v>3637</v>
      </c>
      <c r="C2795" s="301" t="s">
        <v>28</v>
      </c>
      <c r="D2795" s="303">
        <v>17.350000000000001</v>
      </c>
    </row>
    <row r="2796" spans="1:4">
      <c r="A2796" s="302">
        <v>91986</v>
      </c>
      <c r="B2796" s="301" t="s">
        <v>3638</v>
      </c>
      <c r="C2796" s="301" t="s">
        <v>28</v>
      </c>
      <c r="D2796" s="303">
        <v>24.77</v>
      </c>
    </row>
    <row r="2797" spans="1:4">
      <c r="A2797" s="302">
        <v>91987</v>
      </c>
      <c r="B2797" s="301" t="s">
        <v>3639</v>
      </c>
      <c r="C2797" s="301" t="s">
        <v>28</v>
      </c>
      <c r="D2797" s="303">
        <v>30.19</v>
      </c>
    </row>
    <row r="2798" spans="1:4">
      <c r="A2798" s="302">
        <v>91988</v>
      </c>
      <c r="B2798" s="301" t="s">
        <v>3640</v>
      </c>
      <c r="C2798" s="301" t="s">
        <v>28</v>
      </c>
      <c r="D2798" s="303">
        <v>14.57</v>
      </c>
    </row>
    <row r="2799" spans="1:4">
      <c r="A2799" s="302">
        <v>91989</v>
      </c>
      <c r="B2799" s="301" t="s">
        <v>3641</v>
      </c>
      <c r="C2799" s="301" t="s">
        <v>28</v>
      </c>
      <c r="D2799" s="303">
        <v>19.989999999999998</v>
      </c>
    </row>
    <row r="2800" spans="1:4">
      <c r="A2800" s="302">
        <v>91990</v>
      </c>
      <c r="B2800" s="301" t="s">
        <v>3642</v>
      </c>
      <c r="C2800" s="301" t="s">
        <v>28</v>
      </c>
      <c r="D2800" s="303">
        <v>23.12</v>
      </c>
    </row>
    <row r="2801" spans="1:4">
      <c r="A2801" s="302">
        <v>91991</v>
      </c>
      <c r="B2801" s="301" t="s">
        <v>3643</v>
      </c>
      <c r="C2801" s="301" t="s">
        <v>28</v>
      </c>
      <c r="D2801" s="303">
        <v>24.55</v>
      </c>
    </row>
    <row r="2802" spans="1:4">
      <c r="A2802" s="302">
        <v>91992</v>
      </c>
      <c r="B2802" s="301" t="s">
        <v>410</v>
      </c>
      <c r="C2802" s="301" t="s">
        <v>28</v>
      </c>
      <c r="D2802" s="303">
        <v>28.54</v>
      </c>
    </row>
    <row r="2803" spans="1:4">
      <c r="A2803" s="302">
        <v>91993</v>
      </c>
      <c r="B2803" s="301" t="s">
        <v>411</v>
      </c>
      <c r="C2803" s="301" t="s">
        <v>28</v>
      </c>
      <c r="D2803" s="303">
        <v>29.97</v>
      </c>
    </row>
    <row r="2804" spans="1:4">
      <c r="A2804" s="302">
        <v>91994</v>
      </c>
      <c r="B2804" s="301" t="s">
        <v>3644</v>
      </c>
      <c r="C2804" s="301" t="s">
        <v>28</v>
      </c>
      <c r="D2804" s="303">
        <v>16.29</v>
      </c>
    </row>
    <row r="2805" spans="1:4">
      <c r="A2805" s="302">
        <v>91995</v>
      </c>
      <c r="B2805" s="301" t="s">
        <v>3645</v>
      </c>
      <c r="C2805" s="301" t="s">
        <v>28</v>
      </c>
      <c r="D2805" s="303">
        <v>17.72</v>
      </c>
    </row>
    <row r="2806" spans="1:4">
      <c r="A2806" s="302">
        <v>91996</v>
      </c>
      <c r="B2806" s="301" t="s">
        <v>409</v>
      </c>
      <c r="C2806" s="301" t="s">
        <v>28</v>
      </c>
      <c r="D2806" s="303">
        <v>21.71</v>
      </c>
    </row>
    <row r="2807" spans="1:4">
      <c r="A2807" s="302">
        <v>91997</v>
      </c>
      <c r="B2807" s="301" t="s">
        <v>3646</v>
      </c>
      <c r="C2807" s="301" t="s">
        <v>28</v>
      </c>
      <c r="D2807" s="303">
        <v>23.14</v>
      </c>
    </row>
    <row r="2808" spans="1:4">
      <c r="A2808" s="302">
        <v>91998</v>
      </c>
      <c r="B2808" s="301" t="s">
        <v>3647</v>
      </c>
      <c r="C2808" s="301" t="s">
        <v>28</v>
      </c>
      <c r="D2808" s="303">
        <v>13.64</v>
      </c>
    </row>
    <row r="2809" spans="1:4">
      <c r="A2809" s="302">
        <v>91999</v>
      </c>
      <c r="B2809" s="301" t="s">
        <v>3648</v>
      </c>
      <c r="C2809" s="301" t="s">
        <v>28</v>
      </c>
      <c r="D2809" s="303">
        <v>15.07</v>
      </c>
    </row>
    <row r="2810" spans="1:4">
      <c r="A2810" s="302">
        <v>92000</v>
      </c>
      <c r="B2810" s="301" t="s">
        <v>408</v>
      </c>
      <c r="C2810" s="301" t="s">
        <v>28</v>
      </c>
      <c r="D2810" s="303">
        <v>19.059999999999999</v>
      </c>
    </row>
    <row r="2811" spans="1:4">
      <c r="A2811" s="302">
        <v>92001</v>
      </c>
      <c r="B2811" s="301" t="s">
        <v>3649</v>
      </c>
      <c r="C2811" s="301" t="s">
        <v>28</v>
      </c>
      <c r="D2811" s="303">
        <v>20.49</v>
      </c>
    </row>
    <row r="2812" spans="1:4">
      <c r="A2812" s="302">
        <v>92002</v>
      </c>
      <c r="B2812" s="301" t="s">
        <v>3650</v>
      </c>
      <c r="C2812" s="301" t="s">
        <v>28</v>
      </c>
      <c r="D2812" s="303">
        <v>30.37</v>
      </c>
    </row>
    <row r="2813" spans="1:4">
      <c r="A2813" s="302">
        <v>92003</v>
      </c>
      <c r="B2813" s="301" t="s">
        <v>3651</v>
      </c>
      <c r="C2813" s="301" t="s">
        <v>28</v>
      </c>
      <c r="D2813" s="303">
        <v>33.229999999999997</v>
      </c>
    </row>
    <row r="2814" spans="1:4">
      <c r="A2814" s="302">
        <v>92004</v>
      </c>
      <c r="B2814" s="301" t="s">
        <v>3652</v>
      </c>
      <c r="C2814" s="301" t="s">
        <v>28</v>
      </c>
      <c r="D2814" s="303">
        <v>35.79</v>
      </c>
    </row>
    <row r="2815" spans="1:4">
      <c r="A2815" s="302">
        <v>92005</v>
      </c>
      <c r="B2815" s="301" t="s">
        <v>3653</v>
      </c>
      <c r="C2815" s="301" t="s">
        <v>28</v>
      </c>
      <c r="D2815" s="303">
        <v>38.65</v>
      </c>
    </row>
    <row r="2816" spans="1:4">
      <c r="A2816" s="302">
        <v>92006</v>
      </c>
      <c r="B2816" s="301" t="s">
        <v>3654</v>
      </c>
      <c r="C2816" s="301" t="s">
        <v>28</v>
      </c>
      <c r="D2816" s="303">
        <v>25.06</v>
      </c>
    </row>
    <row r="2817" spans="1:4">
      <c r="A2817" s="302">
        <v>92007</v>
      </c>
      <c r="B2817" s="301" t="s">
        <v>3655</v>
      </c>
      <c r="C2817" s="301" t="s">
        <v>28</v>
      </c>
      <c r="D2817" s="303">
        <v>27.92</v>
      </c>
    </row>
    <row r="2818" spans="1:4">
      <c r="A2818" s="302">
        <v>92008</v>
      </c>
      <c r="B2818" s="301" t="s">
        <v>3656</v>
      </c>
      <c r="C2818" s="301" t="s">
        <v>28</v>
      </c>
      <c r="D2818" s="303">
        <v>30.48</v>
      </c>
    </row>
    <row r="2819" spans="1:4">
      <c r="A2819" s="302">
        <v>92009</v>
      </c>
      <c r="B2819" s="301" t="s">
        <v>3657</v>
      </c>
      <c r="C2819" s="301" t="s">
        <v>28</v>
      </c>
      <c r="D2819" s="303">
        <v>33.340000000000003</v>
      </c>
    </row>
    <row r="2820" spans="1:4">
      <c r="A2820" s="302">
        <v>92010</v>
      </c>
      <c r="B2820" s="301" t="s">
        <v>3658</v>
      </c>
      <c r="C2820" s="301" t="s">
        <v>28</v>
      </c>
      <c r="D2820" s="303">
        <v>44.45</v>
      </c>
    </row>
    <row r="2821" spans="1:4">
      <c r="A2821" s="302">
        <v>92011</v>
      </c>
      <c r="B2821" s="301" t="s">
        <v>3659</v>
      </c>
      <c r="C2821" s="301" t="s">
        <v>28</v>
      </c>
      <c r="D2821" s="303">
        <v>48.74</v>
      </c>
    </row>
    <row r="2822" spans="1:4">
      <c r="A2822" s="302">
        <v>92012</v>
      </c>
      <c r="B2822" s="301" t="s">
        <v>3660</v>
      </c>
      <c r="C2822" s="301" t="s">
        <v>28</v>
      </c>
      <c r="D2822" s="303">
        <v>49.87</v>
      </c>
    </row>
    <row r="2823" spans="1:4">
      <c r="A2823" s="302">
        <v>92013</v>
      </c>
      <c r="B2823" s="301" t="s">
        <v>3661</v>
      </c>
      <c r="C2823" s="301" t="s">
        <v>28</v>
      </c>
      <c r="D2823" s="303">
        <v>54.16</v>
      </c>
    </row>
    <row r="2824" spans="1:4">
      <c r="A2824" s="302">
        <v>92014</v>
      </c>
      <c r="B2824" s="301" t="s">
        <v>3662</v>
      </c>
      <c r="C2824" s="301" t="s">
        <v>28</v>
      </c>
      <c r="D2824" s="303">
        <v>36.49</v>
      </c>
    </row>
    <row r="2825" spans="1:4">
      <c r="A2825" s="302">
        <v>92015</v>
      </c>
      <c r="B2825" s="301" t="s">
        <v>3663</v>
      </c>
      <c r="C2825" s="301" t="s">
        <v>28</v>
      </c>
      <c r="D2825" s="303">
        <v>40.78</v>
      </c>
    </row>
    <row r="2826" spans="1:4">
      <c r="A2826" s="302">
        <v>92016</v>
      </c>
      <c r="B2826" s="301" t="s">
        <v>3664</v>
      </c>
      <c r="C2826" s="301" t="s">
        <v>28</v>
      </c>
      <c r="D2826" s="303">
        <v>41.91</v>
      </c>
    </row>
    <row r="2827" spans="1:4">
      <c r="A2827" s="302">
        <v>92017</v>
      </c>
      <c r="B2827" s="301" t="s">
        <v>3665</v>
      </c>
      <c r="C2827" s="301" t="s">
        <v>28</v>
      </c>
      <c r="D2827" s="303">
        <v>46.2</v>
      </c>
    </row>
    <row r="2828" spans="1:4">
      <c r="A2828" s="302">
        <v>92018</v>
      </c>
      <c r="B2828" s="301" t="s">
        <v>3666</v>
      </c>
      <c r="C2828" s="301" t="s">
        <v>28</v>
      </c>
      <c r="D2828" s="303">
        <v>48.27</v>
      </c>
    </row>
    <row r="2829" spans="1:4">
      <c r="A2829" s="302">
        <v>92019</v>
      </c>
      <c r="B2829" s="301" t="s">
        <v>3667</v>
      </c>
      <c r="C2829" s="301" t="s">
        <v>28</v>
      </c>
      <c r="D2829" s="303">
        <v>56.73</v>
      </c>
    </row>
    <row r="2830" spans="1:4">
      <c r="A2830" s="302">
        <v>92020</v>
      </c>
      <c r="B2830" s="301" t="s">
        <v>3668</v>
      </c>
      <c r="C2830" s="301" t="s">
        <v>28</v>
      </c>
      <c r="D2830" s="303">
        <v>71.319999999999993</v>
      </c>
    </row>
    <row r="2831" spans="1:4">
      <c r="A2831" s="302">
        <v>92021</v>
      </c>
      <c r="B2831" s="301" t="s">
        <v>3669</v>
      </c>
      <c r="C2831" s="301" t="s">
        <v>28</v>
      </c>
      <c r="D2831" s="303">
        <v>79.78</v>
      </c>
    </row>
    <row r="2832" spans="1:4">
      <c r="A2832" s="302">
        <v>92022</v>
      </c>
      <c r="B2832" s="301" t="s">
        <v>3670</v>
      </c>
      <c r="C2832" s="301" t="s">
        <v>28</v>
      </c>
      <c r="D2832" s="303">
        <v>26.73</v>
      </c>
    </row>
    <row r="2833" spans="1:4">
      <c r="A2833" s="302">
        <v>92023</v>
      </c>
      <c r="B2833" s="301" t="s">
        <v>991</v>
      </c>
      <c r="C2833" s="301" t="s">
        <v>28</v>
      </c>
      <c r="D2833" s="303">
        <v>32.15</v>
      </c>
    </row>
    <row r="2834" spans="1:4">
      <c r="A2834" s="302">
        <v>92024</v>
      </c>
      <c r="B2834" s="301" t="s">
        <v>3671</v>
      </c>
      <c r="C2834" s="301" t="s">
        <v>28</v>
      </c>
      <c r="D2834" s="303">
        <v>40.85</v>
      </c>
    </row>
    <row r="2835" spans="1:4">
      <c r="A2835" s="302">
        <v>92025</v>
      </c>
      <c r="B2835" s="301" t="s">
        <v>3672</v>
      </c>
      <c r="C2835" s="301" t="s">
        <v>28</v>
      </c>
      <c r="D2835" s="303">
        <v>46.27</v>
      </c>
    </row>
    <row r="2836" spans="1:4">
      <c r="A2836" s="302">
        <v>92026</v>
      </c>
      <c r="B2836" s="301" t="s">
        <v>3673</v>
      </c>
      <c r="C2836" s="301" t="s">
        <v>28</v>
      </c>
      <c r="D2836" s="303">
        <v>37.22</v>
      </c>
    </row>
    <row r="2837" spans="1:4">
      <c r="A2837" s="302">
        <v>92027</v>
      </c>
      <c r="B2837" s="301" t="s">
        <v>3674</v>
      </c>
      <c r="C2837" s="301" t="s">
        <v>28</v>
      </c>
      <c r="D2837" s="303">
        <v>42.64</v>
      </c>
    </row>
    <row r="2838" spans="1:4">
      <c r="A2838" s="302">
        <v>92028</v>
      </c>
      <c r="B2838" s="301" t="s">
        <v>3675</v>
      </c>
      <c r="C2838" s="301" t="s">
        <v>28</v>
      </c>
      <c r="D2838" s="303">
        <v>31.11</v>
      </c>
    </row>
    <row r="2839" spans="1:4">
      <c r="A2839" s="302">
        <v>92029</v>
      </c>
      <c r="B2839" s="301" t="s">
        <v>3676</v>
      </c>
      <c r="C2839" s="301" t="s">
        <v>28</v>
      </c>
      <c r="D2839" s="303">
        <v>36.53</v>
      </c>
    </row>
    <row r="2840" spans="1:4">
      <c r="A2840" s="302">
        <v>92030</v>
      </c>
      <c r="B2840" s="301" t="s">
        <v>3677</v>
      </c>
      <c r="C2840" s="301" t="s">
        <v>28</v>
      </c>
      <c r="D2840" s="303">
        <v>45.19</v>
      </c>
    </row>
    <row r="2841" spans="1:4">
      <c r="A2841" s="302">
        <v>92031</v>
      </c>
      <c r="B2841" s="301" t="s">
        <v>3678</v>
      </c>
      <c r="C2841" s="301" t="s">
        <v>28</v>
      </c>
      <c r="D2841" s="303">
        <v>50.61</v>
      </c>
    </row>
    <row r="2842" spans="1:4">
      <c r="A2842" s="302">
        <v>92032</v>
      </c>
      <c r="B2842" s="301" t="s">
        <v>3679</v>
      </c>
      <c r="C2842" s="301" t="s">
        <v>28</v>
      </c>
      <c r="D2842" s="303">
        <v>45.93</v>
      </c>
    </row>
    <row r="2843" spans="1:4">
      <c r="A2843" s="302">
        <v>92033</v>
      </c>
      <c r="B2843" s="301" t="s">
        <v>3680</v>
      </c>
      <c r="C2843" s="301" t="s">
        <v>28</v>
      </c>
      <c r="D2843" s="303">
        <v>51.35</v>
      </c>
    </row>
    <row r="2844" spans="1:4">
      <c r="A2844" s="302">
        <v>92034</v>
      </c>
      <c r="B2844" s="301" t="s">
        <v>3681</v>
      </c>
      <c r="C2844" s="301" t="s">
        <v>28</v>
      </c>
      <c r="D2844" s="303">
        <v>41.59</v>
      </c>
    </row>
    <row r="2845" spans="1:4">
      <c r="A2845" s="302">
        <v>92035</v>
      </c>
      <c r="B2845" s="301" t="s">
        <v>3682</v>
      </c>
      <c r="C2845" s="301" t="s">
        <v>28</v>
      </c>
      <c r="D2845" s="303">
        <v>47.01</v>
      </c>
    </row>
    <row r="2846" spans="1:4">
      <c r="A2846" s="302">
        <v>72278</v>
      </c>
      <c r="B2846" s="301" t="s">
        <v>3683</v>
      </c>
      <c r="C2846" s="301" t="s">
        <v>28</v>
      </c>
      <c r="D2846" s="303">
        <v>62.16</v>
      </c>
    </row>
    <row r="2847" spans="1:4">
      <c r="A2847" s="302">
        <v>72280</v>
      </c>
      <c r="B2847" s="301" t="s">
        <v>3684</v>
      </c>
      <c r="C2847" s="301" t="s">
        <v>28</v>
      </c>
      <c r="D2847" s="303">
        <v>41.46</v>
      </c>
    </row>
    <row r="2848" spans="1:4">
      <c r="A2848" s="301" t="s">
        <v>12478</v>
      </c>
      <c r="B2848" s="301" t="s">
        <v>12479</v>
      </c>
      <c r="C2848" s="301" t="s">
        <v>28</v>
      </c>
      <c r="D2848" s="303">
        <v>137.31</v>
      </c>
    </row>
    <row r="2849" spans="1:4">
      <c r="A2849" s="301" t="s">
        <v>12480</v>
      </c>
      <c r="B2849" s="301" t="s">
        <v>12481</v>
      </c>
      <c r="C2849" s="301" t="s">
        <v>28</v>
      </c>
      <c r="D2849" s="303">
        <v>181.55</v>
      </c>
    </row>
    <row r="2850" spans="1:4">
      <c r="A2850" s="301" t="s">
        <v>12482</v>
      </c>
      <c r="B2850" s="301" t="s">
        <v>12483</v>
      </c>
      <c r="C2850" s="301" t="s">
        <v>28</v>
      </c>
      <c r="D2850" s="303">
        <v>51.98</v>
      </c>
    </row>
    <row r="2851" spans="1:4">
      <c r="A2851" s="302">
        <v>83391</v>
      </c>
      <c r="B2851" s="301" t="s">
        <v>12484</v>
      </c>
      <c r="C2851" s="301" t="s">
        <v>28</v>
      </c>
      <c r="D2851" s="303">
        <v>28.08</v>
      </c>
    </row>
    <row r="2852" spans="1:4">
      <c r="A2852" s="302">
        <v>83392</v>
      </c>
      <c r="B2852" s="301" t="s">
        <v>12485</v>
      </c>
      <c r="C2852" s="301" t="s">
        <v>28</v>
      </c>
      <c r="D2852" s="303">
        <v>20.66</v>
      </c>
    </row>
    <row r="2853" spans="1:4">
      <c r="A2853" s="302">
        <v>83393</v>
      </c>
      <c r="B2853" s="301" t="s">
        <v>12486</v>
      </c>
      <c r="C2853" s="301" t="s">
        <v>28</v>
      </c>
      <c r="D2853" s="303">
        <v>26.58</v>
      </c>
    </row>
    <row r="2854" spans="1:4">
      <c r="A2854" s="302">
        <v>83470</v>
      </c>
      <c r="B2854" s="301" t="s">
        <v>12487</v>
      </c>
      <c r="C2854" s="301" t="s">
        <v>28</v>
      </c>
      <c r="D2854" s="303">
        <v>57.38</v>
      </c>
    </row>
    <row r="2855" spans="1:4">
      <c r="A2855" s="302">
        <v>93040</v>
      </c>
      <c r="B2855" s="301" t="s">
        <v>12488</v>
      </c>
      <c r="C2855" s="301" t="s">
        <v>28</v>
      </c>
      <c r="D2855" s="303">
        <v>9.52</v>
      </c>
    </row>
    <row r="2856" spans="1:4">
      <c r="A2856" s="302">
        <v>93041</v>
      </c>
      <c r="B2856" s="301" t="s">
        <v>12489</v>
      </c>
      <c r="C2856" s="301" t="s">
        <v>28</v>
      </c>
      <c r="D2856" s="303">
        <v>56.91</v>
      </c>
    </row>
    <row r="2857" spans="1:4">
      <c r="A2857" s="302">
        <v>93043</v>
      </c>
      <c r="B2857" s="301" t="s">
        <v>14236</v>
      </c>
      <c r="C2857" s="301" t="s">
        <v>28</v>
      </c>
      <c r="D2857" s="303">
        <v>24.61</v>
      </c>
    </row>
    <row r="2858" spans="1:4">
      <c r="A2858" s="302">
        <v>93044</v>
      </c>
      <c r="B2858" s="301" t="s">
        <v>12490</v>
      </c>
      <c r="C2858" s="301" t="s">
        <v>28</v>
      </c>
      <c r="D2858" s="303">
        <v>10.64</v>
      </c>
    </row>
    <row r="2859" spans="1:4">
      <c r="A2859" s="302">
        <v>93045</v>
      </c>
      <c r="B2859" s="301" t="s">
        <v>12491</v>
      </c>
      <c r="C2859" s="301" t="s">
        <v>28</v>
      </c>
      <c r="D2859" s="303">
        <v>32.159999999999997</v>
      </c>
    </row>
    <row r="2860" spans="1:4">
      <c r="A2860" s="302">
        <v>97583</v>
      </c>
      <c r="B2860" s="301" t="s">
        <v>12492</v>
      </c>
      <c r="C2860" s="301" t="s">
        <v>28</v>
      </c>
      <c r="D2860" s="303">
        <v>43.64</v>
      </c>
    </row>
    <row r="2861" spans="1:4">
      <c r="A2861" s="302">
        <v>97584</v>
      </c>
      <c r="B2861" s="301" t="s">
        <v>12493</v>
      </c>
      <c r="C2861" s="301" t="s">
        <v>28</v>
      </c>
      <c r="D2861" s="303">
        <v>59.7</v>
      </c>
    </row>
    <row r="2862" spans="1:4">
      <c r="A2862" s="302">
        <v>97585</v>
      </c>
      <c r="B2862" s="301" t="s">
        <v>12494</v>
      </c>
      <c r="C2862" s="301" t="s">
        <v>28</v>
      </c>
      <c r="D2862" s="303">
        <v>59.56</v>
      </c>
    </row>
    <row r="2863" spans="1:4">
      <c r="A2863" s="302">
        <v>97586</v>
      </c>
      <c r="B2863" s="301" t="s">
        <v>12495</v>
      </c>
      <c r="C2863" s="301" t="s">
        <v>28</v>
      </c>
      <c r="D2863" s="303">
        <v>78.95</v>
      </c>
    </row>
    <row r="2864" spans="1:4">
      <c r="A2864" s="302">
        <v>97587</v>
      </c>
      <c r="B2864" s="301" t="s">
        <v>12496</v>
      </c>
      <c r="C2864" s="301" t="s">
        <v>28</v>
      </c>
      <c r="D2864" s="303">
        <v>136.29</v>
      </c>
    </row>
    <row r="2865" spans="1:4">
      <c r="A2865" s="302">
        <v>97589</v>
      </c>
      <c r="B2865" s="301" t="s">
        <v>12497</v>
      </c>
      <c r="C2865" s="301" t="s">
        <v>28</v>
      </c>
      <c r="D2865" s="303">
        <v>25.62</v>
      </c>
    </row>
    <row r="2866" spans="1:4">
      <c r="A2866" s="302">
        <v>97590</v>
      </c>
      <c r="B2866" s="301" t="s">
        <v>12498</v>
      </c>
      <c r="C2866" s="301" t="s">
        <v>28</v>
      </c>
      <c r="D2866" s="303">
        <v>52.42</v>
      </c>
    </row>
    <row r="2867" spans="1:4">
      <c r="A2867" s="302">
        <v>97591</v>
      </c>
      <c r="B2867" s="301" t="s">
        <v>12499</v>
      </c>
      <c r="C2867" s="301" t="s">
        <v>28</v>
      </c>
      <c r="D2867" s="303">
        <v>69.33</v>
      </c>
    </row>
    <row r="2868" spans="1:4">
      <c r="A2868" s="302">
        <v>97592</v>
      </c>
      <c r="B2868" s="301" t="s">
        <v>12500</v>
      </c>
      <c r="C2868" s="301" t="s">
        <v>28</v>
      </c>
      <c r="D2868" s="303">
        <v>96.93</v>
      </c>
    </row>
    <row r="2869" spans="1:4">
      <c r="A2869" s="302">
        <v>97593</v>
      </c>
      <c r="B2869" s="301" t="s">
        <v>12501</v>
      </c>
      <c r="C2869" s="301" t="s">
        <v>28</v>
      </c>
      <c r="D2869" s="303">
        <v>72.16</v>
      </c>
    </row>
    <row r="2870" spans="1:4">
      <c r="A2870" s="302">
        <v>97594</v>
      </c>
      <c r="B2870" s="301" t="s">
        <v>12502</v>
      </c>
      <c r="C2870" s="301" t="s">
        <v>28</v>
      </c>
      <c r="D2870" s="303">
        <v>68.599999999999994</v>
      </c>
    </row>
    <row r="2871" spans="1:4">
      <c r="A2871" s="302">
        <v>97595</v>
      </c>
      <c r="B2871" s="301" t="s">
        <v>12503</v>
      </c>
      <c r="C2871" s="301" t="s">
        <v>28</v>
      </c>
      <c r="D2871" s="303">
        <v>48.12</v>
      </c>
    </row>
    <row r="2872" spans="1:4">
      <c r="A2872" s="302">
        <v>97596</v>
      </c>
      <c r="B2872" s="301" t="s">
        <v>12504</v>
      </c>
      <c r="C2872" s="301" t="s">
        <v>28</v>
      </c>
      <c r="D2872" s="303">
        <v>33.65</v>
      </c>
    </row>
    <row r="2873" spans="1:4">
      <c r="A2873" s="302">
        <v>97597</v>
      </c>
      <c r="B2873" s="301" t="s">
        <v>12505</v>
      </c>
      <c r="C2873" s="301" t="s">
        <v>28</v>
      </c>
      <c r="D2873" s="303">
        <v>41.7</v>
      </c>
    </row>
    <row r="2874" spans="1:4">
      <c r="A2874" s="302">
        <v>97598</v>
      </c>
      <c r="B2874" s="301" t="s">
        <v>12506</v>
      </c>
      <c r="C2874" s="301" t="s">
        <v>28</v>
      </c>
      <c r="D2874" s="303">
        <v>39.85</v>
      </c>
    </row>
    <row r="2875" spans="1:4">
      <c r="A2875" s="302">
        <v>97599</v>
      </c>
      <c r="B2875" s="301" t="s">
        <v>12507</v>
      </c>
      <c r="C2875" s="301" t="s">
        <v>28</v>
      </c>
      <c r="D2875" s="303">
        <v>36.9</v>
      </c>
    </row>
    <row r="2876" spans="1:4">
      <c r="A2876" s="302">
        <v>97609</v>
      </c>
      <c r="B2876" s="301" t="s">
        <v>12508</v>
      </c>
      <c r="C2876" s="301" t="s">
        <v>28</v>
      </c>
      <c r="D2876" s="303">
        <v>24.31</v>
      </c>
    </row>
    <row r="2877" spans="1:4">
      <c r="A2877" s="302">
        <v>97610</v>
      </c>
      <c r="B2877" s="301" t="s">
        <v>12509</v>
      </c>
      <c r="C2877" s="301" t="s">
        <v>28</v>
      </c>
      <c r="D2877" s="303">
        <v>30.36</v>
      </c>
    </row>
    <row r="2878" spans="1:4">
      <c r="A2878" s="302">
        <v>97611</v>
      </c>
      <c r="B2878" s="301" t="s">
        <v>12510</v>
      </c>
      <c r="C2878" s="301" t="s">
        <v>28</v>
      </c>
      <c r="D2878" s="303">
        <v>15.06</v>
      </c>
    </row>
    <row r="2879" spans="1:4">
      <c r="A2879" s="302">
        <v>97612</v>
      </c>
      <c r="B2879" s="301" t="s">
        <v>12511</v>
      </c>
      <c r="C2879" s="301" t="s">
        <v>28</v>
      </c>
      <c r="D2879" s="303">
        <v>16.18</v>
      </c>
    </row>
    <row r="2880" spans="1:4">
      <c r="A2880" s="302">
        <v>97613</v>
      </c>
      <c r="B2880" s="301" t="s">
        <v>12512</v>
      </c>
      <c r="C2880" s="301" t="s">
        <v>28</v>
      </c>
      <c r="D2880" s="303">
        <v>19.89</v>
      </c>
    </row>
    <row r="2881" spans="1:4">
      <c r="A2881" s="302">
        <v>97614</v>
      </c>
      <c r="B2881" s="301" t="s">
        <v>12513</v>
      </c>
      <c r="C2881" s="301" t="s">
        <v>28</v>
      </c>
      <c r="D2881" s="303">
        <v>33.31</v>
      </c>
    </row>
    <row r="2882" spans="1:4">
      <c r="A2882" s="302">
        <v>97615</v>
      </c>
      <c r="B2882" s="301" t="s">
        <v>12514</v>
      </c>
      <c r="C2882" s="301" t="s">
        <v>28</v>
      </c>
      <c r="D2882" s="303">
        <v>30.61</v>
      </c>
    </row>
    <row r="2883" spans="1:4">
      <c r="A2883" s="302">
        <v>97616</v>
      </c>
      <c r="B2883" s="301" t="s">
        <v>12515</v>
      </c>
      <c r="C2883" s="301" t="s">
        <v>28</v>
      </c>
      <c r="D2883" s="303">
        <v>34.35</v>
      </c>
    </row>
    <row r="2884" spans="1:4">
      <c r="A2884" s="302">
        <v>97617</v>
      </c>
      <c r="B2884" s="301" t="s">
        <v>12516</v>
      </c>
      <c r="C2884" s="301" t="s">
        <v>28</v>
      </c>
      <c r="D2884" s="303">
        <v>34.18</v>
      </c>
    </row>
    <row r="2885" spans="1:4">
      <c r="A2885" s="302">
        <v>97618</v>
      </c>
      <c r="B2885" s="301" t="s">
        <v>12517</v>
      </c>
      <c r="C2885" s="301" t="s">
        <v>28</v>
      </c>
      <c r="D2885" s="303">
        <v>32.18</v>
      </c>
    </row>
    <row r="2886" spans="1:4">
      <c r="A2886" s="302">
        <v>41598</v>
      </c>
      <c r="B2886" s="301" t="s">
        <v>12518</v>
      </c>
      <c r="C2886" s="301" t="s">
        <v>28</v>
      </c>
      <c r="D2886" s="304">
        <v>1423.26</v>
      </c>
    </row>
    <row r="2887" spans="1:4">
      <c r="A2887" s="302">
        <v>72941</v>
      </c>
      <c r="B2887" s="301" t="s">
        <v>3685</v>
      </c>
      <c r="C2887" s="301" t="s">
        <v>28</v>
      </c>
      <c r="D2887" s="303">
        <v>175.77</v>
      </c>
    </row>
    <row r="2888" spans="1:4">
      <c r="A2888" s="302">
        <v>73624</v>
      </c>
      <c r="B2888" s="301" t="s">
        <v>3686</v>
      </c>
      <c r="C2888" s="301" t="s">
        <v>28</v>
      </c>
      <c r="D2888" s="303">
        <v>78.73</v>
      </c>
    </row>
    <row r="2889" spans="1:4">
      <c r="A2889" s="301" t="s">
        <v>3687</v>
      </c>
      <c r="B2889" s="301" t="s">
        <v>3688</v>
      </c>
      <c r="C2889" s="301" t="s">
        <v>28</v>
      </c>
      <c r="D2889" s="303">
        <v>9.23</v>
      </c>
    </row>
    <row r="2890" spans="1:4">
      <c r="A2890" s="301" t="s">
        <v>3689</v>
      </c>
      <c r="B2890" s="301" t="s">
        <v>3690</v>
      </c>
      <c r="C2890" s="301" t="s">
        <v>28</v>
      </c>
      <c r="D2890" s="303">
        <v>10.02</v>
      </c>
    </row>
    <row r="2891" spans="1:4">
      <c r="A2891" s="301" t="s">
        <v>3691</v>
      </c>
      <c r="B2891" s="301" t="s">
        <v>3692</v>
      </c>
      <c r="C2891" s="301" t="s">
        <v>28</v>
      </c>
      <c r="D2891" s="303">
        <v>7.18</v>
      </c>
    </row>
    <row r="2892" spans="1:4">
      <c r="A2892" s="301" t="s">
        <v>3693</v>
      </c>
      <c r="B2892" s="301" t="s">
        <v>3694</v>
      </c>
      <c r="C2892" s="301" t="s">
        <v>28</v>
      </c>
      <c r="D2892" s="303">
        <v>4.5999999999999996</v>
      </c>
    </row>
    <row r="2893" spans="1:4">
      <c r="A2893" s="301" t="s">
        <v>3695</v>
      </c>
      <c r="B2893" s="301" t="s">
        <v>3696</v>
      </c>
      <c r="C2893" s="301" t="s">
        <v>28</v>
      </c>
      <c r="D2893" s="303">
        <v>4.1900000000000004</v>
      </c>
    </row>
    <row r="2894" spans="1:4">
      <c r="A2894" s="301" t="s">
        <v>3697</v>
      </c>
      <c r="B2894" s="301" t="s">
        <v>3698</v>
      </c>
      <c r="C2894" s="301" t="s">
        <v>28</v>
      </c>
      <c r="D2894" s="303">
        <v>26.64</v>
      </c>
    </row>
    <row r="2895" spans="1:4">
      <c r="A2895" s="301" t="s">
        <v>3699</v>
      </c>
      <c r="B2895" s="301" t="s">
        <v>3700</v>
      </c>
      <c r="C2895" s="301" t="s">
        <v>28</v>
      </c>
      <c r="D2895" s="303">
        <v>81.459999999999994</v>
      </c>
    </row>
    <row r="2896" spans="1:4">
      <c r="A2896" s="302">
        <v>88543</v>
      </c>
      <c r="B2896" s="301" t="s">
        <v>3701</v>
      </c>
      <c r="C2896" s="301" t="s">
        <v>28</v>
      </c>
      <c r="D2896" s="303">
        <v>148.11000000000001</v>
      </c>
    </row>
    <row r="2897" spans="1:4">
      <c r="A2897" s="302">
        <v>88544</v>
      </c>
      <c r="B2897" s="301" t="s">
        <v>3702</v>
      </c>
      <c r="C2897" s="301" t="s">
        <v>28</v>
      </c>
      <c r="D2897" s="303">
        <v>92.16</v>
      </c>
    </row>
    <row r="2898" spans="1:4">
      <c r="A2898" s="302">
        <v>88545</v>
      </c>
      <c r="B2898" s="301" t="s">
        <v>3703</v>
      </c>
      <c r="C2898" s="301" t="s">
        <v>28</v>
      </c>
      <c r="D2898" s="303">
        <v>170.5</v>
      </c>
    </row>
    <row r="2899" spans="1:4">
      <c r="A2899" s="302">
        <v>100578</v>
      </c>
      <c r="B2899" s="301" t="s">
        <v>11909</v>
      </c>
      <c r="C2899" s="301" t="s">
        <v>28</v>
      </c>
      <c r="D2899" s="303">
        <v>271.39</v>
      </c>
    </row>
    <row r="2900" spans="1:4">
      <c r="A2900" s="302">
        <v>100579</v>
      </c>
      <c r="B2900" s="301" t="s">
        <v>11910</v>
      </c>
      <c r="C2900" s="301" t="s">
        <v>28</v>
      </c>
      <c r="D2900" s="303">
        <v>296.77999999999997</v>
      </c>
    </row>
    <row r="2901" spans="1:4">
      <c r="A2901" s="302">
        <v>100580</v>
      </c>
      <c r="B2901" s="301" t="s">
        <v>11911</v>
      </c>
      <c r="C2901" s="301" t="s">
        <v>28</v>
      </c>
      <c r="D2901" s="303">
        <v>331.84</v>
      </c>
    </row>
    <row r="2902" spans="1:4">
      <c r="A2902" s="302">
        <v>100581</v>
      </c>
      <c r="B2902" s="301" t="s">
        <v>11912</v>
      </c>
      <c r="C2902" s="301" t="s">
        <v>28</v>
      </c>
      <c r="D2902" s="303">
        <v>309.33999999999997</v>
      </c>
    </row>
    <row r="2903" spans="1:4">
      <c r="A2903" s="302">
        <v>100582</v>
      </c>
      <c r="B2903" s="301" t="s">
        <v>11913</v>
      </c>
      <c r="C2903" s="301" t="s">
        <v>28</v>
      </c>
      <c r="D2903" s="303">
        <v>372.58</v>
      </c>
    </row>
    <row r="2904" spans="1:4">
      <c r="A2904" s="302">
        <v>100583</v>
      </c>
      <c r="B2904" s="301" t="s">
        <v>11914</v>
      </c>
      <c r="C2904" s="301" t="s">
        <v>28</v>
      </c>
      <c r="D2904" s="303">
        <v>323.02999999999997</v>
      </c>
    </row>
    <row r="2905" spans="1:4">
      <c r="A2905" s="302">
        <v>100584</v>
      </c>
      <c r="B2905" s="301" t="s">
        <v>11915</v>
      </c>
      <c r="C2905" s="301" t="s">
        <v>28</v>
      </c>
      <c r="D2905" s="303">
        <v>361.04</v>
      </c>
    </row>
    <row r="2906" spans="1:4">
      <c r="A2906" s="302">
        <v>100585</v>
      </c>
      <c r="B2906" s="301" t="s">
        <v>11916</v>
      </c>
      <c r="C2906" s="301" t="s">
        <v>28</v>
      </c>
      <c r="D2906" s="303">
        <v>349.45</v>
      </c>
    </row>
    <row r="2907" spans="1:4">
      <c r="A2907" s="302">
        <v>100586</v>
      </c>
      <c r="B2907" s="301" t="s">
        <v>11917</v>
      </c>
      <c r="C2907" s="301" t="s">
        <v>28</v>
      </c>
      <c r="D2907" s="303">
        <v>409.96</v>
      </c>
    </row>
    <row r="2908" spans="1:4">
      <c r="A2908" s="302">
        <v>100587</v>
      </c>
      <c r="B2908" s="301" t="s">
        <v>11918</v>
      </c>
      <c r="C2908" s="301" t="s">
        <v>28</v>
      </c>
      <c r="D2908" s="303">
        <v>377.09</v>
      </c>
    </row>
    <row r="2909" spans="1:4">
      <c r="A2909" s="302">
        <v>100588</v>
      </c>
      <c r="B2909" s="301" t="s">
        <v>11919</v>
      </c>
      <c r="C2909" s="301" t="s">
        <v>28</v>
      </c>
      <c r="D2909" s="303">
        <v>424.11</v>
      </c>
    </row>
    <row r="2910" spans="1:4">
      <c r="A2910" s="302">
        <v>100589</v>
      </c>
      <c r="B2910" s="301" t="s">
        <v>11920</v>
      </c>
      <c r="C2910" s="301" t="s">
        <v>28</v>
      </c>
      <c r="D2910" s="303">
        <v>423.63</v>
      </c>
    </row>
    <row r="2911" spans="1:4">
      <c r="A2911" s="302">
        <v>100590</v>
      </c>
      <c r="B2911" s="301" t="s">
        <v>11921</v>
      </c>
      <c r="C2911" s="301" t="s">
        <v>28</v>
      </c>
      <c r="D2911" s="303">
        <v>470.21</v>
      </c>
    </row>
    <row r="2912" spans="1:4">
      <c r="A2912" s="302">
        <v>100591</v>
      </c>
      <c r="B2912" s="301" t="s">
        <v>11922</v>
      </c>
      <c r="C2912" s="301" t="s">
        <v>28</v>
      </c>
      <c r="D2912" s="303">
        <v>416.98</v>
      </c>
    </row>
    <row r="2913" spans="1:4">
      <c r="A2913" s="302">
        <v>100592</v>
      </c>
      <c r="B2913" s="301" t="s">
        <v>11923</v>
      </c>
      <c r="C2913" s="301" t="s">
        <v>28</v>
      </c>
      <c r="D2913" s="303">
        <v>455.57</v>
      </c>
    </row>
    <row r="2914" spans="1:4">
      <c r="A2914" s="302">
        <v>100593</v>
      </c>
      <c r="B2914" s="301" t="s">
        <v>11924</v>
      </c>
      <c r="C2914" s="301" t="s">
        <v>28</v>
      </c>
      <c r="D2914" s="303">
        <v>446.73</v>
      </c>
    </row>
    <row r="2915" spans="1:4">
      <c r="A2915" s="302">
        <v>100594</v>
      </c>
      <c r="B2915" s="301" t="s">
        <v>11925</v>
      </c>
      <c r="C2915" s="301" t="s">
        <v>28</v>
      </c>
      <c r="D2915" s="303">
        <v>512.04</v>
      </c>
    </row>
    <row r="2916" spans="1:4">
      <c r="A2916" s="302">
        <v>100595</v>
      </c>
      <c r="B2916" s="301" t="s">
        <v>11926</v>
      </c>
      <c r="C2916" s="301" t="s">
        <v>28</v>
      </c>
      <c r="D2916" s="303">
        <v>535.96</v>
      </c>
    </row>
    <row r="2917" spans="1:4">
      <c r="A2917" s="302">
        <v>100596</v>
      </c>
      <c r="B2917" s="301" t="s">
        <v>11927</v>
      </c>
      <c r="C2917" s="301" t="s">
        <v>28</v>
      </c>
      <c r="D2917" s="303">
        <v>624.01</v>
      </c>
    </row>
    <row r="2918" spans="1:4">
      <c r="A2918" s="302">
        <v>100597</v>
      </c>
      <c r="B2918" s="301" t="s">
        <v>11928</v>
      </c>
      <c r="C2918" s="301" t="s">
        <v>28</v>
      </c>
      <c r="D2918" s="303">
        <v>625.41999999999996</v>
      </c>
    </row>
    <row r="2919" spans="1:4">
      <c r="A2919" s="302">
        <v>100598</v>
      </c>
      <c r="B2919" s="301" t="s">
        <v>11929</v>
      </c>
      <c r="C2919" s="301" t="s">
        <v>28</v>
      </c>
      <c r="D2919" s="303">
        <v>698.02</v>
      </c>
    </row>
    <row r="2920" spans="1:4">
      <c r="A2920" s="302">
        <v>100599</v>
      </c>
      <c r="B2920" s="301" t="s">
        <v>11930</v>
      </c>
      <c r="C2920" s="301" t="s">
        <v>28</v>
      </c>
      <c r="D2920" s="303">
        <v>283.39</v>
      </c>
    </row>
    <row r="2921" spans="1:4">
      <c r="A2921" s="302">
        <v>100600</v>
      </c>
      <c r="B2921" s="301" t="s">
        <v>11931</v>
      </c>
      <c r="C2921" s="301" t="s">
        <v>28</v>
      </c>
      <c r="D2921" s="303">
        <v>348.77</v>
      </c>
    </row>
    <row r="2922" spans="1:4">
      <c r="A2922" s="302">
        <v>100601</v>
      </c>
      <c r="B2922" s="301" t="s">
        <v>11932</v>
      </c>
      <c r="C2922" s="301" t="s">
        <v>28</v>
      </c>
      <c r="D2922" s="303">
        <v>459.43</v>
      </c>
    </row>
    <row r="2923" spans="1:4">
      <c r="A2923" s="302">
        <v>100602</v>
      </c>
      <c r="B2923" s="301" t="s">
        <v>11933</v>
      </c>
      <c r="C2923" s="301" t="s">
        <v>28</v>
      </c>
      <c r="D2923" s="303">
        <v>597.47</v>
      </c>
    </row>
    <row r="2924" spans="1:4">
      <c r="A2924" s="302">
        <v>100603</v>
      </c>
      <c r="B2924" s="301" t="s">
        <v>11934</v>
      </c>
      <c r="C2924" s="301" t="s">
        <v>28</v>
      </c>
      <c r="D2924" s="303">
        <v>952.45</v>
      </c>
    </row>
    <row r="2925" spans="1:4">
      <c r="A2925" s="302">
        <v>100604</v>
      </c>
      <c r="B2925" s="301" t="s">
        <v>11935</v>
      </c>
      <c r="C2925" s="301" t="s">
        <v>28</v>
      </c>
      <c r="D2925" s="303">
        <v>367.47</v>
      </c>
    </row>
    <row r="2926" spans="1:4">
      <c r="A2926" s="302">
        <v>100605</v>
      </c>
      <c r="B2926" s="301" t="s">
        <v>11936</v>
      </c>
      <c r="C2926" s="301" t="s">
        <v>28</v>
      </c>
      <c r="D2926" s="303">
        <v>622.6</v>
      </c>
    </row>
    <row r="2927" spans="1:4">
      <c r="A2927" s="302">
        <v>100606</v>
      </c>
      <c r="B2927" s="301" t="s">
        <v>11937</v>
      </c>
      <c r="C2927" s="301" t="s">
        <v>28</v>
      </c>
      <c r="D2927" s="303">
        <v>985.93</v>
      </c>
    </row>
    <row r="2928" spans="1:4">
      <c r="A2928" s="302">
        <v>100607</v>
      </c>
      <c r="B2928" s="301" t="s">
        <v>11938</v>
      </c>
      <c r="C2928" s="301" t="s">
        <v>28</v>
      </c>
      <c r="D2928" s="303">
        <v>376.22</v>
      </c>
    </row>
    <row r="2929" spans="1:4">
      <c r="A2929" s="302">
        <v>100608</v>
      </c>
      <c r="B2929" s="301" t="s">
        <v>11939</v>
      </c>
      <c r="C2929" s="301" t="s">
        <v>28</v>
      </c>
      <c r="D2929" s="303">
        <v>634.97</v>
      </c>
    </row>
    <row r="2930" spans="1:4">
      <c r="A2930" s="302">
        <v>100609</v>
      </c>
      <c r="B2930" s="301" t="s">
        <v>11940</v>
      </c>
      <c r="C2930" s="301" t="s">
        <v>28</v>
      </c>
      <c r="D2930" s="304">
        <v>1004.04</v>
      </c>
    </row>
    <row r="2931" spans="1:4">
      <c r="A2931" s="302">
        <v>100610</v>
      </c>
      <c r="B2931" s="301" t="s">
        <v>11941</v>
      </c>
      <c r="C2931" s="301" t="s">
        <v>28</v>
      </c>
      <c r="D2931" s="303">
        <v>384.91</v>
      </c>
    </row>
    <row r="2932" spans="1:4">
      <c r="A2932" s="302">
        <v>100611</v>
      </c>
      <c r="B2932" s="301" t="s">
        <v>11942</v>
      </c>
      <c r="C2932" s="301" t="s">
        <v>28</v>
      </c>
      <c r="D2932" s="303">
        <v>501.26</v>
      </c>
    </row>
    <row r="2933" spans="1:4">
      <c r="A2933" s="302">
        <v>100612</v>
      </c>
      <c r="B2933" s="301" t="s">
        <v>11943</v>
      </c>
      <c r="C2933" s="301" t="s">
        <v>28</v>
      </c>
      <c r="D2933" s="303">
        <v>647.03</v>
      </c>
    </row>
    <row r="2934" spans="1:4">
      <c r="A2934" s="302">
        <v>100613</v>
      </c>
      <c r="B2934" s="301" t="s">
        <v>11944</v>
      </c>
      <c r="C2934" s="301" t="s">
        <v>28</v>
      </c>
      <c r="D2934" s="304">
        <v>1021.69</v>
      </c>
    </row>
    <row r="2935" spans="1:4">
      <c r="A2935" s="302">
        <v>100614</v>
      </c>
      <c r="B2935" s="301" t="s">
        <v>11945</v>
      </c>
      <c r="C2935" s="301" t="s">
        <v>28</v>
      </c>
      <c r="D2935" s="303">
        <v>521.66</v>
      </c>
    </row>
    <row r="2936" spans="1:4">
      <c r="A2936" s="302">
        <v>100615</v>
      </c>
      <c r="B2936" s="301" t="s">
        <v>11946</v>
      </c>
      <c r="C2936" s="301" t="s">
        <v>28</v>
      </c>
      <c r="D2936" s="303">
        <v>670.91</v>
      </c>
    </row>
    <row r="2937" spans="1:4">
      <c r="A2937" s="302">
        <v>100616</v>
      </c>
      <c r="B2937" s="301" t="s">
        <v>11947</v>
      </c>
      <c r="C2937" s="301" t="s">
        <v>28</v>
      </c>
      <c r="D2937" s="304">
        <v>1059.06</v>
      </c>
    </row>
    <row r="2938" spans="1:4">
      <c r="A2938" s="302">
        <v>100617</v>
      </c>
      <c r="B2938" s="301" t="s">
        <v>11948</v>
      </c>
      <c r="C2938" s="301" t="s">
        <v>28</v>
      </c>
      <c r="D2938" s="303">
        <v>694.65</v>
      </c>
    </row>
    <row r="2939" spans="1:4">
      <c r="A2939" s="302">
        <v>100618</v>
      </c>
      <c r="B2939" s="301" t="s">
        <v>11949</v>
      </c>
      <c r="C2939" s="301" t="s">
        <v>28</v>
      </c>
      <c r="D2939" s="304">
        <v>1100.01</v>
      </c>
    </row>
    <row r="2940" spans="1:4">
      <c r="A2940" s="302">
        <v>100619</v>
      </c>
      <c r="B2940" s="301" t="s">
        <v>11950</v>
      </c>
      <c r="C2940" s="301" t="s">
        <v>28</v>
      </c>
      <c r="D2940" s="303">
        <v>340.74</v>
      </c>
    </row>
    <row r="2941" spans="1:4">
      <c r="A2941" s="302">
        <v>100620</v>
      </c>
      <c r="B2941" s="301" t="s">
        <v>11951</v>
      </c>
      <c r="C2941" s="301" t="s">
        <v>28</v>
      </c>
      <c r="D2941" s="304">
        <v>2009.36</v>
      </c>
    </row>
    <row r="2942" spans="1:4">
      <c r="A2942" s="302">
        <v>100621</v>
      </c>
      <c r="B2942" s="301" t="s">
        <v>11952</v>
      </c>
      <c r="C2942" s="301" t="s">
        <v>28</v>
      </c>
      <c r="D2942" s="304">
        <v>2252.15</v>
      </c>
    </row>
    <row r="2943" spans="1:4">
      <c r="A2943" s="302">
        <v>100622</v>
      </c>
      <c r="B2943" s="301" t="s">
        <v>11953</v>
      </c>
      <c r="C2943" s="301" t="s">
        <v>28</v>
      </c>
      <c r="D2943" s="304">
        <v>1314.79</v>
      </c>
    </row>
    <row r="2944" spans="1:4">
      <c r="A2944" s="302">
        <v>100623</v>
      </c>
      <c r="B2944" s="301" t="s">
        <v>11954</v>
      </c>
      <c r="C2944" s="301" t="s">
        <v>28</v>
      </c>
      <c r="D2944" s="304">
        <v>1413.88</v>
      </c>
    </row>
    <row r="2945" spans="1:4">
      <c r="A2945" s="302">
        <v>72281</v>
      </c>
      <c r="B2945" s="301" t="s">
        <v>3704</v>
      </c>
      <c r="C2945" s="301" t="s">
        <v>28</v>
      </c>
      <c r="D2945" s="303">
        <v>103.72</v>
      </c>
    </row>
    <row r="2946" spans="1:4">
      <c r="A2946" s="302">
        <v>72282</v>
      </c>
      <c r="B2946" s="301" t="s">
        <v>3705</v>
      </c>
      <c r="C2946" s="301" t="s">
        <v>28</v>
      </c>
      <c r="D2946" s="303">
        <v>140.35</v>
      </c>
    </row>
    <row r="2947" spans="1:4">
      <c r="A2947" s="301" t="s">
        <v>3706</v>
      </c>
      <c r="B2947" s="301" t="s">
        <v>3707</v>
      </c>
      <c r="C2947" s="301" t="s">
        <v>28</v>
      </c>
      <c r="D2947" s="303">
        <v>26.87</v>
      </c>
    </row>
    <row r="2948" spans="1:4">
      <c r="A2948" s="301" t="s">
        <v>3708</v>
      </c>
      <c r="B2948" s="301" t="s">
        <v>3709</v>
      </c>
      <c r="C2948" s="301" t="s">
        <v>28</v>
      </c>
      <c r="D2948" s="303">
        <v>35.17</v>
      </c>
    </row>
    <row r="2949" spans="1:4">
      <c r="A2949" s="301" t="s">
        <v>3710</v>
      </c>
      <c r="B2949" s="301" t="s">
        <v>3711</v>
      </c>
      <c r="C2949" s="301" t="s">
        <v>28</v>
      </c>
      <c r="D2949" s="303">
        <v>17.39</v>
      </c>
    </row>
    <row r="2950" spans="1:4">
      <c r="A2950" s="301" t="s">
        <v>3712</v>
      </c>
      <c r="B2950" s="301" t="s">
        <v>3713</v>
      </c>
      <c r="C2950" s="301" t="s">
        <v>28</v>
      </c>
      <c r="D2950" s="303">
        <v>22.33</v>
      </c>
    </row>
    <row r="2951" spans="1:4">
      <c r="A2951" s="301" t="s">
        <v>3714</v>
      </c>
      <c r="B2951" s="301" t="s">
        <v>3715</v>
      </c>
      <c r="C2951" s="301" t="s">
        <v>28</v>
      </c>
      <c r="D2951" s="303">
        <v>39.06</v>
      </c>
    </row>
    <row r="2952" spans="1:4">
      <c r="A2952" s="301" t="s">
        <v>3716</v>
      </c>
      <c r="B2952" s="301" t="s">
        <v>3717</v>
      </c>
      <c r="C2952" s="301" t="s">
        <v>28</v>
      </c>
      <c r="D2952" s="303">
        <v>31.77</v>
      </c>
    </row>
    <row r="2953" spans="1:4">
      <c r="A2953" s="301" t="s">
        <v>3718</v>
      </c>
      <c r="B2953" s="301" t="s">
        <v>3719</v>
      </c>
      <c r="C2953" s="301" t="s">
        <v>28</v>
      </c>
      <c r="D2953" s="303">
        <v>36.090000000000003</v>
      </c>
    </row>
    <row r="2954" spans="1:4">
      <c r="A2954" s="301" t="s">
        <v>3720</v>
      </c>
      <c r="B2954" s="301" t="s">
        <v>3721</v>
      </c>
      <c r="C2954" s="301" t="s">
        <v>28</v>
      </c>
      <c r="D2954" s="303">
        <v>41.41</v>
      </c>
    </row>
    <row r="2955" spans="1:4">
      <c r="A2955" s="301" t="s">
        <v>3722</v>
      </c>
      <c r="B2955" s="301" t="s">
        <v>3723</v>
      </c>
      <c r="C2955" s="301" t="s">
        <v>28</v>
      </c>
      <c r="D2955" s="303">
        <v>132.21</v>
      </c>
    </row>
    <row r="2956" spans="1:4">
      <c r="A2956" s="301" t="s">
        <v>3724</v>
      </c>
      <c r="B2956" s="301" t="s">
        <v>3725</v>
      </c>
      <c r="C2956" s="301" t="s">
        <v>28</v>
      </c>
      <c r="D2956" s="303">
        <v>250.91</v>
      </c>
    </row>
    <row r="2957" spans="1:4">
      <c r="A2957" s="302">
        <v>83399</v>
      </c>
      <c r="B2957" s="301" t="s">
        <v>3726</v>
      </c>
      <c r="C2957" s="301" t="s">
        <v>28</v>
      </c>
      <c r="D2957" s="303">
        <v>29.91</v>
      </c>
    </row>
    <row r="2958" spans="1:4">
      <c r="A2958" s="302">
        <v>83400</v>
      </c>
      <c r="B2958" s="301" t="s">
        <v>3727</v>
      </c>
      <c r="C2958" s="301" t="s">
        <v>28</v>
      </c>
      <c r="D2958" s="303">
        <v>96.59</v>
      </c>
    </row>
    <row r="2959" spans="1:4">
      <c r="A2959" s="302">
        <v>83401</v>
      </c>
      <c r="B2959" s="301" t="s">
        <v>3728</v>
      </c>
      <c r="C2959" s="301" t="s">
        <v>28</v>
      </c>
      <c r="D2959" s="303">
        <v>96.59</v>
      </c>
    </row>
    <row r="2960" spans="1:4">
      <c r="A2960" s="302">
        <v>83402</v>
      </c>
      <c r="B2960" s="301" t="s">
        <v>3729</v>
      </c>
      <c r="C2960" s="301" t="s">
        <v>28</v>
      </c>
      <c r="D2960" s="303">
        <v>53.97</v>
      </c>
    </row>
    <row r="2961" spans="1:4">
      <c r="A2961" s="302">
        <v>83475</v>
      </c>
      <c r="B2961" s="301" t="s">
        <v>3730</v>
      </c>
      <c r="C2961" s="301" t="s">
        <v>28</v>
      </c>
      <c r="D2961" s="303">
        <v>367.2</v>
      </c>
    </row>
    <row r="2962" spans="1:4">
      <c r="A2962" s="302">
        <v>83478</v>
      </c>
      <c r="B2962" s="301" t="s">
        <v>3731</v>
      </c>
      <c r="C2962" s="301" t="s">
        <v>28</v>
      </c>
      <c r="D2962" s="303">
        <v>267.64</v>
      </c>
    </row>
    <row r="2963" spans="1:4">
      <c r="A2963" s="302">
        <v>83479</v>
      </c>
      <c r="B2963" s="301" t="s">
        <v>3732</v>
      </c>
      <c r="C2963" s="301" t="s">
        <v>28</v>
      </c>
      <c r="D2963" s="303">
        <v>105.96</v>
      </c>
    </row>
    <row r="2964" spans="1:4">
      <c r="A2964" s="302">
        <v>83480</v>
      </c>
      <c r="B2964" s="301" t="s">
        <v>3733</v>
      </c>
      <c r="C2964" s="301" t="s">
        <v>28</v>
      </c>
      <c r="D2964" s="303">
        <v>83.41</v>
      </c>
    </row>
    <row r="2965" spans="1:4">
      <c r="A2965" s="302">
        <v>83481</v>
      </c>
      <c r="B2965" s="301" t="s">
        <v>3734</v>
      </c>
      <c r="C2965" s="301" t="s">
        <v>28</v>
      </c>
      <c r="D2965" s="303">
        <v>93.87</v>
      </c>
    </row>
    <row r="2966" spans="1:4">
      <c r="A2966" s="302">
        <v>97600</v>
      </c>
      <c r="B2966" s="301" t="s">
        <v>12519</v>
      </c>
      <c r="C2966" s="301" t="s">
        <v>28</v>
      </c>
      <c r="D2966" s="303">
        <v>189.28</v>
      </c>
    </row>
    <row r="2967" spans="1:4">
      <c r="A2967" s="302">
        <v>97601</v>
      </c>
      <c r="B2967" s="301" t="s">
        <v>12520</v>
      </c>
      <c r="C2967" s="301" t="s">
        <v>28</v>
      </c>
      <c r="D2967" s="303">
        <v>199.28</v>
      </c>
    </row>
    <row r="2968" spans="1:4">
      <c r="A2968" s="302">
        <v>97605</v>
      </c>
      <c r="B2968" s="301" t="s">
        <v>12521</v>
      </c>
      <c r="C2968" s="301" t="s">
        <v>28</v>
      </c>
      <c r="D2968" s="303">
        <v>61.62</v>
      </c>
    </row>
    <row r="2969" spans="1:4">
      <c r="A2969" s="302">
        <v>97606</v>
      </c>
      <c r="B2969" s="301" t="s">
        <v>12522</v>
      </c>
      <c r="C2969" s="301" t="s">
        <v>28</v>
      </c>
      <c r="D2969" s="303">
        <v>52.37</v>
      </c>
    </row>
    <row r="2970" spans="1:4">
      <c r="A2970" s="302">
        <v>97607</v>
      </c>
      <c r="B2970" s="301" t="s">
        <v>12523</v>
      </c>
      <c r="C2970" s="301" t="s">
        <v>28</v>
      </c>
      <c r="D2970" s="303">
        <v>71.27</v>
      </c>
    </row>
    <row r="2971" spans="1:4">
      <c r="A2971" s="302">
        <v>97608</v>
      </c>
      <c r="B2971" s="301" t="s">
        <v>12524</v>
      </c>
      <c r="C2971" s="301" t="s">
        <v>28</v>
      </c>
      <c r="D2971" s="303">
        <v>62.02</v>
      </c>
    </row>
    <row r="2972" spans="1:4">
      <c r="A2972" s="301" t="s">
        <v>3735</v>
      </c>
      <c r="B2972" s="301" t="s">
        <v>3736</v>
      </c>
      <c r="C2972" s="301" t="s">
        <v>28</v>
      </c>
      <c r="D2972" s="304">
        <v>6672.86</v>
      </c>
    </row>
    <row r="2973" spans="1:4">
      <c r="A2973" s="301" t="s">
        <v>3737</v>
      </c>
      <c r="B2973" s="301" t="s">
        <v>3738</v>
      </c>
      <c r="C2973" s="301" t="s">
        <v>28</v>
      </c>
      <c r="D2973" s="304">
        <v>8246.2099999999991</v>
      </c>
    </row>
    <row r="2974" spans="1:4">
      <c r="A2974" s="301" t="s">
        <v>3739</v>
      </c>
      <c r="B2974" s="301" t="s">
        <v>3740</v>
      </c>
      <c r="C2974" s="301" t="s">
        <v>28</v>
      </c>
      <c r="D2974" s="304">
        <v>10394.86</v>
      </c>
    </row>
    <row r="2975" spans="1:4">
      <c r="A2975" s="301" t="s">
        <v>3741</v>
      </c>
      <c r="B2975" s="301" t="s">
        <v>3742</v>
      </c>
      <c r="C2975" s="301" t="s">
        <v>28</v>
      </c>
      <c r="D2975" s="304">
        <v>14556.64</v>
      </c>
    </row>
    <row r="2976" spans="1:4">
      <c r="A2976" s="301" t="s">
        <v>3743</v>
      </c>
      <c r="B2976" s="301" t="s">
        <v>3744</v>
      </c>
      <c r="C2976" s="301" t="s">
        <v>28</v>
      </c>
      <c r="D2976" s="304">
        <v>16979.72</v>
      </c>
    </row>
    <row r="2977" spans="1:4">
      <c r="A2977" s="301" t="s">
        <v>3745</v>
      </c>
      <c r="B2977" s="301" t="s">
        <v>3746</v>
      </c>
      <c r="C2977" s="301" t="s">
        <v>28</v>
      </c>
      <c r="D2977" s="304">
        <v>27634.35</v>
      </c>
    </row>
    <row r="2978" spans="1:4">
      <c r="A2978" s="301" t="s">
        <v>3747</v>
      </c>
      <c r="B2978" s="301" t="s">
        <v>3748</v>
      </c>
      <c r="C2978" s="301" t="s">
        <v>28</v>
      </c>
      <c r="D2978" s="304">
        <v>4605.66</v>
      </c>
    </row>
    <row r="2979" spans="1:4">
      <c r="A2979" s="301" t="s">
        <v>3749</v>
      </c>
      <c r="B2979" s="301" t="s">
        <v>3750</v>
      </c>
      <c r="C2979" s="301" t="s">
        <v>28</v>
      </c>
      <c r="D2979" s="304">
        <v>5158.28</v>
      </c>
    </row>
    <row r="2980" spans="1:4">
      <c r="A2980" s="301" t="s">
        <v>3751</v>
      </c>
      <c r="B2980" s="301" t="s">
        <v>3752</v>
      </c>
      <c r="C2980" s="301" t="s">
        <v>28</v>
      </c>
      <c r="D2980" s="304">
        <v>37862.53</v>
      </c>
    </row>
    <row r="2981" spans="1:4">
      <c r="A2981" s="301" t="s">
        <v>3753</v>
      </c>
      <c r="B2981" s="301" t="s">
        <v>3754</v>
      </c>
      <c r="C2981" s="301" t="s">
        <v>28</v>
      </c>
      <c r="D2981" s="304">
        <v>52957.599999999999</v>
      </c>
    </row>
    <row r="2982" spans="1:4">
      <c r="A2982" s="302">
        <v>93128</v>
      </c>
      <c r="B2982" s="301" t="s">
        <v>3755</v>
      </c>
      <c r="C2982" s="301" t="s">
        <v>28</v>
      </c>
      <c r="D2982" s="303">
        <v>104.63</v>
      </c>
    </row>
    <row r="2983" spans="1:4">
      <c r="A2983" s="302">
        <v>93137</v>
      </c>
      <c r="B2983" s="301" t="s">
        <v>3756</v>
      </c>
      <c r="C2983" s="301" t="s">
        <v>28</v>
      </c>
      <c r="D2983" s="303">
        <v>123.05</v>
      </c>
    </row>
    <row r="2984" spans="1:4">
      <c r="A2984" s="302">
        <v>93138</v>
      </c>
      <c r="B2984" s="301" t="s">
        <v>3757</v>
      </c>
      <c r="C2984" s="301" t="s">
        <v>28</v>
      </c>
      <c r="D2984" s="303">
        <v>116.95</v>
      </c>
    </row>
    <row r="2985" spans="1:4">
      <c r="A2985" s="302">
        <v>93139</v>
      </c>
      <c r="B2985" s="301" t="s">
        <v>3758</v>
      </c>
      <c r="C2985" s="301" t="s">
        <v>28</v>
      </c>
      <c r="D2985" s="303">
        <v>147.65</v>
      </c>
    </row>
    <row r="2986" spans="1:4">
      <c r="A2986" s="302">
        <v>93140</v>
      </c>
      <c r="B2986" s="301" t="s">
        <v>3759</v>
      </c>
      <c r="C2986" s="301" t="s">
        <v>28</v>
      </c>
      <c r="D2986" s="303">
        <v>139.30000000000001</v>
      </c>
    </row>
    <row r="2987" spans="1:4">
      <c r="A2987" s="302">
        <v>93141</v>
      </c>
      <c r="B2987" s="301" t="s">
        <v>3760</v>
      </c>
      <c r="C2987" s="301" t="s">
        <v>28</v>
      </c>
      <c r="D2987" s="303">
        <v>126.54</v>
      </c>
    </row>
    <row r="2988" spans="1:4">
      <c r="A2988" s="302">
        <v>93142</v>
      </c>
      <c r="B2988" s="301" t="s">
        <v>3761</v>
      </c>
      <c r="C2988" s="301" t="s">
        <v>28</v>
      </c>
      <c r="D2988" s="303">
        <v>140.62</v>
      </c>
    </row>
    <row r="2989" spans="1:4">
      <c r="A2989" s="302">
        <v>93143</v>
      </c>
      <c r="B2989" s="301" t="s">
        <v>3762</v>
      </c>
      <c r="C2989" s="301" t="s">
        <v>28</v>
      </c>
      <c r="D2989" s="303">
        <v>127.97</v>
      </c>
    </row>
    <row r="2990" spans="1:4">
      <c r="A2990" s="302">
        <v>93144</v>
      </c>
      <c r="B2990" s="301" t="s">
        <v>3763</v>
      </c>
      <c r="C2990" s="301" t="s">
        <v>28</v>
      </c>
      <c r="D2990" s="303">
        <v>163.19999999999999</v>
      </c>
    </row>
    <row r="2991" spans="1:4">
      <c r="A2991" s="302">
        <v>93145</v>
      </c>
      <c r="B2991" s="301" t="s">
        <v>3764</v>
      </c>
      <c r="C2991" s="301" t="s">
        <v>28</v>
      </c>
      <c r="D2991" s="303">
        <v>152.85</v>
      </c>
    </row>
    <row r="2992" spans="1:4">
      <c r="A2992" s="302">
        <v>93146</v>
      </c>
      <c r="B2992" s="301" t="s">
        <v>3765</v>
      </c>
      <c r="C2992" s="301" t="s">
        <v>28</v>
      </c>
      <c r="D2992" s="303">
        <v>165.17</v>
      </c>
    </row>
    <row r="2993" spans="1:4">
      <c r="A2993" s="302">
        <v>93147</v>
      </c>
      <c r="B2993" s="301" t="s">
        <v>3766</v>
      </c>
      <c r="C2993" s="301" t="s">
        <v>28</v>
      </c>
      <c r="D2993" s="303">
        <v>187.56</v>
      </c>
    </row>
    <row r="2994" spans="1:4">
      <c r="A2994" s="302">
        <v>8260</v>
      </c>
      <c r="B2994" s="301" t="s">
        <v>12525</v>
      </c>
      <c r="C2994" s="301" t="s">
        <v>28</v>
      </c>
      <c r="D2994" s="304">
        <v>3020.42</v>
      </c>
    </row>
    <row r="2995" spans="1:4">
      <c r="A2995" s="302">
        <v>72315</v>
      </c>
      <c r="B2995" s="301" t="s">
        <v>147</v>
      </c>
      <c r="C2995" s="301" t="s">
        <v>28</v>
      </c>
      <c r="D2995" s="303">
        <v>28.64</v>
      </c>
    </row>
    <row r="2996" spans="1:4">
      <c r="A2996" s="302">
        <v>96971</v>
      </c>
      <c r="B2996" s="301" t="s">
        <v>3767</v>
      </c>
      <c r="C2996" s="301" t="s">
        <v>35</v>
      </c>
      <c r="D2996" s="303">
        <v>22.3</v>
      </c>
    </row>
    <row r="2997" spans="1:4">
      <c r="A2997" s="302">
        <v>96972</v>
      </c>
      <c r="B2997" s="301" t="s">
        <v>3768</v>
      </c>
      <c r="C2997" s="301" t="s">
        <v>35</v>
      </c>
      <c r="D2997" s="303">
        <v>30.25</v>
      </c>
    </row>
    <row r="2998" spans="1:4">
      <c r="A2998" s="302">
        <v>96973</v>
      </c>
      <c r="B2998" s="301" t="s">
        <v>3769</v>
      </c>
      <c r="C2998" s="301" t="s">
        <v>35</v>
      </c>
      <c r="D2998" s="303">
        <v>37.79</v>
      </c>
    </row>
    <row r="2999" spans="1:4">
      <c r="A2999" s="302">
        <v>96974</v>
      </c>
      <c r="B2999" s="301" t="s">
        <v>3770</v>
      </c>
      <c r="C2999" s="301" t="s">
        <v>35</v>
      </c>
      <c r="D2999" s="303">
        <v>47.62</v>
      </c>
    </row>
    <row r="3000" spans="1:4">
      <c r="A3000" s="302">
        <v>96975</v>
      </c>
      <c r="B3000" s="301" t="s">
        <v>3771</v>
      </c>
      <c r="C3000" s="301" t="s">
        <v>35</v>
      </c>
      <c r="D3000" s="303">
        <v>60.57</v>
      </c>
    </row>
    <row r="3001" spans="1:4">
      <c r="A3001" s="302">
        <v>96976</v>
      </c>
      <c r="B3001" s="301" t="s">
        <v>3772</v>
      </c>
      <c r="C3001" s="301" t="s">
        <v>35</v>
      </c>
      <c r="D3001" s="303">
        <v>77.55</v>
      </c>
    </row>
    <row r="3002" spans="1:4">
      <c r="A3002" s="302">
        <v>96977</v>
      </c>
      <c r="B3002" s="301" t="s">
        <v>3773</v>
      </c>
      <c r="C3002" s="301" t="s">
        <v>35</v>
      </c>
      <c r="D3002" s="303">
        <v>28.04</v>
      </c>
    </row>
    <row r="3003" spans="1:4">
      <c r="A3003" s="302">
        <v>96978</v>
      </c>
      <c r="B3003" s="301" t="s">
        <v>3774</v>
      </c>
      <c r="C3003" s="301" t="s">
        <v>35</v>
      </c>
      <c r="D3003" s="303">
        <v>39.270000000000003</v>
      </c>
    </row>
    <row r="3004" spans="1:4">
      <c r="A3004" s="302">
        <v>96979</v>
      </c>
      <c r="B3004" s="301" t="s">
        <v>3775</v>
      </c>
      <c r="C3004" s="301" t="s">
        <v>35</v>
      </c>
      <c r="D3004" s="303">
        <v>54.95</v>
      </c>
    </row>
    <row r="3005" spans="1:4">
      <c r="A3005" s="302">
        <v>96984</v>
      </c>
      <c r="B3005" s="301" t="s">
        <v>3776</v>
      </c>
      <c r="C3005" s="301" t="s">
        <v>28</v>
      </c>
      <c r="D3005" s="303">
        <v>40.340000000000003</v>
      </c>
    </row>
    <row r="3006" spans="1:4">
      <c r="A3006" s="302">
        <v>96985</v>
      </c>
      <c r="B3006" s="301" t="s">
        <v>988</v>
      </c>
      <c r="C3006" s="301" t="s">
        <v>28</v>
      </c>
      <c r="D3006" s="303">
        <v>41.86</v>
      </c>
    </row>
    <row r="3007" spans="1:4">
      <c r="A3007" s="302">
        <v>96986</v>
      </c>
      <c r="B3007" s="301" t="s">
        <v>3777</v>
      </c>
      <c r="C3007" s="301" t="s">
        <v>28</v>
      </c>
      <c r="D3007" s="303">
        <v>62.71</v>
      </c>
    </row>
    <row r="3008" spans="1:4">
      <c r="A3008" s="302">
        <v>96987</v>
      </c>
      <c r="B3008" s="301" t="s">
        <v>3778</v>
      </c>
      <c r="C3008" s="301" t="s">
        <v>28</v>
      </c>
      <c r="D3008" s="303">
        <v>107.53</v>
      </c>
    </row>
    <row r="3009" spans="1:4">
      <c r="A3009" s="302">
        <v>96988</v>
      </c>
      <c r="B3009" s="301" t="s">
        <v>3779</v>
      </c>
      <c r="C3009" s="301" t="s">
        <v>28</v>
      </c>
      <c r="D3009" s="303">
        <v>157.80000000000001</v>
      </c>
    </row>
    <row r="3010" spans="1:4">
      <c r="A3010" s="302">
        <v>96989</v>
      </c>
      <c r="B3010" s="301" t="s">
        <v>3780</v>
      </c>
      <c r="C3010" s="301" t="s">
        <v>28</v>
      </c>
      <c r="D3010" s="303">
        <v>103.85</v>
      </c>
    </row>
    <row r="3011" spans="1:4">
      <c r="A3011" s="302">
        <v>98463</v>
      </c>
      <c r="B3011" s="301" t="s">
        <v>3781</v>
      </c>
      <c r="C3011" s="301" t="s">
        <v>28</v>
      </c>
      <c r="D3011" s="303">
        <v>20.43</v>
      </c>
    </row>
    <row r="3012" spans="1:4">
      <c r="A3012" s="302">
        <v>9535</v>
      </c>
      <c r="B3012" s="301" t="s">
        <v>77</v>
      </c>
      <c r="C3012" s="301" t="s">
        <v>28</v>
      </c>
      <c r="D3012" s="303">
        <v>76.05</v>
      </c>
    </row>
    <row r="3013" spans="1:4">
      <c r="A3013" s="302">
        <v>88547</v>
      </c>
      <c r="B3013" s="301" t="s">
        <v>158</v>
      </c>
      <c r="C3013" s="301" t="s">
        <v>28</v>
      </c>
      <c r="D3013" s="303">
        <v>66.86</v>
      </c>
    </row>
    <row r="3014" spans="1:4">
      <c r="A3014" s="302">
        <v>72283</v>
      </c>
      <c r="B3014" s="301" t="s">
        <v>3782</v>
      </c>
      <c r="C3014" s="301" t="s">
        <v>28</v>
      </c>
      <c r="D3014" s="303">
        <v>824.6</v>
      </c>
    </row>
    <row r="3015" spans="1:4">
      <c r="A3015" s="302">
        <v>72287</v>
      </c>
      <c r="B3015" s="301" t="s">
        <v>283</v>
      </c>
      <c r="C3015" s="301" t="s">
        <v>28</v>
      </c>
      <c r="D3015" s="303">
        <v>211.29</v>
      </c>
    </row>
    <row r="3016" spans="1:4">
      <c r="A3016" s="302">
        <v>72288</v>
      </c>
      <c r="B3016" s="301" t="s">
        <v>11955</v>
      </c>
      <c r="C3016" s="301" t="s">
        <v>28</v>
      </c>
      <c r="D3016" s="303">
        <v>262.39999999999998</v>
      </c>
    </row>
    <row r="3017" spans="1:4">
      <c r="A3017" s="302">
        <v>72553</v>
      </c>
      <c r="B3017" s="301" t="s">
        <v>3783</v>
      </c>
      <c r="C3017" s="301" t="s">
        <v>28</v>
      </c>
      <c r="D3017" s="303">
        <v>135.80000000000001</v>
      </c>
    </row>
    <row r="3018" spans="1:4">
      <c r="A3018" s="302">
        <v>72554</v>
      </c>
      <c r="B3018" s="301" t="s">
        <v>3784</v>
      </c>
      <c r="C3018" s="301" t="s">
        <v>28</v>
      </c>
      <c r="D3018" s="303">
        <v>453.02</v>
      </c>
    </row>
    <row r="3019" spans="1:4">
      <c r="A3019" s="301" t="s">
        <v>3785</v>
      </c>
      <c r="B3019" s="301" t="s">
        <v>3786</v>
      </c>
      <c r="C3019" s="301" t="s">
        <v>28</v>
      </c>
      <c r="D3019" s="303">
        <v>142.47</v>
      </c>
    </row>
    <row r="3020" spans="1:4">
      <c r="A3020" s="301" t="s">
        <v>3787</v>
      </c>
      <c r="B3020" s="301" t="s">
        <v>3788</v>
      </c>
      <c r="C3020" s="301" t="s">
        <v>28</v>
      </c>
      <c r="D3020" s="303">
        <v>146.72</v>
      </c>
    </row>
    <row r="3021" spans="1:4">
      <c r="A3021" s="302">
        <v>83633</v>
      </c>
      <c r="B3021" s="301" t="s">
        <v>3789</v>
      </c>
      <c r="C3021" s="301" t="s">
        <v>28</v>
      </c>
      <c r="D3021" s="304">
        <v>1905.33</v>
      </c>
    </row>
    <row r="3022" spans="1:4">
      <c r="A3022" s="302">
        <v>83634</v>
      </c>
      <c r="B3022" s="301" t="s">
        <v>3790</v>
      </c>
      <c r="C3022" s="301" t="s">
        <v>28</v>
      </c>
      <c r="D3022" s="303">
        <v>425.7</v>
      </c>
    </row>
    <row r="3023" spans="1:4">
      <c r="A3023" s="302">
        <v>83635</v>
      </c>
      <c r="B3023" s="301" t="s">
        <v>996</v>
      </c>
      <c r="C3023" s="301" t="s">
        <v>28</v>
      </c>
      <c r="D3023" s="303">
        <v>165.13</v>
      </c>
    </row>
    <row r="3024" spans="1:4">
      <c r="A3024" s="302">
        <v>96765</v>
      </c>
      <c r="B3024" s="301" t="s">
        <v>3791</v>
      </c>
      <c r="C3024" s="301" t="s">
        <v>28</v>
      </c>
      <c r="D3024" s="303">
        <v>966.02</v>
      </c>
    </row>
    <row r="3025" spans="1:4">
      <c r="A3025" s="301" t="s">
        <v>3792</v>
      </c>
      <c r="B3025" s="301" t="s">
        <v>3793</v>
      </c>
      <c r="C3025" s="301" t="s">
        <v>28</v>
      </c>
      <c r="D3025" s="303">
        <v>181.09</v>
      </c>
    </row>
    <row r="3026" spans="1:4">
      <c r="A3026" s="301" t="s">
        <v>3794</v>
      </c>
      <c r="B3026" s="301" t="s">
        <v>3795</v>
      </c>
      <c r="C3026" s="301" t="s">
        <v>28</v>
      </c>
      <c r="D3026" s="303">
        <v>332.03</v>
      </c>
    </row>
    <row r="3027" spans="1:4">
      <c r="A3027" s="301" t="s">
        <v>3796</v>
      </c>
      <c r="B3027" s="301" t="s">
        <v>3797</v>
      </c>
      <c r="C3027" s="301" t="s">
        <v>28</v>
      </c>
      <c r="D3027" s="304">
        <v>1082.6199999999999</v>
      </c>
    </row>
    <row r="3028" spans="1:4">
      <c r="A3028" s="302">
        <v>84796</v>
      </c>
      <c r="B3028" s="301" t="s">
        <v>3798</v>
      </c>
      <c r="C3028" s="301" t="s">
        <v>28</v>
      </c>
      <c r="D3028" s="303">
        <v>474.46</v>
      </c>
    </row>
    <row r="3029" spans="1:4">
      <c r="A3029" s="302">
        <v>84798</v>
      </c>
      <c r="B3029" s="301" t="s">
        <v>3799</v>
      </c>
      <c r="C3029" s="301" t="s">
        <v>28</v>
      </c>
      <c r="D3029" s="303">
        <v>217.16</v>
      </c>
    </row>
    <row r="3030" spans="1:4">
      <c r="A3030" s="302">
        <v>98261</v>
      </c>
      <c r="B3030" s="301" t="s">
        <v>11956</v>
      </c>
      <c r="C3030" s="301" t="s">
        <v>35</v>
      </c>
      <c r="D3030" s="303">
        <v>2.86</v>
      </c>
    </row>
    <row r="3031" spans="1:4">
      <c r="A3031" s="302">
        <v>98262</v>
      </c>
      <c r="B3031" s="301" t="s">
        <v>11957</v>
      </c>
      <c r="C3031" s="301" t="s">
        <v>35</v>
      </c>
      <c r="D3031" s="303">
        <v>3.43</v>
      </c>
    </row>
    <row r="3032" spans="1:4">
      <c r="A3032" s="302">
        <v>98263</v>
      </c>
      <c r="B3032" s="301" t="s">
        <v>11958</v>
      </c>
      <c r="C3032" s="301" t="s">
        <v>35</v>
      </c>
      <c r="D3032" s="303">
        <v>4.13</v>
      </c>
    </row>
    <row r="3033" spans="1:4">
      <c r="A3033" s="302">
        <v>98264</v>
      </c>
      <c r="B3033" s="301" t="s">
        <v>11959</v>
      </c>
      <c r="C3033" s="301" t="s">
        <v>35</v>
      </c>
      <c r="D3033" s="303">
        <v>4.67</v>
      </c>
    </row>
    <row r="3034" spans="1:4">
      <c r="A3034" s="302">
        <v>98265</v>
      </c>
      <c r="B3034" s="301" t="s">
        <v>11960</v>
      </c>
      <c r="C3034" s="301" t="s">
        <v>35</v>
      </c>
      <c r="D3034" s="303">
        <v>5.5</v>
      </c>
    </row>
    <row r="3035" spans="1:4">
      <c r="A3035" s="302">
        <v>98266</v>
      </c>
      <c r="B3035" s="301" t="s">
        <v>11961</v>
      </c>
      <c r="C3035" s="301" t="s">
        <v>35</v>
      </c>
      <c r="D3035" s="303">
        <v>5.97</v>
      </c>
    </row>
    <row r="3036" spans="1:4">
      <c r="A3036" s="302">
        <v>98267</v>
      </c>
      <c r="B3036" s="301" t="s">
        <v>11962</v>
      </c>
      <c r="C3036" s="301" t="s">
        <v>35</v>
      </c>
      <c r="D3036" s="303">
        <v>9.99</v>
      </c>
    </row>
    <row r="3037" spans="1:4">
      <c r="A3037" s="302">
        <v>98268</v>
      </c>
      <c r="B3037" s="301" t="s">
        <v>11963</v>
      </c>
      <c r="C3037" s="301" t="s">
        <v>35</v>
      </c>
      <c r="D3037" s="303">
        <v>16.690000000000001</v>
      </c>
    </row>
    <row r="3038" spans="1:4">
      <c r="A3038" s="302">
        <v>98269</v>
      </c>
      <c r="B3038" s="301" t="s">
        <v>11964</v>
      </c>
      <c r="C3038" s="301" t="s">
        <v>35</v>
      </c>
      <c r="D3038" s="303">
        <v>21.74</v>
      </c>
    </row>
    <row r="3039" spans="1:4">
      <c r="A3039" s="302">
        <v>98270</v>
      </c>
      <c r="B3039" s="301" t="s">
        <v>11965</v>
      </c>
      <c r="C3039" s="301" t="s">
        <v>35</v>
      </c>
      <c r="D3039" s="303">
        <v>35.82</v>
      </c>
    </row>
    <row r="3040" spans="1:4">
      <c r="A3040" s="302">
        <v>98271</v>
      </c>
      <c r="B3040" s="301" t="s">
        <v>11966</v>
      </c>
      <c r="C3040" s="301" t="s">
        <v>35</v>
      </c>
      <c r="D3040" s="303">
        <v>56.04</v>
      </c>
    </row>
    <row r="3041" spans="1:4">
      <c r="A3041" s="302">
        <v>98272</v>
      </c>
      <c r="B3041" s="301" t="s">
        <v>11967</v>
      </c>
      <c r="C3041" s="301" t="s">
        <v>35</v>
      </c>
      <c r="D3041" s="303">
        <v>132.58000000000001</v>
      </c>
    </row>
    <row r="3042" spans="1:4">
      <c r="A3042" s="302">
        <v>98273</v>
      </c>
      <c r="B3042" s="301" t="s">
        <v>11968</v>
      </c>
      <c r="C3042" s="301" t="s">
        <v>35</v>
      </c>
      <c r="D3042" s="303">
        <v>2.4900000000000002</v>
      </c>
    </row>
    <row r="3043" spans="1:4">
      <c r="A3043" s="302">
        <v>98274</v>
      </c>
      <c r="B3043" s="301" t="s">
        <v>11969</v>
      </c>
      <c r="C3043" s="301" t="s">
        <v>35</v>
      </c>
      <c r="D3043" s="303">
        <v>3.3</v>
      </c>
    </row>
    <row r="3044" spans="1:4">
      <c r="A3044" s="302">
        <v>98275</v>
      </c>
      <c r="B3044" s="301" t="s">
        <v>11970</v>
      </c>
      <c r="C3044" s="301" t="s">
        <v>35</v>
      </c>
      <c r="D3044" s="303">
        <v>3.79</v>
      </c>
    </row>
    <row r="3045" spans="1:4">
      <c r="A3045" s="302">
        <v>98276</v>
      </c>
      <c r="B3045" s="301" t="s">
        <v>11971</v>
      </c>
      <c r="C3045" s="301" t="s">
        <v>35</v>
      </c>
      <c r="D3045" s="303">
        <v>7.8</v>
      </c>
    </row>
    <row r="3046" spans="1:4">
      <c r="A3046" s="302">
        <v>98277</v>
      </c>
      <c r="B3046" s="301" t="s">
        <v>11972</v>
      </c>
      <c r="C3046" s="301" t="s">
        <v>35</v>
      </c>
      <c r="D3046" s="303">
        <v>14.51</v>
      </c>
    </row>
    <row r="3047" spans="1:4">
      <c r="A3047" s="302">
        <v>98278</v>
      </c>
      <c r="B3047" s="301" t="s">
        <v>11973</v>
      </c>
      <c r="C3047" s="301" t="s">
        <v>35</v>
      </c>
      <c r="D3047" s="303">
        <v>19.55</v>
      </c>
    </row>
    <row r="3048" spans="1:4">
      <c r="A3048" s="302">
        <v>98279</v>
      </c>
      <c r="B3048" s="301" t="s">
        <v>11974</v>
      </c>
      <c r="C3048" s="301" t="s">
        <v>35</v>
      </c>
      <c r="D3048" s="303">
        <v>33.64</v>
      </c>
    </row>
    <row r="3049" spans="1:4">
      <c r="A3049" s="302">
        <v>98280</v>
      </c>
      <c r="B3049" s="301" t="s">
        <v>11975</v>
      </c>
      <c r="C3049" s="301" t="s">
        <v>35</v>
      </c>
      <c r="D3049" s="303">
        <v>5.67</v>
      </c>
    </row>
    <row r="3050" spans="1:4">
      <c r="A3050" s="302">
        <v>98281</v>
      </c>
      <c r="B3050" s="301" t="s">
        <v>11976</v>
      </c>
      <c r="C3050" s="301" t="s">
        <v>35</v>
      </c>
      <c r="D3050" s="303">
        <v>6.25</v>
      </c>
    </row>
    <row r="3051" spans="1:4">
      <c r="A3051" s="302">
        <v>98282</v>
      </c>
      <c r="B3051" s="301" t="s">
        <v>11977</v>
      </c>
      <c r="C3051" s="301" t="s">
        <v>35</v>
      </c>
      <c r="D3051" s="303">
        <v>6.95</v>
      </c>
    </row>
    <row r="3052" spans="1:4">
      <c r="A3052" s="302">
        <v>98283</v>
      </c>
      <c r="B3052" s="301" t="s">
        <v>11978</v>
      </c>
      <c r="C3052" s="301" t="s">
        <v>35</v>
      </c>
      <c r="D3052" s="303">
        <v>7.49</v>
      </c>
    </row>
    <row r="3053" spans="1:4">
      <c r="A3053" s="302">
        <v>98284</v>
      </c>
      <c r="B3053" s="301" t="s">
        <v>11979</v>
      </c>
      <c r="C3053" s="301" t="s">
        <v>35</v>
      </c>
      <c r="D3053" s="303">
        <v>8.31</v>
      </c>
    </row>
    <row r="3054" spans="1:4">
      <c r="A3054" s="302">
        <v>98285</v>
      </c>
      <c r="B3054" s="301" t="s">
        <v>11980</v>
      </c>
      <c r="C3054" s="301" t="s">
        <v>35</v>
      </c>
      <c r="D3054" s="303">
        <v>8.7899999999999991</v>
      </c>
    </row>
    <row r="3055" spans="1:4">
      <c r="A3055" s="302">
        <v>98286</v>
      </c>
      <c r="B3055" s="301" t="s">
        <v>11981</v>
      </c>
      <c r="C3055" s="301" t="s">
        <v>35</v>
      </c>
      <c r="D3055" s="303">
        <v>12.81</v>
      </c>
    </row>
    <row r="3056" spans="1:4">
      <c r="A3056" s="302">
        <v>98287</v>
      </c>
      <c r="B3056" s="301" t="s">
        <v>11982</v>
      </c>
      <c r="C3056" s="301" t="s">
        <v>35</v>
      </c>
      <c r="D3056" s="303">
        <v>1.17</v>
      </c>
    </row>
    <row r="3057" spans="1:4">
      <c r="A3057" s="302">
        <v>98288</v>
      </c>
      <c r="B3057" s="301" t="s">
        <v>11983</v>
      </c>
      <c r="C3057" s="301" t="s">
        <v>35</v>
      </c>
      <c r="D3057" s="303">
        <v>1.74</v>
      </c>
    </row>
    <row r="3058" spans="1:4">
      <c r="A3058" s="302">
        <v>98289</v>
      </c>
      <c r="B3058" s="301" t="s">
        <v>11984</v>
      </c>
      <c r="C3058" s="301" t="s">
        <v>35</v>
      </c>
      <c r="D3058" s="303">
        <v>2.44</v>
      </c>
    </row>
    <row r="3059" spans="1:4">
      <c r="A3059" s="302">
        <v>98290</v>
      </c>
      <c r="B3059" s="301" t="s">
        <v>11985</v>
      </c>
      <c r="C3059" s="301" t="s">
        <v>35</v>
      </c>
      <c r="D3059" s="303">
        <v>2.99</v>
      </c>
    </row>
    <row r="3060" spans="1:4">
      <c r="A3060" s="302">
        <v>98291</v>
      </c>
      <c r="B3060" s="301" t="s">
        <v>11986</v>
      </c>
      <c r="C3060" s="301" t="s">
        <v>35</v>
      </c>
      <c r="D3060" s="303">
        <v>3.8</v>
      </c>
    </row>
    <row r="3061" spans="1:4">
      <c r="A3061" s="302">
        <v>98292</v>
      </c>
      <c r="B3061" s="301" t="s">
        <v>11987</v>
      </c>
      <c r="C3061" s="301" t="s">
        <v>35</v>
      </c>
      <c r="D3061" s="303">
        <v>4.28</v>
      </c>
    </row>
    <row r="3062" spans="1:4">
      <c r="A3062" s="302">
        <v>98293</v>
      </c>
      <c r="B3062" s="301" t="s">
        <v>11988</v>
      </c>
      <c r="C3062" s="301" t="s">
        <v>35</v>
      </c>
      <c r="D3062" s="303">
        <v>8.3000000000000007</v>
      </c>
    </row>
    <row r="3063" spans="1:4">
      <c r="A3063" s="302">
        <v>98400</v>
      </c>
      <c r="B3063" s="301" t="s">
        <v>11989</v>
      </c>
      <c r="C3063" s="301" t="s">
        <v>35</v>
      </c>
      <c r="D3063" s="303">
        <v>11.98</v>
      </c>
    </row>
    <row r="3064" spans="1:4">
      <c r="A3064" s="302">
        <v>98401</v>
      </c>
      <c r="B3064" s="301" t="s">
        <v>11990</v>
      </c>
      <c r="C3064" s="301" t="s">
        <v>35</v>
      </c>
      <c r="D3064" s="303">
        <v>18.829999999999998</v>
      </c>
    </row>
    <row r="3065" spans="1:4">
      <c r="A3065" s="302">
        <v>98402</v>
      </c>
      <c r="B3065" s="301" t="s">
        <v>11991</v>
      </c>
      <c r="C3065" s="301" t="s">
        <v>35</v>
      </c>
      <c r="D3065" s="303">
        <v>24.59</v>
      </c>
    </row>
    <row r="3066" spans="1:4">
      <c r="A3066" s="302">
        <v>100556</v>
      </c>
      <c r="B3066" s="301" t="s">
        <v>11992</v>
      </c>
      <c r="C3066" s="301" t="s">
        <v>28</v>
      </c>
      <c r="D3066" s="303">
        <v>27.82</v>
      </c>
    </row>
    <row r="3067" spans="1:4">
      <c r="A3067" s="302">
        <v>100557</v>
      </c>
      <c r="B3067" s="301" t="s">
        <v>11993</v>
      </c>
      <c r="C3067" s="301" t="s">
        <v>28</v>
      </c>
      <c r="D3067" s="303">
        <v>322.60000000000002</v>
      </c>
    </row>
    <row r="3068" spans="1:4">
      <c r="A3068" s="302">
        <v>100559</v>
      </c>
      <c r="B3068" s="301" t="s">
        <v>12526</v>
      </c>
      <c r="C3068" s="301" t="s">
        <v>28</v>
      </c>
      <c r="D3068" s="303">
        <v>71.67</v>
      </c>
    </row>
    <row r="3069" spans="1:4">
      <c r="A3069" s="302">
        <v>100560</v>
      </c>
      <c r="B3069" s="301" t="s">
        <v>11994</v>
      </c>
      <c r="C3069" s="301" t="s">
        <v>28</v>
      </c>
      <c r="D3069" s="303">
        <v>75.36</v>
      </c>
    </row>
    <row r="3070" spans="1:4">
      <c r="A3070" s="302">
        <v>100561</v>
      </c>
      <c r="B3070" s="301" t="s">
        <v>11995</v>
      </c>
      <c r="C3070" s="301" t="s">
        <v>28</v>
      </c>
      <c r="D3070" s="303">
        <v>133.18</v>
      </c>
    </row>
    <row r="3071" spans="1:4">
      <c r="A3071" s="302">
        <v>100562</v>
      </c>
      <c r="B3071" s="301" t="s">
        <v>11996</v>
      </c>
      <c r="C3071" s="301" t="s">
        <v>28</v>
      </c>
      <c r="D3071" s="303">
        <v>203.12</v>
      </c>
    </row>
    <row r="3072" spans="1:4">
      <c r="A3072" s="302">
        <v>100563</v>
      </c>
      <c r="B3072" s="301" t="s">
        <v>11997</v>
      </c>
      <c r="C3072" s="301" t="s">
        <v>28</v>
      </c>
      <c r="D3072" s="303">
        <v>290.23</v>
      </c>
    </row>
    <row r="3073" spans="1:4">
      <c r="A3073" s="302">
        <v>98397</v>
      </c>
      <c r="B3073" s="301" t="s">
        <v>3800</v>
      </c>
      <c r="C3073" s="301" t="s">
        <v>117</v>
      </c>
      <c r="D3073" s="303">
        <v>8.24</v>
      </c>
    </row>
    <row r="3074" spans="1:4">
      <c r="A3074" s="301" t="s">
        <v>3801</v>
      </c>
      <c r="B3074" s="301" t="s">
        <v>3802</v>
      </c>
      <c r="C3074" s="301" t="s">
        <v>28</v>
      </c>
      <c r="D3074" s="304">
        <v>5381.79</v>
      </c>
    </row>
    <row r="3075" spans="1:4">
      <c r="A3075" s="302">
        <v>85120</v>
      </c>
      <c r="B3075" s="301" t="s">
        <v>998</v>
      </c>
      <c r="C3075" s="301" t="s">
        <v>28</v>
      </c>
      <c r="D3075" s="303">
        <v>120.71</v>
      </c>
    </row>
    <row r="3076" spans="1:4">
      <c r="A3076" s="302">
        <v>83486</v>
      </c>
      <c r="B3076" s="301" t="s">
        <v>3803</v>
      </c>
      <c r="C3076" s="301" t="s">
        <v>28</v>
      </c>
      <c r="D3076" s="304">
        <v>1225.5999999999999</v>
      </c>
    </row>
    <row r="3077" spans="1:4">
      <c r="A3077" s="302">
        <v>83643</v>
      </c>
      <c r="B3077" s="301" t="s">
        <v>3804</v>
      </c>
      <c r="C3077" s="301" t="s">
        <v>28</v>
      </c>
      <c r="D3077" s="304">
        <v>3756.03</v>
      </c>
    </row>
    <row r="3078" spans="1:4">
      <c r="A3078" s="302">
        <v>83644</v>
      </c>
      <c r="B3078" s="301" t="s">
        <v>3805</v>
      </c>
      <c r="C3078" s="301" t="s">
        <v>28</v>
      </c>
      <c r="D3078" s="304">
        <v>5226.37</v>
      </c>
    </row>
    <row r="3079" spans="1:4">
      <c r="A3079" s="302">
        <v>83645</v>
      </c>
      <c r="B3079" s="301" t="s">
        <v>101</v>
      </c>
      <c r="C3079" s="301" t="s">
        <v>28</v>
      </c>
      <c r="D3079" s="304">
        <v>1660.84</v>
      </c>
    </row>
    <row r="3080" spans="1:4">
      <c r="A3080" s="302">
        <v>83646</v>
      </c>
      <c r="B3080" s="301" t="s">
        <v>3806</v>
      </c>
      <c r="C3080" s="301" t="s">
        <v>28</v>
      </c>
      <c r="D3080" s="304">
        <v>1927.98</v>
      </c>
    </row>
    <row r="3081" spans="1:4">
      <c r="A3081" s="302">
        <v>83647</v>
      </c>
      <c r="B3081" s="301" t="s">
        <v>3807</v>
      </c>
      <c r="C3081" s="301" t="s">
        <v>28</v>
      </c>
      <c r="D3081" s="304">
        <v>1261.07</v>
      </c>
    </row>
    <row r="3082" spans="1:4">
      <c r="A3082" s="302">
        <v>83648</v>
      </c>
      <c r="B3082" s="301" t="s">
        <v>3808</v>
      </c>
      <c r="C3082" s="301" t="s">
        <v>28</v>
      </c>
      <c r="D3082" s="303">
        <v>809.42</v>
      </c>
    </row>
    <row r="3083" spans="1:4">
      <c r="A3083" s="302">
        <v>83649</v>
      </c>
      <c r="B3083" s="301" t="s">
        <v>3809</v>
      </c>
      <c r="C3083" s="301" t="s">
        <v>28</v>
      </c>
      <c r="D3083" s="304">
        <v>4852</v>
      </c>
    </row>
    <row r="3084" spans="1:4">
      <c r="A3084" s="302">
        <v>83650</v>
      </c>
      <c r="B3084" s="301" t="s">
        <v>3810</v>
      </c>
      <c r="C3084" s="301" t="s">
        <v>28</v>
      </c>
      <c r="D3084" s="304">
        <v>4052.46</v>
      </c>
    </row>
    <row r="3085" spans="1:4">
      <c r="A3085" s="302">
        <v>98294</v>
      </c>
      <c r="B3085" s="301" t="s">
        <v>11998</v>
      </c>
      <c r="C3085" s="301" t="s">
        <v>35</v>
      </c>
      <c r="D3085" s="303">
        <v>1.69</v>
      </c>
    </row>
    <row r="3086" spans="1:4">
      <c r="A3086" s="302">
        <v>98295</v>
      </c>
      <c r="B3086" s="301" t="s">
        <v>11999</v>
      </c>
      <c r="C3086" s="301" t="s">
        <v>35</v>
      </c>
      <c r="D3086" s="303">
        <v>1.18</v>
      </c>
    </row>
    <row r="3087" spans="1:4">
      <c r="A3087" s="302">
        <v>98296</v>
      </c>
      <c r="B3087" s="301" t="s">
        <v>12000</v>
      </c>
      <c r="C3087" s="301" t="s">
        <v>35</v>
      </c>
      <c r="D3087" s="303">
        <v>2.62</v>
      </c>
    </row>
    <row r="3088" spans="1:4">
      <c r="A3088" s="302">
        <v>98297</v>
      </c>
      <c r="B3088" s="301" t="s">
        <v>12001</v>
      </c>
      <c r="C3088" s="301" t="s">
        <v>35</v>
      </c>
      <c r="D3088" s="303">
        <v>1.81</v>
      </c>
    </row>
    <row r="3089" spans="1:4">
      <c r="A3089" s="302">
        <v>98301</v>
      </c>
      <c r="B3089" s="301" t="s">
        <v>12002</v>
      </c>
      <c r="C3089" s="301" t="s">
        <v>28</v>
      </c>
      <c r="D3089" s="303">
        <v>394.44</v>
      </c>
    </row>
    <row r="3090" spans="1:4">
      <c r="A3090" s="302">
        <v>98302</v>
      </c>
      <c r="B3090" s="301" t="s">
        <v>12003</v>
      </c>
      <c r="C3090" s="301" t="s">
        <v>28</v>
      </c>
      <c r="D3090" s="303">
        <v>520</v>
      </c>
    </row>
    <row r="3091" spans="1:4">
      <c r="A3091" s="302">
        <v>98304</v>
      </c>
      <c r="B3091" s="301" t="s">
        <v>12004</v>
      </c>
      <c r="C3091" s="301" t="s">
        <v>28</v>
      </c>
      <c r="D3091" s="303">
        <v>845.3</v>
      </c>
    </row>
    <row r="3092" spans="1:4">
      <c r="A3092" s="302">
        <v>98307</v>
      </c>
      <c r="B3092" s="301" t="s">
        <v>12005</v>
      </c>
      <c r="C3092" s="301" t="s">
        <v>28</v>
      </c>
      <c r="D3092" s="303">
        <v>30.83</v>
      </c>
    </row>
    <row r="3093" spans="1:4">
      <c r="A3093" s="302">
        <v>98308</v>
      </c>
      <c r="B3093" s="301" t="s">
        <v>12006</v>
      </c>
      <c r="C3093" s="301" t="s">
        <v>28</v>
      </c>
      <c r="D3093" s="303">
        <v>20.71</v>
      </c>
    </row>
    <row r="3094" spans="1:4">
      <c r="A3094" s="302">
        <v>98593</v>
      </c>
      <c r="B3094" s="301" t="s">
        <v>12007</v>
      </c>
      <c r="C3094" s="301" t="s">
        <v>28</v>
      </c>
      <c r="D3094" s="303">
        <v>695.34</v>
      </c>
    </row>
    <row r="3095" spans="1:4">
      <c r="A3095" s="302">
        <v>89355</v>
      </c>
      <c r="B3095" s="301" t="s">
        <v>3811</v>
      </c>
      <c r="C3095" s="301" t="s">
        <v>35</v>
      </c>
      <c r="D3095" s="303">
        <v>13.63</v>
      </c>
    </row>
    <row r="3096" spans="1:4">
      <c r="A3096" s="302">
        <v>89356</v>
      </c>
      <c r="B3096" s="301" t="s">
        <v>3812</v>
      </c>
      <c r="C3096" s="301" t="s">
        <v>35</v>
      </c>
      <c r="D3096" s="303">
        <v>16.059999999999999</v>
      </c>
    </row>
    <row r="3097" spans="1:4">
      <c r="A3097" s="302">
        <v>89357</v>
      </c>
      <c r="B3097" s="301" t="s">
        <v>3813</v>
      </c>
      <c r="C3097" s="301" t="s">
        <v>35</v>
      </c>
      <c r="D3097" s="303">
        <v>22.13</v>
      </c>
    </row>
    <row r="3098" spans="1:4">
      <c r="A3098" s="302">
        <v>89401</v>
      </c>
      <c r="B3098" s="301" t="s">
        <v>354</v>
      </c>
      <c r="C3098" s="301" t="s">
        <v>35</v>
      </c>
      <c r="D3098" s="303">
        <v>5.67</v>
      </c>
    </row>
    <row r="3099" spans="1:4">
      <c r="A3099" s="302">
        <v>89402</v>
      </c>
      <c r="B3099" s="301" t="s">
        <v>152</v>
      </c>
      <c r="C3099" s="301" t="s">
        <v>35</v>
      </c>
      <c r="D3099" s="303">
        <v>6.86</v>
      </c>
    </row>
    <row r="3100" spans="1:4">
      <c r="A3100" s="302">
        <v>89403</v>
      </c>
      <c r="B3100" s="301" t="s">
        <v>340</v>
      </c>
      <c r="C3100" s="301" t="s">
        <v>35</v>
      </c>
      <c r="D3100" s="303">
        <v>11.15</v>
      </c>
    </row>
    <row r="3101" spans="1:4">
      <c r="A3101" s="302">
        <v>89446</v>
      </c>
      <c r="B3101" s="301" t="s">
        <v>3814</v>
      </c>
      <c r="C3101" s="301" t="s">
        <v>35</v>
      </c>
      <c r="D3101" s="303">
        <v>3.38</v>
      </c>
    </row>
    <row r="3102" spans="1:4">
      <c r="A3102" s="302">
        <v>89447</v>
      </c>
      <c r="B3102" s="301" t="s">
        <v>378</v>
      </c>
      <c r="C3102" s="301" t="s">
        <v>35</v>
      </c>
      <c r="D3102" s="303">
        <v>7.04</v>
      </c>
    </row>
    <row r="3103" spans="1:4">
      <c r="A3103" s="302">
        <v>89448</v>
      </c>
      <c r="B3103" s="301" t="s">
        <v>380</v>
      </c>
      <c r="C3103" s="301" t="s">
        <v>35</v>
      </c>
      <c r="D3103" s="303">
        <v>10.1</v>
      </c>
    </row>
    <row r="3104" spans="1:4">
      <c r="A3104" s="302">
        <v>89449</v>
      </c>
      <c r="B3104" s="301" t="s">
        <v>153</v>
      </c>
      <c r="C3104" s="301" t="s">
        <v>35</v>
      </c>
      <c r="D3104" s="303">
        <v>11.63</v>
      </c>
    </row>
    <row r="3105" spans="1:4">
      <c r="A3105" s="302">
        <v>89450</v>
      </c>
      <c r="B3105" s="301" t="s">
        <v>3815</v>
      </c>
      <c r="C3105" s="301" t="s">
        <v>35</v>
      </c>
      <c r="D3105" s="303">
        <v>19.100000000000001</v>
      </c>
    </row>
    <row r="3106" spans="1:4">
      <c r="A3106" s="302">
        <v>89451</v>
      </c>
      <c r="B3106" s="301" t="s">
        <v>154</v>
      </c>
      <c r="C3106" s="301" t="s">
        <v>35</v>
      </c>
      <c r="D3106" s="303">
        <v>31.47</v>
      </c>
    </row>
    <row r="3107" spans="1:4">
      <c r="A3107" s="302">
        <v>89452</v>
      </c>
      <c r="B3107" s="301" t="s">
        <v>355</v>
      </c>
      <c r="C3107" s="301" t="s">
        <v>35</v>
      </c>
      <c r="D3107" s="303">
        <v>39.130000000000003</v>
      </c>
    </row>
    <row r="3108" spans="1:4">
      <c r="A3108" s="302">
        <v>89508</v>
      </c>
      <c r="B3108" s="301" t="s">
        <v>3816</v>
      </c>
      <c r="C3108" s="301" t="s">
        <v>35</v>
      </c>
      <c r="D3108" s="303">
        <v>14.6</v>
      </c>
    </row>
    <row r="3109" spans="1:4">
      <c r="A3109" s="302">
        <v>89509</v>
      </c>
      <c r="B3109" s="301" t="s">
        <v>3817</v>
      </c>
      <c r="C3109" s="301" t="s">
        <v>35</v>
      </c>
      <c r="D3109" s="303">
        <v>20.399999999999999</v>
      </c>
    </row>
    <row r="3110" spans="1:4">
      <c r="A3110" s="302">
        <v>89511</v>
      </c>
      <c r="B3110" s="301" t="s">
        <v>3818</v>
      </c>
      <c r="C3110" s="301" t="s">
        <v>35</v>
      </c>
      <c r="D3110" s="303">
        <v>30.71</v>
      </c>
    </row>
    <row r="3111" spans="1:4">
      <c r="A3111" s="302">
        <v>89512</v>
      </c>
      <c r="B3111" s="301" t="s">
        <v>3819</v>
      </c>
      <c r="C3111" s="301" t="s">
        <v>35</v>
      </c>
      <c r="D3111" s="303">
        <v>48.22</v>
      </c>
    </row>
    <row r="3112" spans="1:4">
      <c r="A3112" s="302">
        <v>89576</v>
      </c>
      <c r="B3112" s="301" t="s">
        <v>3820</v>
      </c>
      <c r="C3112" s="301" t="s">
        <v>35</v>
      </c>
      <c r="D3112" s="303">
        <v>17.3</v>
      </c>
    </row>
    <row r="3113" spans="1:4">
      <c r="A3113" s="302">
        <v>89578</v>
      </c>
      <c r="B3113" s="301" t="s">
        <v>3821</v>
      </c>
      <c r="C3113" s="301" t="s">
        <v>35</v>
      </c>
      <c r="D3113" s="303">
        <v>29.76</v>
      </c>
    </row>
    <row r="3114" spans="1:4">
      <c r="A3114" s="302">
        <v>89580</v>
      </c>
      <c r="B3114" s="301" t="s">
        <v>3822</v>
      </c>
      <c r="C3114" s="301" t="s">
        <v>35</v>
      </c>
      <c r="D3114" s="303">
        <v>58.29</v>
      </c>
    </row>
    <row r="3115" spans="1:4">
      <c r="A3115" s="302">
        <v>89633</v>
      </c>
      <c r="B3115" s="301" t="s">
        <v>3823</v>
      </c>
      <c r="C3115" s="301" t="s">
        <v>35</v>
      </c>
      <c r="D3115" s="303">
        <v>19.93</v>
      </c>
    </row>
    <row r="3116" spans="1:4">
      <c r="A3116" s="302">
        <v>89634</v>
      </c>
      <c r="B3116" s="301" t="s">
        <v>3824</v>
      </c>
      <c r="C3116" s="301" t="s">
        <v>35</v>
      </c>
      <c r="D3116" s="303">
        <v>30.53</v>
      </c>
    </row>
    <row r="3117" spans="1:4">
      <c r="A3117" s="302">
        <v>89635</v>
      </c>
      <c r="B3117" s="301" t="s">
        <v>3825</v>
      </c>
      <c r="C3117" s="301" t="s">
        <v>35</v>
      </c>
      <c r="D3117" s="303">
        <v>43.94</v>
      </c>
    </row>
    <row r="3118" spans="1:4">
      <c r="A3118" s="302">
        <v>89636</v>
      </c>
      <c r="B3118" s="301" t="s">
        <v>3826</v>
      </c>
      <c r="C3118" s="301" t="s">
        <v>35</v>
      </c>
      <c r="D3118" s="303">
        <v>53.54</v>
      </c>
    </row>
    <row r="3119" spans="1:4">
      <c r="A3119" s="302">
        <v>89711</v>
      </c>
      <c r="B3119" s="301" t="s">
        <v>127</v>
      </c>
      <c r="C3119" s="301" t="s">
        <v>35</v>
      </c>
      <c r="D3119" s="303">
        <v>14.44</v>
      </c>
    </row>
    <row r="3120" spans="1:4">
      <c r="A3120" s="302">
        <v>89712</v>
      </c>
      <c r="B3120" s="301" t="s">
        <v>128</v>
      </c>
      <c r="C3120" s="301" t="s">
        <v>35</v>
      </c>
      <c r="D3120" s="303">
        <v>21.63</v>
      </c>
    </row>
    <row r="3121" spans="1:4">
      <c r="A3121" s="302">
        <v>89713</v>
      </c>
      <c r="B3121" s="301" t="s">
        <v>130</v>
      </c>
      <c r="C3121" s="301" t="s">
        <v>35</v>
      </c>
      <c r="D3121" s="303">
        <v>33.21</v>
      </c>
    </row>
    <row r="3122" spans="1:4">
      <c r="A3122" s="302">
        <v>89714</v>
      </c>
      <c r="B3122" s="301" t="s">
        <v>129</v>
      </c>
      <c r="C3122" s="301" t="s">
        <v>35</v>
      </c>
      <c r="D3122" s="303">
        <v>42.91</v>
      </c>
    </row>
    <row r="3123" spans="1:4">
      <c r="A3123" s="302">
        <v>89716</v>
      </c>
      <c r="B3123" s="301" t="s">
        <v>3827</v>
      </c>
      <c r="C3123" s="301" t="s">
        <v>35</v>
      </c>
      <c r="D3123" s="303">
        <v>22.2</v>
      </c>
    </row>
    <row r="3124" spans="1:4">
      <c r="A3124" s="302">
        <v>89717</v>
      </c>
      <c r="B3124" s="301" t="s">
        <v>3828</v>
      </c>
      <c r="C3124" s="301" t="s">
        <v>35</v>
      </c>
      <c r="D3124" s="303">
        <v>34.119999999999997</v>
      </c>
    </row>
    <row r="3125" spans="1:4">
      <c r="A3125" s="302">
        <v>89770</v>
      </c>
      <c r="B3125" s="301" t="s">
        <v>3829</v>
      </c>
      <c r="C3125" s="301" t="s">
        <v>35</v>
      </c>
      <c r="D3125" s="303">
        <v>37.659999999999997</v>
      </c>
    </row>
    <row r="3126" spans="1:4">
      <c r="A3126" s="302">
        <v>89771</v>
      </c>
      <c r="B3126" s="301" t="s">
        <v>3830</v>
      </c>
      <c r="C3126" s="301" t="s">
        <v>35</v>
      </c>
      <c r="D3126" s="303">
        <v>51.49</v>
      </c>
    </row>
    <row r="3127" spans="1:4">
      <c r="A3127" s="302">
        <v>89773</v>
      </c>
      <c r="B3127" s="301" t="s">
        <v>3831</v>
      </c>
      <c r="C3127" s="301" t="s">
        <v>35</v>
      </c>
      <c r="D3127" s="303">
        <v>119.96</v>
      </c>
    </row>
    <row r="3128" spans="1:4">
      <c r="A3128" s="302">
        <v>89775</v>
      </c>
      <c r="B3128" s="301" t="s">
        <v>3832</v>
      </c>
      <c r="C3128" s="301" t="s">
        <v>35</v>
      </c>
      <c r="D3128" s="303">
        <v>189.54</v>
      </c>
    </row>
    <row r="3129" spans="1:4">
      <c r="A3129" s="302">
        <v>89798</v>
      </c>
      <c r="B3129" s="301" t="s">
        <v>132</v>
      </c>
      <c r="C3129" s="301" t="s">
        <v>35</v>
      </c>
      <c r="D3129" s="303">
        <v>8.58</v>
      </c>
    </row>
    <row r="3130" spans="1:4">
      <c r="A3130" s="302">
        <v>89799</v>
      </c>
      <c r="B3130" s="301" t="s">
        <v>3833</v>
      </c>
      <c r="C3130" s="301" t="s">
        <v>35</v>
      </c>
      <c r="D3130" s="303">
        <v>14.3</v>
      </c>
    </row>
    <row r="3131" spans="1:4">
      <c r="A3131" s="302">
        <v>89800</v>
      </c>
      <c r="B3131" s="301" t="s">
        <v>3834</v>
      </c>
      <c r="C3131" s="301" t="s">
        <v>35</v>
      </c>
      <c r="D3131" s="303">
        <v>17.920000000000002</v>
      </c>
    </row>
    <row r="3132" spans="1:4">
      <c r="A3132" s="302">
        <v>89848</v>
      </c>
      <c r="B3132" s="301" t="s">
        <v>3835</v>
      </c>
      <c r="C3132" s="301" t="s">
        <v>35</v>
      </c>
      <c r="D3132" s="303">
        <v>22.23</v>
      </c>
    </row>
    <row r="3133" spans="1:4">
      <c r="A3133" s="302">
        <v>89849</v>
      </c>
      <c r="B3133" s="301" t="s">
        <v>398</v>
      </c>
      <c r="C3133" s="301" t="s">
        <v>35</v>
      </c>
      <c r="D3133" s="303">
        <v>42.36</v>
      </c>
    </row>
    <row r="3134" spans="1:4">
      <c r="A3134" s="302">
        <v>89865</v>
      </c>
      <c r="B3134" s="301" t="s">
        <v>3836</v>
      </c>
      <c r="C3134" s="301" t="s">
        <v>35</v>
      </c>
      <c r="D3134" s="303">
        <v>9.61</v>
      </c>
    </row>
    <row r="3135" spans="1:4">
      <c r="A3135" s="302">
        <v>91784</v>
      </c>
      <c r="B3135" s="301" t="s">
        <v>3837</v>
      </c>
      <c r="C3135" s="301" t="s">
        <v>35</v>
      </c>
      <c r="D3135" s="303">
        <v>32.79</v>
      </c>
    </row>
    <row r="3136" spans="1:4">
      <c r="A3136" s="302">
        <v>91785</v>
      </c>
      <c r="B3136" s="301" t="s">
        <v>3838</v>
      </c>
      <c r="C3136" s="301" t="s">
        <v>35</v>
      </c>
      <c r="D3136" s="303">
        <v>32.43</v>
      </c>
    </row>
    <row r="3137" spans="1:4">
      <c r="A3137" s="302">
        <v>91786</v>
      </c>
      <c r="B3137" s="301" t="s">
        <v>3839</v>
      </c>
      <c r="C3137" s="301" t="s">
        <v>35</v>
      </c>
      <c r="D3137" s="303">
        <v>21.1</v>
      </c>
    </row>
    <row r="3138" spans="1:4">
      <c r="A3138" s="302">
        <v>91787</v>
      </c>
      <c r="B3138" s="301" t="s">
        <v>3840</v>
      </c>
      <c r="C3138" s="301" t="s">
        <v>35</v>
      </c>
      <c r="D3138" s="303">
        <v>22.57</v>
      </c>
    </row>
    <row r="3139" spans="1:4">
      <c r="A3139" s="302">
        <v>91788</v>
      </c>
      <c r="B3139" s="301" t="s">
        <v>3841</v>
      </c>
      <c r="C3139" s="301" t="s">
        <v>35</v>
      </c>
      <c r="D3139" s="303">
        <v>29.17</v>
      </c>
    </row>
    <row r="3140" spans="1:4">
      <c r="A3140" s="302">
        <v>91789</v>
      </c>
      <c r="B3140" s="301" t="s">
        <v>3842</v>
      </c>
      <c r="C3140" s="301" t="s">
        <v>35</v>
      </c>
      <c r="D3140" s="303">
        <v>31.92</v>
      </c>
    </row>
    <row r="3141" spans="1:4">
      <c r="A3141" s="302">
        <v>91790</v>
      </c>
      <c r="B3141" s="301" t="s">
        <v>3843</v>
      </c>
      <c r="C3141" s="301" t="s">
        <v>35</v>
      </c>
      <c r="D3141" s="303">
        <v>48.73</v>
      </c>
    </row>
    <row r="3142" spans="1:4">
      <c r="A3142" s="302">
        <v>91791</v>
      </c>
      <c r="B3142" s="301" t="s">
        <v>3844</v>
      </c>
      <c r="C3142" s="301" t="s">
        <v>35</v>
      </c>
      <c r="D3142" s="303">
        <v>62.26</v>
      </c>
    </row>
    <row r="3143" spans="1:4">
      <c r="A3143" s="302">
        <v>91792</v>
      </c>
      <c r="B3143" s="301" t="s">
        <v>3845</v>
      </c>
      <c r="C3143" s="301" t="s">
        <v>35</v>
      </c>
      <c r="D3143" s="303">
        <v>43.6</v>
      </c>
    </row>
    <row r="3144" spans="1:4">
      <c r="A3144" s="302">
        <v>91793</v>
      </c>
      <c r="B3144" s="301" t="s">
        <v>3846</v>
      </c>
      <c r="C3144" s="301" t="s">
        <v>35</v>
      </c>
      <c r="D3144" s="303">
        <v>65.48</v>
      </c>
    </row>
    <row r="3145" spans="1:4">
      <c r="A3145" s="302">
        <v>91794</v>
      </c>
      <c r="B3145" s="301" t="s">
        <v>3847</v>
      </c>
      <c r="C3145" s="301" t="s">
        <v>35</v>
      </c>
      <c r="D3145" s="303">
        <v>29.69</v>
      </c>
    </row>
    <row r="3146" spans="1:4">
      <c r="A3146" s="302">
        <v>91795</v>
      </c>
      <c r="B3146" s="301" t="s">
        <v>3848</v>
      </c>
      <c r="C3146" s="301" t="s">
        <v>35</v>
      </c>
      <c r="D3146" s="303">
        <v>50.53</v>
      </c>
    </row>
    <row r="3147" spans="1:4">
      <c r="A3147" s="302">
        <v>91796</v>
      </c>
      <c r="B3147" s="301" t="s">
        <v>3849</v>
      </c>
      <c r="C3147" s="301" t="s">
        <v>35</v>
      </c>
      <c r="D3147" s="303">
        <v>52.84</v>
      </c>
    </row>
    <row r="3148" spans="1:4">
      <c r="A3148" s="302">
        <v>92275</v>
      </c>
      <c r="B3148" s="301" t="s">
        <v>3850</v>
      </c>
      <c r="C3148" s="301" t="s">
        <v>35</v>
      </c>
      <c r="D3148" s="303">
        <v>32.380000000000003</v>
      </c>
    </row>
    <row r="3149" spans="1:4">
      <c r="A3149" s="302">
        <v>92276</v>
      </c>
      <c r="B3149" s="301" t="s">
        <v>3851</v>
      </c>
      <c r="C3149" s="301" t="s">
        <v>35</v>
      </c>
      <c r="D3149" s="303">
        <v>40.97</v>
      </c>
    </row>
    <row r="3150" spans="1:4">
      <c r="A3150" s="302">
        <v>92277</v>
      </c>
      <c r="B3150" s="301" t="s">
        <v>3852</v>
      </c>
      <c r="C3150" s="301" t="s">
        <v>35</v>
      </c>
      <c r="D3150" s="303">
        <v>58.97</v>
      </c>
    </row>
    <row r="3151" spans="1:4">
      <c r="A3151" s="302">
        <v>92278</v>
      </c>
      <c r="B3151" s="301" t="s">
        <v>3853</v>
      </c>
      <c r="C3151" s="301" t="s">
        <v>35</v>
      </c>
      <c r="D3151" s="303">
        <v>79.17</v>
      </c>
    </row>
    <row r="3152" spans="1:4">
      <c r="A3152" s="302">
        <v>92279</v>
      </c>
      <c r="B3152" s="301" t="s">
        <v>3854</v>
      </c>
      <c r="C3152" s="301" t="s">
        <v>35</v>
      </c>
      <c r="D3152" s="303">
        <v>114.25</v>
      </c>
    </row>
    <row r="3153" spans="1:4">
      <c r="A3153" s="302">
        <v>92280</v>
      </c>
      <c r="B3153" s="301" t="s">
        <v>3855</v>
      </c>
      <c r="C3153" s="301" t="s">
        <v>35</v>
      </c>
      <c r="D3153" s="303">
        <v>160.19</v>
      </c>
    </row>
    <row r="3154" spans="1:4">
      <c r="A3154" s="302">
        <v>92281</v>
      </c>
      <c r="B3154" s="301" t="s">
        <v>3856</v>
      </c>
      <c r="C3154" s="301" t="s">
        <v>35</v>
      </c>
      <c r="D3154" s="303">
        <v>99.78</v>
      </c>
    </row>
    <row r="3155" spans="1:4">
      <c r="A3155" s="302">
        <v>92282</v>
      </c>
      <c r="B3155" s="301" t="s">
        <v>3857</v>
      </c>
      <c r="C3155" s="301" t="s">
        <v>35</v>
      </c>
      <c r="D3155" s="303">
        <v>111.09</v>
      </c>
    </row>
    <row r="3156" spans="1:4">
      <c r="A3156" s="302">
        <v>92283</v>
      </c>
      <c r="B3156" s="301" t="s">
        <v>3858</v>
      </c>
      <c r="C3156" s="301" t="s">
        <v>35</v>
      </c>
      <c r="D3156" s="303">
        <v>147.61000000000001</v>
      </c>
    </row>
    <row r="3157" spans="1:4">
      <c r="A3157" s="302">
        <v>92284</v>
      </c>
      <c r="B3157" s="301" t="s">
        <v>3859</v>
      </c>
      <c r="C3157" s="301" t="s">
        <v>35</v>
      </c>
      <c r="D3157" s="303">
        <v>180.27</v>
      </c>
    </row>
    <row r="3158" spans="1:4">
      <c r="A3158" s="302">
        <v>92285</v>
      </c>
      <c r="B3158" s="301" t="s">
        <v>3860</v>
      </c>
      <c r="C3158" s="301" t="s">
        <v>35</v>
      </c>
      <c r="D3158" s="303">
        <v>235.04</v>
      </c>
    </row>
    <row r="3159" spans="1:4">
      <c r="A3159" s="302">
        <v>92286</v>
      </c>
      <c r="B3159" s="301" t="s">
        <v>3861</v>
      </c>
      <c r="C3159" s="301" t="s">
        <v>35</v>
      </c>
      <c r="D3159" s="303">
        <v>282.7</v>
      </c>
    </row>
    <row r="3160" spans="1:4">
      <c r="A3160" s="302">
        <v>92305</v>
      </c>
      <c r="B3160" s="301" t="s">
        <v>3862</v>
      </c>
      <c r="C3160" s="301" t="s">
        <v>35</v>
      </c>
      <c r="D3160" s="303">
        <v>22.26</v>
      </c>
    </row>
    <row r="3161" spans="1:4">
      <c r="A3161" s="302">
        <v>92306</v>
      </c>
      <c r="B3161" s="301" t="s">
        <v>3863</v>
      </c>
      <c r="C3161" s="301" t="s">
        <v>35</v>
      </c>
      <c r="D3161" s="303">
        <v>35.799999999999997</v>
      </c>
    </row>
    <row r="3162" spans="1:4">
      <c r="A3162" s="302">
        <v>92307</v>
      </c>
      <c r="B3162" s="301" t="s">
        <v>3864</v>
      </c>
      <c r="C3162" s="301" t="s">
        <v>35</v>
      </c>
      <c r="D3162" s="303">
        <v>44.64</v>
      </c>
    </row>
    <row r="3163" spans="1:4">
      <c r="A3163" s="302">
        <v>92308</v>
      </c>
      <c r="B3163" s="301" t="s">
        <v>3865</v>
      </c>
      <c r="C3163" s="301" t="s">
        <v>35</v>
      </c>
      <c r="D3163" s="303">
        <v>38.21</v>
      </c>
    </row>
    <row r="3164" spans="1:4">
      <c r="A3164" s="302">
        <v>92309</v>
      </c>
      <c r="B3164" s="301" t="s">
        <v>3866</v>
      </c>
      <c r="C3164" s="301" t="s">
        <v>35</v>
      </c>
      <c r="D3164" s="303">
        <v>104.92</v>
      </c>
    </row>
    <row r="3165" spans="1:4">
      <c r="A3165" s="302">
        <v>92310</v>
      </c>
      <c r="B3165" s="301" t="s">
        <v>3867</v>
      </c>
      <c r="C3165" s="301" t="s">
        <v>35</v>
      </c>
      <c r="D3165" s="303">
        <v>116.52</v>
      </c>
    </row>
    <row r="3166" spans="1:4">
      <c r="A3166" s="302">
        <v>92320</v>
      </c>
      <c r="B3166" s="301" t="s">
        <v>3868</v>
      </c>
      <c r="C3166" s="301" t="s">
        <v>35</v>
      </c>
      <c r="D3166" s="303">
        <v>29.77</v>
      </c>
    </row>
    <row r="3167" spans="1:4">
      <c r="A3167" s="302">
        <v>92321</v>
      </c>
      <c r="B3167" s="301" t="s">
        <v>3869</v>
      </c>
      <c r="C3167" s="301" t="s">
        <v>35</v>
      </c>
      <c r="D3167" s="303">
        <v>48.71</v>
      </c>
    </row>
    <row r="3168" spans="1:4">
      <c r="A3168" s="302">
        <v>92322</v>
      </c>
      <c r="B3168" s="301" t="s">
        <v>3870</v>
      </c>
      <c r="C3168" s="301" t="s">
        <v>35</v>
      </c>
      <c r="D3168" s="303">
        <v>62.24</v>
      </c>
    </row>
    <row r="3169" spans="1:4">
      <c r="A3169" s="302">
        <v>92323</v>
      </c>
      <c r="B3169" s="301" t="s">
        <v>3871</v>
      </c>
      <c r="C3169" s="301" t="s">
        <v>35</v>
      </c>
      <c r="D3169" s="303">
        <v>43.93</v>
      </c>
    </row>
    <row r="3170" spans="1:4">
      <c r="A3170" s="302">
        <v>92324</v>
      </c>
      <c r="B3170" s="301" t="s">
        <v>3872</v>
      </c>
      <c r="C3170" s="301" t="s">
        <v>35</v>
      </c>
      <c r="D3170" s="303">
        <v>116.04</v>
      </c>
    </row>
    <row r="3171" spans="1:4">
      <c r="A3171" s="302">
        <v>92325</v>
      </c>
      <c r="B3171" s="301" t="s">
        <v>3873</v>
      </c>
      <c r="C3171" s="301" t="s">
        <v>35</v>
      </c>
      <c r="D3171" s="303">
        <v>132.29</v>
      </c>
    </row>
    <row r="3172" spans="1:4">
      <c r="A3172" s="302">
        <v>92335</v>
      </c>
      <c r="B3172" s="301" t="s">
        <v>3874</v>
      </c>
      <c r="C3172" s="301" t="s">
        <v>35</v>
      </c>
      <c r="D3172" s="303">
        <v>56.12</v>
      </c>
    </row>
    <row r="3173" spans="1:4">
      <c r="A3173" s="302">
        <v>92336</v>
      </c>
      <c r="B3173" s="301" t="s">
        <v>3875</v>
      </c>
      <c r="C3173" s="301" t="s">
        <v>35</v>
      </c>
      <c r="D3173" s="303">
        <v>68.83</v>
      </c>
    </row>
    <row r="3174" spans="1:4">
      <c r="A3174" s="302">
        <v>92337</v>
      </c>
      <c r="B3174" s="301" t="s">
        <v>3876</v>
      </c>
      <c r="C3174" s="301" t="s">
        <v>35</v>
      </c>
      <c r="D3174" s="303">
        <v>90.33</v>
      </c>
    </row>
    <row r="3175" spans="1:4">
      <c r="A3175" s="302">
        <v>92338</v>
      </c>
      <c r="B3175" s="301" t="s">
        <v>3877</v>
      </c>
      <c r="C3175" s="301" t="s">
        <v>35</v>
      </c>
      <c r="D3175" s="303">
        <v>74.91</v>
      </c>
    </row>
    <row r="3176" spans="1:4">
      <c r="A3176" s="302">
        <v>92339</v>
      </c>
      <c r="B3176" s="301" t="s">
        <v>3878</v>
      </c>
      <c r="C3176" s="301" t="s">
        <v>35</v>
      </c>
      <c r="D3176" s="303">
        <v>110.69</v>
      </c>
    </row>
    <row r="3177" spans="1:4">
      <c r="A3177" s="302">
        <v>92341</v>
      </c>
      <c r="B3177" s="301" t="s">
        <v>3879</v>
      </c>
      <c r="C3177" s="301" t="s">
        <v>35</v>
      </c>
      <c r="D3177" s="303">
        <v>63.64</v>
      </c>
    </row>
    <row r="3178" spans="1:4">
      <c r="A3178" s="302">
        <v>92342</v>
      </c>
      <c r="B3178" s="301" t="s">
        <v>3880</v>
      </c>
      <c r="C3178" s="301" t="s">
        <v>35</v>
      </c>
      <c r="D3178" s="303">
        <v>76.38</v>
      </c>
    </row>
    <row r="3179" spans="1:4">
      <c r="A3179" s="302">
        <v>92343</v>
      </c>
      <c r="B3179" s="301" t="s">
        <v>3881</v>
      </c>
      <c r="C3179" s="301" t="s">
        <v>35</v>
      </c>
      <c r="D3179" s="303">
        <v>97.95</v>
      </c>
    </row>
    <row r="3180" spans="1:4">
      <c r="A3180" s="302">
        <v>92361</v>
      </c>
      <c r="B3180" s="301" t="s">
        <v>3882</v>
      </c>
      <c r="C3180" s="301" t="s">
        <v>35</v>
      </c>
      <c r="D3180" s="303">
        <v>59.55</v>
      </c>
    </row>
    <row r="3181" spans="1:4">
      <c r="A3181" s="302">
        <v>92362</v>
      </c>
      <c r="B3181" s="301" t="s">
        <v>3883</v>
      </c>
      <c r="C3181" s="301" t="s">
        <v>35</v>
      </c>
      <c r="D3181" s="303">
        <v>94.72</v>
      </c>
    </row>
    <row r="3182" spans="1:4">
      <c r="A3182" s="302">
        <v>92364</v>
      </c>
      <c r="B3182" s="301" t="s">
        <v>3884</v>
      </c>
      <c r="C3182" s="301" t="s">
        <v>35</v>
      </c>
      <c r="D3182" s="303">
        <v>34.19</v>
      </c>
    </row>
    <row r="3183" spans="1:4">
      <c r="A3183" s="302">
        <v>92365</v>
      </c>
      <c r="B3183" s="301" t="s">
        <v>3885</v>
      </c>
      <c r="C3183" s="301" t="s">
        <v>35</v>
      </c>
      <c r="D3183" s="303">
        <v>39.28</v>
      </c>
    </row>
    <row r="3184" spans="1:4">
      <c r="A3184" s="302">
        <v>92366</v>
      </c>
      <c r="B3184" s="301" t="s">
        <v>3886</v>
      </c>
      <c r="C3184" s="301" t="s">
        <v>35</v>
      </c>
      <c r="D3184" s="303">
        <v>54.35</v>
      </c>
    </row>
    <row r="3185" spans="1:4">
      <c r="A3185" s="302">
        <v>92367</v>
      </c>
      <c r="B3185" s="301" t="s">
        <v>3887</v>
      </c>
      <c r="C3185" s="301" t="s">
        <v>35</v>
      </c>
      <c r="D3185" s="303">
        <v>66.680000000000007</v>
      </c>
    </row>
    <row r="3186" spans="1:4">
      <c r="A3186" s="302">
        <v>92368</v>
      </c>
      <c r="B3186" s="301" t="s">
        <v>3888</v>
      </c>
      <c r="C3186" s="301" t="s">
        <v>35</v>
      </c>
      <c r="D3186" s="303">
        <v>87.86</v>
      </c>
    </row>
    <row r="3187" spans="1:4">
      <c r="A3187" s="302">
        <v>92648</v>
      </c>
      <c r="B3187" s="301" t="s">
        <v>3889</v>
      </c>
      <c r="C3187" s="301" t="s">
        <v>35</v>
      </c>
      <c r="D3187" s="303">
        <v>51.2</v>
      </c>
    </row>
    <row r="3188" spans="1:4">
      <c r="A3188" s="302">
        <v>92649</v>
      </c>
      <c r="B3188" s="301" t="s">
        <v>3890</v>
      </c>
      <c r="C3188" s="301" t="s">
        <v>35</v>
      </c>
      <c r="D3188" s="303">
        <v>62.31</v>
      </c>
    </row>
    <row r="3189" spans="1:4">
      <c r="A3189" s="302">
        <v>92650</v>
      </c>
      <c r="B3189" s="301" t="s">
        <v>3891</v>
      </c>
      <c r="C3189" s="301" t="s">
        <v>35</v>
      </c>
      <c r="D3189" s="303">
        <v>97.49</v>
      </c>
    </row>
    <row r="3190" spans="1:4">
      <c r="A3190" s="302">
        <v>92652</v>
      </c>
      <c r="B3190" s="301" t="s">
        <v>3892</v>
      </c>
      <c r="C3190" s="301" t="s">
        <v>35</v>
      </c>
      <c r="D3190" s="303">
        <v>37.61</v>
      </c>
    </row>
    <row r="3191" spans="1:4">
      <c r="A3191" s="302">
        <v>92653</v>
      </c>
      <c r="B3191" s="301" t="s">
        <v>3893</v>
      </c>
      <c r="C3191" s="301" t="s">
        <v>35</v>
      </c>
      <c r="D3191" s="303">
        <v>42.74</v>
      </c>
    </row>
    <row r="3192" spans="1:4">
      <c r="A3192" s="302">
        <v>92654</v>
      </c>
      <c r="B3192" s="301" t="s">
        <v>3894</v>
      </c>
      <c r="C3192" s="301" t="s">
        <v>35</v>
      </c>
      <c r="D3192" s="303">
        <v>57.81</v>
      </c>
    </row>
    <row r="3193" spans="1:4">
      <c r="A3193" s="302">
        <v>92655</v>
      </c>
      <c r="B3193" s="301" t="s">
        <v>3895</v>
      </c>
      <c r="C3193" s="301" t="s">
        <v>35</v>
      </c>
      <c r="D3193" s="303">
        <v>70.209999999999994</v>
      </c>
    </row>
    <row r="3194" spans="1:4">
      <c r="A3194" s="302">
        <v>92656</v>
      </c>
      <c r="B3194" s="301" t="s">
        <v>3896</v>
      </c>
      <c r="C3194" s="301" t="s">
        <v>35</v>
      </c>
      <c r="D3194" s="303">
        <v>91.39</v>
      </c>
    </row>
    <row r="3195" spans="1:4">
      <c r="A3195" s="302">
        <v>92687</v>
      </c>
      <c r="B3195" s="301" t="s">
        <v>3897</v>
      </c>
      <c r="C3195" s="301" t="s">
        <v>35</v>
      </c>
      <c r="D3195" s="303">
        <v>17.899999999999999</v>
      </c>
    </row>
    <row r="3196" spans="1:4">
      <c r="A3196" s="302">
        <v>92688</v>
      </c>
      <c r="B3196" s="301" t="s">
        <v>3898</v>
      </c>
      <c r="C3196" s="301" t="s">
        <v>35</v>
      </c>
      <c r="D3196" s="303">
        <v>25.39</v>
      </c>
    </row>
    <row r="3197" spans="1:4">
      <c r="A3197" s="302">
        <v>92689</v>
      </c>
      <c r="B3197" s="301" t="s">
        <v>3899</v>
      </c>
      <c r="C3197" s="301" t="s">
        <v>35</v>
      </c>
      <c r="D3197" s="303">
        <v>25.91</v>
      </c>
    </row>
    <row r="3198" spans="1:4">
      <c r="A3198" s="302">
        <v>92690</v>
      </c>
      <c r="B3198" s="301" t="s">
        <v>419</v>
      </c>
      <c r="C3198" s="301" t="s">
        <v>35</v>
      </c>
      <c r="D3198" s="303">
        <v>37.61</v>
      </c>
    </row>
    <row r="3199" spans="1:4">
      <c r="A3199" s="302">
        <v>94462</v>
      </c>
      <c r="B3199" s="301" t="s">
        <v>3900</v>
      </c>
      <c r="C3199" s="301" t="s">
        <v>35</v>
      </c>
      <c r="D3199" s="303">
        <v>63.59</v>
      </c>
    </row>
    <row r="3200" spans="1:4">
      <c r="A3200" s="302">
        <v>94463</v>
      </c>
      <c r="B3200" s="301" t="s">
        <v>3901</v>
      </c>
      <c r="C3200" s="301" t="s">
        <v>35</v>
      </c>
      <c r="D3200" s="303">
        <v>73.989999999999995</v>
      </c>
    </row>
    <row r="3201" spans="1:4">
      <c r="A3201" s="302">
        <v>94464</v>
      </c>
      <c r="B3201" s="301" t="s">
        <v>3902</v>
      </c>
      <c r="C3201" s="301" t="s">
        <v>35</v>
      </c>
      <c r="D3201" s="303">
        <v>103.7</v>
      </c>
    </row>
    <row r="3202" spans="1:4">
      <c r="A3202" s="302">
        <v>94602</v>
      </c>
      <c r="B3202" s="301" t="s">
        <v>3903</v>
      </c>
      <c r="C3202" s="301" t="s">
        <v>35</v>
      </c>
      <c r="D3202" s="303">
        <v>127.48</v>
      </c>
    </row>
    <row r="3203" spans="1:4">
      <c r="A3203" s="302">
        <v>94603</v>
      </c>
      <c r="B3203" s="301" t="s">
        <v>3904</v>
      </c>
      <c r="C3203" s="301" t="s">
        <v>35</v>
      </c>
      <c r="D3203" s="303">
        <v>169.77</v>
      </c>
    </row>
    <row r="3204" spans="1:4">
      <c r="A3204" s="302">
        <v>94604</v>
      </c>
      <c r="B3204" s="301" t="s">
        <v>3905</v>
      </c>
      <c r="C3204" s="301" t="s">
        <v>35</v>
      </c>
      <c r="D3204" s="303">
        <v>230.72</v>
      </c>
    </row>
    <row r="3205" spans="1:4">
      <c r="A3205" s="302">
        <v>94605</v>
      </c>
      <c r="B3205" s="301" t="s">
        <v>3906</v>
      </c>
      <c r="C3205" s="301" t="s">
        <v>35</v>
      </c>
      <c r="D3205" s="303">
        <v>327.78</v>
      </c>
    </row>
    <row r="3206" spans="1:4">
      <c r="A3206" s="302">
        <v>94648</v>
      </c>
      <c r="B3206" s="301" t="s">
        <v>3907</v>
      </c>
      <c r="C3206" s="301" t="s">
        <v>35</v>
      </c>
      <c r="D3206" s="303">
        <v>7.46</v>
      </c>
    </row>
    <row r="3207" spans="1:4">
      <c r="A3207" s="302">
        <v>94649</v>
      </c>
      <c r="B3207" s="301" t="s">
        <v>3908</v>
      </c>
      <c r="C3207" s="301" t="s">
        <v>35</v>
      </c>
      <c r="D3207" s="303">
        <v>10.92</v>
      </c>
    </row>
    <row r="3208" spans="1:4">
      <c r="A3208" s="302">
        <v>94650</v>
      </c>
      <c r="B3208" s="301" t="s">
        <v>3909</v>
      </c>
      <c r="C3208" s="301" t="s">
        <v>35</v>
      </c>
      <c r="D3208" s="303">
        <v>15.64</v>
      </c>
    </row>
    <row r="3209" spans="1:4">
      <c r="A3209" s="302">
        <v>94651</v>
      </c>
      <c r="B3209" s="301" t="s">
        <v>3910</v>
      </c>
      <c r="C3209" s="301" t="s">
        <v>35</v>
      </c>
      <c r="D3209" s="303">
        <v>16.95</v>
      </c>
    </row>
    <row r="3210" spans="1:4">
      <c r="A3210" s="302">
        <v>94652</v>
      </c>
      <c r="B3210" s="301" t="s">
        <v>3911</v>
      </c>
      <c r="C3210" s="301" t="s">
        <v>35</v>
      </c>
      <c r="D3210" s="303">
        <v>27.56</v>
      </c>
    </row>
    <row r="3211" spans="1:4">
      <c r="A3211" s="302">
        <v>94653</v>
      </c>
      <c r="B3211" s="301" t="s">
        <v>3912</v>
      </c>
      <c r="C3211" s="301" t="s">
        <v>35</v>
      </c>
      <c r="D3211" s="303">
        <v>38.85</v>
      </c>
    </row>
    <row r="3212" spans="1:4">
      <c r="A3212" s="302">
        <v>94654</v>
      </c>
      <c r="B3212" s="301" t="s">
        <v>3913</v>
      </c>
      <c r="C3212" s="301" t="s">
        <v>35</v>
      </c>
      <c r="D3212" s="303">
        <v>52.28</v>
      </c>
    </row>
    <row r="3213" spans="1:4">
      <c r="A3213" s="302">
        <v>94655</v>
      </c>
      <c r="B3213" s="301" t="s">
        <v>3914</v>
      </c>
      <c r="C3213" s="301" t="s">
        <v>35</v>
      </c>
      <c r="D3213" s="303">
        <v>72.37</v>
      </c>
    </row>
    <row r="3214" spans="1:4">
      <c r="A3214" s="302">
        <v>94716</v>
      </c>
      <c r="B3214" s="301" t="s">
        <v>3915</v>
      </c>
      <c r="C3214" s="301" t="s">
        <v>35</v>
      </c>
      <c r="D3214" s="303">
        <v>22.35</v>
      </c>
    </row>
    <row r="3215" spans="1:4">
      <c r="A3215" s="302">
        <v>94717</v>
      </c>
      <c r="B3215" s="301" t="s">
        <v>3916</v>
      </c>
      <c r="C3215" s="301" t="s">
        <v>35</v>
      </c>
      <c r="D3215" s="303">
        <v>33.229999999999997</v>
      </c>
    </row>
    <row r="3216" spans="1:4">
      <c r="A3216" s="302">
        <v>94718</v>
      </c>
      <c r="B3216" s="301" t="s">
        <v>3917</v>
      </c>
      <c r="C3216" s="301" t="s">
        <v>35</v>
      </c>
      <c r="D3216" s="303">
        <v>41.04</v>
      </c>
    </row>
    <row r="3217" spans="1:4">
      <c r="A3217" s="302">
        <v>94719</v>
      </c>
      <c r="B3217" s="301" t="s">
        <v>3918</v>
      </c>
      <c r="C3217" s="301" t="s">
        <v>35</v>
      </c>
      <c r="D3217" s="303">
        <v>54.11</v>
      </c>
    </row>
    <row r="3218" spans="1:4">
      <c r="A3218" s="302">
        <v>94720</v>
      </c>
      <c r="B3218" s="301" t="s">
        <v>3919</v>
      </c>
      <c r="C3218" s="301" t="s">
        <v>35</v>
      </c>
      <c r="D3218" s="303">
        <v>81.430000000000007</v>
      </c>
    </row>
    <row r="3219" spans="1:4">
      <c r="A3219" s="302">
        <v>94721</v>
      </c>
      <c r="B3219" s="301" t="s">
        <v>3920</v>
      </c>
      <c r="C3219" s="301" t="s">
        <v>35</v>
      </c>
      <c r="D3219" s="303">
        <v>119.7</v>
      </c>
    </row>
    <row r="3220" spans="1:4">
      <c r="A3220" s="302">
        <v>94722</v>
      </c>
      <c r="B3220" s="301" t="s">
        <v>3921</v>
      </c>
      <c r="C3220" s="301" t="s">
        <v>35</v>
      </c>
      <c r="D3220" s="303">
        <v>208.1</v>
      </c>
    </row>
    <row r="3221" spans="1:4">
      <c r="A3221" s="302">
        <v>95697</v>
      </c>
      <c r="B3221" s="301" t="s">
        <v>3922</v>
      </c>
      <c r="C3221" s="301" t="s">
        <v>35</v>
      </c>
      <c r="D3221" s="303">
        <v>48.45</v>
      </c>
    </row>
    <row r="3222" spans="1:4">
      <c r="A3222" s="302">
        <v>96635</v>
      </c>
      <c r="B3222" s="301" t="s">
        <v>3923</v>
      </c>
      <c r="C3222" s="301" t="s">
        <v>35</v>
      </c>
      <c r="D3222" s="303">
        <v>22.54</v>
      </c>
    </row>
    <row r="3223" spans="1:4">
      <c r="A3223" s="302">
        <v>96636</v>
      </c>
      <c r="B3223" s="301" t="s">
        <v>3924</v>
      </c>
      <c r="C3223" s="301" t="s">
        <v>35</v>
      </c>
      <c r="D3223" s="303">
        <v>23.81</v>
      </c>
    </row>
    <row r="3224" spans="1:4">
      <c r="A3224" s="302">
        <v>96644</v>
      </c>
      <c r="B3224" s="301" t="s">
        <v>3925</v>
      </c>
      <c r="C3224" s="301" t="s">
        <v>35</v>
      </c>
      <c r="D3224" s="303">
        <v>14.75</v>
      </c>
    </row>
    <row r="3225" spans="1:4">
      <c r="A3225" s="302">
        <v>96645</v>
      </c>
      <c r="B3225" s="301" t="s">
        <v>3926</v>
      </c>
      <c r="C3225" s="301" t="s">
        <v>35</v>
      </c>
      <c r="D3225" s="303">
        <v>19.079999999999998</v>
      </c>
    </row>
    <row r="3226" spans="1:4">
      <c r="A3226" s="302">
        <v>96646</v>
      </c>
      <c r="B3226" s="301" t="s">
        <v>3927</v>
      </c>
      <c r="C3226" s="301" t="s">
        <v>35</v>
      </c>
      <c r="D3226" s="303">
        <v>29.6</v>
      </c>
    </row>
    <row r="3227" spans="1:4">
      <c r="A3227" s="302">
        <v>96647</v>
      </c>
      <c r="B3227" s="301" t="s">
        <v>3928</v>
      </c>
      <c r="C3227" s="301" t="s">
        <v>35</v>
      </c>
      <c r="D3227" s="303">
        <v>13.34</v>
      </c>
    </row>
    <row r="3228" spans="1:4">
      <c r="A3228" s="302">
        <v>96648</v>
      </c>
      <c r="B3228" s="301" t="s">
        <v>3929</v>
      </c>
      <c r="C3228" s="301" t="s">
        <v>35</v>
      </c>
      <c r="D3228" s="303">
        <v>24.26</v>
      </c>
    </row>
    <row r="3229" spans="1:4">
      <c r="A3229" s="302">
        <v>96649</v>
      </c>
      <c r="B3229" s="301" t="s">
        <v>3930</v>
      </c>
      <c r="C3229" s="301" t="s">
        <v>35</v>
      </c>
      <c r="D3229" s="303">
        <v>35.74</v>
      </c>
    </row>
    <row r="3230" spans="1:4">
      <c r="A3230" s="302">
        <v>96668</v>
      </c>
      <c r="B3230" s="301" t="s">
        <v>3931</v>
      </c>
      <c r="C3230" s="301" t="s">
        <v>35</v>
      </c>
      <c r="D3230" s="303">
        <v>9.31</v>
      </c>
    </row>
    <row r="3231" spans="1:4">
      <c r="A3231" s="302">
        <v>96669</v>
      </c>
      <c r="B3231" s="301" t="s">
        <v>3932</v>
      </c>
      <c r="C3231" s="301" t="s">
        <v>35</v>
      </c>
      <c r="D3231" s="303">
        <v>11.57</v>
      </c>
    </row>
    <row r="3232" spans="1:4">
      <c r="A3232" s="302">
        <v>96670</v>
      </c>
      <c r="B3232" s="301" t="s">
        <v>3933</v>
      </c>
      <c r="C3232" s="301" t="s">
        <v>35</v>
      </c>
      <c r="D3232" s="303">
        <v>17.57</v>
      </c>
    </row>
    <row r="3233" spans="1:4">
      <c r="A3233" s="302">
        <v>96671</v>
      </c>
      <c r="B3233" s="301" t="s">
        <v>3934</v>
      </c>
      <c r="C3233" s="301" t="s">
        <v>35</v>
      </c>
      <c r="D3233" s="303">
        <v>23.53</v>
      </c>
    </row>
    <row r="3234" spans="1:4">
      <c r="A3234" s="302">
        <v>96672</v>
      </c>
      <c r="B3234" s="301" t="s">
        <v>3935</v>
      </c>
      <c r="C3234" s="301" t="s">
        <v>35</v>
      </c>
      <c r="D3234" s="303">
        <v>34.549999999999997</v>
      </c>
    </row>
    <row r="3235" spans="1:4">
      <c r="A3235" s="302">
        <v>96673</v>
      </c>
      <c r="B3235" s="301" t="s">
        <v>3936</v>
      </c>
      <c r="C3235" s="301" t="s">
        <v>35</v>
      </c>
      <c r="D3235" s="303">
        <v>56.42</v>
      </c>
    </row>
    <row r="3236" spans="1:4">
      <c r="A3236" s="302">
        <v>96674</v>
      </c>
      <c r="B3236" s="301" t="s">
        <v>3937</v>
      </c>
      <c r="C3236" s="301" t="s">
        <v>35</v>
      </c>
      <c r="D3236" s="303">
        <v>79.27</v>
      </c>
    </row>
    <row r="3237" spans="1:4">
      <c r="A3237" s="302">
        <v>96675</v>
      </c>
      <c r="B3237" s="301" t="s">
        <v>3938</v>
      </c>
      <c r="C3237" s="301" t="s">
        <v>35</v>
      </c>
      <c r="D3237" s="303">
        <v>137.71</v>
      </c>
    </row>
    <row r="3238" spans="1:4">
      <c r="A3238" s="302">
        <v>96676</v>
      </c>
      <c r="B3238" s="301" t="s">
        <v>3939</v>
      </c>
      <c r="C3238" s="301" t="s">
        <v>35</v>
      </c>
      <c r="D3238" s="303">
        <v>9.2799999999999994</v>
      </c>
    </row>
    <row r="3239" spans="1:4">
      <c r="A3239" s="302">
        <v>96677</v>
      </c>
      <c r="B3239" s="301" t="s">
        <v>3940</v>
      </c>
      <c r="C3239" s="301" t="s">
        <v>35</v>
      </c>
      <c r="D3239" s="303">
        <v>15.29</v>
      </c>
    </row>
    <row r="3240" spans="1:4">
      <c r="A3240" s="302">
        <v>96678</v>
      </c>
      <c r="B3240" s="301" t="s">
        <v>3941</v>
      </c>
      <c r="C3240" s="301" t="s">
        <v>35</v>
      </c>
      <c r="D3240" s="303">
        <v>21.27</v>
      </c>
    </row>
    <row r="3241" spans="1:4">
      <c r="A3241" s="302">
        <v>96679</v>
      </c>
      <c r="B3241" s="301" t="s">
        <v>3942</v>
      </c>
      <c r="C3241" s="301" t="s">
        <v>35</v>
      </c>
      <c r="D3241" s="303">
        <v>31.05</v>
      </c>
    </row>
    <row r="3242" spans="1:4">
      <c r="A3242" s="302">
        <v>96680</v>
      </c>
      <c r="B3242" s="301" t="s">
        <v>3943</v>
      </c>
      <c r="C3242" s="301" t="s">
        <v>35</v>
      </c>
      <c r="D3242" s="303">
        <v>41.84</v>
      </c>
    </row>
    <row r="3243" spans="1:4">
      <c r="A3243" s="302">
        <v>96681</v>
      </c>
      <c r="B3243" s="301" t="s">
        <v>3944</v>
      </c>
      <c r="C3243" s="301" t="s">
        <v>35</v>
      </c>
      <c r="D3243" s="303">
        <v>78.010000000000005</v>
      </c>
    </row>
    <row r="3244" spans="1:4">
      <c r="A3244" s="302">
        <v>96682</v>
      </c>
      <c r="B3244" s="301" t="s">
        <v>3945</v>
      </c>
      <c r="C3244" s="301" t="s">
        <v>35</v>
      </c>
      <c r="D3244" s="303">
        <v>115.05</v>
      </c>
    </row>
    <row r="3245" spans="1:4">
      <c r="A3245" s="302">
        <v>96683</v>
      </c>
      <c r="B3245" s="301" t="s">
        <v>3946</v>
      </c>
      <c r="C3245" s="301" t="s">
        <v>35</v>
      </c>
      <c r="D3245" s="303">
        <v>157.53</v>
      </c>
    </row>
    <row r="3246" spans="1:4">
      <c r="A3246" s="302">
        <v>96718</v>
      </c>
      <c r="B3246" s="301" t="s">
        <v>3947</v>
      </c>
      <c r="C3246" s="301" t="s">
        <v>35</v>
      </c>
      <c r="D3246" s="303">
        <v>6.08</v>
      </c>
    </row>
    <row r="3247" spans="1:4">
      <c r="A3247" s="302">
        <v>96719</v>
      </c>
      <c r="B3247" s="301" t="s">
        <v>3948</v>
      </c>
      <c r="C3247" s="301" t="s">
        <v>35</v>
      </c>
      <c r="D3247" s="303">
        <v>12.55</v>
      </c>
    </row>
    <row r="3248" spans="1:4">
      <c r="A3248" s="302">
        <v>96720</v>
      </c>
      <c r="B3248" s="301" t="s">
        <v>3949</v>
      </c>
      <c r="C3248" s="301" t="s">
        <v>35</v>
      </c>
      <c r="D3248" s="303">
        <v>15.25</v>
      </c>
    </row>
    <row r="3249" spans="1:4">
      <c r="A3249" s="302">
        <v>96721</v>
      </c>
      <c r="B3249" s="301" t="s">
        <v>3950</v>
      </c>
      <c r="C3249" s="301" t="s">
        <v>35</v>
      </c>
      <c r="D3249" s="303">
        <v>20.41</v>
      </c>
    </row>
    <row r="3250" spans="1:4">
      <c r="A3250" s="302">
        <v>96722</v>
      </c>
      <c r="B3250" s="301" t="s">
        <v>3951</v>
      </c>
      <c r="C3250" s="301" t="s">
        <v>35</v>
      </c>
      <c r="D3250" s="303">
        <v>27.91</v>
      </c>
    </row>
    <row r="3251" spans="1:4">
      <c r="A3251" s="302">
        <v>96723</v>
      </c>
      <c r="B3251" s="301" t="s">
        <v>3952</v>
      </c>
      <c r="C3251" s="301" t="s">
        <v>35</v>
      </c>
      <c r="D3251" s="303">
        <v>36.94</v>
      </c>
    </row>
    <row r="3252" spans="1:4">
      <c r="A3252" s="302">
        <v>96724</v>
      </c>
      <c r="B3252" s="301" t="s">
        <v>3953</v>
      </c>
      <c r="C3252" s="301" t="s">
        <v>35</v>
      </c>
      <c r="D3252" s="303">
        <v>60.33</v>
      </c>
    </row>
    <row r="3253" spans="1:4">
      <c r="A3253" s="302">
        <v>96725</v>
      </c>
      <c r="B3253" s="301" t="s">
        <v>3954</v>
      </c>
      <c r="C3253" s="301" t="s">
        <v>35</v>
      </c>
      <c r="D3253" s="303">
        <v>79.16</v>
      </c>
    </row>
    <row r="3254" spans="1:4">
      <c r="A3254" s="302">
        <v>96726</v>
      </c>
      <c r="B3254" s="301" t="s">
        <v>3955</v>
      </c>
      <c r="C3254" s="301" t="s">
        <v>35</v>
      </c>
      <c r="D3254" s="303">
        <v>129.03</v>
      </c>
    </row>
    <row r="3255" spans="1:4">
      <c r="A3255" s="302">
        <v>96727</v>
      </c>
      <c r="B3255" s="301" t="s">
        <v>3956</v>
      </c>
      <c r="C3255" s="301" t="s">
        <v>35</v>
      </c>
      <c r="D3255" s="303">
        <v>10.88</v>
      </c>
    </row>
    <row r="3256" spans="1:4">
      <c r="A3256" s="302">
        <v>96728</v>
      </c>
      <c r="B3256" s="301" t="s">
        <v>3957</v>
      </c>
      <c r="C3256" s="301" t="s">
        <v>35</v>
      </c>
      <c r="D3256" s="303">
        <v>12.97</v>
      </c>
    </row>
    <row r="3257" spans="1:4">
      <c r="A3257" s="302">
        <v>96729</v>
      </c>
      <c r="B3257" s="301" t="s">
        <v>3958</v>
      </c>
      <c r="C3257" s="301" t="s">
        <v>35</v>
      </c>
      <c r="D3257" s="303">
        <v>19.600000000000001</v>
      </c>
    </row>
    <row r="3258" spans="1:4">
      <c r="A3258" s="302">
        <v>96730</v>
      </c>
      <c r="B3258" s="301" t="s">
        <v>3959</v>
      </c>
      <c r="C3258" s="301" t="s">
        <v>35</v>
      </c>
      <c r="D3258" s="303">
        <v>24.67</v>
      </c>
    </row>
    <row r="3259" spans="1:4">
      <c r="A3259" s="302">
        <v>96731</v>
      </c>
      <c r="B3259" s="301" t="s">
        <v>3960</v>
      </c>
      <c r="C3259" s="301" t="s">
        <v>35</v>
      </c>
      <c r="D3259" s="303">
        <v>36.119999999999997</v>
      </c>
    </row>
    <row r="3260" spans="1:4">
      <c r="A3260" s="302">
        <v>96732</v>
      </c>
      <c r="B3260" s="301" t="s">
        <v>3961</v>
      </c>
      <c r="C3260" s="301" t="s">
        <v>35</v>
      </c>
      <c r="D3260" s="303">
        <v>44.68</v>
      </c>
    </row>
    <row r="3261" spans="1:4">
      <c r="A3261" s="302">
        <v>96733</v>
      </c>
      <c r="B3261" s="301" t="s">
        <v>3962</v>
      </c>
      <c r="C3261" s="301" t="s">
        <v>35</v>
      </c>
      <c r="D3261" s="303">
        <v>81.93</v>
      </c>
    </row>
    <row r="3262" spans="1:4">
      <c r="A3262" s="302">
        <v>96734</v>
      </c>
      <c r="B3262" s="301" t="s">
        <v>3963</v>
      </c>
      <c r="C3262" s="301" t="s">
        <v>35</v>
      </c>
      <c r="D3262" s="303">
        <v>113.47</v>
      </c>
    </row>
    <row r="3263" spans="1:4">
      <c r="A3263" s="302">
        <v>96735</v>
      </c>
      <c r="B3263" s="301" t="s">
        <v>3964</v>
      </c>
      <c r="C3263" s="301" t="s">
        <v>35</v>
      </c>
      <c r="D3263" s="303">
        <v>148.18</v>
      </c>
    </row>
    <row r="3264" spans="1:4">
      <c r="A3264" s="302">
        <v>96794</v>
      </c>
      <c r="B3264" s="301" t="s">
        <v>3965</v>
      </c>
      <c r="C3264" s="301" t="s">
        <v>35</v>
      </c>
      <c r="D3264" s="303">
        <v>6.4</v>
      </c>
    </row>
    <row r="3265" spans="1:4">
      <c r="A3265" s="302">
        <v>96795</v>
      </c>
      <c r="B3265" s="301" t="s">
        <v>3966</v>
      </c>
      <c r="C3265" s="301" t="s">
        <v>35</v>
      </c>
      <c r="D3265" s="303">
        <v>8.1</v>
      </c>
    </row>
    <row r="3266" spans="1:4">
      <c r="A3266" s="302">
        <v>96796</v>
      </c>
      <c r="B3266" s="301" t="s">
        <v>3967</v>
      </c>
      <c r="C3266" s="301" t="s">
        <v>35</v>
      </c>
      <c r="D3266" s="303">
        <v>11.28</v>
      </c>
    </row>
    <row r="3267" spans="1:4">
      <c r="A3267" s="302">
        <v>96797</v>
      </c>
      <c r="B3267" s="301" t="s">
        <v>3968</v>
      </c>
      <c r="C3267" s="301" t="s">
        <v>35</v>
      </c>
      <c r="D3267" s="303">
        <v>16.940000000000001</v>
      </c>
    </row>
    <row r="3268" spans="1:4">
      <c r="A3268" s="302">
        <v>96798</v>
      </c>
      <c r="B3268" s="301" t="s">
        <v>3969</v>
      </c>
      <c r="C3268" s="301" t="s">
        <v>35</v>
      </c>
      <c r="D3268" s="303">
        <v>6.51</v>
      </c>
    </row>
    <row r="3269" spans="1:4">
      <c r="A3269" s="302">
        <v>96799</v>
      </c>
      <c r="B3269" s="301" t="s">
        <v>3970</v>
      </c>
      <c r="C3269" s="301" t="s">
        <v>35</v>
      </c>
      <c r="D3269" s="303">
        <v>8.73</v>
      </c>
    </row>
    <row r="3270" spans="1:4">
      <c r="A3270" s="302">
        <v>96800</v>
      </c>
      <c r="B3270" s="301" t="s">
        <v>3971</v>
      </c>
      <c r="C3270" s="301" t="s">
        <v>35</v>
      </c>
      <c r="D3270" s="303">
        <v>12.56</v>
      </c>
    </row>
    <row r="3271" spans="1:4">
      <c r="A3271" s="302">
        <v>96801</v>
      </c>
      <c r="B3271" s="301" t="s">
        <v>3972</v>
      </c>
      <c r="C3271" s="301" t="s">
        <v>35</v>
      </c>
      <c r="D3271" s="303">
        <v>19.14</v>
      </c>
    </row>
    <row r="3272" spans="1:4">
      <c r="A3272" s="302">
        <v>97327</v>
      </c>
      <c r="B3272" s="301" t="s">
        <v>3973</v>
      </c>
      <c r="C3272" s="301" t="s">
        <v>35</v>
      </c>
      <c r="D3272" s="303">
        <v>17.98</v>
      </c>
    </row>
    <row r="3273" spans="1:4">
      <c r="A3273" s="302">
        <v>97328</v>
      </c>
      <c r="B3273" s="301" t="s">
        <v>3974</v>
      </c>
      <c r="C3273" s="301" t="s">
        <v>35</v>
      </c>
      <c r="D3273" s="303">
        <v>31.62</v>
      </c>
    </row>
    <row r="3274" spans="1:4">
      <c r="A3274" s="302">
        <v>97329</v>
      </c>
      <c r="B3274" s="301" t="s">
        <v>3975</v>
      </c>
      <c r="C3274" s="301" t="s">
        <v>35</v>
      </c>
      <c r="D3274" s="303">
        <v>39.15</v>
      </c>
    </row>
    <row r="3275" spans="1:4">
      <c r="A3275" s="302">
        <v>97330</v>
      </c>
      <c r="B3275" s="301" t="s">
        <v>3976</v>
      </c>
      <c r="C3275" s="301" t="s">
        <v>35</v>
      </c>
      <c r="D3275" s="303">
        <v>47.65</v>
      </c>
    </row>
    <row r="3276" spans="1:4">
      <c r="A3276" s="302">
        <v>97331</v>
      </c>
      <c r="B3276" s="301" t="s">
        <v>3977</v>
      </c>
      <c r="C3276" s="301" t="s">
        <v>35</v>
      </c>
      <c r="D3276" s="303">
        <v>18.23</v>
      </c>
    </row>
    <row r="3277" spans="1:4">
      <c r="A3277" s="302">
        <v>97332</v>
      </c>
      <c r="B3277" s="301" t="s">
        <v>3978</v>
      </c>
      <c r="C3277" s="301" t="s">
        <v>35</v>
      </c>
      <c r="D3277" s="303">
        <v>31.9</v>
      </c>
    </row>
    <row r="3278" spans="1:4">
      <c r="A3278" s="302">
        <v>97333</v>
      </c>
      <c r="B3278" s="301" t="s">
        <v>3979</v>
      </c>
      <c r="C3278" s="301" t="s">
        <v>35</v>
      </c>
      <c r="D3278" s="303">
        <v>39.51</v>
      </c>
    </row>
    <row r="3279" spans="1:4">
      <c r="A3279" s="302">
        <v>97334</v>
      </c>
      <c r="B3279" s="301" t="s">
        <v>3980</v>
      </c>
      <c r="C3279" s="301" t="s">
        <v>35</v>
      </c>
      <c r="D3279" s="303">
        <v>48.04</v>
      </c>
    </row>
    <row r="3280" spans="1:4">
      <c r="A3280" s="302">
        <v>97335</v>
      </c>
      <c r="B3280" s="301" t="s">
        <v>3981</v>
      </c>
      <c r="C3280" s="301" t="s">
        <v>35</v>
      </c>
      <c r="D3280" s="303">
        <v>46.41</v>
      </c>
    </row>
    <row r="3281" spans="1:4">
      <c r="A3281" s="302">
        <v>97336</v>
      </c>
      <c r="B3281" s="301" t="s">
        <v>3982</v>
      </c>
      <c r="C3281" s="301" t="s">
        <v>35</v>
      </c>
      <c r="D3281" s="303">
        <v>58.91</v>
      </c>
    </row>
    <row r="3282" spans="1:4">
      <c r="A3282" s="302">
        <v>97337</v>
      </c>
      <c r="B3282" s="301" t="s">
        <v>3983</v>
      </c>
      <c r="C3282" s="301" t="s">
        <v>35</v>
      </c>
      <c r="D3282" s="303">
        <v>88.32</v>
      </c>
    </row>
    <row r="3283" spans="1:4">
      <c r="A3283" s="302">
        <v>97338</v>
      </c>
      <c r="B3283" s="301" t="s">
        <v>3984</v>
      </c>
      <c r="C3283" s="301" t="s">
        <v>35</v>
      </c>
      <c r="D3283" s="303">
        <v>106.14</v>
      </c>
    </row>
    <row r="3284" spans="1:4">
      <c r="A3284" s="302">
        <v>97339</v>
      </c>
      <c r="B3284" s="301" t="s">
        <v>3985</v>
      </c>
      <c r="C3284" s="301" t="s">
        <v>35</v>
      </c>
      <c r="D3284" s="303">
        <v>114.25</v>
      </c>
    </row>
    <row r="3285" spans="1:4">
      <c r="A3285" s="302">
        <v>97340</v>
      </c>
      <c r="B3285" s="301" t="s">
        <v>3986</v>
      </c>
      <c r="C3285" s="301" t="s">
        <v>35</v>
      </c>
      <c r="D3285" s="303">
        <v>114.84</v>
      </c>
    </row>
    <row r="3286" spans="1:4">
      <c r="A3286" s="302">
        <v>97341</v>
      </c>
      <c r="B3286" s="301" t="s">
        <v>3987</v>
      </c>
      <c r="C3286" s="301" t="s">
        <v>35</v>
      </c>
      <c r="D3286" s="303">
        <v>32.06</v>
      </c>
    </row>
    <row r="3287" spans="1:4">
      <c r="A3287" s="302">
        <v>97342</v>
      </c>
      <c r="B3287" s="301" t="s">
        <v>3988</v>
      </c>
      <c r="C3287" s="301" t="s">
        <v>35</v>
      </c>
      <c r="D3287" s="303">
        <v>49.83</v>
      </c>
    </row>
    <row r="3288" spans="1:4">
      <c r="A3288" s="302">
        <v>97343</v>
      </c>
      <c r="B3288" s="301" t="s">
        <v>3989</v>
      </c>
      <c r="C3288" s="301" t="s">
        <v>35</v>
      </c>
      <c r="D3288" s="303">
        <v>62.58</v>
      </c>
    </row>
    <row r="3289" spans="1:4">
      <c r="A3289" s="302">
        <v>97344</v>
      </c>
      <c r="B3289" s="301" t="s">
        <v>3990</v>
      </c>
      <c r="C3289" s="301" t="s">
        <v>35</v>
      </c>
      <c r="D3289" s="303">
        <v>39.57</v>
      </c>
    </row>
    <row r="3290" spans="1:4">
      <c r="A3290" s="302">
        <v>97345</v>
      </c>
      <c r="B3290" s="301" t="s">
        <v>3991</v>
      </c>
      <c r="C3290" s="301" t="s">
        <v>35</v>
      </c>
      <c r="D3290" s="303">
        <v>62.74</v>
      </c>
    </row>
    <row r="3291" spans="1:4">
      <c r="A3291" s="302">
        <v>97346</v>
      </c>
      <c r="B3291" s="301" t="s">
        <v>3992</v>
      </c>
      <c r="C3291" s="301" t="s">
        <v>35</v>
      </c>
      <c r="D3291" s="303">
        <v>80.180000000000007</v>
      </c>
    </row>
    <row r="3292" spans="1:4">
      <c r="A3292" s="302">
        <v>97347</v>
      </c>
      <c r="B3292" s="301" t="s">
        <v>3993</v>
      </c>
      <c r="C3292" s="301" t="s">
        <v>35</v>
      </c>
      <c r="D3292" s="303">
        <v>55.81</v>
      </c>
    </row>
    <row r="3293" spans="1:4">
      <c r="A3293" s="302">
        <v>97348</v>
      </c>
      <c r="B3293" s="301" t="s">
        <v>3994</v>
      </c>
      <c r="C3293" s="301" t="s">
        <v>35</v>
      </c>
      <c r="D3293" s="303">
        <v>77.02</v>
      </c>
    </row>
    <row r="3294" spans="1:4">
      <c r="A3294" s="302">
        <v>97349</v>
      </c>
      <c r="B3294" s="301" t="s">
        <v>3995</v>
      </c>
      <c r="C3294" s="301" t="s">
        <v>35</v>
      </c>
      <c r="D3294" s="303">
        <v>110.86</v>
      </c>
    </row>
    <row r="3295" spans="1:4">
      <c r="A3295" s="302">
        <v>97350</v>
      </c>
      <c r="B3295" s="301" t="s">
        <v>3996</v>
      </c>
      <c r="C3295" s="301" t="s">
        <v>35</v>
      </c>
      <c r="D3295" s="303">
        <v>134.56</v>
      </c>
    </row>
    <row r="3296" spans="1:4">
      <c r="A3296" s="302">
        <v>97351</v>
      </c>
      <c r="B3296" s="301" t="s">
        <v>3997</v>
      </c>
      <c r="C3296" s="301" t="s">
        <v>35</v>
      </c>
      <c r="D3296" s="303">
        <v>185.96</v>
      </c>
    </row>
    <row r="3297" spans="1:4">
      <c r="A3297" s="302">
        <v>97352</v>
      </c>
      <c r="B3297" s="301" t="s">
        <v>3998</v>
      </c>
      <c r="C3297" s="301" t="s">
        <v>35</v>
      </c>
      <c r="D3297" s="303">
        <v>240.88</v>
      </c>
    </row>
    <row r="3298" spans="1:4">
      <c r="A3298" s="302">
        <v>97353</v>
      </c>
      <c r="B3298" s="301" t="s">
        <v>3999</v>
      </c>
      <c r="C3298" s="301" t="s">
        <v>35</v>
      </c>
      <c r="D3298" s="303">
        <v>37.619999999999997</v>
      </c>
    </row>
    <row r="3299" spans="1:4">
      <c r="A3299" s="302">
        <v>97354</v>
      </c>
      <c r="B3299" s="301" t="s">
        <v>4000</v>
      </c>
      <c r="C3299" s="301" t="s">
        <v>35</v>
      </c>
      <c r="D3299" s="303">
        <v>59.23</v>
      </c>
    </row>
    <row r="3300" spans="1:4">
      <c r="A3300" s="302">
        <v>97355</v>
      </c>
      <c r="B3300" s="301" t="s">
        <v>4001</v>
      </c>
      <c r="C3300" s="301" t="s">
        <v>35</v>
      </c>
      <c r="D3300" s="303">
        <v>80.69</v>
      </c>
    </row>
    <row r="3301" spans="1:4">
      <c r="A3301" s="302">
        <v>97356</v>
      </c>
      <c r="B3301" s="301" t="s">
        <v>4002</v>
      </c>
      <c r="C3301" s="301" t="s">
        <v>35</v>
      </c>
      <c r="D3301" s="303">
        <v>45.13</v>
      </c>
    </row>
    <row r="3302" spans="1:4">
      <c r="A3302" s="302">
        <v>97357</v>
      </c>
      <c r="B3302" s="301" t="s">
        <v>4003</v>
      </c>
      <c r="C3302" s="301" t="s">
        <v>35</v>
      </c>
      <c r="D3302" s="303">
        <v>72.14</v>
      </c>
    </row>
    <row r="3303" spans="1:4">
      <c r="A3303" s="302">
        <v>97358</v>
      </c>
      <c r="B3303" s="301" t="s">
        <v>4004</v>
      </c>
      <c r="C3303" s="301" t="s">
        <v>35</v>
      </c>
      <c r="D3303" s="303">
        <v>98.29</v>
      </c>
    </row>
    <row r="3304" spans="1:4">
      <c r="A3304" s="302">
        <v>97498</v>
      </c>
      <c r="B3304" s="301" t="s">
        <v>4005</v>
      </c>
      <c r="C3304" s="301" t="s">
        <v>35</v>
      </c>
      <c r="D3304" s="303">
        <v>27.88</v>
      </c>
    </row>
    <row r="3305" spans="1:4">
      <c r="A3305" s="302">
        <v>97535</v>
      </c>
      <c r="B3305" s="301" t="s">
        <v>4006</v>
      </c>
      <c r="C3305" s="301" t="s">
        <v>35</v>
      </c>
      <c r="D3305" s="303">
        <v>31.3</v>
      </c>
    </row>
    <row r="3306" spans="1:4">
      <c r="A3306" s="302">
        <v>97536</v>
      </c>
      <c r="B3306" s="301" t="s">
        <v>4007</v>
      </c>
      <c r="C3306" s="301" t="s">
        <v>35</v>
      </c>
      <c r="D3306" s="303">
        <v>39.17</v>
      </c>
    </row>
    <row r="3307" spans="1:4">
      <c r="A3307" s="302">
        <v>100788</v>
      </c>
      <c r="B3307" s="301" t="s">
        <v>12008</v>
      </c>
      <c r="C3307" s="301" t="s">
        <v>28</v>
      </c>
      <c r="D3307" s="303">
        <v>465.54</v>
      </c>
    </row>
    <row r="3308" spans="1:4">
      <c r="A3308" s="302">
        <v>100791</v>
      </c>
      <c r="B3308" s="301" t="s">
        <v>12009</v>
      </c>
      <c r="C3308" s="301" t="s">
        <v>35</v>
      </c>
      <c r="D3308" s="303">
        <v>13.46</v>
      </c>
    </row>
    <row r="3309" spans="1:4">
      <c r="A3309" s="302">
        <v>100792</v>
      </c>
      <c r="B3309" s="301" t="s">
        <v>12010</v>
      </c>
      <c r="C3309" s="301" t="s">
        <v>35</v>
      </c>
      <c r="D3309" s="303">
        <v>19.54</v>
      </c>
    </row>
    <row r="3310" spans="1:4">
      <c r="A3310" s="302">
        <v>100793</v>
      </c>
      <c r="B3310" s="301" t="s">
        <v>12011</v>
      </c>
      <c r="C3310" s="301" t="s">
        <v>35</v>
      </c>
      <c r="D3310" s="303">
        <v>25.8</v>
      </c>
    </row>
    <row r="3311" spans="1:4">
      <c r="A3311" s="302">
        <v>100794</v>
      </c>
      <c r="B3311" s="301" t="s">
        <v>12012</v>
      </c>
      <c r="C3311" s="301" t="s">
        <v>35</v>
      </c>
      <c r="D3311" s="303">
        <v>34.69</v>
      </c>
    </row>
    <row r="3312" spans="1:4">
      <c r="A3312" s="302">
        <v>100803</v>
      </c>
      <c r="B3312" s="301" t="s">
        <v>12013</v>
      </c>
      <c r="C3312" s="301" t="s">
        <v>35</v>
      </c>
      <c r="D3312" s="303">
        <v>12.74</v>
      </c>
    </row>
    <row r="3313" spans="1:4">
      <c r="A3313" s="302">
        <v>100804</v>
      </c>
      <c r="B3313" s="301" t="s">
        <v>12014</v>
      </c>
      <c r="C3313" s="301" t="s">
        <v>35</v>
      </c>
      <c r="D3313" s="303">
        <v>18.68</v>
      </c>
    </row>
    <row r="3314" spans="1:4">
      <c r="A3314" s="302">
        <v>100805</v>
      </c>
      <c r="B3314" s="301" t="s">
        <v>12015</v>
      </c>
      <c r="C3314" s="301" t="s">
        <v>35</v>
      </c>
      <c r="D3314" s="303">
        <v>24.78</v>
      </c>
    </row>
    <row r="3315" spans="1:4">
      <c r="A3315" s="302">
        <v>100806</v>
      </c>
      <c r="B3315" s="301" t="s">
        <v>12016</v>
      </c>
      <c r="C3315" s="301" t="s">
        <v>35</v>
      </c>
      <c r="D3315" s="303">
        <v>33.42</v>
      </c>
    </row>
    <row r="3316" spans="1:4">
      <c r="A3316" s="302">
        <v>72293</v>
      </c>
      <c r="B3316" s="301" t="s">
        <v>12527</v>
      </c>
      <c r="C3316" s="301" t="s">
        <v>28</v>
      </c>
      <c r="D3316" s="303">
        <v>5.83</v>
      </c>
    </row>
    <row r="3317" spans="1:4">
      <c r="A3317" s="302">
        <v>72306</v>
      </c>
      <c r="B3317" s="301" t="s">
        <v>4008</v>
      </c>
      <c r="C3317" s="301" t="s">
        <v>28</v>
      </c>
      <c r="D3317" s="303">
        <v>154.99</v>
      </c>
    </row>
    <row r="3318" spans="1:4">
      <c r="A3318" s="302">
        <v>72307</v>
      </c>
      <c r="B3318" s="301" t="s">
        <v>4009</v>
      </c>
      <c r="C3318" s="301" t="s">
        <v>28</v>
      </c>
      <c r="D3318" s="303">
        <v>215.93</v>
      </c>
    </row>
    <row r="3319" spans="1:4">
      <c r="A3319" s="302">
        <v>72313</v>
      </c>
      <c r="B3319" s="301" t="s">
        <v>4010</v>
      </c>
      <c r="C3319" s="301" t="s">
        <v>28</v>
      </c>
      <c r="D3319" s="303">
        <v>495.97</v>
      </c>
    </row>
    <row r="3320" spans="1:4">
      <c r="A3320" s="302">
        <v>72482</v>
      </c>
      <c r="B3320" s="301" t="s">
        <v>4011</v>
      </c>
      <c r="C3320" s="301" t="s">
        <v>28</v>
      </c>
      <c r="D3320" s="303">
        <v>215.39</v>
      </c>
    </row>
    <row r="3321" spans="1:4">
      <c r="A3321" s="302">
        <v>72619</v>
      </c>
      <c r="B3321" s="301" t="s">
        <v>4012</v>
      </c>
      <c r="C3321" s="301" t="s">
        <v>28</v>
      </c>
      <c r="D3321" s="303">
        <v>90.03</v>
      </c>
    </row>
    <row r="3322" spans="1:4">
      <c r="A3322" s="302">
        <v>72620</v>
      </c>
      <c r="B3322" s="301" t="s">
        <v>4013</v>
      </c>
      <c r="C3322" s="301" t="s">
        <v>28</v>
      </c>
      <c r="D3322" s="303">
        <v>155.84</v>
      </c>
    </row>
    <row r="3323" spans="1:4">
      <c r="A3323" s="302">
        <v>72621</v>
      </c>
      <c r="B3323" s="301" t="s">
        <v>4014</v>
      </c>
      <c r="C3323" s="301" t="s">
        <v>28</v>
      </c>
      <c r="D3323" s="303">
        <v>248.99</v>
      </c>
    </row>
    <row r="3324" spans="1:4">
      <c r="A3324" s="302">
        <v>72667</v>
      </c>
      <c r="B3324" s="301" t="s">
        <v>4015</v>
      </c>
      <c r="C3324" s="301" t="s">
        <v>28</v>
      </c>
      <c r="D3324" s="303">
        <v>126.77</v>
      </c>
    </row>
    <row r="3325" spans="1:4">
      <c r="A3325" s="302">
        <v>72668</v>
      </c>
      <c r="B3325" s="301" t="s">
        <v>4016</v>
      </c>
      <c r="C3325" s="301" t="s">
        <v>28</v>
      </c>
      <c r="D3325" s="303">
        <v>126.01</v>
      </c>
    </row>
    <row r="3326" spans="1:4">
      <c r="A3326" s="302">
        <v>72669</v>
      </c>
      <c r="B3326" s="301" t="s">
        <v>4017</v>
      </c>
      <c r="C3326" s="301" t="s">
        <v>28</v>
      </c>
      <c r="D3326" s="303">
        <v>130.43</v>
      </c>
    </row>
    <row r="3327" spans="1:4">
      <c r="A3327" s="302">
        <v>72681</v>
      </c>
      <c r="B3327" s="301" t="s">
        <v>4018</v>
      </c>
      <c r="C3327" s="301" t="s">
        <v>28</v>
      </c>
      <c r="D3327" s="303">
        <v>87.88</v>
      </c>
    </row>
    <row r="3328" spans="1:4">
      <c r="A3328" s="302">
        <v>72682</v>
      </c>
      <c r="B3328" s="301" t="s">
        <v>4019</v>
      </c>
      <c r="C3328" s="301" t="s">
        <v>28</v>
      </c>
      <c r="D3328" s="303">
        <v>174.18</v>
      </c>
    </row>
    <row r="3329" spans="1:4">
      <c r="A3329" s="302">
        <v>72683</v>
      </c>
      <c r="B3329" s="301" t="s">
        <v>4020</v>
      </c>
      <c r="C3329" s="301" t="s">
        <v>28</v>
      </c>
      <c r="D3329" s="303">
        <v>278.17</v>
      </c>
    </row>
    <row r="3330" spans="1:4">
      <c r="A3330" s="302">
        <v>72719</v>
      </c>
      <c r="B3330" s="301" t="s">
        <v>4021</v>
      </c>
      <c r="C3330" s="301" t="s">
        <v>28</v>
      </c>
      <c r="D3330" s="303">
        <v>193.88</v>
      </c>
    </row>
    <row r="3331" spans="1:4">
      <c r="A3331" s="302">
        <v>72720</v>
      </c>
      <c r="B3331" s="301" t="s">
        <v>4022</v>
      </c>
      <c r="C3331" s="301" t="s">
        <v>28</v>
      </c>
      <c r="D3331" s="303">
        <v>265.43</v>
      </c>
    </row>
    <row r="3332" spans="1:4">
      <c r="A3332" s="302">
        <v>72721</v>
      </c>
      <c r="B3332" s="301" t="s">
        <v>4023</v>
      </c>
      <c r="C3332" s="301" t="s">
        <v>28</v>
      </c>
      <c r="D3332" s="303">
        <v>567.39</v>
      </c>
    </row>
    <row r="3333" spans="1:4">
      <c r="A3333" s="302">
        <v>89358</v>
      </c>
      <c r="B3333" s="301" t="s">
        <v>4024</v>
      </c>
      <c r="C3333" s="301" t="s">
        <v>28</v>
      </c>
      <c r="D3333" s="303">
        <v>5.76</v>
      </c>
    </row>
    <row r="3334" spans="1:4">
      <c r="A3334" s="302">
        <v>89359</v>
      </c>
      <c r="B3334" s="301" t="s">
        <v>4025</v>
      </c>
      <c r="C3334" s="301" t="s">
        <v>28</v>
      </c>
      <c r="D3334" s="303">
        <v>6.02</v>
      </c>
    </row>
    <row r="3335" spans="1:4">
      <c r="A3335" s="302">
        <v>89360</v>
      </c>
      <c r="B3335" s="301" t="s">
        <v>4026</v>
      </c>
      <c r="C3335" s="301" t="s">
        <v>28</v>
      </c>
      <c r="D3335" s="303">
        <v>7.09</v>
      </c>
    </row>
    <row r="3336" spans="1:4">
      <c r="A3336" s="302">
        <v>89361</v>
      </c>
      <c r="B3336" s="301" t="s">
        <v>4027</v>
      </c>
      <c r="C3336" s="301" t="s">
        <v>28</v>
      </c>
      <c r="D3336" s="303">
        <v>6.67</v>
      </c>
    </row>
    <row r="3337" spans="1:4">
      <c r="A3337" s="302">
        <v>89362</v>
      </c>
      <c r="B3337" s="301" t="s">
        <v>4028</v>
      </c>
      <c r="C3337" s="301" t="s">
        <v>28</v>
      </c>
      <c r="D3337" s="303">
        <v>6.85</v>
      </c>
    </row>
    <row r="3338" spans="1:4">
      <c r="A3338" s="302">
        <v>89363</v>
      </c>
      <c r="B3338" s="301" t="s">
        <v>4029</v>
      </c>
      <c r="C3338" s="301" t="s">
        <v>28</v>
      </c>
      <c r="D3338" s="303">
        <v>7.4</v>
      </c>
    </row>
    <row r="3339" spans="1:4">
      <c r="A3339" s="302">
        <v>89364</v>
      </c>
      <c r="B3339" s="301" t="s">
        <v>4030</v>
      </c>
      <c r="C3339" s="301" t="s">
        <v>28</v>
      </c>
      <c r="D3339" s="303">
        <v>8.5399999999999991</v>
      </c>
    </row>
    <row r="3340" spans="1:4">
      <c r="A3340" s="302">
        <v>89365</v>
      </c>
      <c r="B3340" s="301" t="s">
        <v>4031</v>
      </c>
      <c r="C3340" s="301" t="s">
        <v>28</v>
      </c>
      <c r="D3340" s="303">
        <v>8.0299999999999994</v>
      </c>
    </row>
    <row r="3341" spans="1:4">
      <c r="A3341" s="302">
        <v>89366</v>
      </c>
      <c r="B3341" s="301" t="s">
        <v>4032</v>
      </c>
      <c r="C3341" s="301" t="s">
        <v>28</v>
      </c>
      <c r="D3341" s="303">
        <v>11.54</v>
      </c>
    </row>
    <row r="3342" spans="1:4">
      <c r="A3342" s="302">
        <v>89367</v>
      </c>
      <c r="B3342" s="301" t="s">
        <v>339</v>
      </c>
      <c r="C3342" s="301" t="s">
        <v>28</v>
      </c>
      <c r="D3342" s="303">
        <v>9.27</v>
      </c>
    </row>
    <row r="3343" spans="1:4">
      <c r="A3343" s="302">
        <v>89368</v>
      </c>
      <c r="B3343" s="301" t="s">
        <v>4033</v>
      </c>
      <c r="C3343" s="301" t="s">
        <v>28</v>
      </c>
      <c r="D3343" s="303">
        <v>10.81</v>
      </c>
    </row>
    <row r="3344" spans="1:4">
      <c r="A3344" s="302">
        <v>89369</v>
      </c>
      <c r="B3344" s="301" t="s">
        <v>4034</v>
      </c>
      <c r="C3344" s="301" t="s">
        <v>28</v>
      </c>
      <c r="D3344" s="303">
        <v>12.72</v>
      </c>
    </row>
    <row r="3345" spans="1:4">
      <c r="A3345" s="302">
        <v>89370</v>
      </c>
      <c r="B3345" s="301" t="s">
        <v>4035</v>
      </c>
      <c r="C3345" s="301" t="s">
        <v>28</v>
      </c>
      <c r="D3345" s="303">
        <v>10.49</v>
      </c>
    </row>
    <row r="3346" spans="1:4">
      <c r="A3346" s="302">
        <v>89371</v>
      </c>
      <c r="B3346" s="301" t="s">
        <v>4036</v>
      </c>
      <c r="C3346" s="301" t="s">
        <v>28</v>
      </c>
      <c r="D3346" s="303">
        <v>4.33</v>
      </c>
    </row>
    <row r="3347" spans="1:4">
      <c r="A3347" s="302">
        <v>89372</v>
      </c>
      <c r="B3347" s="301" t="s">
        <v>4037</v>
      </c>
      <c r="C3347" s="301" t="s">
        <v>28</v>
      </c>
      <c r="D3347" s="303">
        <v>9.41</v>
      </c>
    </row>
    <row r="3348" spans="1:4">
      <c r="A3348" s="302">
        <v>89373</v>
      </c>
      <c r="B3348" s="301" t="s">
        <v>4038</v>
      </c>
      <c r="C3348" s="301" t="s">
        <v>28</v>
      </c>
      <c r="D3348" s="303">
        <v>4.79</v>
      </c>
    </row>
    <row r="3349" spans="1:4">
      <c r="A3349" s="302">
        <v>89374</v>
      </c>
      <c r="B3349" s="301" t="s">
        <v>4039</v>
      </c>
      <c r="C3349" s="301" t="s">
        <v>28</v>
      </c>
      <c r="D3349" s="303">
        <v>7.55</v>
      </c>
    </row>
    <row r="3350" spans="1:4">
      <c r="A3350" s="302">
        <v>89375</v>
      </c>
      <c r="B3350" s="301" t="s">
        <v>4040</v>
      </c>
      <c r="C3350" s="301" t="s">
        <v>28</v>
      </c>
      <c r="D3350" s="303">
        <v>9.2100000000000009</v>
      </c>
    </row>
    <row r="3351" spans="1:4">
      <c r="A3351" s="302">
        <v>89376</v>
      </c>
      <c r="B3351" s="301" t="s">
        <v>344</v>
      </c>
      <c r="C3351" s="301" t="s">
        <v>28</v>
      </c>
      <c r="D3351" s="303">
        <v>4.38</v>
      </c>
    </row>
    <row r="3352" spans="1:4">
      <c r="A3352" s="302">
        <v>89377</v>
      </c>
      <c r="B3352" s="301" t="s">
        <v>4041</v>
      </c>
      <c r="C3352" s="301" t="s">
        <v>28</v>
      </c>
      <c r="D3352" s="303">
        <v>6.84</v>
      </c>
    </row>
    <row r="3353" spans="1:4">
      <c r="A3353" s="302">
        <v>89378</v>
      </c>
      <c r="B3353" s="301" t="s">
        <v>4042</v>
      </c>
      <c r="C3353" s="301" t="s">
        <v>28</v>
      </c>
      <c r="D3353" s="303">
        <v>5.13</v>
      </c>
    </row>
    <row r="3354" spans="1:4">
      <c r="A3354" s="302">
        <v>89379</v>
      </c>
      <c r="B3354" s="301" t="s">
        <v>4043</v>
      </c>
      <c r="C3354" s="301" t="s">
        <v>28</v>
      </c>
      <c r="D3354" s="303">
        <v>11.91</v>
      </c>
    </row>
    <row r="3355" spans="1:4">
      <c r="A3355" s="302">
        <v>89380</v>
      </c>
      <c r="B3355" s="301" t="s">
        <v>4044</v>
      </c>
      <c r="C3355" s="301" t="s">
        <v>28</v>
      </c>
      <c r="D3355" s="303">
        <v>7.21</v>
      </c>
    </row>
    <row r="3356" spans="1:4">
      <c r="A3356" s="302">
        <v>89381</v>
      </c>
      <c r="B3356" s="301" t="s">
        <v>4045</v>
      </c>
      <c r="C3356" s="301" t="s">
        <v>28</v>
      </c>
      <c r="D3356" s="303">
        <v>9.42</v>
      </c>
    </row>
    <row r="3357" spans="1:4">
      <c r="A3357" s="302">
        <v>89382</v>
      </c>
      <c r="B3357" s="301" t="s">
        <v>4046</v>
      </c>
      <c r="C3357" s="301" t="s">
        <v>28</v>
      </c>
      <c r="D3357" s="303">
        <v>10.97</v>
      </c>
    </row>
    <row r="3358" spans="1:4">
      <c r="A3358" s="302">
        <v>89383</v>
      </c>
      <c r="B3358" s="301" t="s">
        <v>212</v>
      </c>
      <c r="C3358" s="301" t="s">
        <v>28</v>
      </c>
      <c r="D3358" s="303">
        <v>5.2</v>
      </c>
    </row>
    <row r="3359" spans="1:4">
      <c r="A3359" s="302">
        <v>89384</v>
      </c>
      <c r="B3359" s="301" t="s">
        <v>4047</v>
      </c>
      <c r="C3359" s="301" t="s">
        <v>28</v>
      </c>
      <c r="D3359" s="303">
        <v>9.5299999999999994</v>
      </c>
    </row>
    <row r="3360" spans="1:4">
      <c r="A3360" s="302">
        <v>89385</v>
      </c>
      <c r="B3360" s="301" t="s">
        <v>4048</v>
      </c>
      <c r="C3360" s="301" t="s">
        <v>28</v>
      </c>
      <c r="D3360" s="303">
        <v>5.74</v>
      </c>
    </row>
    <row r="3361" spans="1:4">
      <c r="A3361" s="302">
        <v>89386</v>
      </c>
      <c r="B3361" s="301" t="s">
        <v>4049</v>
      </c>
      <c r="C3361" s="301" t="s">
        <v>28</v>
      </c>
      <c r="D3361" s="303">
        <v>6.96</v>
      </c>
    </row>
    <row r="3362" spans="1:4">
      <c r="A3362" s="302">
        <v>89387</v>
      </c>
      <c r="B3362" s="301" t="s">
        <v>4050</v>
      </c>
      <c r="C3362" s="301" t="s">
        <v>28</v>
      </c>
      <c r="D3362" s="303">
        <v>23.14</v>
      </c>
    </row>
    <row r="3363" spans="1:4">
      <c r="A3363" s="302">
        <v>89388</v>
      </c>
      <c r="B3363" s="301" t="s">
        <v>4051</v>
      </c>
      <c r="C3363" s="301" t="s">
        <v>28</v>
      </c>
      <c r="D3363" s="303">
        <v>8.7899999999999991</v>
      </c>
    </row>
    <row r="3364" spans="1:4">
      <c r="A3364" s="302">
        <v>89389</v>
      </c>
      <c r="B3364" s="301" t="s">
        <v>4052</v>
      </c>
      <c r="C3364" s="301" t="s">
        <v>28</v>
      </c>
      <c r="D3364" s="303">
        <v>9.42</v>
      </c>
    </row>
    <row r="3365" spans="1:4">
      <c r="A3365" s="302">
        <v>89390</v>
      </c>
      <c r="B3365" s="301" t="s">
        <v>4053</v>
      </c>
      <c r="C3365" s="301" t="s">
        <v>28</v>
      </c>
      <c r="D3365" s="303">
        <v>16.079999999999998</v>
      </c>
    </row>
    <row r="3366" spans="1:4">
      <c r="A3366" s="302">
        <v>89391</v>
      </c>
      <c r="B3366" s="301" t="s">
        <v>4054</v>
      </c>
      <c r="C3366" s="301" t="s">
        <v>28</v>
      </c>
      <c r="D3366" s="303">
        <v>6.89</v>
      </c>
    </row>
    <row r="3367" spans="1:4">
      <c r="A3367" s="302">
        <v>89392</v>
      </c>
      <c r="B3367" s="301" t="s">
        <v>4055</v>
      </c>
      <c r="C3367" s="301" t="s">
        <v>28</v>
      </c>
      <c r="D3367" s="303">
        <v>18.87</v>
      </c>
    </row>
    <row r="3368" spans="1:4">
      <c r="A3368" s="302">
        <v>89393</v>
      </c>
      <c r="B3368" s="301" t="s">
        <v>4056</v>
      </c>
      <c r="C3368" s="301" t="s">
        <v>28</v>
      </c>
      <c r="D3368" s="303">
        <v>8.01</v>
      </c>
    </row>
    <row r="3369" spans="1:4">
      <c r="A3369" s="302">
        <v>89394</v>
      </c>
      <c r="B3369" s="301" t="s">
        <v>4057</v>
      </c>
      <c r="C3369" s="301" t="s">
        <v>28</v>
      </c>
      <c r="D3369" s="303">
        <v>14.36</v>
      </c>
    </row>
    <row r="3370" spans="1:4">
      <c r="A3370" s="302">
        <v>89395</v>
      </c>
      <c r="B3370" s="301" t="s">
        <v>216</v>
      </c>
      <c r="C3370" s="301" t="s">
        <v>28</v>
      </c>
      <c r="D3370" s="303">
        <v>9.5500000000000007</v>
      </c>
    </row>
    <row r="3371" spans="1:4">
      <c r="A3371" s="302">
        <v>89396</v>
      </c>
      <c r="B3371" s="301" t="s">
        <v>4058</v>
      </c>
      <c r="C3371" s="301" t="s">
        <v>28</v>
      </c>
      <c r="D3371" s="303">
        <v>14.98</v>
      </c>
    </row>
    <row r="3372" spans="1:4">
      <c r="A3372" s="302">
        <v>89397</v>
      </c>
      <c r="B3372" s="301" t="s">
        <v>4059</v>
      </c>
      <c r="C3372" s="301" t="s">
        <v>28</v>
      </c>
      <c r="D3372" s="303">
        <v>11</v>
      </c>
    </row>
    <row r="3373" spans="1:4">
      <c r="A3373" s="302">
        <v>89398</v>
      </c>
      <c r="B3373" s="301" t="s">
        <v>341</v>
      </c>
      <c r="C3373" s="301" t="s">
        <v>28</v>
      </c>
      <c r="D3373" s="303">
        <v>13.52</v>
      </c>
    </row>
    <row r="3374" spans="1:4">
      <c r="A3374" s="302">
        <v>89399</v>
      </c>
      <c r="B3374" s="301" t="s">
        <v>4060</v>
      </c>
      <c r="C3374" s="301" t="s">
        <v>28</v>
      </c>
      <c r="D3374" s="303">
        <v>22.74</v>
      </c>
    </row>
    <row r="3375" spans="1:4">
      <c r="A3375" s="302">
        <v>89400</v>
      </c>
      <c r="B3375" s="301" t="s">
        <v>4061</v>
      </c>
      <c r="C3375" s="301" t="s">
        <v>28</v>
      </c>
      <c r="D3375" s="303">
        <v>14.96</v>
      </c>
    </row>
    <row r="3376" spans="1:4">
      <c r="A3376" s="302">
        <v>89404</v>
      </c>
      <c r="B3376" s="301" t="s">
        <v>350</v>
      </c>
      <c r="C3376" s="301" t="s">
        <v>28</v>
      </c>
      <c r="D3376" s="303">
        <v>3.9</v>
      </c>
    </row>
    <row r="3377" spans="1:4">
      <c r="A3377" s="302">
        <v>89405</v>
      </c>
      <c r="B3377" s="301" t="s">
        <v>4062</v>
      </c>
      <c r="C3377" s="301" t="s">
        <v>28</v>
      </c>
      <c r="D3377" s="303">
        <v>4.16</v>
      </c>
    </row>
    <row r="3378" spans="1:4">
      <c r="A3378" s="302">
        <v>89406</v>
      </c>
      <c r="B3378" s="301" t="s">
        <v>4063</v>
      </c>
      <c r="C3378" s="301" t="s">
        <v>28</v>
      </c>
      <c r="D3378" s="303">
        <v>5.23</v>
      </c>
    </row>
    <row r="3379" spans="1:4">
      <c r="A3379" s="302">
        <v>89407</v>
      </c>
      <c r="B3379" s="301" t="s">
        <v>4064</v>
      </c>
      <c r="C3379" s="301" t="s">
        <v>28</v>
      </c>
      <c r="D3379" s="303">
        <v>4.8099999999999996</v>
      </c>
    </row>
    <row r="3380" spans="1:4">
      <c r="A3380" s="302">
        <v>89408</v>
      </c>
      <c r="B3380" s="301" t="s">
        <v>351</v>
      </c>
      <c r="C3380" s="301" t="s">
        <v>28</v>
      </c>
      <c r="D3380" s="303">
        <v>4.7</v>
      </c>
    </row>
    <row r="3381" spans="1:4">
      <c r="A3381" s="302">
        <v>89409</v>
      </c>
      <c r="B3381" s="301" t="s">
        <v>4065</v>
      </c>
      <c r="C3381" s="301" t="s">
        <v>28</v>
      </c>
      <c r="D3381" s="303">
        <v>5.25</v>
      </c>
    </row>
    <row r="3382" spans="1:4">
      <c r="A3382" s="302">
        <v>89410</v>
      </c>
      <c r="B3382" s="301" t="s">
        <v>4066</v>
      </c>
      <c r="C3382" s="301" t="s">
        <v>28</v>
      </c>
      <c r="D3382" s="303">
        <v>6.39</v>
      </c>
    </row>
    <row r="3383" spans="1:4">
      <c r="A3383" s="302">
        <v>89411</v>
      </c>
      <c r="B3383" s="301" t="s">
        <v>4067</v>
      </c>
      <c r="C3383" s="301" t="s">
        <v>28</v>
      </c>
      <c r="D3383" s="303">
        <v>5.88</v>
      </c>
    </row>
    <row r="3384" spans="1:4">
      <c r="A3384" s="302">
        <v>89412</v>
      </c>
      <c r="B3384" s="301" t="s">
        <v>4068</v>
      </c>
      <c r="C3384" s="301" t="s">
        <v>28</v>
      </c>
      <c r="D3384" s="303">
        <v>6.57</v>
      </c>
    </row>
    <row r="3385" spans="1:4">
      <c r="A3385" s="302">
        <v>89413</v>
      </c>
      <c r="B3385" s="301" t="s">
        <v>4069</v>
      </c>
      <c r="C3385" s="301" t="s">
        <v>28</v>
      </c>
      <c r="D3385" s="303">
        <v>6.67</v>
      </c>
    </row>
    <row r="3386" spans="1:4">
      <c r="A3386" s="302">
        <v>89414</v>
      </c>
      <c r="B3386" s="301" t="s">
        <v>4070</v>
      </c>
      <c r="C3386" s="301" t="s">
        <v>28</v>
      </c>
      <c r="D3386" s="303">
        <v>8.2100000000000009</v>
      </c>
    </row>
    <row r="3387" spans="1:4">
      <c r="A3387" s="302">
        <v>89415</v>
      </c>
      <c r="B3387" s="301" t="s">
        <v>4071</v>
      </c>
      <c r="C3387" s="301" t="s">
        <v>28</v>
      </c>
      <c r="D3387" s="303">
        <v>10.119999999999999</v>
      </c>
    </row>
    <row r="3388" spans="1:4">
      <c r="A3388" s="302">
        <v>89416</v>
      </c>
      <c r="B3388" s="301" t="s">
        <v>4072</v>
      </c>
      <c r="C3388" s="301" t="s">
        <v>28</v>
      </c>
      <c r="D3388" s="303">
        <v>7.89</v>
      </c>
    </row>
    <row r="3389" spans="1:4">
      <c r="A3389" s="302">
        <v>89417</v>
      </c>
      <c r="B3389" s="301" t="s">
        <v>4073</v>
      </c>
      <c r="C3389" s="301" t="s">
        <v>28</v>
      </c>
      <c r="D3389" s="303">
        <v>3.09</v>
      </c>
    </row>
    <row r="3390" spans="1:4">
      <c r="A3390" s="302">
        <v>89418</v>
      </c>
      <c r="B3390" s="301" t="s">
        <v>4074</v>
      </c>
      <c r="C3390" s="301" t="s">
        <v>28</v>
      </c>
      <c r="D3390" s="303">
        <v>8.17</v>
      </c>
    </row>
    <row r="3391" spans="1:4">
      <c r="A3391" s="302">
        <v>89419</v>
      </c>
      <c r="B3391" s="301" t="s">
        <v>4075</v>
      </c>
      <c r="C3391" s="301" t="s">
        <v>28</v>
      </c>
      <c r="D3391" s="303">
        <v>3.55</v>
      </c>
    </row>
    <row r="3392" spans="1:4">
      <c r="A3392" s="302">
        <v>89420</v>
      </c>
      <c r="B3392" s="301" t="s">
        <v>343</v>
      </c>
      <c r="C3392" s="301" t="s">
        <v>28</v>
      </c>
      <c r="D3392" s="303">
        <v>6.31</v>
      </c>
    </row>
    <row r="3393" spans="1:4">
      <c r="A3393" s="302">
        <v>89421</v>
      </c>
      <c r="B3393" s="301" t="s">
        <v>4076</v>
      </c>
      <c r="C3393" s="301" t="s">
        <v>28</v>
      </c>
      <c r="D3393" s="303">
        <v>7.97</v>
      </c>
    </row>
    <row r="3394" spans="1:4">
      <c r="A3394" s="302">
        <v>89422</v>
      </c>
      <c r="B3394" s="301" t="s">
        <v>4077</v>
      </c>
      <c r="C3394" s="301" t="s">
        <v>28</v>
      </c>
      <c r="D3394" s="303">
        <v>3.14</v>
      </c>
    </row>
    <row r="3395" spans="1:4">
      <c r="A3395" s="302">
        <v>89423</v>
      </c>
      <c r="B3395" s="301" t="s">
        <v>4078</v>
      </c>
      <c r="C3395" s="301" t="s">
        <v>28</v>
      </c>
      <c r="D3395" s="303">
        <v>6.03</v>
      </c>
    </row>
    <row r="3396" spans="1:4">
      <c r="A3396" s="302">
        <v>89424</v>
      </c>
      <c r="B3396" s="301" t="s">
        <v>4079</v>
      </c>
      <c r="C3396" s="301" t="s">
        <v>28</v>
      </c>
      <c r="D3396" s="303">
        <v>3.68</v>
      </c>
    </row>
    <row r="3397" spans="1:4">
      <c r="A3397" s="302">
        <v>89425</v>
      </c>
      <c r="B3397" s="301" t="s">
        <v>4080</v>
      </c>
      <c r="C3397" s="301" t="s">
        <v>28</v>
      </c>
      <c r="D3397" s="303">
        <v>10.46</v>
      </c>
    </row>
    <row r="3398" spans="1:4">
      <c r="A3398" s="302">
        <v>89426</v>
      </c>
      <c r="B3398" s="301" t="s">
        <v>4081</v>
      </c>
      <c r="C3398" s="301" t="s">
        <v>28</v>
      </c>
      <c r="D3398" s="303">
        <v>5.76</v>
      </c>
    </row>
    <row r="3399" spans="1:4">
      <c r="A3399" s="302">
        <v>89427</v>
      </c>
      <c r="B3399" s="301" t="s">
        <v>4082</v>
      </c>
      <c r="C3399" s="301" t="s">
        <v>28</v>
      </c>
      <c r="D3399" s="303">
        <v>7.97</v>
      </c>
    </row>
    <row r="3400" spans="1:4">
      <c r="A3400" s="302">
        <v>89428</v>
      </c>
      <c r="B3400" s="301" t="s">
        <v>4083</v>
      </c>
      <c r="C3400" s="301" t="s">
        <v>28</v>
      </c>
      <c r="D3400" s="303">
        <v>9.52</v>
      </c>
    </row>
    <row r="3401" spans="1:4">
      <c r="A3401" s="302">
        <v>89429</v>
      </c>
      <c r="B3401" s="301" t="s">
        <v>4084</v>
      </c>
      <c r="C3401" s="301" t="s">
        <v>28</v>
      </c>
      <c r="D3401" s="303">
        <v>3.75</v>
      </c>
    </row>
    <row r="3402" spans="1:4">
      <c r="A3402" s="302">
        <v>89430</v>
      </c>
      <c r="B3402" s="301" t="s">
        <v>4085</v>
      </c>
      <c r="C3402" s="301" t="s">
        <v>28</v>
      </c>
      <c r="D3402" s="303">
        <v>8.08</v>
      </c>
    </row>
    <row r="3403" spans="1:4">
      <c r="A3403" s="302">
        <v>89431</v>
      </c>
      <c r="B3403" s="301" t="s">
        <v>4086</v>
      </c>
      <c r="C3403" s="301" t="s">
        <v>28</v>
      </c>
      <c r="D3403" s="303">
        <v>5.22</v>
      </c>
    </row>
    <row r="3404" spans="1:4">
      <c r="A3404" s="302">
        <v>89432</v>
      </c>
      <c r="B3404" s="301" t="s">
        <v>4087</v>
      </c>
      <c r="C3404" s="301" t="s">
        <v>28</v>
      </c>
      <c r="D3404" s="303">
        <v>21.4</v>
      </c>
    </row>
    <row r="3405" spans="1:4">
      <c r="A3405" s="302">
        <v>89433</v>
      </c>
      <c r="B3405" s="301" t="s">
        <v>4088</v>
      </c>
      <c r="C3405" s="301" t="s">
        <v>28</v>
      </c>
      <c r="D3405" s="303">
        <v>7.05</v>
      </c>
    </row>
    <row r="3406" spans="1:4">
      <c r="A3406" s="302">
        <v>89434</v>
      </c>
      <c r="B3406" s="301" t="s">
        <v>4089</v>
      </c>
      <c r="C3406" s="301" t="s">
        <v>28</v>
      </c>
      <c r="D3406" s="303">
        <v>7.68</v>
      </c>
    </row>
    <row r="3407" spans="1:4">
      <c r="A3407" s="302">
        <v>89435</v>
      </c>
      <c r="B3407" s="301" t="s">
        <v>4090</v>
      </c>
      <c r="C3407" s="301" t="s">
        <v>28</v>
      </c>
      <c r="D3407" s="303">
        <v>14.34</v>
      </c>
    </row>
    <row r="3408" spans="1:4">
      <c r="A3408" s="302">
        <v>89436</v>
      </c>
      <c r="B3408" s="301" t="s">
        <v>4091</v>
      </c>
      <c r="C3408" s="301" t="s">
        <v>28</v>
      </c>
      <c r="D3408" s="303">
        <v>5.15</v>
      </c>
    </row>
    <row r="3409" spans="1:4">
      <c r="A3409" s="302">
        <v>89437</v>
      </c>
      <c r="B3409" s="301" t="s">
        <v>4092</v>
      </c>
      <c r="C3409" s="301" t="s">
        <v>28</v>
      </c>
      <c r="D3409" s="303">
        <v>17.13</v>
      </c>
    </row>
    <row r="3410" spans="1:4">
      <c r="A3410" s="302">
        <v>89438</v>
      </c>
      <c r="B3410" s="301" t="s">
        <v>4093</v>
      </c>
      <c r="C3410" s="301" t="s">
        <v>28</v>
      </c>
      <c r="D3410" s="303">
        <v>5.53</v>
      </c>
    </row>
    <row r="3411" spans="1:4">
      <c r="A3411" s="302">
        <v>89439</v>
      </c>
      <c r="B3411" s="301" t="s">
        <v>4094</v>
      </c>
      <c r="C3411" s="301" t="s">
        <v>28</v>
      </c>
      <c r="D3411" s="303">
        <v>6.98</v>
      </c>
    </row>
    <row r="3412" spans="1:4">
      <c r="A3412" s="302">
        <v>89440</v>
      </c>
      <c r="B3412" s="301" t="s">
        <v>4095</v>
      </c>
      <c r="C3412" s="301" t="s">
        <v>28</v>
      </c>
      <c r="D3412" s="303">
        <v>6.67</v>
      </c>
    </row>
    <row r="3413" spans="1:4">
      <c r="A3413" s="302">
        <v>89441</v>
      </c>
      <c r="B3413" s="301" t="s">
        <v>217</v>
      </c>
      <c r="C3413" s="301" t="s">
        <v>28</v>
      </c>
      <c r="D3413" s="303">
        <v>12.1</v>
      </c>
    </row>
    <row r="3414" spans="1:4">
      <c r="A3414" s="302">
        <v>89442</v>
      </c>
      <c r="B3414" s="301" t="s">
        <v>4096</v>
      </c>
      <c r="C3414" s="301" t="s">
        <v>28</v>
      </c>
      <c r="D3414" s="303">
        <v>8.1199999999999992</v>
      </c>
    </row>
    <row r="3415" spans="1:4">
      <c r="A3415" s="302">
        <v>89443</v>
      </c>
      <c r="B3415" s="301" t="s">
        <v>4097</v>
      </c>
      <c r="C3415" s="301" t="s">
        <v>28</v>
      </c>
      <c r="D3415" s="303">
        <v>10.09</v>
      </c>
    </row>
    <row r="3416" spans="1:4">
      <c r="A3416" s="302">
        <v>89444</v>
      </c>
      <c r="B3416" s="301" t="s">
        <v>4098</v>
      </c>
      <c r="C3416" s="301" t="s">
        <v>28</v>
      </c>
      <c r="D3416" s="303">
        <v>19.309999999999999</v>
      </c>
    </row>
    <row r="3417" spans="1:4">
      <c r="A3417" s="302">
        <v>89445</v>
      </c>
      <c r="B3417" s="301" t="s">
        <v>4099</v>
      </c>
      <c r="C3417" s="301" t="s">
        <v>28</v>
      </c>
      <c r="D3417" s="303">
        <v>11.53</v>
      </c>
    </row>
    <row r="3418" spans="1:4">
      <c r="A3418" s="302">
        <v>89481</v>
      </c>
      <c r="B3418" s="301" t="s">
        <v>151</v>
      </c>
      <c r="C3418" s="301" t="s">
        <v>28</v>
      </c>
      <c r="D3418" s="303">
        <v>3.61</v>
      </c>
    </row>
    <row r="3419" spans="1:4">
      <c r="A3419" s="302">
        <v>89485</v>
      </c>
      <c r="B3419" s="301" t="s">
        <v>4100</v>
      </c>
      <c r="C3419" s="301" t="s">
        <v>28</v>
      </c>
      <c r="D3419" s="303">
        <v>4.16</v>
      </c>
    </row>
    <row r="3420" spans="1:4">
      <c r="A3420" s="302">
        <v>89489</v>
      </c>
      <c r="B3420" s="301" t="s">
        <v>4101</v>
      </c>
      <c r="C3420" s="301" t="s">
        <v>28</v>
      </c>
      <c r="D3420" s="303">
        <v>5.3</v>
      </c>
    </row>
    <row r="3421" spans="1:4">
      <c r="A3421" s="302">
        <v>89490</v>
      </c>
      <c r="B3421" s="301" t="s">
        <v>4102</v>
      </c>
      <c r="C3421" s="301" t="s">
        <v>28</v>
      </c>
      <c r="D3421" s="303">
        <v>4.79</v>
      </c>
    </row>
    <row r="3422" spans="1:4">
      <c r="A3422" s="302">
        <v>89492</v>
      </c>
      <c r="B3422" s="301" t="s">
        <v>372</v>
      </c>
      <c r="C3422" s="301" t="s">
        <v>28</v>
      </c>
      <c r="D3422" s="303">
        <v>5.45</v>
      </c>
    </row>
    <row r="3423" spans="1:4">
      <c r="A3423" s="302">
        <v>89493</v>
      </c>
      <c r="B3423" s="301" t="s">
        <v>4103</v>
      </c>
      <c r="C3423" s="301" t="s">
        <v>28</v>
      </c>
      <c r="D3423" s="303">
        <v>6.99</v>
      </c>
    </row>
    <row r="3424" spans="1:4">
      <c r="A3424" s="302">
        <v>89494</v>
      </c>
      <c r="B3424" s="301" t="s">
        <v>4104</v>
      </c>
      <c r="C3424" s="301" t="s">
        <v>28</v>
      </c>
      <c r="D3424" s="303">
        <v>8.9</v>
      </c>
    </row>
    <row r="3425" spans="1:4">
      <c r="A3425" s="302">
        <v>89496</v>
      </c>
      <c r="B3425" s="301" t="s">
        <v>4105</v>
      </c>
      <c r="C3425" s="301" t="s">
        <v>28</v>
      </c>
      <c r="D3425" s="303">
        <v>6.67</v>
      </c>
    </row>
    <row r="3426" spans="1:4">
      <c r="A3426" s="302">
        <v>89497</v>
      </c>
      <c r="B3426" s="301" t="s">
        <v>383</v>
      </c>
      <c r="C3426" s="301" t="s">
        <v>28</v>
      </c>
      <c r="D3426" s="303">
        <v>8.56</v>
      </c>
    </row>
    <row r="3427" spans="1:4">
      <c r="A3427" s="302">
        <v>89498</v>
      </c>
      <c r="B3427" s="301" t="s">
        <v>4106</v>
      </c>
      <c r="C3427" s="301" t="s">
        <v>28</v>
      </c>
      <c r="D3427" s="303">
        <v>9.26</v>
      </c>
    </row>
    <row r="3428" spans="1:4">
      <c r="A3428" s="302">
        <v>89499</v>
      </c>
      <c r="B3428" s="301" t="s">
        <v>4107</v>
      </c>
      <c r="C3428" s="301" t="s">
        <v>28</v>
      </c>
      <c r="D3428" s="303">
        <v>13.75</v>
      </c>
    </row>
    <row r="3429" spans="1:4">
      <c r="A3429" s="302">
        <v>89500</v>
      </c>
      <c r="B3429" s="301" t="s">
        <v>4108</v>
      </c>
      <c r="C3429" s="301" t="s">
        <v>28</v>
      </c>
      <c r="D3429" s="303">
        <v>9.4</v>
      </c>
    </row>
    <row r="3430" spans="1:4">
      <c r="A3430" s="302">
        <v>89501</v>
      </c>
      <c r="B3430" s="301" t="s">
        <v>215</v>
      </c>
      <c r="C3430" s="301" t="s">
        <v>28</v>
      </c>
      <c r="D3430" s="303">
        <v>10.45</v>
      </c>
    </row>
    <row r="3431" spans="1:4">
      <c r="A3431" s="302">
        <v>89502</v>
      </c>
      <c r="B3431" s="301" t="s">
        <v>4109</v>
      </c>
      <c r="C3431" s="301" t="s">
        <v>28</v>
      </c>
      <c r="D3431" s="303">
        <v>11.72</v>
      </c>
    </row>
    <row r="3432" spans="1:4">
      <c r="A3432" s="302">
        <v>89503</v>
      </c>
      <c r="B3432" s="301" t="s">
        <v>4110</v>
      </c>
      <c r="C3432" s="301" t="s">
        <v>28</v>
      </c>
      <c r="D3432" s="303">
        <v>17.29</v>
      </c>
    </row>
    <row r="3433" spans="1:4">
      <c r="A3433" s="302">
        <v>89504</v>
      </c>
      <c r="B3433" s="301" t="s">
        <v>4111</v>
      </c>
      <c r="C3433" s="301" t="s">
        <v>28</v>
      </c>
      <c r="D3433" s="303">
        <v>15.28</v>
      </c>
    </row>
    <row r="3434" spans="1:4">
      <c r="A3434" s="302">
        <v>89505</v>
      </c>
      <c r="B3434" s="301" t="s">
        <v>4112</v>
      </c>
      <c r="C3434" s="301" t="s">
        <v>28</v>
      </c>
      <c r="D3434" s="303">
        <v>25.55</v>
      </c>
    </row>
    <row r="3435" spans="1:4">
      <c r="A3435" s="302">
        <v>89506</v>
      </c>
      <c r="B3435" s="301" t="s">
        <v>4113</v>
      </c>
      <c r="C3435" s="301" t="s">
        <v>28</v>
      </c>
      <c r="D3435" s="303">
        <v>28.59</v>
      </c>
    </row>
    <row r="3436" spans="1:4">
      <c r="A3436" s="302">
        <v>89507</v>
      </c>
      <c r="B3436" s="301" t="s">
        <v>4114</v>
      </c>
      <c r="C3436" s="301" t="s">
        <v>28</v>
      </c>
      <c r="D3436" s="303">
        <v>34.92</v>
      </c>
    </row>
    <row r="3437" spans="1:4">
      <c r="A3437" s="302">
        <v>89510</v>
      </c>
      <c r="B3437" s="301" t="s">
        <v>4115</v>
      </c>
      <c r="C3437" s="301" t="s">
        <v>28</v>
      </c>
      <c r="D3437" s="303">
        <v>23.3</v>
      </c>
    </row>
    <row r="3438" spans="1:4">
      <c r="A3438" s="302">
        <v>89513</v>
      </c>
      <c r="B3438" s="301" t="s">
        <v>352</v>
      </c>
      <c r="C3438" s="301" t="s">
        <v>28</v>
      </c>
      <c r="D3438" s="303">
        <v>77.27</v>
      </c>
    </row>
    <row r="3439" spans="1:4">
      <c r="A3439" s="302">
        <v>89514</v>
      </c>
      <c r="B3439" s="301" t="s">
        <v>4116</v>
      </c>
      <c r="C3439" s="301" t="s">
        <v>28</v>
      </c>
      <c r="D3439" s="303">
        <v>7.32</v>
      </c>
    </row>
    <row r="3440" spans="1:4">
      <c r="A3440" s="302">
        <v>89515</v>
      </c>
      <c r="B3440" s="301" t="s">
        <v>4117</v>
      </c>
      <c r="C3440" s="301" t="s">
        <v>28</v>
      </c>
      <c r="D3440" s="303">
        <v>58.75</v>
      </c>
    </row>
    <row r="3441" spans="1:4">
      <c r="A3441" s="302">
        <v>89516</v>
      </c>
      <c r="B3441" s="301" t="s">
        <v>4118</v>
      </c>
      <c r="C3441" s="301" t="s">
        <v>28</v>
      </c>
      <c r="D3441" s="303">
        <v>6.45</v>
      </c>
    </row>
    <row r="3442" spans="1:4">
      <c r="A3442" s="302">
        <v>89517</v>
      </c>
      <c r="B3442" s="301" t="s">
        <v>4119</v>
      </c>
      <c r="C3442" s="301" t="s">
        <v>28</v>
      </c>
      <c r="D3442" s="303">
        <v>49.75</v>
      </c>
    </row>
    <row r="3443" spans="1:4">
      <c r="A3443" s="302">
        <v>89518</v>
      </c>
      <c r="B3443" s="301" t="s">
        <v>4120</v>
      </c>
      <c r="C3443" s="301" t="s">
        <v>28</v>
      </c>
      <c r="D3443" s="303">
        <v>10.19</v>
      </c>
    </row>
    <row r="3444" spans="1:4">
      <c r="A3444" s="302">
        <v>89519</v>
      </c>
      <c r="B3444" s="301" t="s">
        <v>4121</v>
      </c>
      <c r="C3444" s="301" t="s">
        <v>28</v>
      </c>
      <c r="D3444" s="303">
        <v>34.200000000000003</v>
      </c>
    </row>
    <row r="3445" spans="1:4">
      <c r="A3445" s="302">
        <v>89520</v>
      </c>
      <c r="B3445" s="301" t="s">
        <v>4122</v>
      </c>
      <c r="C3445" s="301" t="s">
        <v>28</v>
      </c>
      <c r="D3445" s="303">
        <v>9.0299999999999994</v>
      </c>
    </row>
    <row r="3446" spans="1:4">
      <c r="A3446" s="302">
        <v>89521</v>
      </c>
      <c r="B3446" s="301" t="s">
        <v>353</v>
      </c>
      <c r="C3446" s="301" t="s">
        <v>28</v>
      </c>
      <c r="D3446" s="303">
        <v>91.01</v>
      </c>
    </row>
    <row r="3447" spans="1:4">
      <c r="A3447" s="302">
        <v>89522</v>
      </c>
      <c r="B3447" s="301" t="s">
        <v>4123</v>
      </c>
      <c r="C3447" s="301" t="s">
        <v>28</v>
      </c>
      <c r="D3447" s="303">
        <v>20.260000000000002</v>
      </c>
    </row>
    <row r="3448" spans="1:4">
      <c r="A3448" s="302">
        <v>89523</v>
      </c>
      <c r="B3448" s="301" t="s">
        <v>373</v>
      </c>
      <c r="C3448" s="301" t="s">
        <v>28</v>
      </c>
      <c r="D3448" s="303">
        <v>69.209999999999994</v>
      </c>
    </row>
    <row r="3449" spans="1:4">
      <c r="A3449" s="302">
        <v>89524</v>
      </c>
      <c r="B3449" s="301" t="s">
        <v>4124</v>
      </c>
      <c r="C3449" s="301" t="s">
        <v>28</v>
      </c>
      <c r="D3449" s="303">
        <v>18.05</v>
      </c>
    </row>
    <row r="3450" spans="1:4">
      <c r="A3450" s="302">
        <v>89525</v>
      </c>
      <c r="B3450" s="301" t="s">
        <v>4125</v>
      </c>
      <c r="C3450" s="301" t="s">
        <v>28</v>
      </c>
      <c r="D3450" s="303">
        <v>68.11</v>
      </c>
    </row>
    <row r="3451" spans="1:4">
      <c r="A3451" s="302">
        <v>89526</v>
      </c>
      <c r="B3451" s="301" t="s">
        <v>4126</v>
      </c>
      <c r="C3451" s="301" t="s">
        <v>28</v>
      </c>
      <c r="D3451" s="303">
        <v>26.09</v>
      </c>
    </row>
    <row r="3452" spans="1:4">
      <c r="A3452" s="302">
        <v>89527</v>
      </c>
      <c r="B3452" s="301" t="s">
        <v>4127</v>
      </c>
      <c r="C3452" s="301" t="s">
        <v>28</v>
      </c>
      <c r="D3452" s="303">
        <v>52.81</v>
      </c>
    </row>
    <row r="3453" spans="1:4">
      <c r="A3453" s="302">
        <v>89528</v>
      </c>
      <c r="B3453" s="301" t="s">
        <v>4128</v>
      </c>
      <c r="C3453" s="301" t="s">
        <v>28</v>
      </c>
      <c r="D3453" s="303">
        <v>2.94</v>
      </c>
    </row>
    <row r="3454" spans="1:4">
      <c r="A3454" s="302">
        <v>89529</v>
      </c>
      <c r="B3454" s="301" t="s">
        <v>4129</v>
      </c>
      <c r="C3454" s="301" t="s">
        <v>28</v>
      </c>
      <c r="D3454" s="303">
        <v>29.84</v>
      </c>
    </row>
    <row r="3455" spans="1:4">
      <c r="A3455" s="302">
        <v>89530</v>
      </c>
      <c r="B3455" s="301" t="s">
        <v>4130</v>
      </c>
      <c r="C3455" s="301" t="s">
        <v>28</v>
      </c>
      <c r="D3455" s="303">
        <v>9.7200000000000006</v>
      </c>
    </row>
    <row r="3456" spans="1:4">
      <c r="A3456" s="302">
        <v>89531</v>
      </c>
      <c r="B3456" s="301" t="s">
        <v>4131</v>
      </c>
      <c r="C3456" s="301" t="s">
        <v>28</v>
      </c>
      <c r="D3456" s="303">
        <v>24.47</v>
      </c>
    </row>
    <row r="3457" spans="1:4">
      <c r="A3457" s="302">
        <v>89532</v>
      </c>
      <c r="B3457" s="301" t="s">
        <v>4132</v>
      </c>
      <c r="C3457" s="301" t="s">
        <v>28</v>
      </c>
      <c r="D3457" s="303">
        <v>5.0199999999999996</v>
      </c>
    </row>
    <row r="3458" spans="1:4">
      <c r="A3458" s="302">
        <v>89533</v>
      </c>
      <c r="B3458" s="301" t="s">
        <v>4133</v>
      </c>
      <c r="C3458" s="301" t="s">
        <v>28</v>
      </c>
      <c r="D3458" s="303">
        <v>24.47</v>
      </c>
    </row>
    <row r="3459" spans="1:4">
      <c r="A3459" s="302">
        <v>89534</v>
      </c>
      <c r="B3459" s="301" t="s">
        <v>4134</v>
      </c>
      <c r="C3459" s="301" t="s">
        <v>28</v>
      </c>
      <c r="D3459" s="303">
        <v>3.55</v>
      </c>
    </row>
    <row r="3460" spans="1:4">
      <c r="A3460" s="302">
        <v>89535</v>
      </c>
      <c r="B3460" s="301" t="s">
        <v>4135</v>
      </c>
      <c r="C3460" s="301" t="s">
        <v>28</v>
      </c>
      <c r="D3460" s="303">
        <v>38.26</v>
      </c>
    </row>
    <row r="3461" spans="1:4">
      <c r="A3461" s="302">
        <v>89536</v>
      </c>
      <c r="B3461" s="301" t="s">
        <v>4136</v>
      </c>
      <c r="C3461" s="301" t="s">
        <v>28</v>
      </c>
      <c r="D3461" s="303">
        <v>8.7799999999999994</v>
      </c>
    </row>
    <row r="3462" spans="1:4">
      <c r="A3462" s="302">
        <v>89538</v>
      </c>
      <c r="B3462" s="301" t="s">
        <v>4137</v>
      </c>
      <c r="C3462" s="301" t="s">
        <v>28</v>
      </c>
      <c r="D3462" s="303">
        <v>3.01</v>
      </c>
    </row>
    <row r="3463" spans="1:4">
      <c r="A3463" s="302">
        <v>89540</v>
      </c>
      <c r="B3463" s="301" t="s">
        <v>4138</v>
      </c>
      <c r="C3463" s="301" t="s">
        <v>28</v>
      </c>
      <c r="D3463" s="303">
        <v>7.34</v>
      </c>
    </row>
    <row r="3464" spans="1:4">
      <c r="A3464" s="302">
        <v>89541</v>
      </c>
      <c r="B3464" s="301" t="s">
        <v>4139</v>
      </c>
      <c r="C3464" s="301" t="s">
        <v>28</v>
      </c>
      <c r="D3464" s="303">
        <v>4.41</v>
      </c>
    </row>
    <row r="3465" spans="1:4">
      <c r="A3465" s="302">
        <v>89542</v>
      </c>
      <c r="B3465" s="301" t="s">
        <v>4140</v>
      </c>
      <c r="C3465" s="301" t="s">
        <v>28</v>
      </c>
      <c r="D3465" s="303">
        <v>20.59</v>
      </c>
    </row>
    <row r="3466" spans="1:4">
      <c r="A3466" s="302">
        <v>89544</v>
      </c>
      <c r="B3466" s="301" t="s">
        <v>4141</v>
      </c>
      <c r="C3466" s="301" t="s">
        <v>28</v>
      </c>
      <c r="D3466" s="303">
        <v>6.45</v>
      </c>
    </row>
    <row r="3467" spans="1:4">
      <c r="A3467" s="302">
        <v>89545</v>
      </c>
      <c r="B3467" s="301" t="s">
        <v>4142</v>
      </c>
      <c r="C3467" s="301" t="s">
        <v>28</v>
      </c>
      <c r="D3467" s="303">
        <v>9.23</v>
      </c>
    </row>
    <row r="3468" spans="1:4">
      <c r="A3468" s="302">
        <v>89546</v>
      </c>
      <c r="B3468" s="301" t="s">
        <v>986</v>
      </c>
      <c r="C3468" s="301" t="s">
        <v>28</v>
      </c>
      <c r="D3468" s="303">
        <v>8.07</v>
      </c>
    </row>
    <row r="3469" spans="1:4">
      <c r="A3469" s="302">
        <v>89547</v>
      </c>
      <c r="B3469" s="301" t="s">
        <v>4143</v>
      </c>
      <c r="C3469" s="301" t="s">
        <v>28</v>
      </c>
      <c r="D3469" s="303">
        <v>13.93</v>
      </c>
    </row>
    <row r="3470" spans="1:4">
      <c r="A3470" s="302">
        <v>89548</v>
      </c>
      <c r="B3470" s="301" t="s">
        <v>4144</v>
      </c>
      <c r="C3470" s="301" t="s">
        <v>28</v>
      </c>
      <c r="D3470" s="303">
        <v>15.03</v>
      </c>
    </row>
    <row r="3471" spans="1:4">
      <c r="A3471" s="302">
        <v>89549</v>
      </c>
      <c r="B3471" s="301" t="s">
        <v>550</v>
      </c>
      <c r="C3471" s="301" t="s">
        <v>28</v>
      </c>
      <c r="D3471" s="303">
        <v>10.99</v>
      </c>
    </row>
    <row r="3472" spans="1:4">
      <c r="A3472" s="302">
        <v>89550</v>
      </c>
      <c r="B3472" s="301" t="s">
        <v>4145</v>
      </c>
      <c r="C3472" s="301" t="s">
        <v>28</v>
      </c>
      <c r="D3472" s="303">
        <v>25.98</v>
      </c>
    </row>
    <row r="3473" spans="1:4">
      <c r="A3473" s="302">
        <v>89551</v>
      </c>
      <c r="B3473" s="301" t="s">
        <v>4146</v>
      </c>
      <c r="C3473" s="301" t="s">
        <v>28</v>
      </c>
      <c r="D3473" s="303">
        <v>6.87</v>
      </c>
    </row>
    <row r="3474" spans="1:4">
      <c r="A3474" s="302">
        <v>89552</v>
      </c>
      <c r="B3474" s="301" t="s">
        <v>374</v>
      </c>
      <c r="C3474" s="301" t="s">
        <v>28</v>
      </c>
      <c r="D3474" s="303">
        <v>13.53</v>
      </c>
    </row>
    <row r="3475" spans="1:4">
      <c r="A3475" s="302">
        <v>89553</v>
      </c>
      <c r="B3475" s="301" t="s">
        <v>4147</v>
      </c>
      <c r="C3475" s="301" t="s">
        <v>28</v>
      </c>
      <c r="D3475" s="303">
        <v>4.34</v>
      </c>
    </row>
    <row r="3476" spans="1:4">
      <c r="A3476" s="302">
        <v>89554</v>
      </c>
      <c r="B3476" s="301" t="s">
        <v>4148</v>
      </c>
      <c r="C3476" s="301" t="s">
        <v>28</v>
      </c>
      <c r="D3476" s="303">
        <v>17.18</v>
      </c>
    </row>
    <row r="3477" spans="1:4">
      <c r="A3477" s="302">
        <v>89555</v>
      </c>
      <c r="B3477" s="301" t="s">
        <v>4149</v>
      </c>
      <c r="C3477" s="301" t="s">
        <v>28</v>
      </c>
      <c r="D3477" s="303">
        <v>16.32</v>
      </c>
    </row>
    <row r="3478" spans="1:4">
      <c r="A3478" s="302">
        <v>89556</v>
      </c>
      <c r="B3478" s="301" t="s">
        <v>4150</v>
      </c>
      <c r="C3478" s="301" t="s">
        <v>28</v>
      </c>
      <c r="D3478" s="303">
        <v>24.7</v>
      </c>
    </row>
    <row r="3479" spans="1:4">
      <c r="A3479" s="302">
        <v>89557</v>
      </c>
      <c r="B3479" s="301" t="s">
        <v>4151</v>
      </c>
      <c r="C3479" s="301" t="s">
        <v>28</v>
      </c>
      <c r="D3479" s="303">
        <v>19.760000000000002</v>
      </c>
    </row>
    <row r="3480" spans="1:4">
      <c r="A3480" s="302">
        <v>89558</v>
      </c>
      <c r="B3480" s="301" t="s">
        <v>4152</v>
      </c>
      <c r="C3480" s="301" t="s">
        <v>28</v>
      </c>
      <c r="D3480" s="303">
        <v>6.59</v>
      </c>
    </row>
    <row r="3481" spans="1:4">
      <c r="A3481" s="302">
        <v>89559</v>
      </c>
      <c r="B3481" s="301" t="s">
        <v>4153</v>
      </c>
      <c r="C3481" s="301" t="s">
        <v>28</v>
      </c>
      <c r="D3481" s="303">
        <v>42.61</v>
      </c>
    </row>
    <row r="3482" spans="1:4">
      <c r="A3482" s="302">
        <v>89561</v>
      </c>
      <c r="B3482" s="301" t="s">
        <v>4154</v>
      </c>
      <c r="C3482" s="301" t="s">
        <v>28</v>
      </c>
      <c r="D3482" s="303">
        <v>9.56</v>
      </c>
    </row>
    <row r="3483" spans="1:4">
      <c r="A3483" s="302">
        <v>89562</v>
      </c>
      <c r="B3483" s="301" t="s">
        <v>4155</v>
      </c>
      <c r="C3483" s="301" t="s">
        <v>28</v>
      </c>
      <c r="D3483" s="303">
        <v>6.98</v>
      </c>
    </row>
    <row r="3484" spans="1:4">
      <c r="A3484" s="302">
        <v>89563</v>
      </c>
      <c r="B3484" s="301" t="s">
        <v>4156</v>
      </c>
      <c r="C3484" s="301" t="s">
        <v>28</v>
      </c>
      <c r="D3484" s="303">
        <v>15.37</v>
      </c>
    </row>
    <row r="3485" spans="1:4">
      <c r="A3485" s="302">
        <v>89564</v>
      </c>
      <c r="B3485" s="301" t="s">
        <v>4157</v>
      </c>
      <c r="C3485" s="301" t="s">
        <v>28</v>
      </c>
      <c r="D3485" s="303">
        <v>12.26</v>
      </c>
    </row>
    <row r="3486" spans="1:4">
      <c r="A3486" s="302">
        <v>89565</v>
      </c>
      <c r="B3486" s="301" t="s">
        <v>396</v>
      </c>
      <c r="C3486" s="301" t="s">
        <v>28</v>
      </c>
      <c r="D3486" s="303">
        <v>36.729999999999997</v>
      </c>
    </row>
    <row r="3487" spans="1:4">
      <c r="A3487" s="302">
        <v>89566</v>
      </c>
      <c r="B3487" s="301" t="s">
        <v>4158</v>
      </c>
      <c r="C3487" s="301" t="s">
        <v>28</v>
      </c>
      <c r="D3487" s="303">
        <v>31.96</v>
      </c>
    </row>
    <row r="3488" spans="1:4">
      <c r="A3488" s="302">
        <v>89567</v>
      </c>
      <c r="B3488" s="301" t="s">
        <v>4159</v>
      </c>
      <c r="C3488" s="301" t="s">
        <v>28</v>
      </c>
      <c r="D3488" s="303">
        <v>53.95</v>
      </c>
    </row>
    <row r="3489" spans="1:4">
      <c r="A3489" s="302">
        <v>89568</v>
      </c>
      <c r="B3489" s="301" t="s">
        <v>381</v>
      </c>
      <c r="C3489" s="301" t="s">
        <v>28</v>
      </c>
      <c r="D3489" s="303">
        <v>24.24</v>
      </c>
    </row>
    <row r="3490" spans="1:4">
      <c r="A3490" s="302">
        <v>89569</v>
      </c>
      <c r="B3490" s="301" t="s">
        <v>4160</v>
      </c>
      <c r="C3490" s="301" t="s">
        <v>28</v>
      </c>
      <c r="D3490" s="303">
        <v>51.1</v>
      </c>
    </row>
    <row r="3491" spans="1:4">
      <c r="A3491" s="302">
        <v>89570</v>
      </c>
      <c r="B3491" s="301" t="s">
        <v>4161</v>
      </c>
      <c r="C3491" s="301" t="s">
        <v>28</v>
      </c>
      <c r="D3491" s="303">
        <v>8.83</v>
      </c>
    </row>
    <row r="3492" spans="1:4">
      <c r="A3492" s="302">
        <v>89571</v>
      </c>
      <c r="B3492" s="301" t="s">
        <v>4162</v>
      </c>
      <c r="C3492" s="301" t="s">
        <v>28</v>
      </c>
      <c r="D3492" s="303">
        <v>49.77</v>
      </c>
    </row>
    <row r="3493" spans="1:4">
      <c r="A3493" s="302">
        <v>89572</v>
      </c>
      <c r="B3493" s="301" t="s">
        <v>4163</v>
      </c>
      <c r="C3493" s="301" t="s">
        <v>28</v>
      </c>
      <c r="D3493" s="303">
        <v>6.26</v>
      </c>
    </row>
    <row r="3494" spans="1:4">
      <c r="A3494" s="302">
        <v>89573</v>
      </c>
      <c r="B3494" s="301" t="s">
        <v>4164</v>
      </c>
      <c r="C3494" s="301" t="s">
        <v>28</v>
      </c>
      <c r="D3494" s="303">
        <v>45.45</v>
      </c>
    </row>
    <row r="3495" spans="1:4">
      <c r="A3495" s="302">
        <v>89574</v>
      </c>
      <c r="B3495" s="301" t="s">
        <v>4165</v>
      </c>
      <c r="C3495" s="301" t="s">
        <v>28</v>
      </c>
      <c r="D3495" s="303">
        <v>87.63</v>
      </c>
    </row>
    <row r="3496" spans="1:4">
      <c r="A3496" s="302">
        <v>89575</v>
      </c>
      <c r="B3496" s="301" t="s">
        <v>4166</v>
      </c>
      <c r="C3496" s="301" t="s">
        <v>28</v>
      </c>
      <c r="D3496" s="303">
        <v>8.4499999999999993</v>
      </c>
    </row>
    <row r="3497" spans="1:4">
      <c r="A3497" s="302">
        <v>89577</v>
      </c>
      <c r="B3497" s="301" t="s">
        <v>4167</v>
      </c>
      <c r="C3497" s="301" t="s">
        <v>28</v>
      </c>
      <c r="D3497" s="303">
        <v>25.08</v>
      </c>
    </row>
    <row r="3498" spans="1:4">
      <c r="A3498" s="302">
        <v>89579</v>
      </c>
      <c r="B3498" s="301" t="s">
        <v>4168</v>
      </c>
      <c r="C3498" s="301" t="s">
        <v>28</v>
      </c>
      <c r="D3498" s="303">
        <v>8.64</v>
      </c>
    </row>
    <row r="3499" spans="1:4">
      <c r="A3499" s="302">
        <v>89581</v>
      </c>
      <c r="B3499" s="301" t="s">
        <v>4169</v>
      </c>
      <c r="C3499" s="301" t="s">
        <v>28</v>
      </c>
      <c r="D3499" s="303">
        <v>18.850000000000001</v>
      </c>
    </row>
    <row r="3500" spans="1:4">
      <c r="A3500" s="302">
        <v>89582</v>
      </c>
      <c r="B3500" s="301" t="s">
        <v>4170</v>
      </c>
      <c r="C3500" s="301" t="s">
        <v>28</v>
      </c>
      <c r="D3500" s="303">
        <v>16.64</v>
      </c>
    </row>
    <row r="3501" spans="1:4">
      <c r="A3501" s="302">
        <v>89583</v>
      </c>
      <c r="B3501" s="301" t="s">
        <v>4171</v>
      </c>
      <c r="C3501" s="301" t="s">
        <v>28</v>
      </c>
      <c r="D3501" s="303">
        <v>24.68</v>
      </c>
    </row>
    <row r="3502" spans="1:4">
      <c r="A3502" s="302">
        <v>89584</v>
      </c>
      <c r="B3502" s="301" t="s">
        <v>4172</v>
      </c>
      <c r="C3502" s="301" t="s">
        <v>28</v>
      </c>
      <c r="D3502" s="303">
        <v>28.43</v>
      </c>
    </row>
    <row r="3503" spans="1:4">
      <c r="A3503" s="302">
        <v>89585</v>
      </c>
      <c r="B3503" s="301" t="s">
        <v>4173</v>
      </c>
      <c r="C3503" s="301" t="s">
        <v>28</v>
      </c>
      <c r="D3503" s="303">
        <v>23.06</v>
      </c>
    </row>
    <row r="3504" spans="1:4">
      <c r="A3504" s="302">
        <v>89586</v>
      </c>
      <c r="B3504" s="301" t="s">
        <v>4174</v>
      </c>
      <c r="C3504" s="301" t="s">
        <v>28</v>
      </c>
      <c r="D3504" s="303">
        <v>23.06</v>
      </c>
    </row>
    <row r="3505" spans="1:4">
      <c r="A3505" s="302">
        <v>89587</v>
      </c>
      <c r="B3505" s="301" t="s">
        <v>4175</v>
      </c>
      <c r="C3505" s="301" t="s">
        <v>28</v>
      </c>
      <c r="D3505" s="303">
        <v>36.85</v>
      </c>
    </row>
    <row r="3506" spans="1:4">
      <c r="A3506" s="302">
        <v>89590</v>
      </c>
      <c r="B3506" s="301" t="s">
        <v>4176</v>
      </c>
      <c r="C3506" s="301" t="s">
        <v>28</v>
      </c>
      <c r="D3506" s="303">
        <v>89.28</v>
      </c>
    </row>
    <row r="3507" spans="1:4">
      <c r="A3507" s="302">
        <v>89591</v>
      </c>
      <c r="B3507" s="301" t="s">
        <v>4177</v>
      </c>
      <c r="C3507" s="301" t="s">
        <v>28</v>
      </c>
      <c r="D3507" s="303">
        <v>73.849999999999994</v>
      </c>
    </row>
    <row r="3508" spans="1:4">
      <c r="A3508" s="302">
        <v>89592</v>
      </c>
      <c r="B3508" s="301" t="s">
        <v>4178</v>
      </c>
      <c r="C3508" s="301" t="s">
        <v>28</v>
      </c>
      <c r="D3508" s="303">
        <v>118.7</v>
      </c>
    </row>
    <row r="3509" spans="1:4">
      <c r="A3509" s="302">
        <v>89593</v>
      </c>
      <c r="B3509" s="301" t="s">
        <v>4179</v>
      </c>
      <c r="C3509" s="301" t="s">
        <v>28</v>
      </c>
      <c r="D3509" s="303">
        <v>22.78</v>
      </c>
    </row>
    <row r="3510" spans="1:4">
      <c r="A3510" s="302">
        <v>89594</v>
      </c>
      <c r="B3510" s="301" t="s">
        <v>375</v>
      </c>
      <c r="C3510" s="301" t="s">
        <v>28</v>
      </c>
      <c r="D3510" s="303">
        <v>27.31</v>
      </c>
    </row>
    <row r="3511" spans="1:4">
      <c r="A3511" s="302">
        <v>89595</v>
      </c>
      <c r="B3511" s="301" t="s">
        <v>4180</v>
      </c>
      <c r="C3511" s="301" t="s">
        <v>28</v>
      </c>
      <c r="D3511" s="303">
        <v>10.98</v>
      </c>
    </row>
    <row r="3512" spans="1:4">
      <c r="A3512" s="302">
        <v>89596</v>
      </c>
      <c r="B3512" s="301" t="s">
        <v>213</v>
      </c>
      <c r="C3512" s="301" t="s">
        <v>28</v>
      </c>
      <c r="D3512" s="303">
        <v>8.32</v>
      </c>
    </row>
    <row r="3513" spans="1:4">
      <c r="A3513" s="302">
        <v>89597</v>
      </c>
      <c r="B3513" s="301" t="s">
        <v>4181</v>
      </c>
      <c r="C3513" s="301" t="s">
        <v>28</v>
      </c>
      <c r="D3513" s="303">
        <v>15.14</v>
      </c>
    </row>
    <row r="3514" spans="1:4">
      <c r="A3514" s="302">
        <v>89598</v>
      </c>
      <c r="B3514" s="301" t="s">
        <v>4182</v>
      </c>
      <c r="C3514" s="301" t="s">
        <v>28</v>
      </c>
      <c r="D3514" s="303">
        <v>37.659999999999997</v>
      </c>
    </row>
    <row r="3515" spans="1:4">
      <c r="A3515" s="302">
        <v>89599</v>
      </c>
      <c r="B3515" s="301" t="s">
        <v>4183</v>
      </c>
      <c r="C3515" s="301" t="s">
        <v>28</v>
      </c>
      <c r="D3515" s="303">
        <v>12.87</v>
      </c>
    </row>
    <row r="3516" spans="1:4">
      <c r="A3516" s="302">
        <v>89600</v>
      </c>
      <c r="B3516" s="301" t="s">
        <v>4184</v>
      </c>
      <c r="C3516" s="301" t="s">
        <v>28</v>
      </c>
      <c r="D3516" s="303">
        <v>13.97</v>
      </c>
    </row>
    <row r="3517" spans="1:4">
      <c r="A3517" s="302">
        <v>89605</v>
      </c>
      <c r="B3517" s="301" t="s">
        <v>4185</v>
      </c>
      <c r="C3517" s="301" t="s">
        <v>28</v>
      </c>
      <c r="D3517" s="303">
        <v>14.81</v>
      </c>
    </row>
    <row r="3518" spans="1:4">
      <c r="A3518" s="302">
        <v>89609</v>
      </c>
      <c r="B3518" s="301" t="s">
        <v>4186</v>
      </c>
      <c r="C3518" s="301" t="s">
        <v>28</v>
      </c>
      <c r="D3518" s="303">
        <v>62.31</v>
      </c>
    </row>
    <row r="3519" spans="1:4">
      <c r="A3519" s="302">
        <v>89610</v>
      </c>
      <c r="B3519" s="301" t="s">
        <v>4187</v>
      </c>
      <c r="C3519" s="301" t="s">
        <v>28</v>
      </c>
      <c r="D3519" s="303">
        <v>15.15</v>
      </c>
    </row>
    <row r="3520" spans="1:4">
      <c r="A3520" s="302">
        <v>89611</v>
      </c>
      <c r="B3520" s="301" t="s">
        <v>4188</v>
      </c>
      <c r="C3520" s="301" t="s">
        <v>28</v>
      </c>
      <c r="D3520" s="303">
        <v>24.63</v>
      </c>
    </row>
    <row r="3521" spans="1:4">
      <c r="A3521" s="302">
        <v>89612</v>
      </c>
      <c r="B3521" s="301" t="s">
        <v>4189</v>
      </c>
      <c r="C3521" s="301" t="s">
        <v>28</v>
      </c>
      <c r="D3521" s="303">
        <v>122.22</v>
      </c>
    </row>
    <row r="3522" spans="1:4">
      <c r="A3522" s="302">
        <v>89613</v>
      </c>
      <c r="B3522" s="301" t="s">
        <v>214</v>
      </c>
      <c r="C3522" s="301" t="s">
        <v>28</v>
      </c>
      <c r="D3522" s="303">
        <v>22.19</v>
      </c>
    </row>
    <row r="3523" spans="1:4">
      <c r="A3523" s="302">
        <v>89614</v>
      </c>
      <c r="B3523" s="301" t="s">
        <v>4190</v>
      </c>
      <c r="C3523" s="301" t="s">
        <v>28</v>
      </c>
      <c r="D3523" s="303">
        <v>45.38</v>
      </c>
    </row>
    <row r="3524" spans="1:4">
      <c r="A3524" s="302">
        <v>89615</v>
      </c>
      <c r="B3524" s="301" t="s">
        <v>376</v>
      </c>
      <c r="C3524" s="301" t="s">
        <v>28</v>
      </c>
      <c r="D3524" s="303">
        <v>184.18</v>
      </c>
    </row>
    <row r="3525" spans="1:4">
      <c r="A3525" s="302">
        <v>89616</v>
      </c>
      <c r="B3525" s="301" t="s">
        <v>345</v>
      </c>
      <c r="C3525" s="301" t="s">
        <v>28</v>
      </c>
      <c r="D3525" s="303">
        <v>31.69</v>
      </c>
    </row>
    <row r="3526" spans="1:4">
      <c r="A3526" s="302">
        <v>89617</v>
      </c>
      <c r="B3526" s="301" t="s">
        <v>4191</v>
      </c>
      <c r="C3526" s="301" t="s">
        <v>28</v>
      </c>
      <c r="D3526" s="303">
        <v>5.22</v>
      </c>
    </row>
    <row r="3527" spans="1:4">
      <c r="A3527" s="302">
        <v>89618</v>
      </c>
      <c r="B3527" s="301" t="s">
        <v>4192</v>
      </c>
      <c r="C3527" s="301" t="s">
        <v>28</v>
      </c>
      <c r="D3527" s="303">
        <v>10.65</v>
      </c>
    </row>
    <row r="3528" spans="1:4">
      <c r="A3528" s="302">
        <v>89619</v>
      </c>
      <c r="B3528" s="301" t="s">
        <v>4193</v>
      </c>
      <c r="C3528" s="301" t="s">
        <v>28</v>
      </c>
      <c r="D3528" s="303">
        <v>6.67</v>
      </c>
    </row>
    <row r="3529" spans="1:4">
      <c r="A3529" s="302">
        <v>89620</v>
      </c>
      <c r="B3529" s="301" t="s">
        <v>377</v>
      </c>
      <c r="C3529" s="301" t="s">
        <v>28</v>
      </c>
      <c r="D3529" s="303">
        <v>8.4600000000000009</v>
      </c>
    </row>
    <row r="3530" spans="1:4">
      <c r="A3530" s="302">
        <v>89621</v>
      </c>
      <c r="B3530" s="301" t="s">
        <v>4194</v>
      </c>
      <c r="C3530" s="301" t="s">
        <v>28</v>
      </c>
      <c r="D3530" s="303">
        <v>17.68</v>
      </c>
    </row>
    <row r="3531" spans="1:4">
      <c r="A3531" s="302">
        <v>89622</v>
      </c>
      <c r="B3531" s="301" t="s">
        <v>4195</v>
      </c>
      <c r="C3531" s="301" t="s">
        <v>28</v>
      </c>
      <c r="D3531" s="303">
        <v>9.9</v>
      </c>
    </row>
    <row r="3532" spans="1:4">
      <c r="A3532" s="302">
        <v>89623</v>
      </c>
      <c r="B3532" s="301" t="s">
        <v>382</v>
      </c>
      <c r="C3532" s="301" t="s">
        <v>28</v>
      </c>
      <c r="D3532" s="303">
        <v>13.26</v>
      </c>
    </row>
    <row r="3533" spans="1:4">
      <c r="A3533" s="302">
        <v>89624</v>
      </c>
      <c r="B3533" s="301" t="s">
        <v>4196</v>
      </c>
      <c r="C3533" s="301" t="s">
        <v>28</v>
      </c>
      <c r="D3533" s="303">
        <v>13.98</v>
      </c>
    </row>
    <row r="3534" spans="1:4">
      <c r="A3534" s="302">
        <v>89625</v>
      </c>
      <c r="B3534" s="301" t="s">
        <v>155</v>
      </c>
      <c r="C3534" s="301" t="s">
        <v>28</v>
      </c>
      <c r="D3534" s="303">
        <v>16.2</v>
      </c>
    </row>
    <row r="3535" spans="1:4">
      <c r="A3535" s="302">
        <v>89626</v>
      </c>
      <c r="B3535" s="301" t="s">
        <v>4197</v>
      </c>
      <c r="C3535" s="301" t="s">
        <v>28</v>
      </c>
      <c r="D3535" s="303">
        <v>21.79</v>
      </c>
    </row>
    <row r="3536" spans="1:4">
      <c r="A3536" s="302">
        <v>89627</v>
      </c>
      <c r="B3536" s="301" t="s">
        <v>157</v>
      </c>
      <c r="C3536" s="301" t="s">
        <v>28</v>
      </c>
      <c r="D3536" s="303">
        <v>15.36</v>
      </c>
    </row>
    <row r="3537" spans="1:4">
      <c r="A3537" s="302">
        <v>89628</v>
      </c>
      <c r="B3537" s="301" t="s">
        <v>4198</v>
      </c>
      <c r="C3537" s="301" t="s">
        <v>28</v>
      </c>
      <c r="D3537" s="303">
        <v>32.880000000000003</v>
      </c>
    </row>
    <row r="3538" spans="1:4">
      <c r="A3538" s="302">
        <v>89629</v>
      </c>
      <c r="B3538" s="301" t="s">
        <v>156</v>
      </c>
      <c r="C3538" s="301" t="s">
        <v>28</v>
      </c>
      <c r="D3538" s="303">
        <v>59.67</v>
      </c>
    </row>
    <row r="3539" spans="1:4">
      <c r="A3539" s="302">
        <v>89630</v>
      </c>
      <c r="B3539" s="301" t="s">
        <v>358</v>
      </c>
      <c r="C3539" s="301" t="s">
        <v>28</v>
      </c>
      <c r="D3539" s="303">
        <v>52.06</v>
      </c>
    </row>
    <row r="3540" spans="1:4">
      <c r="A3540" s="302">
        <v>89631</v>
      </c>
      <c r="B3540" s="301" t="s">
        <v>356</v>
      </c>
      <c r="C3540" s="301" t="s">
        <v>28</v>
      </c>
      <c r="D3540" s="303">
        <v>89.82</v>
      </c>
    </row>
    <row r="3541" spans="1:4">
      <c r="A3541" s="302">
        <v>89632</v>
      </c>
      <c r="B3541" s="301" t="s">
        <v>4199</v>
      </c>
      <c r="C3541" s="301" t="s">
        <v>28</v>
      </c>
      <c r="D3541" s="303">
        <v>74.239999999999995</v>
      </c>
    </row>
    <row r="3542" spans="1:4">
      <c r="A3542" s="302">
        <v>89637</v>
      </c>
      <c r="B3542" s="301" t="s">
        <v>4200</v>
      </c>
      <c r="C3542" s="301" t="s">
        <v>28</v>
      </c>
      <c r="D3542" s="303">
        <v>8.24</v>
      </c>
    </row>
    <row r="3543" spans="1:4">
      <c r="A3543" s="302">
        <v>89638</v>
      </c>
      <c r="B3543" s="301" t="s">
        <v>4201</v>
      </c>
      <c r="C3543" s="301" t="s">
        <v>28</v>
      </c>
      <c r="D3543" s="303">
        <v>9.33</v>
      </c>
    </row>
    <row r="3544" spans="1:4">
      <c r="A3544" s="302">
        <v>89639</v>
      </c>
      <c r="B3544" s="301" t="s">
        <v>4202</v>
      </c>
      <c r="C3544" s="301" t="s">
        <v>28</v>
      </c>
      <c r="D3544" s="303">
        <v>9.76</v>
      </c>
    </row>
    <row r="3545" spans="1:4">
      <c r="A3545" s="302">
        <v>89640</v>
      </c>
      <c r="B3545" s="301" t="s">
        <v>4203</v>
      </c>
      <c r="C3545" s="301" t="s">
        <v>28</v>
      </c>
      <c r="D3545" s="303">
        <v>16.27</v>
      </c>
    </row>
    <row r="3546" spans="1:4">
      <c r="A3546" s="302">
        <v>89641</v>
      </c>
      <c r="B3546" s="301" t="s">
        <v>4204</v>
      </c>
      <c r="C3546" s="301" t="s">
        <v>28</v>
      </c>
      <c r="D3546" s="303">
        <v>11.77</v>
      </c>
    </row>
    <row r="3547" spans="1:4">
      <c r="A3547" s="302">
        <v>89642</v>
      </c>
      <c r="B3547" s="301" t="s">
        <v>4205</v>
      </c>
      <c r="C3547" s="301" t="s">
        <v>28</v>
      </c>
      <c r="D3547" s="303">
        <v>13.88</v>
      </c>
    </row>
    <row r="3548" spans="1:4">
      <c r="A3548" s="302">
        <v>89643</v>
      </c>
      <c r="B3548" s="301" t="s">
        <v>4206</v>
      </c>
      <c r="C3548" s="301" t="s">
        <v>28</v>
      </c>
      <c r="D3548" s="303">
        <v>14.58</v>
      </c>
    </row>
    <row r="3549" spans="1:4">
      <c r="A3549" s="302">
        <v>89644</v>
      </c>
      <c r="B3549" s="301" t="s">
        <v>4207</v>
      </c>
      <c r="C3549" s="301" t="s">
        <v>28</v>
      </c>
      <c r="D3549" s="303">
        <v>24.5</v>
      </c>
    </row>
    <row r="3550" spans="1:4">
      <c r="A3550" s="302">
        <v>89645</v>
      </c>
      <c r="B3550" s="301" t="s">
        <v>4208</v>
      </c>
      <c r="C3550" s="301" t="s">
        <v>28</v>
      </c>
      <c r="D3550" s="303">
        <v>27.97</v>
      </c>
    </row>
    <row r="3551" spans="1:4">
      <c r="A3551" s="302">
        <v>89646</v>
      </c>
      <c r="B3551" s="301" t="s">
        <v>4209</v>
      </c>
      <c r="C3551" s="301" t="s">
        <v>28</v>
      </c>
      <c r="D3551" s="303">
        <v>19.09</v>
      </c>
    </row>
    <row r="3552" spans="1:4">
      <c r="A3552" s="302">
        <v>89647</v>
      </c>
      <c r="B3552" s="301" t="s">
        <v>4210</v>
      </c>
      <c r="C3552" s="301" t="s">
        <v>28</v>
      </c>
      <c r="D3552" s="303">
        <v>18.600000000000001</v>
      </c>
    </row>
    <row r="3553" spans="1:4">
      <c r="A3553" s="302">
        <v>89648</v>
      </c>
      <c r="B3553" s="301" t="s">
        <v>4211</v>
      </c>
      <c r="C3553" s="301" t="s">
        <v>28</v>
      </c>
      <c r="D3553" s="303">
        <v>20.86</v>
      </c>
    </row>
    <row r="3554" spans="1:4">
      <c r="A3554" s="302">
        <v>89649</v>
      </c>
      <c r="B3554" s="301" t="s">
        <v>4212</v>
      </c>
      <c r="C3554" s="301" t="s">
        <v>28</v>
      </c>
      <c r="D3554" s="303">
        <v>28.9</v>
      </c>
    </row>
    <row r="3555" spans="1:4">
      <c r="A3555" s="302">
        <v>89650</v>
      </c>
      <c r="B3555" s="301" t="s">
        <v>4213</v>
      </c>
      <c r="C3555" s="301" t="s">
        <v>28</v>
      </c>
      <c r="D3555" s="303">
        <v>28.9</v>
      </c>
    </row>
    <row r="3556" spans="1:4">
      <c r="A3556" s="302">
        <v>89651</v>
      </c>
      <c r="B3556" s="301" t="s">
        <v>4214</v>
      </c>
      <c r="C3556" s="301" t="s">
        <v>28</v>
      </c>
      <c r="D3556" s="303">
        <v>5.6</v>
      </c>
    </row>
    <row r="3557" spans="1:4">
      <c r="A3557" s="302">
        <v>89652</v>
      </c>
      <c r="B3557" s="301" t="s">
        <v>4215</v>
      </c>
      <c r="C3557" s="301" t="s">
        <v>28</v>
      </c>
      <c r="D3557" s="303">
        <v>10.42</v>
      </c>
    </row>
    <row r="3558" spans="1:4">
      <c r="A3558" s="302">
        <v>89653</v>
      </c>
      <c r="B3558" s="301" t="s">
        <v>4216</v>
      </c>
      <c r="C3558" s="301" t="s">
        <v>28</v>
      </c>
      <c r="D3558" s="303">
        <v>17.82</v>
      </c>
    </row>
    <row r="3559" spans="1:4">
      <c r="A3559" s="302">
        <v>89654</v>
      </c>
      <c r="B3559" s="301" t="s">
        <v>4217</v>
      </c>
      <c r="C3559" s="301" t="s">
        <v>28</v>
      </c>
      <c r="D3559" s="303">
        <v>17.329999999999998</v>
      </c>
    </row>
    <row r="3560" spans="1:4">
      <c r="A3560" s="302">
        <v>89655</v>
      </c>
      <c r="B3560" s="301" t="s">
        <v>4218</v>
      </c>
      <c r="C3560" s="301" t="s">
        <v>28</v>
      </c>
      <c r="D3560" s="303">
        <v>26.37</v>
      </c>
    </row>
    <row r="3561" spans="1:4">
      <c r="A3561" s="302">
        <v>89656</v>
      </c>
      <c r="B3561" s="301" t="s">
        <v>4219</v>
      </c>
      <c r="C3561" s="301" t="s">
        <v>28</v>
      </c>
      <c r="D3561" s="303">
        <v>11.18</v>
      </c>
    </row>
    <row r="3562" spans="1:4">
      <c r="A3562" s="302">
        <v>89657</v>
      </c>
      <c r="B3562" s="301" t="s">
        <v>4220</v>
      </c>
      <c r="C3562" s="301" t="s">
        <v>28</v>
      </c>
      <c r="D3562" s="303">
        <v>11.42</v>
      </c>
    </row>
    <row r="3563" spans="1:4">
      <c r="A3563" s="302">
        <v>89658</v>
      </c>
      <c r="B3563" s="301" t="s">
        <v>4221</v>
      </c>
      <c r="C3563" s="301" t="s">
        <v>28</v>
      </c>
      <c r="D3563" s="303">
        <v>7.78</v>
      </c>
    </row>
    <row r="3564" spans="1:4">
      <c r="A3564" s="302">
        <v>89659</v>
      </c>
      <c r="B3564" s="301" t="s">
        <v>4222</v>
      </c>
      <c r="C3564" s="301" t="s">
        <v>28</v>
      </c>
      <c r="D3564" s="303">
        <v>15.15</v>
      </c>
    </row>
    <row r="3565" spans="1:4">
      <c r="A3565" s="302">
        <v>89660</v>
      </c>
      <c r="B3565" s="301" t="s">
        <v>4223</v>
      </c>
      <c r="C3565" s="301" t="s">
        <v>28</v>
      </c>
      <c r="D3565" s="303">
        <v>7.14</v>
      </c>
    </row>
    <row r="3566" spans="1:4">
      <c r="A3566" s="302">
        <v>89661</v>
      </c>
      <c r="B3566" s="301" t="s">
        <v>4224</v>
      </c>
      <c r="C3566" s="301" t="s">
        <v>28</v>
      </c>
      <c r="D3566" s="303">
        <v>20.75</v>
      </c>
    </row>
    <row r="3567" spans="1:4">
      <c r="A3567" s="302">
        <v>89662</v>
      </c>
      <c r="B3567" s="301" t="s">
        <v>4225</v>
      </c>
      <c r="C3567" s="301" t="s">
        <v>28</v>
      </c>
      <c r="D3567" s="303">
        <v>32.75</v>
      </c>
    </row>
    <row r="3568" spans="1:4">
      <c r="A3568" s="302">
        <v>89663</v>
      </c>
      <c r="B3568" s="301" t="s">
        <v>4226</v>
      </c>
      <c r="C3568" s="301" t="s">
        <v>28</v>
      </c>
      <c r="D3568" s="303">
        <v>12.65</v>
      </c>
    </row>
    <row r="3569" spans="1:4">
      <c r="A3569" s="302">
        <v>89664</v>
      </c>
      <c r="B3569" s="301" t="s">
        <v>4227</v>
      </c>
      <c r="C3569" s="301" t="s">
        <v>28</v>
      </c>
      <c r="D3569" s="303">
        <v>15.15</v>
      </c>
    </row>
    <row r="3570" spans="1:4">
      <c r="A3570" s="302">
        <v>89665</v>
      </c>
      <c r="B3570" s="301" t="s">
        <v>4228</v>
      </c>
      <c r="C3570" s="301" t="s">
        <v>28</v>
      </c>
      <c r="D3570" s="303">
        <v>9.93</v>
      </c>
    </row>
    <row r="3571" spans="1:4">
      <c r="A3571" s="302">
        <v>89666</v>
      </c>
      <c r="B3571" s="301" t="s">
        <v>4229</v>
      </c>
      <c r="C3571" s="301" t="s">
        <v>28</v>
      </c>
      <c r="D3571" s="303">
        <v>6.04</v>
      </c>
    </row>
    <row r="3572" spans="1:4">
      <c r="A3572" s="302">
        <v>89667</v>
      </c>
      <c r="B3572" s="301" t="s">
        <v>4230</v>
      </c>
      <c r="C3572" s="301" t="s">
        <v>28</v>
      </c>
      <c r="D3572" s="303">
        <v>24.92</v>
      </c>
    </row>
    <row r="3573" spans="1:4">
      <c r="A3573" s="302">
        <v>89668</v>
      </c>
      <c r="B3573" s="301" t="s">
        <v>4231</v>
      </c>
      <c r="C3573" s="301" t="s">
        <v>28</v>
      </c>
      <c r="D3573" s="303">
        <v>30.98</v>
      </c>
    </row>
    <row r="3574" spans="1:4">
      <c r="A3574" s="302">
        <v>89669</v>
      </c>
      <c r="B3574" s="301" t="s">
        <v>4232</v>
      </c>
      <c r="C3574" s="301" t="s">
        <v>28</v>
      </c>
      <c r="D3574" s="303">
        <v>16.29</v>
      </c>
    </row>
    <row r="3575" spans="1:4">
      <c r="A3575" s="302">
        <v>89670</v>
      </c>
      <c r="B3575" s="301" t="s">
        <v>4233</v>
      </c>
      <c r="C3575" s="301" t="s">
        <v>28</v>
      </c>
      <c r="D3575" s="303">
        <v>11.94</v>
      </c>
    </row>
    <row r="3576" spans="1:4">
      <c r="A3576" s="302">
        <v>89671</v>
      </c>
      <c r="B3576" s="301" t="s">
        <v>4234</v>
      </c>
      <c r="C3576" s="301" t="s">
        <v>28</v>
      </c>
      <c r="D3576" s="303">
        <v>23.81</v>
      </c>
    </row>
    <row r="3577" spans="1:4">
      <c r="A3577" s="302">
        <v>89672</v>
      </c>
      <c r="B3577" s="301" t="s">
        <v>4235</v>
      </c>
      <c r="C3577" s="301" t="s">
        <v>28</v>
      </c>
      <c r="D3577" s="303">
        <v>20.38</v>
      </c>
    </row>
    <row r="3578" spans="1:4">
      <c r="A3578" s="302">
        <v>89673</v>
      </c>
      <c r="B3578" s="301" t="s">
        <v>4236</v>
      </c>
      <c r="C3578" s="301" t="s">
        <v>28</v>
      </c>
      <c r="D3578" s="303">
        <v>18.87</v>
      </c>
    </row>
    <row r="3579" spans="1:4">
      <c r="A3579" s="302">
        <v>89674</v>
      </c>
      <c r="B3579" s="301" t="s">
        <v>4237</v>
      </c>
      <c r="C3579" s="301" t="s">
        <v>28</v>
      </c>
      <c r="D3579" s="303">
        <v>31.13</v>
      </c>
    </row>
    <row r="3580" spans="1:4">
      <c r="A3580" s="302">
        <v>89675</v>
      </c>
      <c r="B3580" s="301" t="s">
        <v>4238</v>
      </c>
      <c r="C3580" s="301" t="s">
        <v>28</v>
      </c>
      <c r="D3580" s="303">
        <v>41.72</v>
      </c>
    </row>
    <row r="3581" spans="1:4">
      <c r="A3581" s="302">
        <v>89676</v>
      </c>
      <c r="B3581" s="301" t="s">
        <v>4239</v>
      </c>
      <c r="C3581" s="301" t="s">
        <v>28</v>
      </c>
      <c r="D3581" s="303">
        <v>48.67</v>
      </c>
    </row>
    <row r="3582" spans="1:4">
      <c r="A3582" s="302">
        <v>89677</v>
      </c>
      <c r="B3582" s="301" t="s">
        <v>4240</v>
      </c>
      <c r="C3582" s="301" t="s">
        <v>28</v>
      </c>
      <c r="D3582" s="303">
        <v>46.97</v>
      </c>
    </row>
    <row r="3583" spans="1:4">
      <c r="A3583" s="302">
        <v>89678</v>
      </c>
      <c r="B3583" s="301" t="s">
        <v>4241</v>
      </c>
      <c r="C3583" s="301" t="s">
        <v>28</v>
      </c>
      <c r="D3583" s="303">
        <v>8.1999999999999993</v>
      </c>
    </row>
    <row r="3584" spans="1:4">
      <c r="A3584" s="302">
        <v>89679</v>
      </c>
      <c r="B3584" s="301" t="s">
        <v>4242</v>
      </c>
      <c r="C3584" s="301" t="s">
        <v>28</v>
      </c>
      <c r="D3584" s="303">
        <v>73.78</v>
      </c>
    </row>
    <row r="3585" spans="1:4">
      <c r="A3585" s="302">
        <v>89680</v>
      </c>
      <c r="B3585" s="301" t="s">
        <v>4243</v>
      </c>
      <c r="C3585" s="301" t="s">
        <v>28</v>
      </c>
      <c r="D3585" s="303">
        <v>19.489999999999998</v>
      </c>
    </row>
    <row r="3586" spans="1:4">
      <c r="A3586" s="302">
        <v>89681</v>
      </c>
      <c r="B3586" s="301" t="s">
        <v>4244</v>
      </c>
      <c r="C3586" s="301" t="s">
        <v>28</v>
      </c>
      <c r="D3586" s="303">
        <v>51.71</v>
      </c>
    </row>
    <row r="3587" spans="1:4">
      <c r="A3587" s="302">
        <v>89682</v>
      </c>
      <c r="B3587" s="301" t="s">
        <v>4245</v>
      </c>
      <c r="C3587" s="301" t="s">
        <v>28</v>
      </c>
      <c r="D3587" s="303">
        <v>32.1</v>
      </c>
    </row>
    <row r="3588" spans="1:4">
      <c r="A3588" s="302">
        <v>89684</v>
      </c>
      <c r="B3588" s="301" t="s">
        <v>4246</v>
      </c>
      <c r="C3588" s="301" t="s">
        <v>28</v>
      </c>
      <c r="D3588" s="303">
        <v>45.62</v>
      </c>
    </row>
    <row r="3589" spans="1:4">
      <c r="A3589" s="302">
        <v>89685</v>
      </c>
      <c r="B3589" s="301" t="s">
        <v>4247</v>
      </c>
      <c r="C3589" s="301" t="s">
        <v>28</v>
      </c>
      <c r="D3589" s="303">
        <v>34.799999999999997</v>
      </c>
    </row>
    <row r="3590" spans="1:4">
      <c r="A3590" s="302">
        <v>89686</v>
      </c>
      <c r="B3590" s="301" t="s">
        <v>4248</v>
      </c>
      <c r="C3590" s="301" t="s">
        <v>28</v>
      </c>
      <c r="D3590" s="303">
        <v>179.35</v>
      </c>
    </row>
    <row r="3591" spans="1:4">
      <c r="A3591" s="302">
        <v>89687</v>
      </c>
      <c r="B3591" s="301" t="s">
        <v>4249</v>
      </c>
      <c r="C3591" s="301" t="s">
        <v>28</v>
      </c>
      <c r="D3591" s="303">
        <v>30.03</v>
      </c>
    </row>
    <row r="3592" spans="1:4">
      <c r="A3592" s="302">
        <v>89689</v>
      </c>
      <c r="B3592" s="301" t="s">
        <v>4250</v>
      </c>
      <c r="C3592" s="301" t="s">
        <v>28</v>
      </c>
      <c r="D3592" s="303">
        <v>34.81</v>
      </c>
    </row>
    <row r="3593" spans="1:4">
      <c r="A3593" s="302">
        <v>89690</v>
      </c>
      <c r="B3593" s="301" t="s">
        <v>4251</v>
      </c>
      <c r="C3593" s="301" t="s">
        <v>28</v>
      </c>
      <c r="D3593" s="303">
        <v>52</v>
      </c>
    </row>
    <row r="3594" spans="1:4">
      <c r="A3594" s="302">
        <v>89691</v>
      </c>
      <c r="B3594" s="301" t="s">
        <v>4252</v>
      </c>
      <c r="C3594" s="301" t="s">
        <v>28</v>
      </c>
      <c r="D3594" s="303">
        <v>10.5</v>
      </c>
    </row>
    <row r="3595" spans="1:4">
      <c r="A3595" s="302">
        <v>89692</v>
      </c>
      <c r="B3595" s="301" t="s">
        <v>4253</v>
      </c>
      <c r="C3595" s="301" t="s">
        <v>28</v>
      </c>
      <c r="D3595" s="303">
        <v>49.15</v>
      </c>
    </row>
    <row r="3596" spans="1:4">
      <c r="A3596" s="302">
        <v>89693</v>
      </c>
      <c r="B3596" s="301" t="s">
        <v>4254</v>
      </c>
      <c r="C3596" s="301" t="s">
        <v>28</v>
      </c>
      <c r="D3596" s="303">
        <v>47.82</v>
      </c>
    </row>
    <row r="3597" spans="1:4">
      <c r="A3597" s="302">
        <v>89694</v>
      </c>
      <c r="B3597" s="301" t="s">
        <v>4255</v>
      </c>
      <c r="C3597" s="301" t="s">
        <v>28</v>
      </c>
      <c r="D3597" s="303">
        <v>18.75</v>
      </c>
    </row>
    <row r="3598" spans="1:4">
      <c r="A3598" s="302">
        <v>89695</v>
      </c>
      <c r="B3598" s="301" t="s">
        <v>4256</v>
      </c>
      <c r="C3598" s="301" t="s">
        <v>28</v>
      </c>
      <c r="D3598" s="303">
        <v>17.2</v>
      </c>
    </row>
    <row r="3599" spans="1:4">
      <c r="A3599" s="302">
        <v>89696</v>
      </c>
      <c r="B3599" s="301" t="s">
        <v>4257</v>
      </c>
      <c r="C3599" s="301" t="s">
        <v>28</v>
      </c>
      <c r="D3599" s="303">
        <v>43.5</v>
      </c>
    </row>
    <row r="3600" spans="1:4">
      <c r="A3600" s="302">
        <v>89697</v>
      </c>
      <c r="B3600" s="301" t="s">
        <v>4258</v>
      </c>
      <c r="C3600" s="301" t="s">
        <v>28</v>
      </c>
      <c r="D3600" s="303">
        <v>12.95</v>
      </c>
    </row>
    <row r="3601" spans="1:4">
      <c r="A3601" s="302">
        <v>89698</v>
      </c>
      <c r="B3601" s="301" t="s">
        <v>4259</v>
      </c>
      <c r="C3601" s="301" t="s">
        <v>28</v>
      </c>
      <c r="D3601" s="303">
        <v>153.65</v>
      </c>
    </row>
    <row r="3602" spans="1:4">
      <c r="A3602" s="302">
        <v>89699</v>
      </c>
      <c r="B3602" s="301" t="s">
        <v>4260</v>
      </c>
      <c r="C3602" s="301" t="s">
        <v>28</v>
      </c>
      <c r="D3602" s="303">
        <v>130.85</v>
      </c>
    </row>
    <row r="3603" spans="1:4">
      <c r="A3603" s="302">
        <v>89700</v>
      </c>
      <c r="B3603" s="301" t="s">
        <v>4261</v>
      </c>
      <c r="C3603" s="301" t="s">
        <v>28</v>
      </c>
      <c r="D3603" s="303">
        <v>20.010000000000002</v>
      </c>
    </row>
    <row r="3604" spans="1:4">
      <c r="A3604" s="302">
        <v>89701</v>
      </c>
      <c r="B3604" s="301" t="s">
        <v>4262</v>
      </c>
      <c r="C3604" s="301" t="s">
        <v>28</v>
      </c>
      <c r="D3604" s="303">
        <v>101.79</v>
      </c>
    </row>
    <row r="3605" spans="1:4">
      <c r="A3605" s="302">
        <v>89702</v>
      </c>
      <c r="B3605" s="301" t="s">
        <v>4263</v>
      </c>
      <c r="C3605" s="301" t="s">
        <v>28</v>
      </c>
      <c r="D3605" s="303">
        <v>20.010000000000002</v>
      </c>
    </row>
    <row r="3606" spans="1:4">
      <c r="A3606" s="302">
        <v>89703</v>
      </c>
      <c r="B3606" s="301" t="s">
        <v>4264</v>
      </c>
      <c r="C3606" s="301" t="s">
        <v>28</v>
      </c>
      <c r="D3606" s="303">
        <v>48.7</v>
      </c>
    </row>
    <row r="3607" spans="1:4">
      <c r="A3607" s="302">
        <v>89704</v>
      </c>
      <c r="B3607" s="301" t="s">
        <v>4265</v>
      </c>
      <c r="C3607" s="301" t="s">
        <v>28</v>
      </c>
      <c r="D3607" s="303">
        <v>83.94</v>
      </c>
    </row>
    <row r="3608" spans="1:4">
      <c r="A3608" s="302">
        <v>89705</v>
      </c>
      <c r="B3608" s="301" t="s">
        <v>4266</v>
      </c>
      <c r="C3608" s="301" t="s">
        <v>28</v>
      </c>
      <c r="D3608" s="303">
        <v>22.31</v>
      </c>
    </row>
    <row r="3609" spans="1:4">
      <c r="A3609" s="302">
        <v>89706</v>
      </c>
      <c r="B3609" s="301" t="s">
        <v>4267</v>
      </c>
      <c r="C3609" s="301" t="s">
        <v>28</v>
      </c>
      <c r="D3609" s="303">
        <v>52.43</v>
      </c>
    </row>
    <row r="3610" spans="1:4">
      <c r="A3610" s="302">
        <v>89718</v>
      </c>
      <c r="B3610" s="301" t="s">
        <v>4268</v>
      </c>
      <c r="C3610" s="301" t="s">
        <v>35</v>
      </c>
      <c r="D3610" s="303">
        <v>42</v>
      </c>
    </row>
    <row r="3611" spans="1:4">
      <c r="A3611" s="302">
        <v>89719</v>
      </c>
      <c r="B3611" s="301" t="s">
        <v>4269</v>
      </c>
      <c r="C3611" s="301" t="s">
        <v>28</v>
      </c>
      <c r="D3611" s="303">
        <v>9.8000000000000007</v>
      </c>
    </row>
    <row r="3612" spans="1:4">
      <c r="A3612" s="302">
        <v>89720</v>
      </c>
      <c r="B3612" s="301" t="s">
        <v>4270</v>
      </c>
      <c r="C3612" s="301" t="s">
        <v>28</v>
      </c>
      <c r="D3612" s="303">
        <v>11.91</v>
      </c>
    </row>
    <row r="3613" spans="1:4">
      <c r="A3613" s="302">
        <v>89721</v>
      </c>
      <c r="B3613" s="301" t="s">
        <v>4271</v>
      </c>
      <c r="C3613" s="301" t="s">
        <v>28</v>
      </c>
      <c r="D3613" s="303">
        <v>12.61</v>
      </c>
    </row>
    <row r="3614" spans="1:4">
      <c r="A3614" s="302">
        <v>89722</v>
      </c>
      <c r="B3614" s="301" t="s">
        <v>4272</v>
      </c>
      <c r="C3614" s="301" t="s">
        <v>28</v>
      </c>
      <c r="D3614" s="303">
        <v>22.53</v>
      </c>
    </row>
    <row r="3615" spans="1:4">
      <c r="A3615" s="302">
        <v>89723</v>
      </c>
      <c r="B3615" s="301" t="s">
        <v>4273</v>
      </c>
      <c r="C3615" s="301" t="s">
        <v>28</v>
      </c>
      <c r="D3615" s="303">
        <v>16.8</v>
      </c>
    </row>
    <row r="3616" spans="1:4">
      <c r="A3616" s="302">
        <v>89724</v>
      </c>
      <c r="B3616" s="301" t="s">
        <v>126</v>
      </c>
      <c r="C3616" s="301" t="s">
        <v>28</v>
      </c>
      <c r="D3616" s="303">
        <v>7.59</v>
      </c>
    </row>
    <row r="3617" spans="1:4">
      <c r="A3617" s="302">
        <v>89725</v>
      </c>
      <c r="B3617" s="301" t="s">
        <v>4274</v>
      </c>
      <c r="C3617" s="301" t="s">
        <v>28</v>
      </c>
      <c r="D3617" s="303">
        <v>16.309999999999999</v>
      </c>
    </row>
    <row r="3618" spans="1:4">
      <c r="A3618" s="302">
        <v>89726</v>
      </c>
      <c r="B3618" s="301" t="s">
        <v>124</v>
      </c>
      <c r="C3618" s="301" t="s">
        <v>28</v>
      </c>
      <c r="D3618" s="303">
        <v>5.85</v>
      </c>
    </row>
    <row r="3619" spans="1:4">
      <c r="A3619" s="302">
        <v>89727</v>
      </c>
      <c r="B3619" s="301" t="s">
        <v>4275</v>
      </c>
      <c r="C3619" s="301" t="s">
        <v>28</v>
      </c>
      <c r="D3619" s="303">
        <v>18.57</v>
      </c>
    </row>
    <row r="3620" spans="1:4">
      <c r="A3620" s="302">
        <v>89728</v>
      </c>
      <c r="B3620" s="301" t="s">
        <v>123</v>
      </c>
      <c r="C3620" s="301" t="s">
        <v>28</v>
      </c>
      <c r="D3620" s="303">
        <v>8.02</v>
      </c>
    </row>
    <row r="3621" spans="1:4">
      <c r="A3621" s="302">
        <v>89729</v>
      </c>
      <c r="B3621" s="301" t="s">
        <v>4276</v>
      </c>
      <c r="C3621" s="301" t="s">
        <v>28</v>
      </c>
      <c r="D3621" s="303">
        <v>26.18</v>
      </c>
    </row>
    <row r="3622" spans="1:4">
      <c r="A3622" s="302">
        <v>89730</v>
      </c>
      <c r="B3622" s="301" t="s">
        <v>4277</v>
      </c>
      <c r="C3622" s="301" t="s">
        <v>28</v>
      </c>
      <c r="D3622" s="303">
        <v>8.58</v>
      </c>
    </row>
    <row r="3623" spans="1:4">
      <c r="A3623" s="302">
        <v>89731</v>
      </c>
      <c r="B3623" s="301" t="s">
        <v>131</v>
      </c>
      <c r="C3623" s="301" t="s">
        <v>28</v>
      </c>
      <c r="D3623" s="303">
        <v>8.44</v>
      </c>
    </row>
    <row r="3624" spans="1:4">
      <c r="A3624" s="302">
        <v>89732</v>
      </c>
      <c r="B3624" s="301" t="s">
        <v>221</v>
      </c>
      <c r="C3624" s="301" t="s">
        <v>28</v>
      </c>
      <c r="D3624" s="303">
        <v>8.86</v>
      </c>
    </row>
    <row r="3625" spans="1:4">
      <c r="A3625" s="302">
        <v>89733</v>
      </c>
      <c r="B3625" s="301" t="s">
        <v>4278</v>
      </c>
      <c r="C3625" s="301" t="s">
        <v>28</v>
      </c>
      <c r="D3625" s="303">
        <v>13.29</v>
      </c>
    </row>
    <row r="3626" spans="1:4">
      <c r="A3626" s="302">
        <v>89734</v>
      </c>
      <c r="B3626" s="301" t="s">
        <v>4279</v>
      </c>
      <c r="C3626" s="301" t="s">
        <v>28</v>
      </c>
      <c r="D3626" s="303">
        <v>26.18</v>
      </c>
    </row>
    <row r="3627" spans="1:4">
      <c r="A3627" s="302">
        <v>89735</v>
      </c>
      <c r="B3627" s="301" t="s">
        <v>4280</v>
      </c>
      <c r="C3627" s="301" t="s">
        <v>28</v>
      </c>
      <c r="D3627" s="303">
        <v>13.97</v>
      </c>
    </row>
    <row r="3628" spans="1:4">
      <c r="A3628" s="302">
        <v>89736</v>
      </c>
      <c r="B3628" s="301" t="s">
        <v>4281</v>
      </c>
      <c r="C3628" s="301" t="s">
        <v>28</v>
      </c>
      <c r="D3628" s="303">
        <v>6.47</v>
      </c>
    </row>
    <row r="3629" spans="1:4">
      <c r="A3629" s="302">
        <v>89737</v>
      </c>
      <c r="B3629" s="301" t="s">
        <v>394</v>
      </c>
      <c r="C3629" s="301" t="s">
        <v>28</v>
      </c>
      <c r="D3629" s="303">
        <v>14.2</v>
      </c>
    </row>
    <row r="3630" spans="1:4">
      <c r="A3630" s="302">
        <v>89738</v>
      </c>
      <c r="B3630" s="301" t="s">
        <v>4282</v>
      </c>
      <c r="C3630" s="301" t="s">
        <v>28</v>
      </c>
      <c r="D3630" s="303">
        <v>13.84</v>
      </c>
    </row>
    <row r="3631" spans="1:4">
      <c r="A3631" s="302">
        <v>89739</v>
      </c>
      <c r="B3631" s="301" t="s">
        <v>125</v>
      </c>
      <c r="C3631" s="301" t="s">
        <v>28</v>
      </c>
      <c r="D3631" s="303">
        <v>14.78</v>
      </c>
    </row>
    <row r="3632" spans="1:4">
      <c r="A3632" s="302">
        <v>89740</v>
      </c>
      <c r="B3632" s="301" t="s">
        <v>4283</v>
      </c>
      <c r="C3632" s="301" t="s">
        <v>28</v>
      </c>
      <c r="D3632" s="303">
        <v>5.83</v>
      </c>
    </row>
    <row r="3633" spans="1:4">
      <c r="A3633" s="302">
        <v>89741</v>
      </c>
      <c r="B3633" s="301" t="s">
        <v>4284</v>
      </c>
      <c r="C3633" s="301" t="s">
        <v>28</v>
      </c>
      <c r="D3633" s="303">
        <v>19.440000000000001</v>
      </c>
    </row>
    <row r="3634" spans="1:4">
      <c r="A3634" s="302">
        <v>89742</v>
      </c>
      <c r="B3634" s="301" t="s">
        <v>4285</v>
      </c>
      <c r="C3634" s="301" t="s">
        <v>28</v>
      </c>
      <c r="D3634" s="303">
        <v>22.59</v>
      </c>
    </row>
    <row r="3635" spans="1:4">
      <c r="A3635" s="302">
        <v>89743</v>
      </c>
      <c r="B3635" s="301" t="s">
        <v>4286</v>
      </c>
      <c r="C3635" s="301" t="s">
        <v>28</v>
      </c>
      <c r="D3635" s="303">
        <v>31.02</v>
      </c>
    </row>
    <row r="3636" spans="1:4">
      <c r="A3636" s="302">
        <v>89744</v>
      </c>
      <c r="B3636" s="301" t="s">
        <v>4287</v>
      </c>
      <c r="C3636" s="301" t="s">
        <v>28</v>
      </c>
      <c r="D3636" s="303">
        <v>18.510000000000002</v>
      </c>
    </row>
    <row r="3637" spans="1:4">
      <c r="A3637" s="302">
        <v>89745</v>
      </c>
      <c r="B3637" s="301" t="s">
        <v>4288</v>
      </c>
      <c r="C3637" s="301" t="s">
        <v>28</v>
      </c>
      <c r="D3637" s="303">
        <v>31.44</v>
      </c>
    </row>
    <row r="3638" spans="1:4">
      <c r="A3638" s="302">
        <v>89746</v>
      </c>
      <c r="B3638" s="301" t="s">
        <v>4289</v>
      </c>
      <c r="C3638" s="301" t="s">
        <v>28</v>
      </c>
      <c r="D3638" s="303">
        <v>18.47</v>
      </c>
    </row>
    <row r="3639" spans="1:4">
      <c r="A3639" s="302">
        <v>89747</v>
      </c>
      <c r="B3639" s="301" t="s">
        <v>4290</v>
      </c>
      <c r="C3639" s="301" t="s">
        <v>28</v>
      </c>
      <c r="D3639" s="303">
        <v>11.34</v>
      </c>
    </row>
    <row r="3640" spans="1:4">
      <c r="A3640" s="302">
        <v>89748</v>
      </c>
      <c r="B3640" s="301" t="s">
        <v>392</v>
      </c>
      <c r="C3640" s="301" t="s">
        <v>28</v>
      </c>
      <c r="D3640" s="303">
        <v>27.64</v>
      </c>
    </row>
    <row r="3641" spans="1:4">
      <c r="A3641" s="302">
        <v>89749</v>
      </c>
      <c r="B3641" s="301" t="s">
        <v>4291</v>
      </c>
      <c r="C3641" s="301" t="s">
        <v>28</v>
      </c>
      <c r="D3641" s="303">
        <v>13.84</v>
      </c>
    </row>
    <row r="3642" spans="1:4">
      <c r="A3642" s="302">
        <v>89750</v>
      </c>
      <c r="B3642" s="301" t="s">
        <v>393</v>
      </c>
      <c r="C3642" s="301" t="s">
        <v>28</v>
      </c>
      <c r="D3642" s="303">
        <v>43.85</v>
      </c>
    </row>
    <row r="3643" spans="1:4">
      <c r="A3643" s="302">
        <v>89751</v>
      </c>
      <c r="B3643" s="301" t="s">
        <v>4292</v>
      </c>
      <c r="C3643" s="301" t="s">
        <v>28</v>
      </c>
      <c r="D3643" s="303">
        <v>4.7300000000000004</v>
      </c>
    </row>
    <row r="3644" spans="1:4">
      <c r="A3644" s="302">
        <v>89752</v>
      </c>
      <c r="B3644" s="301" t="s">
        <v>397</v>
      </c>
      <c r="C3644" s="301" t="s">
        <v>28</v>
      </c>
      <c r="D3644" s="303">
        <v>4.95</v>
      </c>
    </row>
    <row r="3645" spans="1:4">
      <c r="A3645" s="302">
        <v>89753</v>
      </c>
      <c r="B3645" s="301" t="s">
        <v>4293</v>
      </c>
      <c r="C3645" s="301" t="s">
        <v>28</v>
      </c>
      <c r="D3645" s="303">
        <v>6.94</v>
      </c>
    </row>
    <row r="3646" spans="1:4">
      <c r="A3646" s="302">
        <v>89754</v>
      </c>
      <c r="B3646" s="301" t="s">
        <v>4294</v>
      </c>
      <c r="C3646" s="301" t="s">
        <v>28</v>
      </c>
      <c r="D3646" s="303">
        <v>11.86</v>
      </c>
    </row>
    <row r="3647" spans="1:4">
      <c r="A3647" s="302">
        <v>89755</v>
      </c>
      <c r="B3647" s="301" t="s">
        <v>4295</v>
      </c>
      <c r="C3647" s="301" t="s">
        <v>28</v>
      </c>
      <c r="D3647" s="303">
        <v>10.42</v>
      </c>
    </row>
    <row r="3648" spans="1:4">
      <c r="A3648" s="302">
        <v>89756</v>
      </c>
      <c r="B3648" s="301" t="s">
        <v>4296</v>
      </c>
      <c r="C3648" s="301" t="s">
        <v>28</v>
      </c>
      <c r="D3648" s="303">
        <v>18.86</v>
      </c>
    </row>
    <row r="3649" spans="1:4">
      <c r="A3649" s="302">
        <v>89757</v>
      </c>
      <c r="B3649" s="301" t="s">
        <v>4297</v>
      </c>
      <c r="C3649" s="301" t="s">
        <v>28</v>
      </c>
      <c r="D3649" s="303">
        <v>29.61</v>
      </c>
    </row>
    <row r="3650" spans="1:4">
      <c r="A3650" s="302">
        <v>89758</v>
      </c>
      <c r="B3650" s="301" t="s">
        <v>4298</v>
      </c>
      <c r="C3650" s="301" t="s">
        <v>28</v>
      </c>
      <c r="D3650" s="303">
        <v>47.15</v>
      </c>
    </row>
    <row r="3651" spans="1:4">
      <c r="A3651" s="302">
        <v>89759</v>
      </c>
      <c r="B3651" s="301" t="s">
        <v>4299</v>
      </c>
      <c r="C3651" s="301" t="s">
        <v>28</v>
      </c>
      <c r="D3651" s="303">
        <v>6.68</v>
      </c>
    </row>
    <row r="3652" spans="1:4">
      <c r="A3652" s="302">
        <v>89760</v>
      </c>
      <c r="B3652" s="301" t="s">
        <v>4300</v>
      </c>
      <c r="C3652" s="301" t="s">
        <v>28</v>
      </c>
      <c r="D3652" s="303">
        <v>17.690000000000001</v>
      </c>
    </row>
    <row r="3653" spans="1:4">
      <c r="A3653" s="302">
        <v>89761</v>
      </c>
      <c r="B3653" s="301" t="s">
        <v>4301</v>
      </c>
      <c r="C3653" s="301" t="s">
        <v>28</v>
      </c>
      <c r="D3653" s="303">
        <v>30.3</v>
      </c>
    </row>
    <row r="3654" spans="1:4">
      <c r="A3654" s="302">
        <v>89762</v>
      </c>
      <c r="B3654" s="301" t="s">
        <v>4302</v>
      </c>
      <c r="C3654" s="301" t="s">
        <v>28</v>
      </c>
      <c r="D3654" s="303">
        <v>43.82</v>
      </c>
    </row>
    <row r="3655" spans="1:4">
      <c r="A3655" s="302">
        <v>89763</v>
      </c>
      <c r="B3655" s="301" t="s">
        <v>4303</v>
      </c>
      <c r="C3655" s="301" t="s">
        <v>28</v>
      </c>
      <c r="D3655" s="303">
        <v>177.55</v>
      </c>
    </row>
    <row r="3656" spans="1:4">
      <c r="A3656" s="302">
        <v>89764</v>
      </c>
      <c r="B3656" s="301" t="s">
        <v>4304</v>
      </c>
      <c r="C3656" s="301" t="s">
        <v>28</v>
      </c>
      <c r="D3656" s="303">
        <v>33.01</v>
      </c>
    </row>
    <row r="3657" spans="1:4">
      <c r="A3657" s="302">
        <v>89765</v>
      </c>
      <c r="B3657" s="301" t="s">
        <v>4305</v>
      </c>
      <c r="C3657" s="301" t="s">
        <v>28</v>
      </c>
      <c r="D3657" s="303">
        <v>12.49</v>
      </c>
    </row>
    <row r="3658" spans="1:4">
      <c r="A3658" s="302">
        <v>89766</v>
      </c>
      <c r="B3658" s="301" t="s">
        <v>4306</v>
      </c>
      <c r="C3658" s="301" t="s">
        <v>28</v>
      </c>
      <c r="D3658" s="303">
        <v>19.55</v>
      </c>
    </row>
    <row r="3659" spans="1:4">
      <c r="A3659" s="302">
        <v>89767</v>
      </c>
      <c r="B3659" s="301" t="s">
        <v>4307</v>
      </c>
      <c r="C3659" s="301" t="s">
        <v>28</v>
      </c>
      <c r="D3659" s="303">
        <v>19.55</v>
      </c>
    </row>
    <row r="3660" spans="1:4">
      <c r="A3660" s="302">
        <v>89768</v>
      </c>
      <c r="B3660" s="301" t="s">
        <v>4308</v>
      </c>
      <c r="C3660" s="301" t="s">
        <v>28</v>
      </c>
      <c r="D3660" s="303">
        <v>19.239999999999998</v>
      </c>
    </row>
    <row r="3661" spans="1:4">
      <c r="A3661" s="302">
        <v>89769</v>
      </c>
      <c r="B3661" s="301" t="s">
        <v>4309</v>
      </c>
      <c r="C3661" s="301" t="s">
        <v>28</v>
      </c>
      <c r="D3661" s="303">
        <v>48.79</v>
      </c>
    </row>
    <row r="3662" spans="1:4">
      <c r="A3662" s="302">
        <v>89772</v>
      </c>
      <c r="B3662" s="301" t="s">
        <v>4310</v>
      </c>
      <c r="C3662" s="301" t="s">
        <v>35</v>
      </c>
      <c r="D3662" s="303">
        <v>78.239999999999995</v>
      </c>
    </row>
    <row r="3663" spans="1:4">
      <c r="A3663" s="302">
        <v>89774</v>
      </c>
      <c r="B3663" s="301" t="s">
        <v>4311</v>
      </c>
      <c r="C3663" s="301" t="s">
        <v>28</v>
      </c>
      <c r="D3663" s="303">
        <v>11.35</v>
      </c>
    </row>
    <row r="3664" spans="1:4">
      <c r="A3664" s="302">
        <v>89776</v>
      </c>
      <c r="B3664" s="301" t="s">
        <v>4312</v>
      </c>
      <c r="C3664" s="301" t="s">
        <v>28</v>
      </c>
      <c r="D3664" s="303">
        <v>15.15</v>
      </c>
    </row>
    <row r="3665" spans="1:4">
      <c r="A3665" s="302">
        <v>89777</v>
      </c>
      <c r="B3665" s="301" t="s">
        <v>4313</v>
      </c>
      <c r="C3665" s="301" t="s">
        <v>28</v>
      </c>
      <c r="D3665" s="303">
        <v>24.95</v>
      </c>
    </row>
    <row r="3666" spans="1:4">
      <c r="A3666" s="302">
        <v>89778</v>
      </c>
      <c r="B3666" s="301" t="s">
        <v>4314</v>
      </c>
      <c r="C3666" s="301" t="s">
        <v>28</v>
      </c>
      <c r="D3666" s="303">
        <v>14.37</v>
      </c>
    </row>
    <row r="3667" spans="1:4">
      <c r="A3667" s="302">
        <v>89779</v>
      </c>
      <c r="B3667" s="301" t="s">
        <v>4315</v>
      </c>
      <c r="C3667" s="301" t="s">
        <v>28</v>
      </c>
      <c r="D3667" s="303">
        <v>21.42</v>
      </c>
    </row>
    <row r="3668" spans="1:4">
      <c r="A3668" s="302">
        <v>89780</v>
      </c>
      <c r="B3668" s="301" t="s">
        <v>4316</v>
      </c>
      <c r="C3668" s="301" t="s">
        <v>28</v>
      </c>
      <c r="D3668" s="303">
        <v>24.95</v>
      </c>
    </row>
    <row r="3669" spans="1:4">
      <c r="A3669" s="302">
        <v>89781</v>
      </c>
      <c r="B3669" s="301" t="s">
        <v>4317</v>
      </c>
      <c r="C3669" s="301" t="s">
        <v>28</v>
      </c>
      <c r="D3669" s="303">
        <v>37.799999999999997</v>
      </c>
    </row>
    <row r="3670" spans="1:4">
      <c r="A3670" s="302">
        <v>89782</v>
      </c>
      <c r="B3670" s="301" t="s">
        <v>4318</v>
      </c>
      <c r="C3670" s="301" t="s">
        <v>28</v>
      </c>
      <c r="D3670" s="303">
        <v>9.2200000000000006</v>
      </c>
    </row>
    <row r="3671" spans="1:4">
      <c r="A3671" s="302">
        <v>89783</v>
      </c>
      <c r="B3671" s="301" t="s">
        <v>4319</v>
      </c>
      <c r="C3671" s="301" t="s">
        <v>28</v>
      </c>
      <c r="D3671" s="303">
        <v>9.4</v>
      </c>
    </row>
    <row r="3672" spans="1:4">
      <c r="A3672" s="302">
        <v>89784</v>
      </c>
      <c r="B3672" s="301" t="s">
        <v>4320</v>
      </c>
      <c r="C3672" s="301" t="s">
        <v>28</v>
      </c>
      <c r="D3672" s="303">
        <v>15.12</v>
      </c>
    </row>
    <row r="3673" spans="1:4">
      <c r="A3673" s="302">
        <v>89785</v>
      </c>
      <c r="B3673" s="301" t="s">
        <v>223</v>
      </c>
      <c r="C3673" s="301" t="s">
        <v>28</v>
      </c>
      <c r="D3673" s="303">
        <v>16.29</v>
      </c>
    </row>
    <row r="3674" spans="1:4">
      <c r="A3674" s="302">
        <v>89786</v>
      </c>
      <c r="B3674" s="301" t="s">
        <v>4321</v>
      </c>
      <c r="C3674" s="301" t="s">
        <v>28</v>
      </c>
      <c r="D3674" s="303">
        <v>24.54</v>
      </c>
    </row>
    <row r="3675" spans="1:4">
      <c r="A3675" s="302">
        <v>89787</v>
      </c>
      <c r="B3675" s="301" t="s">
        <v>4322</v>
      </c>
      <c r="C3675" s="301" t="s">
        <v>28</v>
      </c>
      <c r="D3675" s="303">
        <v>37.799999999999997</v>
      </c>
    </row>
    <row r="3676" spans="1:4">
      <c r="A3676" s="302">
        <v>89788</v>
      </c>
      <c r="B3676" s="301" t="s">
        <v>4323</v>
      </c>
      <c r="C3676" s="301" t="s">
        <v>28</v>
      </c>
      <c r="D3676" s="303">
        <v>75.599999999999994</v>
      </c>
    </row>
    <row r="3677" spans="1:4">
      <c r="A3677" s="302">
        <v>89789</v>
      </c>
      <c r="B3677" s="301" t="s">
        <v>4324</v>
      </c>
      <c r="C3677" s="301" t="s">
        <v>28</v>
      </c>
      <c r="D3677" s="303">
        <v>76.84</v>
      </c>
    </row>
    <row r="3678" spans="1:4">
      <c r="A3678" s="302">
        <v>89790</v>
      </c>
      <c r="B3678" s="301" t="s">
        <v>4325</v>
      </c>
      <c r="C3678" s="301" t="s">
        <v>28</v>
      </c>
      <c r="D3678" s="303">
        <v>190.48</v>
      </c>
    </row>
    <row r="3679" spans="1:4">
      <c r="A3679" s="302">
        <v>89791</v>
      </c>
      <c r="B3679" s="301" t="s">
        <v>4326</v>
      </c>
      <c r="C3679" s="301" t="s">
        <v>28</v>
      </c>
      <c r="D3679" s="303">
        <v>195.05</v>
      </c>
    </row>
    <row r="3680" spans="1:4">
      <c r="A3680" s="302">
        <v>89792</v>
      </c>
      <c r="B3680" s="301" t="s">
        <v>4327</v>
      </c>
      <c r="C3680" s="301" t="s">
        <v>28</v>
      </c>
      <c r="D3680" s="303">
        <v>223.25</v>
      </c>
    </row>
    <row r="3681" spans="1:4">
      <c r="A3681" s="302">
        <v>89793</v>
      </c>
      <c r="B3681" s="301" t="s">
        <v>4328</v>
      </c>
      <c r="C3681" s="301" t="s">
        <v>28</v>
      </c>
      <c r="D3681" s="303">
        <v>229.4</v>
      </c>
    </row>
    <row r="3682" spans="1:4">
      <c r="A3682" s="302">
        <v>89794</v>
      </c>
      <c r="B3682" s="301" t="s">
        <v>4329</v>
      </c>
      <c r="C3682" s="301" t="s">
        <v>28</v>
      </c>
      <c r="D3682" s="303">
        <v>16.88</v>
      </c>
    </row>
    <row r="3683" spans="1:4">
      <c r="A3683" s="302">
        <v>89795</v>
      </c>
      <c r="B3683" s="301" t="s">
        <v>4330</v>
      </c>
      <c r="C3683" s="301" t="s">
        <v>28</v>
      </c>
      <c r="D3683" s="303">
        <v>26.15</v>
      </c>
    </row>
    <row r="3684" spans="1:4">
      <c r="A3684" s="302">
        <v>89796</v>
      </c>
      <c r="B3684" s="301" t="s">
        <v>4331</v>
      </c>
      <c r="C3684" s="301" t="s">
        <v>28</v>
      </c>
      <c r="D3684" s="303">
        <v>30.6</v>
      </c>
    </row>
    <row r="3685" spans="1:4">
      <c r="A3685" s="302">
        <v>89797</v>
      </c>
      <c r="B3685" s="301" t="s">
        <v>222</v>
      </c>
      <c r="C3685" s="301" t="s">
        <v>28</v>
      </c>
      <c r="D3685" s="303">
        <v>34.380000000000003</v>
      </c>
    </row>
    <row r="3686" spans="1:4">
      <c r="A3686" s="302">
        <v>89801</v>
      </c>
      <c r="B3686" s="301" t="s">
        <v>4332</v>
      </c>
      <c r="C3686" s="301" t="s">
        <v>28</v>
      </c>
      <c r="D3686" s="303">
        <v>5.27</v>
      </c>
    </row>
    <row r="3687" spans="1:4">
      <c r="A3687" s="302">
        <v>89802</v>
      </c>
      <c r="B3687" s="301" t="s">
        <v>4333</v>
      </c>
      <c r="C3687" s="301" t="s">
        <v>28</v>
      </c>
      <c r="D3687" s="303">
        <v>5.69</v>
      </c>
    </row>
    <row r="3688" spans="1:4">
      <c r="A3688" s="302">
        <v>89803</v>
      </c>
      <c r="B3688" s="301" t="s">
        <v>4334</v>
      </c>
      <c r="C3688" s="301" t="s">
        <v>28</v>
      </c>
      <c r="D3688" s="303">
        <v>10.119999999999999</v>
      </c>
    </row>
    <row r="3689" spans="1:4">
      <c r="A3689" s="302">
        <v>89804</v>
      </c>
      <c r="B3689" s="301" t="s">
        <v>4335</v>
      </c>
      <c r="C3689" s="301" t="s">
        <v>28</v>
      </c>
      <c r="D3689" s="303">
        <v>10.8</v>
      </c>
    </row>
    <row r="3690" spans="1:4">
      <c r="A3690" s="302">
        <v>89805</v>
      </c>
      <c r="B3690" s="301" t="s">
        <v>4336</v>
      </c>
      <c r="C3690" s="301" t="s">
        <v>28</v>
      </c>
      <c r="D3690" s="303">
        <v>10.32</v>
      </c>
    </row>
    <row r="3691" spans="1:4">
      <c r="A3691" s="302">
        <v>89806</v>
      </c>
      <c r="B3691" s="301" t="s">
        <v>4337</v>
      </c>
      <c r="C3691" s="301" t="s">
        <v>28</v>
      </c>
      <c r="D3691" s="303">
        <v>10.9</v>
      </c>
    </row>
    <row r="3692" spans="1:4">
      <c r="A3692" s="302">
        <v>89807</v>
      </c>
      <c r="B3692" s="301" t="s">
        <v>4338</v>
      </c>
      <c r="C3692" s="301" t="s">
        <v>28</v>
      </c>
      <c r="D3692" s="303">
        <v>18.71</v>
      </c>
    </row>
    <row r="3693" spans="1:4">
      <c r="A3693" s="302">
        <v>89808</v>
      </c>
      <c r="B3693" s="301" t="s">
        <v>4339</v>
      </c>
      <c r="C3693" s="301" t="s">
        <v>28</v>
      </c>
      <c r="D3693" s="303">
        <v>27.14</v>
      </c>
    </row>
    <row r="3694" spans="1:4">
      <c r="A3694" s="302">
        <v>89809</v>
      </c>
      <c r="B3694" s="301" t="s">
        <v>4340</v>
      </c>
      <c r="C3694" s="301" t="s">
        <v>28</v>
      </c>
      <c r="D3694" s="303">
        <v>13.92</v>
      </c>
    </row>
    <row r="3695" spans="1:4">
      <c r="A3695" s="302">
        <v>89810</v>
      </c>
      <c r="B3695" s="301" t="s">
        <v>4341</v>
      </c>
      <c r="C3695" s="301" t="s">
        <v>28</v>
      </c>
      <c r="D3695" s="303">
        <v>13.88</v>
      </c>
    </row>
    <row r="3696" spans="1:4">
      <c r="A3696" s="302">
        <v>89811</v>
      </c>
      <c r="B3696" s="301" t="s">
        <v>4342</v>
      </c>
      <c r="C3696" s="301" t="s">
        <v>28</v>
      </c>
      <c r="D3696" s="303">
        <v>23.05</v>
      </c>
    </row>
    <row r="3697" spans="1:4">
      <c r="A3697" s="302">
        <v>89812</v>
      </c>
      <c r="B3697" s="301" t="s">
        <v>4343</v>
      </c>
      <c r="C3697" s="301" t="s">
        <v>28</v>
      </c>
      <c r="D3697" s="303">
        <v>39.26</v>
      </c>
    </row>
    <row r="3698" spans="1:4">
      <c r="A3698" s="302">
        <v>89813</v>
      </c>
      <c r="B3698" s="301" t="s">
        <v>4344</v>
      </c>
      <c r="C3698" s="301" t="s">
        <v>28</v>
      </c>
      <c r="D3698" s="303">
        <v>5.17</v>
      </c>
    </row>
    <row r="3699" spans="1:4">
      <c r="A3699" s="302">
        <v>89814</v>
      </c>
      <c r="B3699" s="301" t="s">
        <v>4345</v>
      </c>
      <c r="C3699" s="301" t="s">
        <v>28</v>
      </c>
      <c r="D3699" s="303">
        <v>10.09</v>
      </c>
    </row>
    <row r="3700" spans="1:4">
      <c r="A3700" s="302">
        <v>89815</v>
      </c>
      <c r="B3700" s="301" t="s">
        <v>4346</v>
      </c>
      <c r="C3700" s="301" t="s">
        <v>28</v>
      </c>
      <c r="D3700" s="303">
        <v>29.49</v>
      </c>
    </row>
    <row r="3701" spans="1:4">
      <c r="A3701" s="302">
        <v>89816</v>
      </c>
      <c r="B3701" s="301" t="s">
        <v>4347</v>
      </c>
      <c r="C3701" s="301" t="s">
        <v>28</v>
      </c>
      <c r="D3701" s="303">
        <v>43.01</v>
      </c>
    </row>
    <row r="3702" spans="1:4">
      <c r="A3702" s="302">
        <v>89817</v>
      </c>
      <c r="B3702" s="301" t="s">
        <v>4348</v>
      </c>
      <c r="C3702" s="301" t="s">
        <v>28</v>
      </c>
      <c r="D3702" s="303">
        <v>8.89</v>
      </c>
    </row>
    <row r="3703" spans="1:4">
      <c r="A3703" s="302">
        <v>89818</v>
      </c>
      <c r="B3703" s="301" t="s">
        <v>4349</v>
      </c>
      <c r="C3703" s="301" t="s">
        <v>28</v>
      </c>
      <c r="D3703" s="303">
        <v>176.74</v>
      </c>
    </row>
    <row r="3704" spans="1:4">
      <c r="A3704" s="302">
        <v>89819</v>
      </c>
      <c r="B3704" s="301" t="s">
        <v>4350</v>
      </c>
      <c r="C3704" s="301" t="s">
        <v>28</v>
      </c>
      <c r="D3704" s="303">
        <v>12.69</v>
      </c>
    </row>
    <row r="3705" spans="1:4">
      <c r="A3705" s="302">
        <v>89820</v>
      </c>
      <c r="B3705" s="301" t="s">
        <v>4351</v>
      </c>
      <c r="C3705" s="301" t="s">
        <v>28</v>
      </c>
      <c r="D3705" s="303">
        <v>32.200000000000003</v>
      </c>
    </row>
    <row r="3706" spans="1:4">
      <c r="A3706" s="302">
        <v>89821</v>
      </c>
      <c r="B3706" s="301" t="s">
        <v>4352</v>
      </c>
      <c r="C3706" s="301" t="s">
        <v>28</v>
      </c>
      <c r="D3706" s="303">
        <v>11.2</v>
      </c>
    </row>
    <row r="3707" spans="1:4">
      <c r="A3707" s="302">
        <v>89822</v>
      </c>
      <c r="B3707" s="301" t="s">
        <v>4353</v>
      </c>
      <c r="C3707" s="301" t="s">
        <v>28</v>
      </c>
      <c r="D3707" s="303">
        <v>22.39</v>
      </c>
    </row>
    <row r="3708" spans="1:4">
      <c r="A3708" s="302">
        <v>89823</v>
      </c>
      <c r="B3708" s="301" t="s">
        <v>4354</v>
      </c>
      <c r="C3708" s="301" t="s">
        <v>28</v>
      </c>
      <c r="D3708" s="303">
        <v>18.25</v>
      </c>
    </row>
    <row r="3709" spans="1:4">
      <c r="A3709" s="302">
        <v>89824</v>
      </c>
      <c r="B3709" s="301" t="s">
        <v>4355</v>
      </c>
      <c r="C3709" s="301" t="s">
        <v>28</v>
      </c>
      <c r="D3709" s="303">
        <v>40.35</v>
      </c>
    </row>
    <row r="3710" spans="1:4">
      <c r="A3710" s="302">
        <v>89825</v>
      </c>
      <c r="B3710" s="301" t="s">
        <v>133</v>
      </c>
      <c r="C3710" s="301" t="s">
        <v>28</v>
      </c>
      <c r="D3710" s="303">
        <v>11.24</v>
      </c>
    </row>
    <row r="3711" spans="1:4">
      <c r="A3711" s="302">
        <v>89826</v>
      </c>
      <c r="B3711" s="301" t="s">
        <v>4356</v>
      </c>
      <c r="C3711" s="301" t="s">
        <v>28</v>
      </c>
      <c r="D3711" s="303">
        <v>180.21</v>
      </c>
    </row>
    <row r="3712" spans="1:4">
      <c r="A3712" s="302">
        <v>89827</v>
      </c>
      <c r="B3712" s="301" t="s">
        <v>4357</v>
      </c>
      <c r="C3712" s="301" t="s">
        <v>28</v>
      </c>
      <c r="D3712" s="303">
        <v>12.41</v>
      </c>
    </row>
    <row r="3713" spans="1:4">
      <c r="A3713" s="302">
        <v>89828</v>
      </c>
      <c r="B3713" s="301" t="s">
        <v>4358</v>
      </c>
      <c r="C3713" s="301" t="s">
        <v>28</v>
      </c>
      <c r="D3713" s="303">
        <v>62.52</v>
      </c>
    </row>
    <row r="3714" spans="1:4">
      <c r="A3714" s="302">
        <v>89829</v>
      </c>
      <c r="B3714" s="301" t="s">
        <v>4359</v>
      </c>
      <c r="C3714" s="301" t="s">
        <v>28</v>
      </c>
      <c r="D3714" s="303">
        <v>19.600000000000001</v>
      </c>
    </row>
    <row r="3715" spans="1:4">
      <c r="A3715" s="302">
        <v>89830</v>
      </c>
      <c r="B3715" s="301" t="s">
        <v>4360</v>
      </c>
      <c r="C3715" s="301" t="s">
        <v>28</v>
      </c>
      <c r="D3715" s="303">
        <v>21.21</v>
      </c>
    </row>
    <row r="3716" spans="1:4">
      <c r="A3716" s="302">
        <v>89831</v>
      </c>
      <c r="B3716" s="301" t="s">
        <v>4361</v>
      </c>
      <c r="C3716" s="301" t="s">
        <v>28</v>
      </c>
      <c r="D3716" s="303">
        <v>215.87</v>
      </c>
    </row>
    <row r="3717" spans="1:4">
      <c r="A3717" s="302">
        <v>89832</v>
      </c>
      <c r="B3717" s="301" t="s">
        <v>4362</v>
      </c>
      <c r="C3717" s="301" t="s">
        <v>28</v>
      </c>
      <c r="D3717" s="303">
        <v>42.39</v>
      </c>
    </row>
    <row r="3718" spans="1:4">
      <c r="A3718" s="302">
        <v>89833</v>
      </c>
      <c r="B3718" s="301" t="s">
        <v>4363</v>
      </c>
      <c r="C3718" s="301" t="s">
        <v>28</v>
      </c>
      <c r="D3718" s="303">
        <v>24.61</v>
      </c>
    </row>
    <row r="3719" spans="1:4">
      <c r="A3719" s="302">
        <v>89834</v>
      </c>
      <c r="B3719" s="301" t="s">
        <v>4364</v>
      </c>
      <c r="C3719" s="301" t="s">
        <v>28</v>
      </c>
      <c r="D3719" s="303">
        <v>28.39</v>
      </c>
    </row>
    <row r="3720" spans="1:4">
      <c r="A3720" s="302">
        <v>89835</v>
      </c>
      <c r="B3720" s="301" t="s">
        <v>4365</v>
      </c>
      <c r="C3720" s="301" t="s">
        <v>28</v>
      </c>
      <c r="D3720" s="303">
        <v>41.25</v>
      </c>
    </row>
    <row r="3721" spans="1:4">
      <c r="A3721" s="302">
        <v>89836</v>
      </c>
      <c r="B3721" s="301" t="s">
        <v>4366</v>
      </c>
      <c r="C3721" s="301" t="s">
        <v>28</v>
      </c>
      <c r="D3721" s="303">
        <v>291.92</v>
      </c>
    </row>
    <row r="3722" spans="1:4">
      <c r="A3722" s="302">
        <v>89837</v>
      </c>
      <c r="B3722" s="301" t="s">
        <v>4367</v>
      </c>
      <c r="C3722" s="301" t="s">
        <v>28</v>
      </c>
      <c r="D3722" s="303">
        <v>144.11000000000001</v>
      </c>
    </row>
    <row r="3723" spans="1:4">
      <c r="A3723" s="302">
        <v>89838</v>
      </c>
      <c r="B3723" s="301" t="s">
        <v>4368</v>
      </c>
      <c r="C3723" s="301" t="s">
        <v>28</v>
      </c>
      <c r="D3723" s="303">
        <v>157</v>
      </c>
    </row>
    <row r="3724" spans="1:4">
      <c r="A3724" s="302">
        <v>89839</v>
      </c>
      <c r="B3724" s="301" t="s">
        <v>4369</v>
      </c>
      <c r="C3724" s="301" t="s">
        <v>28</v>
      </c>
      <c r="D3724" s="303">
        <v>208.86</v>
      </c>
    </row>
    <row r="3725" spans="1:4">
      <c r="A3725" s="302">
        <v>89840</v>
      </c>
      <c r="B3725" s="301" t="s">
        <v>4370</v>
      </c>
      <c r="C3725" s="301" t="s">
        <v>28</v>
      </c>
      <c r="D3725" s="303">
        <v>179.84</v>
      </c>
    </row>
    <row r="3726" spans="1:4">
      <c r="A3726" s="302">
        <v>89841</v>
      </c>
      <c r="B3726" s="301" t="s">
        <v>4371</v>
      </c>
      <c r="C3726" s="301" t="s">
        <v>28</v>
      </c>
      <c r="D3726" s="303">
        <v>306.91000000000003</v>
      </c>
    </row>
    <row r="3727" spans="1:4">
      <c r="A3727" s="302">
        <v>89842</v>
      </c>
      <c r="B3727" s="301" t="s">
        <v>4372</v>
      </c>
      <c r="C3727" s="301" t="s">
        <v>28</v>
      </c>
      <c r="D3727" s="303">
        <v>47.17</v>
      </c>
    </row>
    <row r="3728" spans="1:4">
      <c r="A3728" s="302">
        <v>89844</v>
      </c>
      <c r="B3728" s="301" t="s">
        <v>4373</v>
      </c>
      <c r="C3728" s="301" t="s">
        <v>28</v>
      </c>
      <c r="D3728" s="303">
        <v>60.36</v>
      </c>
    </row>
    <row r="3729" spans="1:4">
      <c r="A3729" s="302">
        <v>89845</v>
      </c>
      <c r="B3729" s="301" t="s">
        <v>4374</v>
      </c>
      <c r="C3729" s="301" t="s">
        <v>28</v>
      </c>
      <c r="D3729" s="303">
        <v>94.83</v>
      </c>
    </row>
    <row r="3730" spans="1:4">
      <c r="A3730" s="302">
        <v>89846</v>
      </c>
      <c r="B3730" s="301" t="s">
        <v>4375</v>
      </c>
      <c r="C3730" s="301" t="s">
        <v>28</v>
      </c>
      <c r="D3730" s="303">
        <v>217.41</v>
      </c>
    </row>
    <row r="3731" spans="1:4">
      <c r="A3731" s="302">
        <v>89847</v>
      </c>
      <c r="B3731" s="301" t="s">
        <v>4376</v>
      </c>
      <c r="C3731" s="301" t="s">
        <v>28</v>
      </c>
      <c r="D3731" s="303">
        <v>266.48</v>
      </c>
    </row>
    <row r="3732" spans="1:4">
      <c r="A3732" s="302">
        <v>89850</v>
      </c>
      <c r="B3732" s="301" t="s">
        <v>395</v>
      </c>
      <c r="C3732" s="301" t="s">
        <v>28</v>
      </c>
      <c r="D3732" s="303">
        <v>18.16</v>
      </c>
    </row>
    <row r="3733" spans="1:4">
      <c r="A3733" s="302">
        <v>89851</v>
      </c>
      <c r="B3733" s="301" t="s">
        <v>542</v>
      </c>
      <c r="C3733" s="301" t="s">
        <v>28</v>
      </c>
      <c r="D3733" s="303">
        <v>18.12</v>
      </c>
    </row>
    <row r="3734" spans="1:4">
      <c r="A3734" s="302">
        <v>89852</v>
      </c>
      <c r="B3734" s="301" t="s">
        <v>4377</v>
      </c>
      <c r="C3734" s="301" t="s">
        <v>28</v>
      </c>
      <c r="D3734" s="303">
        <v>27.29</v>
      </c>
    </row>
    <row r="3735" spans="1:4">
      <c r="A3735" s="302">
        <v>89853</v>
      </c>
      <c r="B3735" s="301" t="s">
        <v>4378</v>
      </c>
      <c r="C3735" s="301" t="s">
        <v>28</v>
      </c>
      <c r="D3735" s="303">
        <v>43.5</v>
      </c>
    </row>
    <row r="3736" spans="1:4">
      <c r="A3736" s="302">
        <v>89854</v>
      </c>
      <c r="B3736" s="301" t="s">
        <v>4379</v>
      </c>
      <c r="C3736" s="301" t="s">
        <v>28</v>
      </c>
      <c r="D3736" s="303">
        <v>58.2</v>
      </c>
    </row>
    <row r="3737" spans="1:4">
      <c r="A3737" s="302">
        <v>89855</v>
      </c>
      <c r="B3737" s="301" t="s">
        <v>4380</v>
      </c>
      <c r="C3737" s="301" t="s">
        <v>28</v>
      </c>
      <c r="D3737" s="303">
        <v>61.46</v>
      </c>
    </row>
    <row r="3738" spans="1:4">
      <c r="A3738" s="302">
        <v>89856</v>
      </c>
      <c r="B3738" s="301" t="s">
        <v>4381</v>
      </c>
      <c r="C3738" s="301" t="s">
        <v>28</v>
      </c>
      <c r="D3738" s="303">
        <v>14.02</v>
      </c>
    </row>
    <row r="3739" spans="1:4">
      <c r="A3739" s="302">
        <v>89857</v>
      </c>
      <c r="B3739" s="301" t="s">
        <v>4382</v>
      </c>
      <c r="C3739" s="301" t="s">
        <v>28</v>
      </c>
      <c r="D3739" s="303">
        <v>21.07</v>
      </c>
    </row>
    <row r="3740" spans="1:4">
      <c r="A3740" s="302">
        <v>89859</v>
      </c>
      <c r="B3740" s="301" t="s">
        <v>4383</v>
      </c>
      <c r="C3740" s="301" t="s">
        <v>28</v>
      </c>
      <c r="D3740" s="303">
        <v>57.67</v>
      </c>
    </row>
    <row r="3741" spans="1:4">
      <c r="A3741" s="302">
        <v>89860</v>
      </c>
      <c r="B3741" s="301" t="s">
        <v>4384</v>
      </c>
      <c r="C3741" s="301" t="s">
        <v>28</v>
      </c>
      <c r="D3741" s="303">
        <v>30.25</v>
      </c>
    </row>
    <row r="3742" spans="1:4">
      <c r="A3742" s="302">
        <v>89861</v>
      </c>
      <c r="B3742" s="301" t="s">
        <v>4385</v>
      </c>
      <c r="C3742" s="301" t="s">
        <v>28</v>
      </c>
      <c r="D3742" s="303">
        <v>34.03</v>
      </c>
    </row>
    <row r="3743" spans="1:4">
      <c r="A3743" s="302">
        <v>89862</v>
      </c>
      <c r="B3743" s="301" t="s">
        <v>4386</v>
      </c>
      <c r="C3743" s="301" t="s">
        <v>28</v>
      </c>
      <c r="D3743" s="303">
        <v>66.290000000000006</v>
      </c>
    </row>
    <row r="3744" spans="1:4">
      <c r="A3744" s="302">
        <v>89863</v>
      </c>
      <c r="B3744" s="301" t="s">
        <v>4387</v>
      </c>
      <c r="C3744" s="301" t="s">
        <v>28</v>
      </c>
      <c r="D3744" s="303">
        <v>129.36000000000001</v>
      </c>
    </row>
    <row r="3745" spans="1:4">
      <c r="A3745" s="302">
        <v>89866</v>
      </c>
      <c r="B3745" s="301" t="s">
        <v>4388</v>
      </c>
      <c r="C3745" s="301" t="s">
        <v>28</v>
      </c>
      <c r="D3745" s="303">
        <v>3.98</v>
      </c>
    </row>
    <row r="3746" spans="1:4">
      <c r="A3746" s="302">
        <v>89867</v>
      </c>
      <c r="B3746" s="301" t="s">
        <v>4389</v>
      </c>
      <c r="C3746" s="301" t="s">
        <v>28</v>
      </c>
      <c r="D3746" s="303">
        <v>4.53</v>
      </c>
    </row>
    <row r="3747" spans="1:4">
      <c r="A3747" s="302">
        <v>89868</v>
      </c>
      <c r="B3747" s="301" t="s">
        <v>4390</v>
      </c>
      <c r="C3747" s="301" t="s">
        <v>28</v>
      </c>
      <c r="D3747" s="303">
        <v>2.96</v>
      </c>
    </row>
    <row r="3748" spans="1:4">
      <c r="A3748" s="302">
        <v>89869</v>
      </c>
      <c r="B3748" s="301" t="s">
        <v>4391</v>
      </c>
      <c r="C3748" s="301" t="s">
        <v>28</v>
      </c>
      <c r="D3748" s="303">
        <v>6.5</v>
      </c>
    </row>
    <row r="3749" spans="1:4">
      <c r="A3749" s="302">
        <v>89979</v>
      </c>
      <c r="B3749" s="301" t="s">
        <v>4392</v>
      </c>
      <c r="C3749" s="301" t="s">
        <v>28</v>
      </c>
      <c r="D3749" s="303">
        <v>18.78</v>
      </c>
    </row>
    <row r="3750" spans="1:4">
      <c r="A3750" s="302">
        <v>89980</v>
      </c>
      <c r="B3750" s="301" t="s">
        <v>4393</v>
      </c>
      <c r="C3750" s="301" t="s">
        <v>28</v>
      </c>
      <c r="D3750" s="303">
        <v>7.23</v>
      </c>
    </row>
    <row r="3751" spans="1:4">
      <c r="A3751" s="302">
        <v>89981</v>
      </c>
      <c r="B3751" s="301" t="s">
        <v>4394</v>
      </c>
      <c r="C3751" s="301" t="s">
        <v>28</v>
      </c>
      <c r="D3751" s="303">
        <v>16.23</v>
      </c>
    </row>
    <row r="3752" spans="1:4">
      <c r="A3752" s="302">
        <v>90373</v>
      </c>
      <c r="B3752" s="301" t="s">
        <v>342</v>
      </c>
      <c r="C3752" s="301" t="s">
        <v>28</v>
      </c>
      <c r="D3752" s="303">
        <v>10.72</v>
      </c>
    </row>
    <row r="3753" spans="1:4">
      <c r="A3753" s="302">
        <v>90374</v>
      </c>
      <c r="B3753" s="301" t="s">
        <v>366</v>
      </c>
      <c r="C3753" s="301" t="s">
        <v>28</v>
      </c>
      <c r="D3753" s="303">
        <v>16.559999999999999</v>
      </c>
    </row>
    <row r="3754" spans="1:4">
      <c r="A3754" s="302">
        <v>90375</v>
      </c>
      <c r="B3754" s="301" t="s">
        <v>4395</v>
      </c>
      <c r="C3754" s="301" t="s">
        <v>28</v>
      </c>
      <c r="D3754" s="303">
        <v>6.99</v>
      </c>
    </row>
    <row r="3755" spans="1:4">
      <c r="A3755" s="302">
        <v>92287</v>
      </c>
      <c r="B3755" s="301" t="s">
        <v>4396</v>
      </c>
      <c r="C3755" s="301" t="s">
        <v>28</v>
      </c>
      <c r="D3755" s="303">
        <v>11.06</v>
      </c>
    </row>
    <row r="3756" spans="1:4">
      <c r="A3756" s="302">
        <v>92288</v>
      </c>
      <c r="B3756" s="301" t="s">
        <v>4397</v>
      </c>
      <c r="C3756" s="301" t="s">
        <v>28</v>
      </c>
      <c r="D3756" s="303">
        <v>16.79</v>
      </c>
    </row>
    <row r="3757" spans="1:4">
      <c r="A3757" s="302">
        <v>92289</v>
      </c>
      <c r="B3757" s="301" t="s">
        <v>4398</v>
      </c>
      <c r="C3757" s="301" t="s">
        <v>28</v>
      </c>
      <c r="D3757" s="303">
        <v>28.92</v>
      </c>
    </row>
    <row r="3758" spans="1:4">
      <c r="A3758" s="302">
        <v>92290</v>
      </c>
      <c r="B3758" s="301" t="s">
        <v>4399</v>
      </c>
      <c r="C3758" s="301" t="s">
        <v>28</v>
      </c>
      <c r="D3758" s="303">
        <v>43.55</v>
      </c>
    </row>
    <row r="3759" spans="1:4">
      <c r="A3759" s="302">
        <v>92291</v>
      </c>
      <c r="B3759" s="301" t="s">
        <v>4400</v>
      </c>
      <c r="C3759" s="301" t="s">
        <v>28</v>
      </c>
      <c r="D3759" s="303">
        <v>66.33</v>
      </c>
    </row>
    <row r="3760" spans="1:4">
      <c r="A3760" s="302">
        <v>92292</v>
      </c>
      <c r="B3760" s="301" t="s">
        <v>4401</v>
      </c>
      <c r="C3760" s="301" t="s">
        <v>28</v>
      </c>
      <c r="D3760" s="303">
        <v>204.15</v>
      </c>
    </row>
    <row r="3761" spans="1:4">
      <c r="A3761" s="302">
        <v>92293</v>
      </c>
      <c r="B3761" s="301" t="s">
        <v>4402</v>
      </c>
      <c r="C3761" s="301" t="s">
        <v>28</v>
      </c>
      <c r="D3761" s="303">
        <v>6.44</v>
      </c>
    </row>
    <row r="3762" spans="1:4">
      <c r="A3762" s="302">
        <v>92294</v>
      </c>
      <c r="B3762" s="301" t="s">
        <v>4403</v>
      </c>
      <c r="C3762" s="301" t="s">
        <v>28</v>
      </c>
      <c r="D3762" s="303">
        <v>10.36</v>
      </c>
    </row>
    <row r="3763" spans="1:4">
      <c r="A3763" s="302">
        <v>92295</v>
      </c>
      <c r="B3763" s="301" t="s">
        <v>4404</v>
      </c>
      <c r="C3763" s="301" t="s">
        <v>28</v>
      </c>
      <c r="D3763" s="303">
        <v>18.84</v>
      </c>
    </row>
    <row r="3764" spans="1:4">
      <c r="A3764" s="302">
        <v>92296</v>
      </c>
      <c r="B3764" s="301" t="s">
        <v>4405</v>
      </c>
      <c r="C3764" s="301" t="s">
        <v>28</v>
      </c>
      <c r="D3764" s="303">
        <v>24.98</v>
      </c>
    </row>
    <row r="3765" spans="1:4">
      <c r="A3765" s="302">
        <v>92297</v>
      </c>
      <c r="B3765" s="301" t="s">
        <v>4406</v>
      </c>
      <c r="C3765" s="301" t="s">
        <v>28</v>
      </c>
      <c r="D3765" s="303">
        <v>38.35</v>
      </c>
    </row>
    <row r="3766" spans="1:4">
      <c r="A3766" s="302">
        <v>92298</v>
      </c>
      <c r="B3766" s="301" t="s">
        <v>4407</v>
      </c>
      <c r="C3766" s="301" t="s">
        <v>28</v>
      </c>
      <c r="D3766" s="303">
        <v>105.96</v>
      </c>
    </row>
    <row r="3767" spans="1:4">
      <c r="A3767" s="302">
        <v>92299</v>
      </c>
      <c r="B3767" s="301" t="s">
        <v>4408</v>
      </c>
      <c r="C3767" s="301" t="s">
        <v>28</v>
      </c>
      <c r="D3767" s="303">
        <v>14.6</v>
      </c>
    </row>
    <row r="3768" spans="1:4">
      <c r="A3768" s="302">
        <v>92300</v>
      </c>
      <c r="B3768" s="301" t="s">
        <v>4409</v>
      </c>
      <c r="C3768" s="301" t="s">
        <v>28</v>
      </c>
      <c r="D3768" s="303">
        <v>21.44</v>
      </c>
    </row>
    <row r="3769" spans="1:4">
      <c r="A3769" s="302">
        <v>92301</v>
      </c>
      <c r="B3769" s="301" t="s">
        <v>4410</v>
      </c>
      <c r="C3769" s="301" t="s">
        <v>28</v>
      </c>
      <c r="D3769" s="303">
        <v>41.08</v>
      </c>
    </row>
    <row r="3770" spans="1:4">
      <c r="A3770" s="302">
        <v>92302</v>
      </c>
      <c r="B3770" s="301" t="s">
        <v>4411</v>
      </c>
      <c r="C3770" s="301" t="s">
        <v>28</v>
      </c>
      <c r="D3770" s="303">
        <v>54.12</v>
      </c>
    </row>
    <row r="3771" spans="1:4">
      <c r="A3771" s="302">
        <v>92303</v>
      </c>
      <c r="B3771" s="301" t="s">
        <v>4412</v>
      </c>
      <c r="C3771" s="301" t="s">
        <v>28</v>
      </c>
      <c r="D3771" s="303">
        <v>98.1</v>
      </c>
    </row>
    <row r="3772" spans="1:4">
      <c r="A3772" s="302">
        <v>92304</v>
      </c>
      <c r="B3772" s="301" t="s">
        <v>4413</v>
      </c>
      <c r="C3772" s="301" t="s">
        <v>28</v>
      </c>
      <c r="D3772" s="303">
        <v>252.14</v>
      </c>
    </row>
    <row r="3773" spans="1:4">
      <c r="A3773" s="302">
        <v>92311</v>
      </c>
      <c r="B3773" s="301" t="s">
        <v>4414</v>
      </c>
      <c r="C3773" s="301" t="s">
        <v>28</v>
      </c>
      <c r="D3773" s="303">
        <v>8.41</v>
      </c>
    </row>
    <row r="3774" spans="1:4">
      <c r="A3774" s="302">
        <v>92312</v>
      </c>
      <c r="B3774" s="301" t="s">
        <v>4415</v>
      </c>
      <c r="C3774" s="301" t="s">
        <v>28</v>
      </c>
      <c r="D3774" s="303">
        <v>13.27</v>
      </c>
    </row>
    <row r="3775" spans="1:4">
      <c r="A3775" s="302">
        <v>92313</v>
      </c>
      <c r="B3775" s="301" t="s">
        <v>4416</v>
      </c>
      <c r="C3775" s="301" t="s">
        <v>28</v>
      </c>
      <c r="D3775" s="303">
        <v>18.989999999999998</v>
      </c>
    </row>
    <row r="3776" spans="1:4">
      <c r="A3776" s="302">
        <v>92314</v>
      </c>
      <c r="B3776" s="301" t="s">
        <v>4417</v>
      </c>
      <c r="C3776" s="301" t="s">
        <v>28</v>
      </c>
      <c r="D3776" s="303">
        <v>5.48</v>
      </c>
    </row>
    <row r="3777" spans="1:4">
      <c r="A3777" s="302">
        <v>92315</v>
      </c>
      <c r="B3777" s="301" t="s">
        <v>4418</v>
      </c>
      <c r="C3777" s="301" t="s">
        <v>28</v>
      </c>
      <c r="D3777" s="303">
        <v>7.94</v>
      </c>
    </row>
    <row r="3778" spans="1:4">
      <c r="A3778" s="302">
        <v>92316</v>
      </c>
      <c r="B3778" s="301" t="s">
        <v>4419</v>
      </c>
      <c r="C3778" s="301" t="s">
        <v>28</v>
      </c>
      <c r="D3778" s="303">
        <v>11.85</v>
      </c>
    </row>
    <row r="3779" spans="1:4">
      <c r="A3779" s="302">
        <v>92317</v>
      </c>
      <c r="B3779" s="301" t="s">
        <v>4420</v>
      </c>
      <c r="C3779" s="301" t="s">
        <v>28</v>
      </c>
      <c r="D3779" s="303">
        <v>11.41</v>
      </c>
    </row>
    <row r="3780" spans="1:4">
      <c r="A3780" s="302">
        <v>92318</v>
      </c>
      <c r="B3780" s="301" t="s">
        <v>4421</v>
      </c>
      <c r="C3780" s="301" t="s">
        <v>28</v>
      </c>
      <c r="D3780" s="303">
        <v>17.559999999999999</v>
      </c>
    </row>
    <row r="3781" spans="1:4">
      <c r="A3781" s="302">
        <v>92319</v>
      </c>
      <c r="B3781" s="301" t="s">
        <v>4422</v>
      </c>
      <c r="C3781" s="301" t="s">
        <v>28</v>
      </c>
      <c r="D3781" s="303">
        <v>24.4</v>
      </c>
    </row>
    <row r="3782" spans="1:4">
      <c r="A3782" s="302">
        <v>92326</v>
      </c>
      <c r="B3782" s="301" t="s">
        <v>4423</v>
      </c>
      <c r="C3782" s="301" t="s">
        <v>28</v>
      </c>
      <c r="D3782" s="303">
        <v>9.8699999999999992</v>
      </c>
    </row>
    <row r="3783" spans="1:4">
      <c r="A3783" s="302">
        <v>92327</v>
      </c>
      <c r="B3783" s="301" t="s">
        <v>4424</v>
      </c>
      <c r="C3783" s="301" t="s">
        <v>28</v>
      </c>
      <c r="D3783" s="303">
        <v>15.31</v>
      </c>
    </row>
    <row r="3784" spans="1:4">
      <c r="A3784" s="302">
        <v>92328</v>
      </c>
      <c r="B3784" s="301" t="s">
        <v>4425</v>
      </c>
      <c r="C3784" s="301" t="s">
        <v>28</v>
      </c>
      <c r="D3784" s="303">
        <v>22.63</v>
      </c>
    </row>
    <row r="3785" spans="1:4">
      <c r="A3785" s="302">
        <v>92329</v>
      </c>
      <c r="B3785" s="301" t="s">
        <v>4426</v>
      </c>
      <c r="C3785" s="301" t="s">
        <v>28</v>
      </c>
      <c r="D3785" s="303">
        <v>5.63</v>
      </c>
    </row>
    <row r="3786" spans="1:4">
      <c r="A3786" s="302">
        <v>92330</v>
      </c>
      <c r="B3786" s="301" t="s">
        <v>4427</v>
      </c>
      <c r="C3786" s="301" t="s">
        <v>28</v>
      </c>
      <c r="D3786" s="303">
        <v>9.2799999999999994</v>
      </c>
    </row>
    <row r="3787" spans="1:4">
      <c r="A3787" s="302">
        <v>92331</v>
      </c>
      <c r="B3787" s="301" t="s">
        <v>4428</v>
      </c>
      <c r="C3787" s="301" t="s">
        <v>28</v>
      </c>
      <c r="D3787" s="303">
        <v>14.29</v>
      </c>
    </row>
    <row r="3788" spans="1:4">
      <c r="A3788" s="302">
        <v>92332</v>
      </c>
      <c r="B3788" s="301" t="s">
        <v>4429</v>
      </c>
      <c r="C3788" s="301" t="s">
        <v>28</v>
      </c>
      <c r="D3788" s="303">
        <v>11.63</v>
      </c>
    </row>
    <row r="3789" spans="1:4">
      <c r="A3789" s="302">
        <v>92333</v>
      </c>
      <c r="B3789" s="301" t="s">
        <v>4430</v>
      </c>
      <c r="C3789" s="301" t="s">
        <v>28</v>
      </c>
      <c r="D3789" s="303">
        <v>20.260000000000002</v>
      </c>
    </row>
    <row r="3790" spans="1:4">
      <c r="A3790" s="302">
        <v>92334</v>
      </c>
      <c r="B3790" s="301" t="s">
        <v>4431</v>
      </c>
      <c r="C3790" s="301" t="s">
        <v>28</v>
      </c>
      <c r="D3790" s="303">
        <v>29.22</v>
      </c>
    </row>
    <row r="3791" spans="1:4">
      <c r="A3791" s="302">
        <v>92344</v>
      </c>
      <c r="B3791" s="301" t="s">
        <v>4432</v>
      </c>
      <c r="C3791" s="301" t="s">
        <v>28</v>
      </c>
      <c r="D3791" s="303">
        <v>40.72</v>
      </c>
    </row>
    <row r="3792" spans="1:4">
      <c r="A3792" s="302">
        <v>92345</v>
      </c>
      <c r="B3792" s="301" t="s">
        <v>4433</v>
      </c>
      <c r="C3792" s="301" t="s">
        <v>28</v>
      </c>
      <c r="D3792" s="303">
        <v>40.700000000000003</v>
      </c>
    </row>
    <row r="3793" spans="1:4">
      <c r="A3793" s="302">
        <v>92346</v>
      </c>
      <c r="B3793" s="301" t="s">
        <v>277</v>
      </c>
      <c r="C3793" s="301" t="s">
        <v>28</v>
      </c>
      <c r="D3793" s="303">
        <v>52.09</v>
      </c>
    </row>
    <row r="3794" spans="1:4">
      <c r="A3794" s="302">
        <v>92347</v>
      </c>
      <c r="B3794" s="301" t="s">
        <v>4434</v>
      </c>
      <c r="C3794" s="301" t="s">
        <v>28</v>
      </c>
      <c r="D3794" s="303">
        <v>57.19</v>
      </c>
    </row>
    <row r="3795" spans="1:4">
      <c r="A3795" s="302">
        <v>92348</v>
      </c>
      <c r="B3795" s="301" t="s">
        <v>4435</v>
      </c>
      <c r="C3795" s="301" t="s">
        <v>28</v>
      </c>
      <c r="D3795" s="303">
        <v>70.92</v>
      </c>
    </row>
    <row r="3796" spans="1:4">
      <c r="A3796" s="302">
        <v>92349</v>
      </c>
      <c r="B3796" s="301" t="s">
        <v>4436</v>
      </c>
      <c r="C3796" s="301" t="s">
        <v>28</v>
      </c>
      <c r="D3796" s="303">
        <v>75.459999999999994</v>
      </c>
    </row>
    <row r="3797" spans="1:4">
      <c r="A3797" s="302">
        <v>92350</v>
      </c>
      <c r="B3797" s="301" t="s">
        <v>4437</v>
      </c>
      <c r="C3797" s="301" t="s">
        <v>28</v>
      </c>
      <c r="D3797" s="303">
        <v>60.54</v>
      </c>
    </row>
    <row r="3798" spans="1:4">
      <c r="A3798" s="302">
        <v>92351</v>
      </c>
      <c r="B3798" s="301" t="s">
        <v>4438</v>
      </c>
      <c r="C3798" s="301" t="s">
        <v>28</v>
      </c>
      <c r="D3798" s="303">
        <v>59.4</v>
      </c>
    </row>
    <row r="3799" spans="1:4">
      <c r="A3799" s="302">
        <v>92352</v>
      </c>
      <c r="B3799" s="301" t="s">
        <v>4439</v>
      </c>
      <c r="C3799" s="301" t="s">
        <v>28</v>
      </c>
      <c r="D3799" s="303">
        <v>87.82</v>
      </c>
    </row>
    <row r="3800" spans="1:4">
      <c r="A3800" s="302">
        <v>92353</v>
      </c>
      <c r="B3800" s="301" t="s">
        <v>4440</v>
      </c>
      <c r="C3800" s="301" t="s">
        <v>28</v>
      </c>
      <c r="D3800" s="303">
        <v>82.82</v>
      </c>
    </row>
    <row r="3801" spans="1:4">
      <c r="A3801" s="302">
        <v>92354</v>
      </c>
      <c r="B3801" s="301" t="s">
        <v>4441</v>
      </c>
      <c r="C3801" s="301" t="s">
        <v>28</v>
      </c>
      <c r="D3801" s="303">
        <v>114.06</v>
      </c>
    </row>
    <row r="3802" spans="1:4">
      <c r="A3802" s="302">
        <v>92355</v>
      </c>
      <c r="B3802" s="301" t="s">
        <v>4442</v>
      </c>
      <c r="C3802" s="301" t="s">
        <v>28</v>
      </c>
      <c r="D3802" s="303">
        <v>104.44</v>
      </c>
    </row>
    <row r="3803" spans="1:4">
      <c r="A3803" s="302">
        <v>92356</v>
      </c>
      <c r="B3803" s="301" t="s">
        <v>4443</v>
      </c>
      <c r="C3803" s="301" t="s">
        <v>28</v>
      </c>
      <c r="D3803" s="303">
        <v>79.23</v>
      </c>
    </row>
    <row r="3804" spans="1:4">
      <c r="A3804" s="302">
        <v>92357</v>
      </c>
      <c r="B3804" s="301" t="s">
        <v>4444</v>
      </c>
      <c r="C3804" s="301" t="s">
        <v>28</v>
      </c>
      <c r="D3804" s="303">
        <v>112.99</v>
      </c>
    </row>
    <row r="3805" spans="1:4">
      <c r="A3805" s="302">
        <v>92358</v>
      </c>
      <c r="B3805" s="301" t="s">
        <v>4445</v>
      </c>
      <c r="C3805" s="301" t="s">
        <v>28</v>
      </c>
      <c r="D3805" s="303">
        <v>138.4</v>
      </c>
    </row>
    <row r="3806" spans="1:4">
      <c r="A3806" s="302">
        <v>92369</v>
      </c>
      <c r="B3806" s="301" t="s">
        <v>4446</v>
      </c>
      <c r="C3806" s="301" t="s">
        <v>28</v>
      </c>
      <c r="D3806" s="303">
        <v>23.28</v>
      </c>
    </row>
    <row r="3807" spans="1:4">
      <c r="A3807" s="302">
        <v>92370</v>
      </c>
      <c r="B3807" s="301" t="s">
        <v>4447</v>
      </c>
      <c r="C3807" s="301" t="s">
        <v>28</v>
      </c>
      <c r="D3807" s="303">
        <v>24.2</v>
      </c>
    </row>
    <row r="3808" spans="1:4">
      <c r="A3808" s="302">
        <v>92371</v>
      </c>
      <c r="B3808" s="301" t="s">
        <v>4448</v>
      </c>
      <c r="C3808" s="301" t="s">
        <v>28</v>
      </c>
      <c r="D3808" s="303">
        <v>27.58</v>
      </c>
    </row>
    <row r="3809" spans="1:4">
      <c r="A3809" s="302">
        <v>92372</v>
      </c>
      <c r="B3809" s="301" t="s">
        <v>4449</v>
      </c>
      <c r="C3809" s="301" t="s">
        <v>28</v>
      </c>
      <c r="D3809" s="303">
        <v>28.43</v>
      </c>
    </row>
    <row r="3810" spans="1:4">
      <c r="A3810" s="302">
        <v>92373</v>
      </c>
      <c r="B3810" s="301" t="s">
        <v>4450</v>
      </c>
      <c r="C3810" s="301" t="s">
        <v>28</v>
      </c>
      <c r="D3810" s="303">
        <v>32.159999999999997</v>
      </c>
    </row>
    <row r="3811" spans="1:4">
      <c r="A3811" s="302">
        <v>92374</v>
      </c>
      <c r="B3811" s="301" t="s">
        <v>4451</v>
      </c>
      <c r="C3811" s="301" t="s">
        <v>28</v>
      </c>
      <c r="D3811" s="303">
        <v>32.33</v>
      </c>
    </row>
    <row r="3812" spans="1:4">
      <c r="A3812" s="302">
        <v>92375</v>
      </c>
      <c r="B3812" s="301" t="s">
        <v>4452</v>
      </c>
      <c r="C3812" s="301" t="s">
        <v>28</v>
      </c>
      <c r="D3812" s="303">
        <v>40.68</v>
      </c>
    </row>
    <row r="3813" spans="1:4">
      <c r="A3813" s="302">
        <v>92376</v>
      </c>
      <c r="B3813" s="301" t="s">
        <v>4453</v>
      </c>
      <c r="C3813" s="301" t="s">
        <v>28</v>
      </c>
      <c r="D3813" s="303">
        <v>40.659999999999997</v>
      </c>
    </row>
    <row r="3814" spans="1:4">
      <c r="A3814" s="302">
        <v>92377</v>
      </c>
      <c r="B3814" s="301" t="s">
        <v>4454</v>
      </c>
      <c r="C3814" s="301" t="s">
        <v>28</v>
      </c>
      <c r="D3814" s="303">
        <v>53.29</v>
      </c>
    </row>
    <row r="3815" spans="1:4">
      <c r="A3815" s="302">
        <v>92378</v>
      </c>
      <c r="B3815" s="301" t="s">
        <v>103</v>
      </c>
      <c r="C3815" s="301" t="s">
        <v>28</v>
      </c>
      <c r="D3815" s="303">
        <v>58.39</v>
      </c>
    </row>
    <row r="3816" spans="1:4">
      <c r="A3816" s="302">
        <v>92379</v>
      </c>
      <c r="B3816" s="301" t="s">
        <v>4455</v>
      </c>
      <c r="C3816" s="301" t="s">
        <v>28</v>
      </c>
      <c r="D3816" s="303">
        <v>73.39</v>
      </c>
    </row>
    <row r="3817" spans="1:4">
      <c r="A3817" s="302">
        <v>92380</v>
      </c>
      <c r="B3817" s="301" t="s">
        <v>4456</v>
      </c>
      <c r="C3817" s="301" t="s">
        <v>28</v>
      </c>
      <c r="D3817" s="303">
        <v>77.930000000000007</v>
      </c>
    </row>
    <row r="3818" spans="1:4">
      <c r="A3818" s="302">
        <v>92381</v>
      </c>
      <c r="B3818" s="301" t="s">
        <v>4457</v>
      </c>
      <c r="C3818" s="301" t="s">
        <v>28</v>
      </c>
      <c r="D3818" s="303">
        <v>35.130000000000003</v>
      </c>
    </row>
    <row r="3819" spans="1:4">
      <c r="A3819" s="302">
        <v>92382</v>
      </c>
      <c r="B3819" s="301" t="s">
        <v>4458</v>
      </c>
      <c r="C3819" s="301" t="s">
        <v>28</v>
      </c>
      <c r="D3819" s="303">
        <v>33.909999999999997</v>
      </c>
    </row>
    <row r="3820" spans="1:4">
      <c r="A3820" s="302">
        <v>92383</v>
      </c>
      <c r="B3820" s="301" t="s">
        <v>4459</v>
      </c>
      <c r="C3820" s="301" t="s">
        <v>28</v>
      </c>
      <c r="D3820" s="303">
        <v>43.07</v>
      </c>
    </row>
    <row r="3821" spans="1:4">
      <c r="A3821" s="302">
        <v>92384</v>
      </c>
      <c r="B3821" s="301" t="s">
        <v>4460</v>
      </c>
      <c r="C3821" s="301" t="s">
        <v>28</v>
      </c>
      <c r="D3821" s="303">
        <v>40.64</v>
      </c>
    </row>
    <row r="3822" spans="1:4">
      <c r="A3822" s="302">
        <v>92385</v>
      </c>
      <c r="B3822" s="301" t="s">
        <v>4461</v>
      </c>
      <c r="C3822" s="301" t="s">
        <v>28</v>
      </c>
      <c r="D3822" s="303">
        <v>48.95</v>
      </c>
    </row>
    <row r="3823" spans="1:4">
      <c r="A3823" s="302">
        <v>92386</v>
      </c>
      <c r="B3823" s="301" t="s">
        <v>4462</v>
      </c>
      <c r="C3823" s="301" t="s">
        <v>28</v>
      </c>
      <c r="D3823" s="303">
        <v>47.28</v>
      </c>
    </row>
    <row r="3824" spans="1:4">
      <c r="A3824" s="302">
        <v>92387</v>
      </c>
      <c r="B3824" s="301" t="s">
        <v>4463</v>
      </c>
      <c r="C3824" s="301" t="s">
        <v>28</v>
      </c>
      <c r="D3824" s="303">
        <v>60.47</v>
      </c>
    </row>
    <row r="3825" spans="1:4">
      <c r="A3825" s="302">
        <v>92388</v>
      </c>
      <c r="B3825" s="301" t="s">
        <v>4464</v>
      </c>
      <c r="C3825" s="301" t="s">
        <v>28</v>
      </c>
      <c r="D3825" s="303">
        <v>59.33</v>
      </c>
    </row>
    <row r="3826" spans="1:4">
      <c r="A3826" s="302">
        <v>92389</v>
      </c>
      <c r="B3826" s="301" t="s">
        <v>4465</v>
      </c>
      <c r="C3826" s="301" t="s">
        <v>28</v>
      </c>
      <c r="D3826" s="303">
        <v>89.65</v>
      </c>
    </row>
    <row r="3827" spans="1:4">
      <c r="A3827" s="302">
        <v>92390</v>
      </c>
      <c r="B3827" s="301" t="s">
        <v>4466</v>
      </c>
      <c r="C3827" s="301" t="s">
        <v>28</v>
      </c>
      <c r="D3827" s="303">
        <v>84.65</v>
      </c>
    </row>
    <row r="3828" spans="1:4">
      <c r="A3828" s="302">
        <v>92635</v>
      </c>
      <c r="B3828" s="301" t="s">
        <v>4467</v>
      </c>
      <c r="C3828" s="301" t="s">
        <v>28</v>
      </c>
      <c r="D3828" s="303">
        <v>117.77</v>
      </c>
    </row>
    <row r="3829" spans="1:4">
      <c r="A3829" s="302">
        <v>92636</v>
      </c>
      <c r="B3829" s="301" t="s">
        <v>4468</v>
      </c>
      <c r="C3829" s="301" t="s">
        <v>28</v>
      </c>
      <c r="D3829" s="303">
        <v>108.15</v>
      </c>
    </row>
    <row r="3830" spans="1:4">
      <c r="A3830" s="302">
        <v>92637</v>
      </c>
      <c r="B3830" s="301" t="s">
        <v>4469</v>
      </c>
      <c r="C3830" s="301" t="s">
        <v>28</v>
      </c>
      <c r="D3830" s="303">
        <v>45.72</v>
      </c>
    </row>
    <row r="3831" spans="1:4">
      <c r="A3831" s="302">
        <v>92638</v>
      </c>
      <c r="B3831" s="301" t="s">
        <v>4470</v>
      </c>
      <c r="C3831" s="301" t="s">
        <v>28</v>
      </c>
      <c r="D3831" s="303">
        <v>54.54</v>
      </c>
    </row>
    <row r="3832" spans="1:4">
      <c r="A3832" s="302">
        <v>92639</v>
      </c>
      <c r="B3832" s="301" t="s">
        <v>4471</v>
      </c>
      <c r="C3832" s="301" t="s">
        <v>28</v>
      </c>
      <c r="D3832" s="303">
        <v>62.46</v>
      </c>
    </row>
    <row r="3833" spans="1:4">
      <c r="A3833" s="302">
        <v>92640</v>
      </c>
      <c r="B3833" s="301" t="s">
        <v>4472</v>
      </c>
      <c r="C3833" s="301" t="s">
        <v>28</v>
      </c>
      <c r="D3833" s="303">
        <v>79.12</v>
      </c>
    </row>
    <row r="3834" spans="1:4">
      <c r="A3834" s="302">
        <v>92642</v>
      </c>
      <c r="B3834" s="301" t="s">
        <v>104</v>
      </c>
      <c r="C3834" s="301" t="s">
        <v>28</v>
      </c>
      <c r="D3834" s="303">
        <v>115.4</v>
      </c>
    </row>
    <row r="3835" spans="1:4">
      <c r="A3835" s="302">
        <v>92644</v>
      </c>
      <c r="B3835" s="301" t="s">
        <v>4473</v>
      </c>
      <c r="C3835" s="301" t="s">
        <v>28</v>
      </c>
      <c r="D3835" s="303">
        <v>143.34</v>
      </c>
    </row>
    <row r="3836" spans="1:4">
      <c r="A3836" s="302">
        <v>92657</v>
      </c>
      <c r="B3836" s="301" t="s">
        <v>4474</v>
      </c>
      <c r="C3836" s="301" t="s">
        <v>28</v>
      </c>
      <c r="D3836" s="303">
        <v>16.600000000000001</v>
      </c>
    </row>
    <row r="3837" spans="1:4">
      <c r="A3837" s="302">
        <v>92658</v>
      </c>
      <c r="B3837" s="301" t="s">
        <v>4475</v>
      </c>
      <c r="C3837" s="301" t="s">
        <v>28</v>
      </c>
      <c r="D3837" s="303">
        <v>17.52</v>
      </c>
    </row>
    <row r="3838" spans="1:4">
      <c r="A3838" s="302">
        <v>92659</v>
      </c>
      <c r="B3838" s="301" t="s">
        <v>4476</v>
      </c>
      <c r="C3838" s="301" t="s">
        <v>28</v>
      </c>
      <c r="D3838" s="303">
        <v>20</v>
      </c>
    </row>
    <row r="3839" spans="1:4">
      <c r="A3839" s="302">
        <v>92660</v>
      </c>
      <c r="B3839" s="301" t="s">
        <v>4477</v>
      </c>
      <c r="C3839" s="301" t="s">
        <v>28</v>
      </c>
      <c r="D3839" s="303">
        <v>20.85</v>
      </c>
    </row>
    <row r="3840" spans="1:4">
      <c r="A3840" s="302">
        <v>92661</v>
      </c>
      <c r="B3840" s="301" t="s">
        <v>4478</v>
      </c>
      <c r="C3840" s="301" t="s">
        <v>28</v>
      </c>
      <c r="D3840" s="303">
        <v>23.51</v>
      </c>
    </row>
    <row r="3841" spans="1:4">
      <c r="A3841" s="302">
        <v>92662</v>
      </c>
      <c r="B3841" s="301" t="s">
        <v>4479</v>
      </c>
      <c r="C3841" s="301" t="s">
        <v>28</v>
      </c>
      <c r="D3841" s="303">
        <v>23.68</v>
      </c>
    </row>
    <row r="3842" spans="1:4">
      <c r="A3842" s="302">
        <v>92663</v>
      </c>
      <c r="B3842" s="301" t="s">
        <v>4480</v>
      </c>
      <c r="C3842" s="301" t="s">
        <v>28</v>
      </c>
      <c r="D3842" s="303">
        <v>30.73</v>
      </c>
    </row>
    <row r="3843" spans="1:4">
      <c r="A3843" s="302">
        <v>92664</v>
      </c>
      <c r="B3843" s="301" t="s">
        <v>4481</v>
      </c>
      <c r="C3843" s="301" t="s">
        <v>28</v>
      </c>
      <c r="D3843" s="303">
        <v>30.71</v>
      </c>
    </row>
    <row r="3844" spans="1:4">
      <c r="A3844" s="302">
        <v>92665</v>
      </c>
      <c r="B3844" s="301" t="s">
        <v>4482</v>
      </c>
      <c r="C3844" s="301" t="s">
        <v>28</v>
      </c>
      <c r="D3844" s="303">
        <v>41.38</v>
      </c>
    </row>
    <row r="3845" spans="1:4">
      <c r="A3845" s="302">
        <v>92666</v>
      </c>
      <c r="B3845" s="301" t="s">
        <v>4483</v>
      </c>
      <c r="C3845" s="301" t="s">
        <v>28</v>
      </c>
      <c r="D3845" s="303">
        <v>46.48</v>
      </c>
    </row>
    <row r="3846" spans="1:4">
      <c r="A3846" s="302">
        <v>92667</v>
      </c>
      <c r="B3846" s="301" t="s">
        <v>4484</v>
      </c>
      <c r="C3846" s="301" t="s">
        <v>28</v>
      </c>
      <c r="D3846" s="303">
        <v>59.53</v>
      </c>
    </row>
    <row r="3847" spans="1:4">
      <c r="A3847" s="302">
        <v>92668</v>
      </c>
      <c r="B3847" s="301" t="s">
        <v>4485</v>
      </c>
      <c r="C3847" s="301" t="s">
        <v>28</v>
      </c>
      <c r="D3847" s="303">
        <v>64.069999999999993</v>
      </c>
    </row>
    <row r="3848" spans="1:4">
      <c r="A3848" s="302">
        <v>92669</v>
      </c>
      <c r="B3848" s="301" t="s">
        <v>4486</v>
      </c>
      <c r="C3848" s="301" t="s">
        <v>28</v>
      </c>
      <c r="D3848" s="303">
        <v>25.11</v>
      </c>
    </row>
    <row r="3849" spans="1:4">
      <c r="A3849" s="302">
        <v>92670</v>
      </c>
      <c r="B3849" s="301" t="s">
        <v>4487</v>
      </c>
      <c r="C3849" s="301" t="s">
        <v>28</v>
      </c>
      <c r="D3849" s="303">
        <v>23.89</v>
      </c>
    </row>
    <row r="3850" spans="1:4">
      <c r="A3850" s="302">
        <v>92671</v>
      </c>
      <c r="B3850" s="301" t="s">
        <v>4488</v>
      </c>
      <c r="C3850" s="301" t="s">
        <v>28</v>
      </c>
      <c r="D3850" s="303">
        <v>31.71</v>
      </c>
    </row>
    <row r="3851" spans="1:4">
      <c r="A3851" s="302">
        <v>92672</v>
      </c>
      <c r="B3851" s="301" t="s">
        <v>4489</v>
      </c>
      <c r="C3851" s="301" t="s">
        <v>28</v>
      </c>
      <c r="D3851" s="303">
        <v>29.28</v>
      </c>
    </row>
    <row r="3852" spans="1:4">
      <c r="A3852" s="302">
        <v>92673</v>
      </c>
      <c r="B3852" s="301" t="s">
        <v>4490</v>
      </c>
      <c r="C3852" s="301" t="s">
        <v>28</v>
      </c>
      <c r="D3852" s="303">
        <v>36</v>
      </c>
    </row>
    <row r="3853" spans="1:4">
      <c r="A3853" s="302">
        <v>92674</v>
      </c>
      <c r="B3853" s="301" t="s">
        <v>4491</v>
      </c>
      <c r="C3853" s="301" t="s">
        <v>28</v>
      </c>
      <c r="D3853" s="303">
        <v>34.33</v>
      </c>
    </row>
    <row r="3854" spans="1:4">
      <c r="A3854" s="302">
        <v>92675</v>
      </c>
      <c r="B3854" s="301" t="s">
        <v>4492</v>
      </c>
      <c r="C3854" s="301" t="s">
        <v>28</v>
      </c>
      <c r="D3854" s="303">
        <v>45.58</v>
      </c>
    </row>
    <row r="3855" spans="1:4">
      <c r="A3855" s="302">
        <v>92676</v>
      </c>
      <c r="B3855" s="301" t="s">
        <v>4493</v>
      </c>
      <c r="C3855" s="301" t="s">
        <v>28</v>
      </c>
      <c r="D3855" s="303">
        <v>44.44</v>
      </c>
    </row>
    <row r="3856" spans="1:4">
      <c r="A3856" s="302">
        <v>92677</v>
      </c>
      <c r="B3856" s="301" t="s">
        <v>4494</v>
      </c>
      <c r="C3856" s="301" t="s">
        <v>28</v>
      </c>
      <c r="D3856" s="303">
        <v>71.81</v>
      </c>
    </row>
    <row r="3857" spans="1:4">
      <c r="A3857" s="302">
        <v>92678</v>
      </c>
      <c r="B3857" s="301" t="s">
        <v>4495</v>
      </c>
      <c r="C3857" s="301" t="s">
        <v>28</v>
      </c>
      <c r="D3857" s="303">
        <v>66.81</v>
      </c>
    </row>
    <row r="3858" spans="1:4">
      <c r="A3858" s="302">
        <v>92679</v>
      </c>
      <c r="B3858" s="301" t="s">
        <v>4496</v>
      </c>
      <c r="C3858" s="301" t="s">
        <v>28</v>
      </c>
      <c r="D3858" s="303">
        <v>96.99</v>
      </c>
    </row>
    <row r="3859" spans="1:4">
      <c r="A3859" s="302">
        <v>92680</v>
      </c>
      <c r="B3859" s="301" t="s">
        <v>4497</v>
      </c>
      <c r="C3859" s="301" t="s">
        <v>28</v>
      </c>
      <c r="D3859" s="303">
        <v>87.37</v>
      </c>
    </row>
    <row r="3860" spans="1:4">
      <c r="A3860" s="302">
        <v>92681</v>
      </c>
      <c r="B3860" s="301" t="s">
        <v>4498</v>
      </c>
      <c r="C3860" s="301" t="s">
        <v>28</v>
      </c>
      <c r="D3860" s="303">
        <v>32.340000000000003</v>
      </c>
    </row>
    <row r="3861" spans="1:4">
      <c r="A3861" s="302">
        <v>92682</v>
      </c>
      <c r="B3861" s="301" t="s">
        <v>4499</v>
      </c>
      <c r="C3861" s="301" t="s">
        <v>28</v>
      </c>
      <c r="D3861" s="303">
        <v>39.33</v>
      </c>
    </row>
    <row r="3862" spans="1:4">
      <c r="A3862" s="302">
        <v>92683</v>
      </c>
      <c r="B3862" s="301" t="s">
        <v>4500</v>
      </c>
      <c r="C3862" s="301" t="s">
        <v>28</v>
      </c>
      <c r="D3862" s="303">
        <v>45.21</v>
      </c>
    </row>
    <row r="3863" spans="1:4">
      <c r="A3863" s="302">
        <v>92684</v>
      </c>
      <c r="B3863" s="301" t="s">
        <v>4501</v>
      </c>
      <c r="C3863" s="301" t="s">
        <v>28</v>
      </c>
      <c r="D3863" s="303">
        <v>59.25</v>
      </c>
    </row>
    <row r="3864" spans="1:4">
      <c r="A3864" s="302">
        <v>92685</v>
      </c>
      <c r="B3864" s="301" t="s">
        <v>4502</v>
      </c>
      <c r="C3864" s="301" t="s">
        <v>28</v>
      </c>
      <c r="D3864" s="303">
        <v>91.62</v>
      </c>
    </row>
    <row r="3865" spans="1:4">
      <c r="A3865" s="302">
        <v>92686</v>
      </c>
      <c r="B3865" s="301" t="s">
        <v>4503</v>
      </c>
      <c r="C3865" s="301" t="s">
        <v>28</v>
      </c>
      <c r="D3865" s="303">
        <v>115.62</v>
      </c>
    </row>
    <row r="3866" spans="1:4">
      <c r="A3866" s="302">
        <v>92692</v>
      </c>
      <c r="B3866" s="301" t="s">
        <v>4504</v>
      </c>
      <c r="C3866" s="301" t="s">
        <v>28</v>
      </c>
      <c r="D3866" s="303">
        <v>9.06</v>
      </c>
    </row>
    <row r="3867" spans="1:4">
      <c r="A3867" s="302">
        <v>92693</v>
      </c>
      <c r="B3867" s="301" t="s">
        <v>4505</v>
      </c>
      <c r="C3867" s="301" t="s">
        <v>28</v>
      </c>
      <c r="D3867" s="303">
        <v>9.27</v>
      </c>
    </row>
    <row r="3868" spans="1:4">
      <c r="A3868" s="302">
        <v>92694</v>
      </c>
      <c r="B3868" s="301" t="s">
        <v>4506</v>
      </c>
      <c r="C3868" s="301" t="s">
        <v>28</v>
      </c>
      <c r="D3868" s="303">
        <v>14.59</v>
      </c>
    </row>
    <row r="3869" spans="1:4">
      <c r="A3869" s="302">
        <v>92695</v>
      </c>
      <c r="B3869" s="301" t="s">
        <v>4507</v>
      </c>
      <c r="C3869" s="301" t="s">
        <v>28</v>
      </c>
      <c r="D3869" s="303">
        <v>14.79</v>
      </c>
    </row>
    <row r="3870" spans="1:4">
      <c r="A3870" s="302">
        <v>92696</v>
      </c>
      <c r="B3870" s="301" t="s">
        <v>4508</v>
      </c>
      <c r="C3870" s="301" t="s">
        <v>28</v>
      </c>
      <c r="D3870" s="303">
        <v>23</v>
      </c>
    </row>
    <row r="3871" spans="1:4">
      <c r="A3871" s="302">
        <v>92697</v>
      </c>
      <c r="B3871" s="301" t="s">
        <v>4509</v>
      </c>
      <c r="C3871" s="301" t="s">
        <v>28</v>
      </c>
      <c r="D3871" s="303">
        <v>23.92</v>
      </c>
    </row>
    <row r="3872" spans="1:4">
      <c r="A3872" s="302">
        <v>92698</v>
      </c>
      <c r="B3872" s="301" t="s">
        <v>4510</v>
      </c>
      <c r="C3872" s="301" t="s">
        <v>28</v>
      </c>
      <c r="D3872" s="303">
        <v>13.39</v>
      </c>
    </row>
    <row r="3873" spans="1:4">
      <c r="A3873" s="302">
        <v>92699</v>
      </c>
      <c r="B3873" s="301" t="s">
        <v>4511</v>
      </c>
      <c r="C3873" s="301" t="s">
        <v>28</v>
      </c>
      <c r="D3873" s="303">
        <v>12.73</v>
      </c>
    </row>
    <row r="3874" spans="1:4">
      <c r="A3874" s="302">
        <v>92700</v>
      </c>
      <c r="B3874" s="301" t="s">
        <v>4512</v>
      </c>
      <c r="C3874" s="301" t="s">
        <v>28</v>
      </c>
      <c r="D3874" s="303">
        <v>22.06</v>
      </c>
    </row>
    <row r="3875" spans="1:4">
      <c r="A3875" s="302">
        <v>92701</v>
      </c>
      <c r="B3875" s="301" t="s">
        <v>306</v>
      </c>
      <c r="C3875" s="301" t="s">
        <v>28</v>
      </c>
      <c r="D3875" s="303">
        <v>21.07</v>
      </c>
    </row>
    <row r="3876" spans="1:4">
      <c r="A3876" s="302">
        <v>92702</v>
      </c>
      <c r="B3876" s="301" t="s">
        <v>4513</v>
      </c>
      <c r="C3876" s="301" t="s">
        <v>28</v>
      </c>
      <c r="D3876" s="303">
        <v>34.74</v>
      </c>
    </row>
    <row r="3877" spans="1:4">
      <c r="A3877" s="302">
        <v>92703</v>
      </c>
      <c r="B3877" s="301" t="s">
        <v>4514</v>
      </c>
      <c r="C3877" s="301" t="s">
        <v>28</v>
      </c>
      <c r="D3877" s="303">
        <v>33.520000000000003</v>
      </c>
    </row>
    <row r="3878" spans="1:4">
      <c r="A3878" s="302">
        <v>92704</v>
      </c>
      <c r="B3878" s="301" t="s">
        <v>4515</v>
      </c>
      <c r="C3878" s="301" t="s">
        <v>28</v>
      </c>
      <c r="D3878" s="303">
        <v>17.14</v>
      </c>
    </row>
    <row r="3879" spans="1:4">
      <c r="A3879" s="302">
        <v>92705</v>
      </c>
      <c r="B3879" s="301" t="s">
        <v>420</v>
      </c>
      <c r="C3879" s="301" t="s">
        <v>28</v>
      </c>
      <c r="D3879" s="303">
        <v>27.91</v>
      </c>
    </row>
    <row r="3880" spans="1:4">
      <c r="A3880" s="302">
        <v>92706</v>
      </c>
      <c r="B3880" s="301" t="s">
        <v>4516</v>
      </c>
      <c r="C3880" s="301" t="s">
        <v>28</v>
      </c>
      <c r="D3880" s="303">
        <v>45.19</v>
      </c>
    </row>
    <row r="3881" spans="1:4">
      <c r="A3881" s="302">
        <v>92889</v>
      </c>
      <c r="B3881" s="301" t="s">
        <v>4517</v>
      </c>
      <c r="C3881" s="301" t="s">
        <v>28</v>
      </c>
      <c r="D3881" s="303">
        <v>73.849999999999994</v>
      </c>
    </row>
    <row r="3882" spans="1:4">
      <c r="A3882" s="302">
        <v>92890</v>
      </c>
      <c r="B3882" s="301" t="s">
        <v>4518</v>
      </c>
      <c r="C3882" s="301" t="s">
        <v>28</v>
      </c>
      <c r="D3882" s="303">
        <v>109.07</v>
      </c>
    </row>
    <row r="3883" spans="1:4">
      <c r="A3883" s="302">
        <v>92891</v>
      </c>
      <c r="B3883" s="301" t="s">
        <v>4519</v>
      </c>
      <c r="C3883" s="301" t="s">
        <v>28</v>
      </c>
      <c r="D3883" s="303">
        <v>157.12</v>
      </c>
    </row>
    <row r="3884" spans="1:4">
      <c r="A3884" s="302">
        <v>92892</v>
      </c>
      <c r="B3884" s="301" t="s">
        <v>4520</v>
      </c>
      <c r="C3884" s="301" t="s">
        <v>28</v>
      </c>
      <c r="D3884" s="303">
        <v>34.06</v>
      </c>
    </row>
    <row r="3885" spans="1:4">
      <c r="A3885" s="302">
        <v>92893</v>
      </c>
      <c r="B3885" s="301" t="s">
        <v>4521</v>
      </c>
      <c r="C3885" s="301" t="s">
        <v>28</v>
      </c>
      <c r="D3885" s="303">
        <v>46.77</v>
      </c>
    </row>
    <row r="3886" spans="1:4">
      <c r="A3886" s="302">
        <v>92894</v>
      </c>
      <c r="B3886" s="301" t="s">
        <v>4522</v>
      </c>
      <c r="C3886" s="301" t="s">
        <v>28</v>
      </c>
      <c r="D3886" s="303">
        <v>55.34</v>
      </c>
    </row>
    <row r="3887" spans="1:4">
      <c r="A3887" s="302">
        <v>92895</v>
      </c>
      <c r="B3887" s="301" t="s">
        <v>4523</v>
      </c>
      <c r="C3887" s="301" t="s">
        <v>28</v>
      </c>
      <c r="D3887" s="303">
        <v>73.81</v>
      </c>
    </row>
    <row r="3888" spans="1:4">
      <c r="A3888" s="302">
        <v>92896</v>
      </c>
      <c r="B3888" s="301" t="s">
        <v>4524</v>
      </c>
      <c r="C3888" s="301" t="s">
        <v>28</v>
      </c>
      <c r="D3888" s="303">
        <v>110.27</v>
      </c>
    </row>
    <row r="3889" spans="1:4">
      <c r="A3889" s="302">
        <v>92897</v>
      </c>
      <c r="B3889" s="301" t="s">
        <v>4525</v>
      </c>
      <c r="C3889" s="301" t="s">
        <v>28</v>
      </c>
      <c r="D3889" s="303">
        <v>159.59</v>
      </c>
    </row>
    <row r="3890" spans="1:4">
      <c r="A3890" s="302">
        <v>92898</v>
      </c>
      <c r="B3890" s="301" t="s">
        <v>4526</v>
      </c>
      <c r="C3890" s="301" t="s">
        <v>28</v>
      </c>
      <c r="D3890" s="303">
        <v>27.38</v>
      </c>
    </row>
    <row r="3891" spans="1:4">
      <c r="A3891" s="302">
        <v>92899</v>
      </c>
      <c r="B3891" s="301" t="s">
        <v>4527</v>
      </c>
      <c r="C3891" s="301" t="s">
        <v>28</v>
      </c>
      <c r="D3891" s="303">
        <v>39.19</v>
      </c>
    </row>
    <row r="3892" spans="1:4">
      <c r="A3892" s="302">
        <v>92900</v>
      </c>
      <c r="B3892" s="301" t="s">
        <v>4528</v>
      </c>
      <c r="C3892" s="301" t="s">
        <v>28</v>
      </c>
      <c r="D3892" s="303">
        <v>46.69</v>
      </c>
    </row>
    <row r="3893" spans="1:4">
      <c r="A3893" s="302">
        <v>92901</v>
      </c>
      <c r="B3893" s="301" t="s">
        <v>4529</v>
      </c>
      <c r="C3893" s="301" t="s">
        <v>28</v>
      </c>
      <c r="D3893" s="303">
        <v>63.86</v>
      </c>
    </row>
    <row r="3894" spans="1:4">
      <c r="A3894" s="302">
        <v>92902</v>
      </c>
      <c r="B3894" s="301" t="s">
        <v>4530</v>
      </c>
      <c r="C3894" s="301" t="s">
        <v>28</v>
      </c>
      <c r="D3894" s="303">
        <v>98.36</v>
      </c>
    </row>
    <row r="3895" spans="1:4">
      <c r="A3895" s="302">
        <v>92903</v>
      </c>
      <c r="B3895" s="301" t="s">
        <v>4531</v>
      </c>
      <c r="C3895" s="301" t="s">
        <v>28</v>
      </c>
      <c r="D3895" s="303">
        <v>145.72999999999999</v>
      </c>
    </row>
    <row r="3896" spans="1:4">
      <c r="A3896" s="302">
        <v>92904</v>
      </c>
      <c r="B3896" s="301" t="s">
        <v>4532</v>
      </c>
      <c r="C3896" s="301" t="s">
        <v>28</v>
      </c>
      <c r="D3896" s="303">
        <v>18.32</v>
      </c>
    </row>
    <row r="3897" spans="1:4">
      <c r="A3897" s="302">
        <v>92905</v>
      </c>
      <c r="B3897" s="301" t="s">
        <v>422</v>
      </c>
      <c r="C3897" s="301" t="s">
        <v>28</v>
      </c>
      <c r="D3897" s="303">
        <v>26.67</v>
      </c>
    </row>
    <row r="3898" spans="1:4">
      <c r="A3898" s="302">
        <v>92906</v>
      </c>
      <c r="B3898" s="301" t="s">
        <v>4533</v>
      </c>
      <c r="C3898" s="301" t="s">
        <v>28</v>
      </c>
      <c r="D3898" s="303">
        <v>33.78</v>
      </c>
    </row>
    <row r="3899" spans="1:4">
      <c r="A3899" s="302">
        <v>92907</v>
      </c>
      <c r="B3899" s="301" t="s">
        <v>4534</v>
      </c>
      <c r="C3899" s="301" t="s">
        <v>28</v>
      </c>
      <c r="D3899" s="303">
        <v>42.63</v>
      </c>
    </row>
    <row r="3900" spans="1:4">
      <c r="A3900" s="302">
        <v>92908</v>
      </c>
      <c r="B3900" s="301" t="s">
        <v>4535</v>
      </c>
      <c r="C3900" s="301" t="s">
        <v>28</v>
      </c>
      <c r="D3900" s="303">
        <v>42.63</v>
      </c>
    </row>
    <row r="3901" spans="1:4">
      <c r="A3901" s="302">
        <v>92909</v>
      </c>
      <c r="B3901" s="301" t="s">
        <v>4536</v>
      </c>
      <c r="C3901" s="301" t="s">
        <v>28</v>
      </c>
      <c r="D3901" s="303">
        <v>42.63</v>
      </c>
    </row>
    <row r="3902" spans="1:4">
      <c r="A3902" s="302">
        <v>92910</v>
      </c>
      <c r="B3902" s="301" t="s">
        <v>4537</v>
      </c>
      <c r="C3902" s="301" t="s">
        <v>28</v>
      </c>
      <c r="D3902" s="303">
        <v>59.35</v>
      </c>
    </row>
    <row r="3903" spans="1:4">
      <c r="A3903" s="302">
        <v>92911</v>
      </c>
      <c r="B3903" s="301" t="s">
        <v>4538</v>
      </c>
      <c r="C3903" s="301" t="s">
        <v>28</v>
      </c>
      <c r="D3903" s="303">
        <v>59.35</v>
      </c>
    </row>
    <row r="3904" spans="1:4">
      <c r="A3904" s="302">
        <v>92912</v>
      </c>
      <c r="B3904" s="301" t="s">
        <v>4539</v>
      </c>
      <c r="C3904" s="301" t="s">
        <v>28</v>
      </c>
      <c r="D3904" s="303">
        <v>77.14</v>
      </c>
    </row>
    <row r="3905" spans="1:4">
      <c r="A3905" s="302">
        <v>92913</v>
      </c>
      <c r="B3905" s="301" t="s">
        <v>4540</v>
      </c>
      <c r="C3905" s="301" t="s">
        <v>28</v>
      </c>
      <c r="D3905" s="303">
        <v>79.22</v>
      </c>
    </row>
    <row r="3906" spans="1:4">
      <c r="A3906" s="302">
        <v>92914</v>
      </c>
      <c r="B3906" s="301" t="s">
        <v>4541</v>
      </c>
      <c r="C3906" s="301" t="s">
        <v>28</v>
      </c>
      <c r="D3906" s="303">
        <v>79.22</v>
      </c>
    </row>
    <row r="3907" spans="1:4">
      <c r="A3907" s="302">
        <v>92918</v>
      </c>
      <c r="B3907" s="301" t="s">
        <v>4542</v>
      </c>
      <c r="C3907" s="301" t="s">
        <v>28</v>
      </c>
      <c r="D3907" s="303">
        <v>24.12</v>
      </c>
    </row>
    <row r="3908" spans="1:4">
      <c r="A3908" s="302">
        <v>92920</v>
      </c>
      <c r="B3908" s="301" t="s">
        <v>4543</v>
      </c>
      <c r="C3908" s="301" t="s">
        <v>28</v>
      </c>
      <c r="D3908" s="303">
        <v>24.25</v>
      </c>
    </row>
    <row r="3909" spans="1:4">
      <c r="A3909" s="302">
        <v>92925</v>
      </c>
      <c r="B3909" s="301" t="s">
        <v>4544</v>
      </c>
      <c r="C3909" s="301" t="s">
        <v>28</v>
      </c>
      <c r="D3909" s="303">
        <v>29.12</v>
      </c>
    </row>
    <row r="3910" spans="1:4">
      <c r="A3910" s="302">
        <v>92926</v>
      </c>
      <c r="B3910" s="301" t="s">
        <v>4545</v>
      </c>
      <c r="C3910" s="301" t="s">
        <v>28</v>
      </c>
      <c r="D3910" s="303">
        <v>29.11</v>
      </c>
    </row>
    <row r="3911" spans="1:4">
      <c r="A3911" s="302">
        <v>92927</v>
      </c>
      <c r="B3911" s="301" t="s">
        <v>4546</v>
      </c>
      <c r="C3911" s="301" t="s">
        <v>28</v>
      </c>
      <c r="D3911" s="303">
        <v>29.11</v>
      </c>
    </row>
    <row r="3912" spans="1:4">
      <c r="A3912" s="302">
        <v>92928</v>
      </c>
      <c r="B3912" s="301" t="s">
        <v>4547</v>
      </c>
      <c r="C3912" s="301" t="s">
        <v>28</v>
      </c>
      <c r="D3912" s="303">
        <v>33.04</v>
      </c>
    </row>
    <row r="3913" spans="1:4">
      <c r="A3913" s="302">
        <v>92929</v>
      </c>
      <c r="B3913" s="301" t="s">
        <v>4548</v>
      </c>
      <c r="C3913" s="301" t="s">
        <v>28</v>
      </c>
      <c r="D3913" s="303">
        <v>33.04</v>
      </c>
    </row>
    <row r="3914" spans="1:4">
      <c r="A3914" s="302">
        <v>92930</v>
      </c>
      <c r="B3914" s="301" t="s">
        <v>4549</v>
      </c>
      <c r="C3914" s="301" t="s">
        <v>28</v>
      </c>
      <c r="D3914" s="303">
        <v>33.04</v>
      </c>
    </row>
    <row r="3915" spans="1:4">
      <c r="A3915" s="302">
        <v>92931</v>
      </c>
      <c r="B3915" s="301" t="s">
        <v>4550</v>
      </c>
      <c r="C3915" s="301" t="s">
        <v>28</v>
      </c>
      <c r="D3915" s="303">
        <v>42.59</v>
      </c>
    </row>
    <row r="3916" spans="1:4">
      <c r="A3916" s="302">
        <v>92932</v>
      </c>
      <c r="B3916" s="301" t="s">
        <v>4551</v>
      </c>
      <c r="C3916" s="301" t="s">
        <v>28</v>
      </c>
      <c r="D3916" s="303">
        <v>42.59</v>
      </c>
    </row>
    <row r="3917" spans="1:4">
      <c r="A3917" s="302">
        <v>92933</v>
      </c>
      <c r="B3917" s="301" t="s">
        <v>4552</v>
      </c>
      <c r="C3917" s="301" t="s">
        <v>28</v>
      </c>
      <c r="D3917" s="303">
        <v>42.59</v>
      </c>
    </row>
    <row r="3918" spans="1:4">
      <c r="A3918" s="302">
        <v>92934</v>
      </c>
      <c r="B3918" s="301" t="s">
        <v>4553</v>
      </c>
      <c r="C3918" s="301" t="s">
        <v>28</v>
      </c>
      <c r="D3918" s="303">
        <v>60.55</v>
      </c>
    </row>
    <row r="3919" spans="1:4">
      <c r="A3919" s="302">
        <v>92935</v>
      </c>
      <c r="B3919" s="301" t="s">
        <v>4554</v>
      </c>
      <c r="C3919" s="301" t="s">
        <v>28</v>
      </c>
      <c r="D3919" s="303">
        <v>60.55</v>
      </c>
    </row>
    <row r="3920" spans="1:4">
      <c r="A3920" s="302">
        <v>92936</v>
      </c>
      <c r="B3920" s="301" t="s">
        <v>4555</v>
      </c>
      <c r="C3920" s="301" t="s">
        <v>28</v>
      </c>
      <c r="D3920" s="303">
        <v>81.69</v>
      </c>
    </row>
    <row r="3921" spans="1:4">
      <c r="A3921" s="302">
        <v>92937</v>
      </c>
      <c r="B3921" s="301" t="s">
        <v>4556</v>
      </c>
      <c r="C3921" s="301" t="s">
        <v>28</v>
      </c>
      <c r="D3921" s="303">
        <v>81.69</v>
      </c>
    </row>
    <row r="3922" spans="1:4">
      <c r="A3922" s="302">
        <v>92938</v>
      </c>
      <c r="B3922" s="301" t="s">
        <v>4557</v>
      </c>
      <c r="C3922" s="301" t="s">
        <v>28</v>
      </c>
      <c r="D3922" s="303">
        <v>17.440000000000001</v>
      </c>
    </row>
    <row r="3923" spans="1:4">
      <c r="A3923" s="302">
        <v>92939</v>
      </c>
      <c r="B3923" s="301" t="s">
        <v>4558</v>
      </c>
      <c r="C3923" s="301" t="s">
        <v>28</v>
      </c>
      <c r="D3923" s="303">
        <v>17.57</v>
      </c>
    </row>
    <row r="3924" spans="1:4">
      <c r="A3924" s="302">
        <v>92940</v>
      </c>
      <c r="B3924" s="301" t="s">
        <v>4559</v>
      </c>
      <c r="C3924" s="301" t="s">
        <v>28</v>
      </c>
      <c r="D3924" s="303">
        <v>21.54</v>
      </c>
    </row>
    <row r="3925" spans="1:4">
      <c r="A3925" s="302">
        <v>92941</v>
      </c>
      <c r="B3925" s="301" t="s">
        <v>4560</v>
      </c>
      <c r="C3925" s="301" t="s">
        <v>28</v>
      </c>
      <c r="D3925" s="303">
        <v>21.53</v>
      </c>
    </row>
    <row r="3926" spans="1:4">
      <c r="A3926" s="302">
        <v>92942</v>
      </c>
      <c r="B3926" s="301" t="s">
        <v>4561</v>
      </c>
      <c r="C3926" s="301" t="s">
        <v>28</v>
      </c>
      <c r="D3926" s="303">
        <v>21.53</v>
      </c>
    </row>
    <row r="3927" spans="1:4">
      <c r="A3927" s="302">
        <v>92943</v>
      </c>
      <c r="B3927" s="301" t="s">
        <v>4562</v>
      </c>
      <c r="C3927" s="301" t="s">
        <v>28</v>
      </c>
      <c r="D3927" s="303">
        <v>24.39</v>
      </c>
    </row>
    <row r="3928" spans="1:4">
      <c r="A3928" s="302">
        <v>92944</v>
      </c>
      <c r="B3928" s="301" t="s">
        <v>4563</v>
      </c>
      <c r="C3928" s="301" t="s">
        <v>28</v>
      </c>
      <c r="D3928" s="303">
        <v>24.39</v>
      </c>
    </row>
    <row r="3929" spans="1:4">
      <c r="A3929" s="302">
        <v>92945</v>
      </c>
      <c r="B3929" s="301" t="s">
        <v>4564</v>
      </c>
      <c r="C3929" s="301" t="s">
        <v>28</v>
      </c>
      <c r="D3929" s="303">
        <v>24.39</v>
      </c>
    </row>
    <row r="3930" spans="1:4">
      <c r="A3930" s="302">
        <v>92946</v>
      </c>
      <c r="B3930" s="301" t="s">
        <v>4565</v>
      </c>
      <c r="C3930" s="301" t="s">
        <v>28</v>
      </c>
      <c r="D3930" s="303">
        <v>32.64</v>
      </c>
    </row>
    <row r="3931" spans="1:4">
      <c r="A3931" s="302">
        <v>92947</v>
      </c>
      <c r="B3931" s="301" t="s">
        <v>4566</v>
      </c>
      <c r="C3931" s="301" t="s">
        <v>28</v>
      </c>
      <c r="D3931" s="303">
        <v>32.64</v>
      </c>
    </row>
    <row r="3932" spans="1:4">
      <c r="A3932" s="302">
        <v>92948</v>
      </c>
      <c r="B3932" s="301" t="s">
        <v>4567</v>
      </c>
      <c r="C3932" s="301" t="s">
        <v>28</v>
      </c>
      <c r="D3932" s="303">
        <v>32.64</v>
      </c>
    </row>
    <row r="3933" spans="1:4">
      <c r="A3933" s="302">
        <v>92949</v>
      </c>
      <c r="B3933" s="301" t="s">
        <v>4568</v>
      </c>
      <c r="C3933" s="301" t="s">
        <v>28</v>
      </c>
      <c r="D3933" s="303">
        <v>48.64</v>
      </c>
    </row>
    <row r="3934" spans="1:4">
      <c r="A3934" s="302">
        <v>92950</v>
      </c>
      <c r="B3934" s="301" t="s">
        <v>4569</v>
      </c>
      <c r="C3934" s="301" t="s">
        <v>28</v>
      </c>
      <c r="D3934" s="303">
        <v>48.64</v>
      </c>
    </row>
    <row r="3935" spans="1:4">
      <c r="A3935" s="302">
        <v>92951</v>
      </c>
      <c r="B3935" s="301" t="s">
        <v>4570</v>
      </c>
      <c r="C3935" s="301" t="s">
        <v>28</v>
      </c>
      <c r="D3935" s="303">
        <v>67.83</v>
      </c>
    </row>
    <row r="3936" spans="1:4">
      <c r="A3936" s="302">
        <v>92952</v>
      </c>
      <c r="B3936" s="301" t="s">
        <v>4571</v>
      </c>
      <c r="C3936" s="301" t="s">
        <v>28</v>
      </c>
      <c r="D3936" s="303">
        <v>67.83</v>
      </c>
    </row>
    <row r="3937" spans="1:4">
      <c r="A3937" s="302">
        <v>92953</v>
      </c>
      <c r="B3937" s="301" t="s">
        <v>4572</v>
      </c>
      <c r="C3937" s="301" t="s">
        <v>28</v>
      </c>
      <c r="D3937" s="303">
        <v>15.45</v>
      </c>
    </row>
    <row r="3938" spans="1:4">
      <c r="A3938" s="302">
        <v>93050</v>
      </c>
      <c r="B3938" s="301" t="s">
        <v>4573</v>
      </c>
      <c r="C3938" s="301" t="s">
        <v>28</v>
      </c>
      <c r="D3938" s="303">
        <v>7.19</v>
      </c>
    </row>
    <row r="3939" spans="1:4">
      <c r="A3939" s="302">
        <v>93051</v>
      </c>
      <c r="B3939" s="301" t="s">
        <v>4574</v>
      </c>
      <c r="C3939" s="301" t="s">
        <v>28</v>
      </c>
      <c r="D3939" s="303">
        <v>6.68</v>
      </c>
    </row>
    <row r="3940" spans="1:4">
      <c r="A3940" s="302">
        <v>93052</v>
      </c>
      <c r="B3940" s="301" t="s">
        <v>4575</v>
      </c>
      <c r="C3940" s="301" t="s">
        <v>28</v>
      </c>
      <c r="D3940" s="303">
        <v>297.29000000000002</v>
      </c>
    </row>
    <row r="3941" spans="1:4">
      <c r="A3941" s="302">
        <v>93054</v>
      </c>
      <c r="B3941" s="301" t="s">
        <v>4576</v>
      </c>
      <c r="C3941" s="301" t="s">
        <v>28</v>
      </c>
      <c r="D3941" s="303">
        <v>13.24</v>
      </c>
    </row>
    <row r="3942" spans="1:4">
      <c r="A3942" s="302">
        <v>93055</v>
      </c>
      <c r="B3942" s="301" t="s">
        <v>4577</v>
      </c>
      <c r="C3942" s="301" t="s">
        <v>28</v>
      </c>
      <c r="D3942" s="303">
        <v>26.4</v>
      </c>
    </row>
    <row r="3943" spans="1:4">
      <c r="A3943" s="302">
        <v>93056</v>
      </c>
      <c r="B3943" s="301" t="s">
        <v>4578</v>
      </c>
      <c r="C3943" s="301" t="s">
        <v>28</v>
      </c>
      <c r="D3943" s="303">
        <v>10.36</v>
      </c>
    </row>
    <row r="3944" spans="1:4">
      <c r="A3944" s="302">
        <v>93057</v>
      </c>
      <c r="B3944" s="301" t="s">
        <v>4579</v>
      </c>
      <c r="C3944" s="301" t="s">
        <v>28</v>
      </c>
      <c r="D3944" s="303">
        <v>9.1300000000000008</v>
      </c>
    </row>
    <row r="3945" spans="1:4">
      <c r="A3945" s="302">
        <v>93058</v>
      </c>
      <c r="B3945" s="301" t="s">
        <v>4580</v>
      </c>
      <c r="C3945" s="301" t="s">
        <v>28</v>
      </c>
      <c r="D3945" s="303">
        <v>326.97000000000003</v>
      </c>
    </row>
    <row r="3946" spans="1:4">
      <c r="A3946" s="302">
        <v>93059</v>
      </c>
      <c r="B3946" s="301" t="s">
        <v>4581</v>
      </c>
      <c r="C3946" s="301" t="s">
        <v>28</v>
      </c>
      <c r="D3946" s="303">
        <v>18.07</v>
      </c>
    </row>
    <row r="3947" spans="1:4">
      <c r="A3947" s="302">
        <v>93060</v>
      </c>
      <c r="B3947" s="301" t="s">
        <v>4582</v>
      </c>
      <c r="C3947" s="301" t="s">
        <v>28</v>
      </c>
      <c r="D3947" s="303">
        <v>45.69</v>
      </c>
    </row>
    <row r="3948" spans="1:4">
      <c r="A3948" s="302">
        <v>93061</v>
      </c>
      <c r="B3948" s="301" t="s">
        <v>4583</v>
      </c>
      <c r="C3948" s="301" t="s">
        <v>28</v>
      </c>
      <c r="D3948" s="303">
        <v>18.920000000000002</v>
      </c>
    </row>
    <row r="3949" spans="1:4">
      <c r="A3949" s="302">
        <v>93062</v>
      </c>
      <c r="B3949" s="301" t="s">
        <v>4584</v>
      </c>
      <c r="C3949" s="301" t="s">
        <v>28</v>
      </c>
      <c r="D3949" s="303">
        <v>16.53</v>
      </c>
    </row>
    <row r="3950" spans="1:4">
      <c r="A3950" s="302">
        <v>93063</v>
      </c>
      <c r="B3950" s="301" t="s">
        <v>4585</v>
      </c>
      <c r="C3950" s="301" t="s">
        <v>28</v>
      </c>
      <c r="D3950" s="303">
        <v>374.51</v>
      </c>
    </row>
    <row r="3951" spans="1:4">
      <c r="A3951" s="302">
        <v>93064</v>
      </c>
      <c r="B3951" s="301" t="s">
        <v>4586</v>
      </c>
      <c r="C3951" s="301" t="s">
        <v>28</v>
      </c>
      <c r="D3951" s="303">
        <v>28.9</v>
      </c>
    </row>
    <row r="3952" spans="1:4">
      <c r="A3952" s="302">
        <v>93065</v>
      </c>
      <c r="B3952" s="301" t="s">
        <v>4587</v>
      </c>
      <c r="C3952" s="301" t="s">
        <v>28</v>
      </c>
      <c r="D3952" s="303">
        <v>27.13</v>
      </c>
    </row>
    <row r="3953" spans="1:4">
      <c r="A3953" s="302">
        <v>93066</v>
      </c>
      <c r="B3953" s="301" t="s">
        <v>4588</v>
      </c>
      <c r="C3953" s="301" t="s">
        <v>28</v>
      </c>
      <c r="D3953" s="303">
        <v>470.06</v>
      </c>
    </row>
    <row r="3954" spans="1:4">
      <c r="A3954" s="302">
        <v>93067</v>
      </c>
      <c r="B3954" s="301" t="s">
        <v>4589</v>
      </c>
      <c r="C3954" s="301" t="s">
        <v>28</v>
      </c>
      <c r="D3954" s="303">
        <v>42.62</v>
      </c>
    </row>
    <row r="3955" spans="1:4">
      <c r="A3955" s="302">
        <v>93068</v>
      </c>
      <c r="B3955" s="301" t="s">
        <v>4590</v>
      </c>
      <c r="C3955" s="301" t="s">
        <v>28</v>
      </c>
      <c r="D3955" s="303">
        <v>37.44</v>
      </c>
    </row>
    <row r="3956" spans="1:4">
      <c r="A3956" s="302">
        <v>93069</v>
      </c>
      <c r="B3956" s="301" t="s">
        <v>4591</v>
      </c>
      <c r="C3956" s="301" t="s">
        <v>28</v>
      </c>
      <c r="D3956" s="303">
        <v>651.29999999999995</v>
      </c>
    </row>
    <row r="3957" spans="1:4">
      <c r="A3957" s="302">
        <v>93070</v>
      </c>
      <c r="B3957" s="301" t="s">
        <v>4592</v>
      </c>
      <c r="C3957" s="301" t="s">
        <v>28</v>
      </c>
      <c r="D3957" s="303">
        <v>105.96</v>
      </c>
    </row>
    <row r="3958" spans="1:4">
      <c r="A3958" s="302">
        <v>93071</v>
      </c>
      <c r="B3958" s="301" t="s">
        <v>4593</v>
      </c>
      <c r="C3958" s="301" t="s">
        <v>28</v>
      </c>
      <c r="D3958" s="303">
        <v>98.5</v>
      </c>
    </row>
    <row r="3959" spans="1:4">
      <c r="A3959" s="302">
        <v>93072</v>
      </c>
      <c r="B3959" s="301" t="s">
        <v>4594</v>
      </c>
      <c r="C3959" s="301" t="s">
        <v>28</v>
      </c>
      <c r="D3959" s="303">
        <v>859.17</v>
      </c>
    </row>
    <row r="3960" spans="1:4">
      <c r="A3960" s="302">
        <v>93073</v>
      </c>
      <c r="B3960" s="301" t="s">
        <v>4595</v>
      </c>
      <c r="C3960" s="301" t="s">
        <v>28</v>
      </c>
      <c r="D3960" s="303">
        <v>48.38</v>
      </c>
    </row>
    <row r="3961" spans="1:4">
      <c r="A3961" s="302">
        <v>93074</v>
      </c>
      <c r="B3961" s="301" t="s">
        <v>4596</v>
      </c>
      <c r="C3961" s="301" t="s">
        <v>28</v>
      </c>
      <c r="D3961" s="303">
        <v>8.39</v>
      </c>
    </row>
    <row r="3962" spans="1:4">
      <c r="A3962" s="302">
        <v>93075</v>
      </c>
      <c r="B3962" s="301" t="s">
        <v>4597</v>
      </c>
      <c r="C3962" s="301" t="s">
        <v>28</v>
      </c>
      <c r="D3962" s="303">
        <v>13.32</v>
      </c>
    </row>
    <row r="3963" spans="1:4">
      <c r="A3963" s="302">
        <v>93076</v>
      </c>
      <c r="B3963" s="301" t="s">
        <v>4598</v>
      </c>
      <c r="C3963" s="301" t="s">
        <v>28</v>
      </c>
      <c r="D3963" s="303">
        <v>13.11</v>
      </c>
    </row>
    <row r="3964" spans="1:4">
      <c r="A3964" s="302">
        <v>93077</v>
      </c>
      <c r="B3964" s="301" t="s">
        <v>4599</v>
      </c>
      <c r="C3964" s="301" t="s">
        <v>28</v>
      </c>
      <c r="D3964" s="303">
        <v>18.64</v>
      </c>
    </row>
    <row r="3965" spans="1:4">
      <c r="A3965" s="302">
        <v>93078</v>
      </c>
      <c r="B3965" s="301" t="s">
        <v>4600</v>
      </c>
      <c r="C3965" s="301" t="s">
        <v>28</v>
      </c>
      <c r="D3965" s="303">
        <v>20.09</v>
      </c>
    </row>
    <row r="3966" spans="1:4">
      <c r="A3966" s="302">
        <v>93079</v>
      </c>
      <c r="B3966" s="301" t="s">
        <v>4601</v>
      </c>
      <c r="C3966" s="301" t="s">
        <v>28</v>
      </c>
      <c r="D3966" s="303">
        <v>17.98</v>
      </c>
    </row>
    <row r="3967" spans="1:4">
      <c r="A3967" s="302">
        <v>93080</v>
      </c>
      <c r="B3967" s="301" t="s">
        <v>4602</v>
      </c>
      <c r="C3967" s="301" t="s">
        <v>28</v>
      </c>
      <c r="D3967" s="303">
        <v>5.5</v>
      </c>
    </row>
    <row r="3968" spans="1:4">
      <c r="A3968" s="302">
        <v>93081</v>
      </c>
      <c r="B3968" s="301" t="s">
        <v>4603</v>
      </c>
      <c r="C3968" s="301" t="s">
        <v>28</v>
      </c>
      <c r="D3968" s="303">
        <v>11.75</v>
      </c>
    </row>
    <row r="3969" spans="1:4">
      <c r="A3969" s="302">
        <v>93082</v>
      </c>
      <c r="B3969" s="301" t="s">
        <v>4604</v>
      </c>
      <c r="C3969" s="301" t="s">
        <v>28</v>
      </c>
      <c r="D3969" s="303">
        <v>14.24</v>
      </c>
    </row>
    <row r="3970" spans="1:4">
      <c r="A3970" s="302">
        <v>93083</v>
      </c>
      <c r="B3970" s="301" t="s">
        <v>4605</v>
      </c>
      <c r="C3970" s="301" t="s">
        <v>28</v>
      </c>
      <c r="D3970" s="303">
        <v>257.3</v>
      </c>
    </row>
    <row r="3971" spans="1:4">
      <c r="A3971" s="302">
        <v>93084</v>
      </c>
      <c r="B3971" s="301" t="s">
        <v>4606</v>
      </c>
      <c r="C3971" s="301" t="s">
        <v>28</v>
      </c>
      <c r="D3971" s="303">
        <v>8.69</v>
      </c>
    </row>
    <row r="3972" spans="1:4">
      <c r="A3972" s="302">
        <v>93085</v>
      </c>
      <c r="B3972" s="301" t="s">
        <v>4607</v>
      </c>
      <c r="C3972" s="301" t="s">
        <v>28</v>
      </c>
      <c r="D3972" s="303">
        <v>8.18</v>
      </c>
    </row>
    <row r="3973" spans="1:4">
      <c r="A3973" s="302">
        <v>93086</v>
      </c>
      <c r="B3973" s="301" t="s">
        <v>4608</v>
      </c>
      <c r="C3973" s="301" t="s">
        <v>28</v>
      </c>
      <c r="D3973" s="303">
        <v>298.79000000000002</v>
      </c>
    </row>
    <row r="3974" spans="1:4">
      <c r="A3974" s="302">
        <v>93087</v>
      </c>
      <c r="B3974" s="301" t="s">
        <v>4609</v>
      </c>
      <c r="C3974" s="301" t="s">
        <v>28</v>
      </c>
      <c r="D3974" s="303">
        <v>12.81</v>
      </c>
    </row>
    <row r="3975" spans="1:4">
      <c r="A3975" s="302">
        <v>93088</v>
      </c>
      <c r="B3975" s="301" t="s">
        <v>4610</v>
      </c>
      <c r="C3975" s="301" t="s">
        <v>28</v>
      </c>
      <c r="D3975" s="303">
        <v>14.9</v>
      </c>
    </row>
    <row r="3976" spans="1:4">
      <c r="A3976" s="302">
        <v>93089</v>
      </c>
      <c r="B3976" s="301" t="s">
        <v>4611</v>
      </c>
      <c r="C3976" s="301" t="s">
        <v>28</v>
      </c>
      <c r="D3976" s="303">
        <v>27.9</v>
      </c>
    </row>
    <row r="3977" spans="1:4">
      <c r="A3977" s="302">
        <v>93090</v>
      </c>
      <c r="B3977" s="301" t="s">
        <v>4612</v>
      </c>
      <c r="C3977" s="301" t="s">
        <v>28</v>
      </c>
      <c r="D3977" s="303">
        <v>11.85</v>
      </c>
    </row>
    <row r="3978" spans="1:4">
      <c r="A3978" s="302">
        <v>93091</v>
      </c>
      <c r="B3978" s="301" t="s">
        <v>4613</v>
      </c>
      <c r="C3978" s="301" t="s">
        <v>28</v>
      </c>
      <c r="D3978" s="303">
        <v>10.62</v>
      </c>
    </row>
    <row r="3979" spans="1:4">
      <c r="A3979" s="302">
        <v>93092</v>
      </c>
      <c r="B3979" s="301" t="s">
        <v>4614</v>
      </c>
      <c r="C3979" s="301" t="s">
        <v>28</v>
      </c>
      <c r="D3979" s="303">
        <v>328.46</v>
      </c>
    </row>
    <row r="3980" spans="1:4">
      <c r="A3980" s="302">
        <v>93093</v>
      </c>
      <c r="B3980" s="301" t="s">
        <v>4615</v>
      </c>
      <c r="C3980" s="301" t="s">
        <v>28</v>
      </c>
      <c r="D3980" s="303">
        <v>19.559999999999999</v>
      </c>
    </row>
    <row r="3981" spans="1:4">
      <c r="A3981" s="302">
        <v>93094</v>
      </c>
      <c r="B3981" s="301" t="s">
        <v>4616</v>
      </c>
      <c r="C3981" s="301" t="s">
        <v>28</v>
      </c>
      <c r="D3981" s="303">
        <v>47.18</v>
      </c>
    </row>
    <row r="3982" spans="1:4">
      <c r="A3982" s="302">
        <v>93095</v>
      </c>
      <c r="B3982" s="301" t="s">
        <v>4617</v>
      </c>
      <c r="C3982" s="301" t="s">
        <v>28</v>
      </c>
      <c r="D3982" s="303">
        <v>36.28</v>
      </c>
    </row>
    <row r="3983" spans="1:4">
      <c r="A3983" s="302">
        <v>93096</v>
      </c>
      <c r="B3983" s="301" t="s">
        <v>4618</v>
      </c>
      <c r="C3983" s="301" t="s">
        <v>28</v>
      </c>
      <c r="D3983" s="303">
        <v>51.34</v>
      </c>
    </row>
    <row r="3984" spans="1:4">
      <c r="A3984" s="302">
        <v>93097</v>
      </c>
      <c r="B3984" s="301" t="s">
        <v>4619</v>
      </c>
      <c r="C3984" s="301" t="s">
        <v>28</v>
      </c>
      <c r="D3984" s="303">
        <v>8.57</v>
      </c>
    </row>
    <row r="3985" spans="1:4">
      <c r="A3985" s="302">
        <v>93098</v>
      </c>
      <c r="B3985" s="301" t="s">
        <v>4620</v>
      </c>
      <c r="C3985" s="301" t="s">
        <v>28</v>
      </c>
      <c r="D3985" s="303">
        <v>13.5</v>
      </c>
    </row>
    <row r="3986" spans="1:4">
      <c r="A3986" s="302">
        <v>93099</v>
      </c>
      <c r="B3986" s="301" t="s">
        <v>4621</v>
      </c>
      <c r="C3986" s="301" t="s">
        <v>28</v>
      </c>
      <c r="D3986" s="303">
        <v>15.15</v>
      </c>
    </row>
    <row r="3987" spans="1:4">
      <c r="A3987" s="302">
        <v>93100</v>
      </c>
      <c r="B3987" s="301" t="s">
        <v>4622</v>
      </c>
      <c r="C3987" s="301" t="s">
        <v>28</v>
      </c>
      <c r="D3987" s="303">
        <v>20.68</v>
      </c>
    </row>
    <row r="3988" spans="1:4">
      <c r="A3988" s="302">
        <v>93101</v>
      </c>
      <c r="B3988" s="301" t="s">
        <v>4623</v>
      </c>
      <c r="C3988" s="301" t="s">
        <v>28</v>
      </c>
      <c r="D3988" s="303">
        <v>22.13</v>
      </c>
    </row>
    <row r="3989" spans="1:4">
      <c r="A3989" s="302">
        <v>93102</v>
      </c>
      <c r="B3989" s="301" t="s">
        <v>4624</v>
      </c>
      <c r="C3989" s="301" t="s">
        <v>28</v>
      </c>
      <c r="D3989" s="303">
        <v>19.850000000000001</v>
      </c>
    </row>
    <row r="3990" spans="1:4">
      <c r="A3990" s="302">
        <v>93103</v>
      </c>
      <c r="B3990" s="301" t="s">
        <v>4625</v>
      </c>
      <c r="C3990" s="301" t="s">
        <v>28</v>
      </c>
      <c r="D3990" s="303">
        <v>5.65</v>
      </c>
    </row>
    <row r="3991" spans="1:4">
      <c r="A3991" s="302">
        <v>93104</v>
      </c>
      <c r="B3991" s="301" t="s">
        <v>4626</v>
      </c>
      <c r="C3991" s="301" t="s">
        <v>28</v>
      </c>
      <c r="D3991" s="303">
        <v>11.9</v>
      </c>
    </row>
    <row r="3992" spans="1:4">
      <c r="A3992" s="302">
        <v>93105</v>
      </c>
      <c r="B3992" s="301" t="s">
        <v>4627</v>
      </c>
      <c r="C3992" s="301" t="s">
        <v>28</v>
      </c>
      <c r="D3992" s="303">
        <v>14.39</v>
      </c>
    </row>
    <row r="3993" spans="1:4">
      <c r="A3993" s="302">
        <v>93106</v>
      </c>
      <c r="B3993" s="301" t="s">
        <v>4628</v>
      </c>
      <c r="C3993" s="301" t="s">
        <v>28</v>
      </c>
      <c r="D3993" s="303">
        <v>257.45</v>
      </c>
    </row>
    <row r="3994" spans="1:4">
      <c r="A3994" s="302">
        <v>93107</v>
      </c>
      <c r="B3994" s="301" t="s">
        <v>4629</v>
      </c>
      <c r="C3994" s="301" t="s">
        <v>28</v>
      </c>
      <c r="D3994" s="303">
        <v>10.029999999999999</v>
      </c>
    </row>
    <row r="3995" spans="1:4">
      <c r="A3995" s="302">
        <v>93108</v>
      </c>
      <c r="B3995" s="301" t="s">
        <v>4630</v>
      </c>
      <c r="C3995" s="301" t="s">
        <v>28</v>
      </c>
      <c r="D3995" s="303">
        <v>9.52</v>
      </c>
    </row>
    <row r="3996" spans="1:4">
      <c r="A3996" s="302">
        <v>93109</v>
      </c>
      <c r="B3996" s="301" t="s">
        <v>4631</v>
      </c>
      <c r="C3996" s="301" t="s">
        <v>28</v>
      </c>
      <c r="D3996" s="303">
        <v>300.13</v>
      </c>
    </row>
    <row r="3997" spans="1:4">
      <c r="A3997" s="302">
        <v>93110</v>
      </c>
      <c r="B3997" s="301" t="s">
        <v>4632</v>
      </c>
      <c r="C3997" s="301" t="s">
        <v>28</v>
      </c>
      <c r="D3997" s="303">
        <v>14.15</v>
      </c>
    </row>
    <row r="3998" spans="1:4">
      <c r="A3998" s="302">
        <v>93111</v>
      </c>
      <c r="B3998" s="301" t="s">
        <v>4633</v>
      </c>
      <c r="C3998" s="301" t="s">
        <v>28</v>
      </c>
      <c r="D3998" s="303">
        <v>16.079999999999998</v>
      </c>
    </row>
    <row r="3999" spans="1:4">
      <c r="A3999" s="302">
        <v>93112</v>
      </c>
      <c r="B3999" s="301" t="s">
        <v>4634</v>
      </c>
      <c r="C3999" s="301" t="s">
        <v>28</v>
      </c>
      <c r="D3999" s="303">
        <v>29.24</v>
      </c>
    </row>
    <row r="4000" spans="1:4">
      <c r="A4000" s="302">
        <v>93113</v>
      </c>
      <c r="B4000" s="301" t="s">
        <v>4635</v>
      </c>
      <c r="C4000" s="301" t="s">
        <v>28</v>
      </c>
      <c r="D4000" s="303">
        <v>14.29</v>
      </c>
    </row>
    <row r="4001" spans="1:4">
      <c r="A4001" s="302">
        <v>93114</v>
      </c>
      <c r="B4001" s="301" t="s">
        <v>4636</v>
      </c>
      <c r="C4001" s="301" t="s">
        <v>28</v>
      </c>
      <c r="D4001" s="303">
        <v>22</v>
      </c>
    </row>
    <row r="4002" spans="1:4">
      <c r="A4002" s="302">
        <v>93115</v>
      </c>
      <c r="B4002" s="301" t="s">
        <v>4637</v>
      </c>
      <c r="C4002" s="301" t="s">
        <v>28</v>
      </c>
      <c r="D4002" s="303">
        <v>49.62</v>
      </c>
    </row>
    <row r="4003" spans="1:4">
      <c r="A4003" s="302">
        <v>93116</v>
      </c>
      <c r="B4003" s="301" t="s">
        <v>4638</v>
      </c>
      <c r="C4003" s="301" t="s">
        <v>28</v>
      </c>
      <c r="D4003" s="303">
        <v>330.9</v>
      </c>
    </row>
    <row r="4004" spans="1:4">
      <c r="A4004" s="302">
        <v>93117</v>
      </c>
      <c r="B4004" s="301" t="s">
        <v>4639</v>
      </c>
      <c r="C4004" s="301" t="s">
        <v>28</v>
      </c>
      <c r="D4004" s="303">
        <v>36.5</v>
      </c>
    </row>
    <row r="4005" spans="1:4">
      <c r="A4005" s="302">
        <v>93118</v>
      </c>
      <c r="B4005" s="301" t="s">
        <v>4640</v>
      </c>
      <c r="C4005" s="301" t="s">
        <v>28</v>
      </c>
      <c r="D4005" s="303">
        <v>54.04</v>
      </c>
    </row>
    <row r="4006" spans="1:4">
      <c r="A4006" s="302">
        <v>93119</v>
      </c>
      <c r="B4006" s="301" t="s">
        <v>4641</v>
      </c>
      <c r="C4006" s="301" t="s">
        <v>28</v>
      </c>
      <c r="D4006" s="303">
        <v>10.9</v>
      </c>
    </row>
    <row r="4007" spans="1:4">
      <c r="A4007" s="302">
        <v>93120</v>
      </c>
      <c r="B4007" s="301" t="s">
        <v>4642</v>
      </c>
      <c r="C4007" s="301" t="s">
        <v>28</v>
      </c>
      <c r="D4007" s="303">
        <v>16.43</v>
      </c>
    </row>
    <row r="4008" spans="1:4">
      <c r="A4008" s="302">
        <v>93121</v>
      </c>
      <c r="B4008" s="301" t="s">
        <v>4643</v>
      </c>
      <c r="C4008" s="301" t="s">
        <v>28</v>
      </c>
      <c r="D4008" s="303">
        <v>17.88</v>
      </c>
    </row>
    <row r="4009" spans="1:4">
      <c r="A4009" s="302">
        <v>93122</v>
      </c>
      <c r="B4009" s="301" t="s">
        <v>4644</v>
      </c>
      <c r="C4009" s="301" t="s">
        <v>28</v>
      </c>
      <c r="D4009" s="303">
        <v>15.78</v>
      </c>
    </row>
    <row r="4010" spans="1:4">
      <c r="A4010" s="302">
        <v>93123</v>
      </c>
      <c r="B4010" s="301" t="s">
        <v>4645</v>
      </c>
      <c r="C4010" s="301" t="s">
        <v>28</v>
      </c>
      <c r="D4010" s="303">
        <v>33.869999999999997</v>
      </c>
    </row>
    <row r="4011" spans="1:4">
      <c r="A4011" s="302">
        <v>93124</v>
      </c>
      <c r="B4011" s="301" t="s">
        <v>4646</v>
      </c>
      <c r="C4011" s="301" t="s">
        <v>28</v>
      </c>
      <c r="D4011" s="303">
        <v>52.86</v>
      </c>
    </row>
    <row r="4012" spans="1:4">
      <c r="A4012" s="302">
        <v>93125</v>
      </c>
      <c r="B4012" s="301" t="s">
        <v>4647</v>
      </c>
      <c r="C4012" s="301" t="s">
        <v>28</v>
      </c>
      <c r="D4012" s="303">
        <v>76.63</v>
      </c>
    </row>
    <row r="4013" spans="1:4">
      <c r="A4013" s="302">
        <v>93126</v>
      </c>
      <c r="B4013" s="301" t="s">
        <v>4648</v>
      </c>
      <c r="C4013" s="301" t="s">
        <v>28</v>
      </c>
      <c r="D4013" s="303">
        <v>168.32</v>
      </c>
    </row>
    <row r="4014" spans="1:4">
      <c r="A4014" s="302">
        <v>93133</v>
      </c>
      <c r="B4014" s="301" t="s">
        <v>4649</v>
      </c>
      <c r="C4014" s="301" t="s">
        <v>28</v>
      </c>
      <c r="D4014" s="303">
        <v>13.06</v>
      </c>
    </row>
    <row r="4015" spans="1:4">
      <c r="A4015" s="302">
        <v>94465</v>
      </c>
      <c r="B4015" s="301" t="s">
        <v>4650</v>
      </c>
      <c r="C4015" s="301" t="s">
        <v>28</v>
      </c>
      <c r="D4015" s="303">
        <v>30.19</v>
      </c>
    </row>
    <row r="4016" spans="1:4">
      <c r="A4016" s="302">
        <v>94466</v>
      </c>
      <c r="B4016" s="301" t="s">
        <v>4651</v>
      </c>
      <c r="C4016" s="301" t="s">
        <v>28</v>
      </c>
      <c r="D4016" s="303">
        <v>30.21</v>
      </c>
    </row>
    <row r="4017" spans="1:4">
      <c r="A4017" s="302">
        <v>94467</v>
      </c>
      <c r="B4017" s="301" t="s">
        <v>4652</v>
      </c>
      <c r="C4017" s="301" t="s">
        <v>28</v>
      </c>
      <c r="D4017" s="303">
        <v>44.57</v>
      </c>
    </row>
    <row r="4018" spans="1:4">
      <c r="A4018" s="302">
        <v>94468</v>
      </c>
      <c r="B4018" s="301" t="s">
        <v>4653</v>
      </c>
      <c r="C4018" s="301" t="s">
        <v>28</v>
      </c>
      <c r="D4018" s="303">
        <v>39.47</v>
      </c>
    </row>
    <row r="4019" spans="1:4">
      <c r="A4019" s="302">
        <v>94469</v>
      </c>
      <c r="B4019" s="301" t="s">
        <v>4654</v>
      </c>
      <c r="C4019" s="301" t="s">
        <v>28</v>
      </c>
      <c r="D4019" s="303">
        <v>63.98</v>
      </c>
    </row>
    <row r="4020" spans="1:4">
      <c r="A4020" s="302">
        <v>94470</v>
      </c>
      <c r="B4020" s="301" t="s">
        <v>4655</v>
      </c>
      <c r="C4020" s="301" t="s">
        <v>28</v>
      </c>
      <c r="D4020" s="303">
        <v>59.44</v>
      </c>
    </row>
    <row r="4021" spans="1:4">
      <c r="A4021" s="302">
        <v>94471</v>
      </c>
      <c r="B4021" s="301" t="s">
        <v>4656</v>
      </c>
      <c r="C4021" s="301" t="s">
        <v>28</v>
      </c>
      <c r="D4021" s="303">
        <v>43.66</v>
      </c>
    </row>
    <row r="4022" spans="1:4">
      <c r="A4022" s="302">
        <v>94472</v>
      </c>
      <c r="B4022" s="301" t="s">
        <v>4657</v>
      </c>
      <c r="C4022" s="301" t="s">
        <v>28</v>
      </c>
      <c r="D4022" s="303">
        <v>44.8</v>
      </c>
    </row>
    <row r="4023" spans="1:4">
      <c r="A4023" s="302">
        <v>94473</v>
      </c>
      <c r="B4023" s="301" t="s">
        <v>102</v>
      </c>
      <c r="C4023" s="301" t="s">
        <v>28</v>
      </c>
      <c r="D4023" s="303">
        <v>63.98</v>
      </c>
    </row>
    <row r="4024" spans="1:4">
      <c r="A4024" s="302">
        <v>94474</v>
      </c>
      <c r="B4024" s="301" t="s">
        <v>4658</v>
      </c>
      <c r="C4024" s="301" t="s">
        <v>28</v>
      </c>
      <c r="D4024" s="303">
        <v>68.98</v>
      </c>
    </row>
    <row r="4025" spans="1:4">
      <c r="A4025" s="302">
        <v>94475</v>
      </c>
      <c r="B4025" s="301" t="s">
        <v>4659</v>
      </c>
      <c r="C4025" s="301" t="s">
        <v>28</v>
      </c>
      <c r="D4025" s="303">
        <v>87.24</v>
      </c>
    </row>
    <row r="4026" spans="1:4">
      <c r="A4026" s="302">
        <v>94476</v>
      </c>
      <c r="B4026" s="301" t="s">
        <v>4660</v>
      </c>
      <c r="C4026" s="301" t="s">
        <v>28</v>
      </c>
      <c r="D4026" s="303">
        <v>96.86</v>
      </c>
    </row>
    <row r="4027" spans="1:4">
      <c r="A4027" s="302">
        <v>94477</v>
      </c>
      <c r="B4027" s="301" t="s">
        <v>4661</v>
      </c>
      <c r="C4027" s="301" t="s">
        <v>28</v>
      </c>
      <c r="D4027" s="303">
        <v>58.17</v>
      </c>
    </row>
    <row r="4028" spans="1:4">
      <c r="A4028" s="302">
        <v>94478</v>
      </c>
      <c r="B4028" s="301" t="s">
        <v>4662</v>
      </c>
      <c r="C4028" s="301" t="s">
        <v>28</v>
      </c>
      <c r="D4028" s="303">
        <v>87.78</v>
      </c>
    </row>
    <row r="4029" spans="1:4">
      <c r="A4029" s="302">
        <v>94479</v>
      </c>
      <c r="B4029" s="301" t="s">
        <v>4663</v>
      </c>
      <c r="C4029" s="301" t="s">
        <v>28</v>
      </c>
      <c r="D4029" s="303">
        <v>115.37</v>
      </c>
    </row>
    <row r="4030" spans="1:4">
      <c r="A4030" s="302">
        <v>94606</v>
      </c>
      <c r="B4030" s="301" t="s">
        <v>4664</v>
      </c>
      <c r="C4030" s="301" t="s">
        <v>28</v>
      </c>
      <c r="D4030" s="303">
        <v>48.77</v>
      </c>
    </row>
    <row r="4031" spans="1:4">
      <c r="A4031" s="302">
        <v>94608</v>
      </c>
      <c r="B4031" s="301" t="s">
        <v>4665</v>
      </c>
      <c r="C4031" s="301" t="s">
        <v>28</v>
      </c>
      <c r="D4031" s="303">
        <v>114.42</v>
      </c>
    </row>
    <row r="4032" spans="1:4">
      <c r="A4032" s="302">
        <v>94610</v>
      </c>
      <c r="B4032" s="301" t="s">
        <v>4666</v>
      </c>
      <c r="C4032" s="301" t="s">
        <v>28</v>
      </c>
      <c r="D4032" s="303">
        <v>168.49</v>
      </c>
    </row>
    <row r="4033" spans="1:4">
      <c r="A4033" s="302">
        <v>94612</v>
      </c>
      <c r="B4033" s="301" t="s">
        <v>4667</v>
      </c>
      <c r="C4033" s="301" t="s">
        <v>28</v>
      </c>
      <c r="D4033" s="303">
        <v>234.77</v>
      </c>
    </row>
    <row r="4034" spans="1:4">
      <c r="A4034" s="302">
        <v>94614</v>
      </c>
      <c r="B4034" s="301" t="s">
        <v>4668</v>
      </c>
      <c r="C4034" s="301" t="s">
        <v>28</v>
      </c>
      <c r="D4034" s="303">
        <v>81.790000000000006</v>
      </c>
    </row>
    <row r="4035" spans="1:4">
      <c r="A4035" s="302">
        <v>94615</v>
      </c>
      <c r="B4035" s="301" t="s">
        <v>4669</v>
      </c>
      <c r="C4035" s="301" t="s">
        <v>28</v>
      </c>
      <c r="D4035" s="303">
        <v>92.09</v>
      </c>
    </row>
    <row r="4036" spans="1:4">
      <c r="A4036" s="302">
        <v>94616</v>
      </c>
      <c r="B4036" s="301" t="s">
        <v>4670</v>
      </c>
      <c r="C4036" s="301" t="s">
        <v>28</v>
      </c>
      <c r="D4036" s="303">
        <v>217.23</v>
      </c>
    </row>
    <row r="4037" spans="1:4">
      <c r="A4037" s="302">
        <v>94617</v>
      </c>
      <c r="B4037" s="301" t="s">
        <v>4671</v>
      </c>
      <c r="C4037" s="301" t="s">
        <v>28</v>
      </c>
      <c r="D4037" s="303">
        <v>181.4</v>
      </c>
    </row>
    <row r="4038" spans="1:4">
      <c r="A4038" s="302">
        <v>94618</v>
      </c>
      <c r="B4038" s="301" t="s">
        <v>4672</v>
      </c>
      <c r="C4038" s="301" t="s">
        <v>28</v>
      </c>
      <c r="D4038" s="303">
        <v>213.94</v>
      </c>
    </row>
    <row r="4039" spans="1:4">
      <c r="A4039" s="302">
        <v>94620</v>
      </c>
      <c r="B4039" s="301" t="s">
        <v>4673</v>
      </c>
      <c r="C4039" s="301" t="s">
        <v>28</v>
      </c>
      <c r="D4039" s="303">
        <v>481.97</v>
      </c>
    </row>
    <row r="4040" spans="1:4">
      <c r="A4040" s="302">
        <v>94622</v>
      </c>
      <c r="B4040" s="301" t="s">
        <v>4674</v>
      </c>
      <c r="C4040" s="301" t="s">
        <v>28</v>
      </c>
      <c r="D4040" s="303">
        <v>118.94</v>
      </c>
    </row>
    <row r="4041" spans="1:4">
      <c r="A4041" s="302">
        <v>94623</v>
      </c>
      <c r="B4041" s="301" t="s">
        <v>4675</v>
      </c>
      <c r="C4041" s="301" t="s">
        <v>28</v>
      </c>
      <c r="D4041" s="303">
        <v>269.60000000000002</v>
      </c>
    </row>
    <row r="4042" spans="1:4">
      <c r="A4042" s="302">
        <v>94624</v>
      </c>
      <c r="B4042" s="301" t="s">
        <v>4676</v>
      </c>
      <c r="C4042" s="301" t="s">
        <v>28</v>
      </c>
      <c r="D4042" s="303">
        <v>407.03</v>
      </c>
    </row>
    <row r="4043" spans="1:4">
      <c r="A4043" s="302">
        <v>94625</v>
      </c>
      <c r="B4043" s="301" t="s">
        <v>4677</v>
      </c>
      <c r="C4043" s="301" t="s">
        <v>28</v>
      </c>
      <c r="D4043" s="303">
        <v>838.14</v>
      </c>
    </row>
    <row r="4044" spans="1:4">
      <c r="A4044" s="302">
        <v>94656</v>
      </c>
      <c r="B4044" s="301" t="s">
        <v>4678</v>
      </c>
      <c r="C4044" s="301" t="s">
        <v>28</v>
      </c>
      <c r="D4044" s="303">
        <v>4.9400000000000004</v>
      </c>
    </row>
    <row r="4045" spans="1:4">
      <c r="A4045" s="302">
        <v>94657</v>
      </c>
      <c r="B4045" s="301" t="s">
        <v>4679</v>
      </c>
      <c r="C4045" s="301" t="s">
        <v>28</v>
      </c>
      <c r="D4045" s="303">
        <v>4.87</v>
      </c>
    </row>
    <row r="4046" spans="1:4">
      <c r="A4046" s="302">
        <v>94658</v>
      </c>
      <c r="B4046" s="301" t="s">
        <v>370</v>
      </c>
      <c r="C4046" s="301" t="s">
        <v>28</v>
      </c>
      <c r="D4046" s="303">
        <v>5.62</v>
      </c>
    </row>
    <row r="4047" spans="1:4">
      <c r="A4047" s="302">
        <v>94659</v>
      </c>
      <c r="B4047" s="301" t="s">
        <v>4680</v>
      </c>
      <c r="C4047" s="301" t="s">
        <v>28</v>
      </c>
      <c r="D4047" s="303">
        <v>5.69</v>
      </c>
    </row>
    <row r="4048" spans="1:4">
      <c r="A4048" s="302">
        <v>94660</v>
      </c>
      <c r="B4048" s="301" t="s">
        <v>4681</v>
      </c>
      <c r="C4048" s="301" t="s">
        <v>28</v>
      </c>
      <c r="D4048" s="303">
        <v>9.18</v>
      </c>
    </row>
    <row r="4049" spans="1:4">
      <c r="A4049" s="302">
        <v>94661</v>
      </c>
      <c r="B4049" s="301" t="s">
        <v>4682</v>
      </c>
      <c r="C4049" s="301" t="s">
        <v>28</v>
      </c>
      <c r="D4049" s="303">
        <v>9.51</v>
      </c>
    </row>
    <row r="4050" spans="1:4">
      <c r="A4050" s="302">
        <v>94662</v>
      </c>
      <c r="B4050" s="301" t="s">
        <v>371</v>
      </c>
      <c r="C4050" s="301" t="s">
        <v>28</v>
      </c>
      <c r="D4050" s="303">
        <v>9.86</v>
      </c>
    </row>
    <row r="4051" spans="1:4">
      <c r="A4051" s="302">
        <v>94663</v>
      </c>
      <c r="B4051" s="301" t="s">
        <v>4683</v>
      </c>
      <c r="C4051" s="301" t="s">
        <v>28</v>
      </c>
      <c r="D4051" s="303">
        <v>9.99</v>
      </c>
    </row>
    <row r="4052" spans="1:4">
      <c r="A4052" s="302">
        <v>94664</v>
      </c>
      <c r="B4052" s="301" t="s">
        <v>4684</v>
      </c>
      <c r="C4052" s="301" t="s">
        <v>28</v>
      </c>
      <c r="D4052" s="303">
        <v>21.02</v>
      </c>
    </row>
    <row r="4053" spans="1:4">
      <c r="A4053" s="302">
        <v>94665</v>
      </c>
      <c r="B4053" s="301" t="s">
        <v>4685</v>
      </c>
      <c r="C4053" s="301" t="s">
        <v>28</v>
      </c>
      <c r="D4053" s="303">
        <v>21.01</v>
      </c>
    </row>
    <row r="4054" spans="1:4">
      <c r="A4054" s="302">
        <v>94666</v>
      </c>
      <c r="B4054" s="301" t="s">
        <v>4686</v>
      </c>
      <c r="C4054" s="301" t="s">
        <v>28</v>
      </c>
      <c r="D4054" s="303">
        <v>24.94</v>
      </c>
    </row>
    <row r="4055" spans="1:4">
      <c r="A4055" s="302">
        <v>94667</v>
      </c>
      <c r="B4055" s="301" t="s">
        <v>4687</v>
      </c>
      <c r="C4055" s="301" t="s">
        <v>28</v>
      </c>
      <c r="D4055" s="303">
        <v>27.38</v>
      </c>
    </row>
    <row r="4056" spans="1:4">
      <c r="A4056" s="302">
        <v>94668</v>
      </c>
      <c r="B4056" s="301" t="s">
        <v>4688</v>
      </c>
      <c r="C4056" s="301" t="s">
        <v>28</v>
      </c>
      <c r="D4056" s="303">
        <v>43.04</v>
      </c>
    </row>
    <row r="4057" spans="1:4">
      <c r="A4057" s="302">
        <v>94669</v>
      </c>
      <c r="B4057" s="301" t="s">
        <v>4689</v>
      </c>
      <c r="C4057" s="301" t="s">
        <v>28</v>
      </c>
      <c r="D4057" s="303">
        <v>56.73</v>
      </c>
    </row>
    <row r="4058" spans="1:4">
      <c r="A4058" s="302">
        <v>94670</v>
      </c>
      <c r="B4058" s="301" t="s">
        <v>4690</v>
      </c>
      <c r="C4058" s="301" t="s">
        <v>28</v>
      </c>
      <c r="D4058" s="303">
        <v>55.23</v>
      </c>
    </row>
    <row r="4059" spans="1:4">
      <c r="A4059" s="302">
        <v>94671</v>
      </c>
      <c r="B4059" s="301" t="s">
        <v>4691</v>
      </c>
      <c r="C4059" s="301" t="s">
        <v>28</v>
      </c>
      <c r="D4059" s="303">
        <v>78.069999999999993</v>
      </c>
    </row>
    <row r="4060" spans="1:4">
      <c r="A4060" s="302">
        <v>94672</v>
      </c>
      <c r="B4060" s="301" t="s">
        <v>364</v>
      </c>
      <c r="C4060" s="301" t="s">
        <v>28</v>
      </c>
      <c r="D4060" s="303">
        <v>8.11</v>
      </c>
    </row>
    <row r="4061" spans="1:4">
      <c r="A4061" s="302">
        <v>94673</v>
      </c>
      <c r="B4061" s="301" t="s">
        <v>4692</v>
      </c>
      <c r="C4061" s="301" t="s">
        <v>28</v>
      </c>
      <c r="D4061" s="303">
        <v>7.93</v>
      </c>
    </row>
    <row r="4062" spans="1:4">
      <c r="A4062" s="302">
        <v>94674</v>
      </c>
      <c r="B4062" s="301" t="s">
        <v>4693</v>
      </c>
      <c r="C4062" s="301" t="s">
        <v>28</v>
      </c>
      <c r="D4062" s="303">
        <v>7.29</v>
      </c>
    </row>
    <row r="4063" spans="1:4">
      <c r="A4063" s="302">
        <v>94675</v>
      </c>
      <c r="B4063" s="301" t="s">
        <v>4694</v>
      </c>
      <c r="C4063" s="301" t="s">
        <v>28</v>
      </c>
      <c r="D4063" s="303">
        <v>10.74</v>
      </c>
    </row>
    <row r="4064" spans="1:4">
      <c r="A4064" s="302">
        <v>94676</v>
      </c>
      <c r="B4064" s="301" t="s">
        <v>4695</v>
      </c>
      <c r="C4064" s="301" t="s">
        <v>28</v>
      </c>
      <c r="D4064" s="303">
        <v>12.44</v>
      </c>
    </row>
    <row r="4065" spans="1:4">
      <c r="A4065" s="302">
        <v>94677</v>
      </c>
      <c r="B4065" s="301" t="s">
        <v>4696</v>
      </c>
      <c r="C4065" s="301" t="s">
        <v>28</v>
      </c>
      <c r="D4065" s="303">
        <v>17.63</v>
      </c>
    </row>
    <row r="4066" spans="1:4">
      <c r="A4066" s="302">
        <v>94678</v>
      </c>
      <c r="B4066" s="301" t="s">
        <v>4697</v>
      </c>
      <c r="C4066" s="301" t="s">
        <v>28</v>
      </c>
      <c r="D4066" s="303">
        <v>12.74</v>
      </c>
    </row>
    <row r="4067" spans="1:4">
      <c r="A4067" s="302">
        <v>94679</v>
      </c>
      <c r="B4067" s="301" t="s">
        <v>4698</v>
      </c>
      <c r="C4067" s="301" t="s">
        <v>28</v>
      </c>
      <c r="D4067" s="303">
        <v>19.579999999999998</v>
      </c>
    </row>
    <row r="4068" spans="1:4">
      <c r="A4068" s="302">
        <v>94680</v>
      </c>
      <c r="B4068" s="301" t="s">
        <v>4699</v>
      </c>
      <c r="C4068" s="301" t="s">
        <v>28</v>
      </c>
      <c r="D4068" s="303">
        <v>33.18</v>
      </c>
    </row>
    <row r="4069" spans="1:4">
      <c r="A4069" s="302">
        <v>94681</v>
      </c>
      <c r="B4069" s="301" t="s">
        <v>4700</v>
      </c>
      <c r="C4069" s="301" t="s">
        <v>28</v>
      </c>
      <c r="D4069" s="303">
        <v>42.55</v>
      </c>
    </row>
    <row r="4070" spans="1:4">
      <c r="A4070" s="302">
        <v>94682</v>
      </c>
      <c r="B4070" s="301" t="s">
        <v>4701</v>
      </c>
      <c r="C4070" s="301" t="s">
        <v>28</v>
      </c>
      <c r="D4070" s="303">
        <v>81.41</v>
      </c>
    </row>
    <row r="4071" spans="1:4">
      <c r="A4071" s="302">
        <v>94683</v>
      </c>
      <c r="B4071" s="301" t="s">
        <v>4702</v>
      </c>
      <c r="C4071" s="301" t="s">
        <v>28</v>
      </c>
      <c r="D4071" s="303">
        <v>53.89</v>
      </c>
    </row>
    <row r="4072" spans="1:4">
      <c r="A4072" s="302">
        <v>94684</v>
      </c>
      <c r="B4072" s="301" t="s">
        <v>4703</v>
      </c>
      <c r="C4072" s="301" t="s">
        <v>28</v>
      </c>
      <c r="D4072" s="303">
        <v>106.02</v>
      </c>
    </row>
    <row r="4073" spans="1:4">
      <c r="A4073" s="302">
        <v>94685</v>
      </c>
      <c r="B4073" s="301" t="s">
        <v>4704</v>
      </c>
      <c r="C4073" s="301" t="s">
        <v>28</v>
      </c>
      <c r="D4073" s="303">
        <v>83.12</v>
      </c>
    </row>
    <row r="4074" spans="1:4">
      <c r="A4074" s="302">
        <v>94686</v>
      </c>
      <c r="B4074" s="301" t="s">
        <v>4705</v>
      </c>
      <c r="C4074" s="301" t="s">
        <v>28</v>
      </c>
      <c r="D4074" s="303">
        <v>192.37</v>
      </c>
    </row>
    <row r="4075" spans="1:4">
      <c r="A4075" s="302">
        <v>94687</v>
      </c>
      <c r="B4075" s="301" t="s">
        <v>4706</v>
      </c>
      <c r="C4075" s="301" t="s">
        <v>28</v>
      </c>
      <c r="D4075" s="303">
        <v>157.84</v>
      </c>
    </row>
    <row r="4076" spans="1:4">
      <c r="A4076" s="302">
        <v>94688</v>
      </c>
      <c r="B4076" s="301" t="s">
        <v>4707</v>
      </c>
      <c r="C4076" s="301" t="s">
        <v>28</v>
      </c>
      <c r="D4076" s="303">
        <v>8.6999999999999993</v>
      </c>
    </row>
    <row r="4077" spans="1:4">
      <c r="A4077" s="302">
        <v>94689</v>
      </c>
      <c r="B4077" s="301" t="s">
        <v>4708</v>
      </c>
      <c r="C4077" s="301" t="s">
        <v>28</v>
      </c>
      <c r="D4077" s="303">
        <v>11.18</v>
      </c>
    </row>
    <row r="4078" spans="1:4">
      <c r="A4078" s="302">
        <v>94690</v>
      </c>
      <c r="B4078" s="301" t="s">
        <v>4709</v>
      </c>
      <c r="C4078" s="301" t="s">
        <v>28</v>
      </c>
      <c r="D4078" s="303">
        <v>10.78</v>
      </c>
    </row>
    <row r="4079" spans="1:4">
      <c r="A4079" s="302">
        <v>94691</v>
      </c>
      <c r="B4079" s="301" t="s">
        <v>4710</v>
      </c>
      <c r="C4079" s="301" t="s">
        <v>28</v>
      </c>
      <c r="D4079" s="303">
        <v>12.22</v>
      </c>
    </row>
    <row r="4080" spans="1:4">
      <c r="A4080" s="302">
        <v>94692</v>
      </c>
      <c r="B4080" s="301" t="s">
        <v>4711</v>
      </c>
      <c r="C4080" s="301" t="s">
        <v>28</v>
      </c>
      <c r="D4080" s="303">
        <v>18.559999999999999</v>
      </c>
    </row>
    <row r="4081" spans="1:4">
      <c r="A4081" s="302">
        <v>94693</v>
      </c>
      <c r="B4081" s="301" t="s">
        <v>4712</v>
      </c>
      <c r="C4081" s="301" t="s">
        <v>28</v>
      </c>
      <c r="D4081" s="303">
        <v>19.28</v>
      </c>
    </row>
    <row r="4082" spans="1:4">
      <c r="A4082" s="302">
        <v>94694</v>
      </c>
      <c r="B4082" s="301" t="s">
        <v>4713</v>
      </c>
      <c r="C4082" s="301" t="s">
        <v>28</v>
      </c>
      <c r="D4082" s="303">
        <v>19.32</v>
      </c>
    </row>
    <row r="4083" spans="1:4">
      <c r="A4083" s="302">
        <v>94695</v>
      </c>
      <c r="B4083" s="301" t="s">
        <v>4714</v>
      </c>
      <c r="C4083" s="301" t="s">
        <v>28</v>
      </c>
      <c r="D4083" s="303">
        <v>24.91</v>
      </c>
    </row>
    <row r="4084" spans="1:4">
      <c r="A4084" s="302">
        <v>94696</v>
      </c>
      <c r="B4084" s="301" t="s">
        <v>4715</v>
      </c>
      <c r="C4084" s="301" t="s">
        <v>28</v>
      </c>
      <c r="D4084" s="303">
        <v>43.6</v>
      </c>
    </row>
    <row r="4085" spans="1:4">
      <c r="A4085" s="302">
        <v>94697</v>
      </c>
      <c r="B4085" s="301" t="s">
        <v>4716</v>
      </c>
      <c r="C4085" s="301" t="s">
        <v>28</v>
      </c>
      <c r="D4085" s="303">
        <v>65.25</v>
      </c>
    </row>
    <row r="4086" spans="1:4">
      <c r="A4086" s="302">
        <v>94698</v>
      </c>
      <c r="B4086" s="301" t="s">
        <v>4717</v>
      </c>
      <c r="C4086" s="301" t="s">
        <v>28</v>
      </c>
      <c r="D4086" s="303">
        <v>57.64</v>
      </c>
    </row>
    <row r="4087" spans="1:4">
      <c r="A4087" s="302">
        <v>94699</v>
      </c>
      <c r="B4087" s="301" t="s">
        <v>4718</v>
      </c>
      <c r="C4087" s="301" t="s">
        <v>28</v>
      </c>
      <c r="D4087" s="303">
        <v>110.49</v>
      </c>
    </row>
    <row r="4088" spans="1:4">
      <c r="A4088" s="302">
        <v>94700</v>
      </c>
      <c r="B4088" s="301" t="s">
        <v>4719</v>
      </c>
      <c r="C4088" s="301" t="s">
        <v>28</v>
      </c>
      <c r="D4088" s="303">
        <v>94.91</v>
      </c>
    </row>
    <row r="4089" spans="1:4">
      <c r="A4089" s="302">
        <v>94701</v>
      </c>
      <c r="B4089" s="301" t="s">
        <v>4720</v>
      </c>
      <c r="C4089" s="301" t="s">
        <v>28</v>
      </c>
      <c r="D4089" s="303">
        <v>159.91999999999999</v>
      </c>
    </row>
    <row r="4090" spans="1:4">
      <c r="A4090" s="302">
        <v>94702</v>
      </c>
      <c r="B4090" s="301" t="s">
        <v>4721</v>
      </c>
      <c r="C4090" s="301" t="s">
        <v>28</v>
      </c>
      <c r="D4090" s="303">
        <v>151.94999999999999</v>
      </c>
    </row>
    <row r="4091" spans="1:4">
      <c r="A4091" s="302">
        <v>94703</v>
      </c>
      <c r="B4091" s="301" t="s">
        <v>4722</v>
      </c>
      <c r="C4091" s="301" t="s">
        <v>28</v>
      </c>
      <c r="D4091" s="303">
        <v>14.5</v>
      </c>
    </row>
    <row r="4092" spans="1:4">
      <c r="A4092" s="302">
        <v>94704</v>
      </c>
      <c r="B4092" s="301" t="s">
        <v>4723</v>
      </c>
      <c r="C4092" s="301" t="s">
        <v>28</v>
      </c>
      <c r="D4092" s="303">
        <v>16.899999999999999</v>
      </c>
    </row>
    <row r="4093" spans="1:4">
      <c r="A4093" s="302">
        <v>94705</v>
      </c>
      <c r="B4093" s="301" t="s">
        <v>4724</v>
      </c>
      <c r="C4093" s="301" t="s">
        <v>28</v>
      </c>
      <c r="D4093" s="303">
        <v>20.52</v>
      </c>
    </row>
    <row r="4094" spans="1:4">
      <c r="A4094" s="302">
        <v>94706</v>
      </c>
      <c r="B4094" s="301" t="s">
        <v>4725</v>
      </c>
      <c r="C4094" s="301" t="s">
        <v>28</v>
      </c>
      <c r="D4094" s="303">
        <v>30.87</v>
      </c>
    </row>
    <row r="4095" spans="1:4">
      <c r="A4095" s="302">
        <v>94707</v>
      </c>
      <c r="B4095" s="301" t="s">
        <v>4726</v>
      </c>
      <c r="C4095" s="301" t="s">
        <v>28</v>
      </c>
      <c r="D4095" s="303">
        <v>37.590000000000003</v>
      </c>
    </row>
    <row r="4096" spans="1:4">
      <c r="A4096" s="302">
        <v>94708</v>
      </c>
      <c r="B4096" s="301" t="s">
        <v>4727</v>
      </c>
      <c r="C4096" s="301" t="s">
        <v>28</v>
      </c>
      <c r="D4096" s="303">
        <v>18.87</v>
      </c>
    </row>
    <row r="4097" spans="1:4">
      <c r="A4097" s="302">
        <v>94709</v>
      </c>
      <c r="B4097" s="301" t="s">
        <v>367</v>
      </c>
      <c r="C4097" s="301" t="s">
        <v>28</v>
      </c>
      <c r="D4097" s="303">
        <v>23.64</v>
      </c>
    </row>
    <row r="4098" spans="1:4">
      <c r="A4098" s="302">
        <v>94710</v>
      </c>
      <c r="B4098" s="301" t="s">
        <v>4728</v>
      </c>
      <c r="C4098" s="301" t="s">
        <v>28</v>
      </c>
      <c r="D4098" s="303">
        <v>35.479999999999997</v>
      </c>
    </row>
    <row r="4099" spans="1:4">
      <c r="A4099" s="302">
        <v>94711</v>
      </c>
      <c r="B4099" s="301" t="s">
        <v>368</v>
      </c>
      <c r="C4099" s="301" t="s">
        <v>28</v>
      </c>
      <c r="D4099" s="303">
        <v>44.06</v>
      </c>
    </row>
    <row r="4100" spans="1:4">
      <c r="A4100" s="302">
        <v>94712</v>
      </c>
      <c r="B4100" s="301" t="s">
        <v>4729</v>
      </c>
      <c r="C4100" s="301" t="s">
        <v>28</v>
      </c>
      <c r="D4100" s="303">
        <v>57.65</v>
      </c>
    </row>
    <row r="4101" spans="1:4">
      <c r="A4101" s="302">
        <v>94713</v>
      </c>
      <c r="B4101" s="301" t="s">
        <v>4730</v>
      </c>
      <c r="C4101" s="301" t="s">
        <v>28</v>
      </c>
      <c r="D4101" s="303">
        <v>143.88999999999999</v>
      </c>
    </row>
    <row r="4102" spans="1:4">
      <c r="A4102" s="302">
        <v>94714</v>
      </c>
      <c r="B4102" s="301" t="s">
        <v>369</v>
      </c>
      <c r="C4102" s="301" t="s">
        <v>28</v>
      </c>
      <c r="D4102" s="303">
        <v>193.61</v>
      </c>
    </row>
    <row r="4103" spans="1:4">
      <c r="A4103" s="302">
        <v>94715</v>
      </c>
      <c r="B4103" s="301" t="s">
        <v>4731</v>
      </c>
      <c r="C4103" s="301" t="s">
        <v>28</v>
      </c>
      <c r="D4103" s="303">
        <v>265.70999999999998</v>
      </c>
    </row>
    <row r="4104" spans="1:4">
      <c r="A4104" s="302">
        <v>94724</v>
      </c>
      <c r="B4104" s="301" t="s">
        <v>4732</v>
      </c>
      <c r="C4104" s="301" t="s">
        <v>28</v>
      </c>
      <c r="D4104" s="303">
        <v>29.37</v>
      </c>
    </row>
    <row r="4105" spans="1:4">
      <c r="A4105" s="302">
        <v>94725</v>
      </c>
      <c r="B4105" s="301" t="s">
        <v>4733</v>
      </c>
      <c r="C4105" s="301" t="s">
        <v>28</v>
      </c>
      <c r="D4105" s="303">
        <v>6.17</v>
      </c>
    </row>
    <row r="4106" spans="1:4">
      <c r="A4106" s="302">
        <v>94726</v>
      </c>
      <c r="B4106" s="301" t="s">
        <v>4734</v>
      </c>
      <c r="C4106" s="301" t="s">
        <v>28</v>
      </c>
      <c r="D4106" s="303">
        <v>45.97</v>
      </c>
    </row>
    <row r="4107" spans="1:4">
      <c r="A4107" s="302">
        <v>94727</v>
      </c>
      <c r="B4107" s="301" t="s">
        <v>4735</v>
      </c>
      <c r="C4107" s="301" t="s">
        <v>28</v>
      </c>
      <c r="D4107" s="303">
        <v>9.24</v>
      </c>
    </row>
    <row r="4108" spans="1:4">
      <c r="A4108" s="302">
        <v>94728</v>
      </c>
      <c r="B4108" s="301" t="s">
        <v>4736</v>
      </c>
      <c r="C4108" s="301" t="s">
        <v>28</v>
      </c>
      <c r="D4108" s="303">
        <v>176.67</v>
      </c>
    </row>
    <row r="4109" spans="1:4">
      <c r="A4109" s="302">
        <v>94729</v>
      </c>
      <c r="B4109" s="301" t="s">
        <v>4737</v>
      </c>
      <c r="C4109" s="301" t="s">
        <v>28</v>
      </c>
      <c r="D4109" s="303">
        <v>16.809999999999999</v>
      </c>
    </row>
    <row r="4110" spans="1:4">
      <c r="A4110" s="302">
        <v>94730</v>
      </c>
      <c r="B4110" s="301" t="s">
        <v>4738</v>
      </c>
      <c r="C4110" s="301" t="s">
        <v>28</v>
      </c>
      <c r="D4110" s="303">
        <v>214.95</v>
      </c>
    </row>
    <row r="4111" spans="1:4">
      <c r="A4111" s="302">
        <v>94731</v>
      </c>
      <c r="B4111" s="301" t="s">
        <v>4739</v>
      </c>
      <c r="C4111" s="301" t="s">
        <v>28</v>
      </c>
      <c r="D4111" s="303">
        <v>21.47</v>
      </c>
    </row>
    <row r="4112" spans="1:4">
      <c r="A4112" s="302">
        <v>94733</v>
      </c>
      <c r="B4112" s="301" t="s">
        <v>4740</v>
      </c>
      <c r="C4112" s="301" t="s">
        <v>28</v>
      </c>
      <c r="D4112" s="303">
        <v>41.96</v>
      </c>
    </row>
    <row r="4113" spans="1:4">
      <c r="A4113" s="302">
        <v>94737</v>
      </c>
      <c r="B4113" s="301" t="s">
        <v>4741</v>
      </c>
      <c r="C4113" s="301" t="s">
        <v>28</v>
      </c>
      <c r="D4113" s="303">
        <v>181.11</v>
      </c>
    </row>
    <row r="4114" spans="1:4">
      <c r="A4114" s="302">
        <v>94740</v>
      </c>
      <c r="B4114" s="301" t="s">
        <v>4742</v>
      </c>
      <c r="C4114" s="301" t="s">
        <v>28</v>
      </c>
      <c r="D4114" s="303">
        <v>9.84</v>
      </c>
    </row>
    <row r="4115" spans="1:4">
      <c r="A4115" s="302">
        <v>94741</v>
      </c>
      <c r="B4115" s="301" t="s">
        <v>4743</v>
      </c>
      <c r="C4115" s="301" t="s">
        <v>28</v>
      </c>
      <c r="D4115" s="303">
        <v>12.65</v>
      </c>
    </row>
    <row r="4116" spans="1:4">
      <c r="A4116" s="302">
        <v>94742</v>
      </c>
      <c r="B4116" s="301" t="s">
        <v>4744</v>
      </c>
      <c r="C4116" s="301" t="s">
        <v>28</v>
      </c>
      <c r="D4116" s="303">
        <v>15.78</v>
      </c>
    </row>
    <row r="4117" spans="1:4">
      <c r="A4117" s="302">
        <v>94743</v>
      </c>
      <c r="B4117" s="301" t="s">
        <v>4745</v>
      </c>
      <c r="C4117" s="301" t="s">
        <v>28</v>
      </c>
      <c r="D4117" s="303">
        <v>17.55</v>
      </c>
    </row>
    <row r="4118" spans="1:4">
      <c r="A4118" s="302">
        <v>94744</v>
      </c>
      <c r="B4118" s="301" t="s">
        <v>4746</v>
      </c>
      <c r="C4118" s="301" t="s">
        <v>28</v>
      </c>
      <c r="D4118" s="303">
        <v>25.65</v>
      </c>
    </row>
    <row r="4119" spans="1:4">
      <c r="A4119" s="302">
        <v>94746</v>
      </c>
      <c r="B4119" s="301" t="s">
        <v>4747</v>
      </c>
      <c r="C4119" s="301" t="s">
        <v>28</v>
      </c>
      <c r="D4119" s="303">
        <v>37.47</v>
      </c>
    </row>
    <row r="4120" spans="1:4">
      <c r="A4120" s="302">
        <v>94748</v>
      </c>
      <c r="B4120" s="301" t="s">
        <v>4748</v>
      </c>
      <c r="C4120" s="301" t="s">
        <v>28</v>
      </c>
      <c r="D4120" s="303">
        <v>77.94</v>
      </c>
    </row>
    <row r="4121" spans="1:4">
      <c r="A4121" s="302">
        <v>94750</v>
      </c>
      <c r="B4121" s="301" t="s">
        <v>4749</v>
      </c>
      <c r="C4121" s="301" t="s">
        <v>28</v>
      </c>
      <c r="D4121" s="303">
        <v>189.69</v>
      </c>
    </row>
    <row r="4122" spans="1:4">
      <c r="A4122" s="302">
        <v>94752</v>
      </c>
      <c r="B4122" s="301" t="s">
        <v>4750</v>
      </c>
      <c r="C4122" s="301" t="s">
        <v>28</v>
      </c>
      <c r="D4122" s="303">
        <v>228.47</v>
      </c>
    </row>
    <row r="4123" spans="1:4">
      <c r="A4123" s="302">
        <v>94756</v>
      </c>
      <c r="B4123" s="301" t="s">
        <v>4751</v>
      </c>
      <c r="C4123" s="301" t="s">
        <v>28</v>
      </c>
      <c r="D4123" s="303">
        <v>12.35</v>
      </c>
    </row>
    <row r="4124" spans="1:4">
      <c r="A4124" s="302">
        <v>94757</v>
      </c>
      <c r="B4124" s="301" t="s">
        <v>4752</v>
      </c>
      <c r="C4124" s="301" t="s">
        <v>28</v>
      </c>
      <c r="D4124" s="303">
        <v>17.649999999999999</v>
      </c>
    </row>
    <row r="4125" spans="1:4">
      <c r="A4125" s="302">
        <v>94758</v>
      </c>
      <c r="B4125" s="301" t="s">
        <v>4753</v>
      </c>
      <c r="C4125" s="301" t="s">
        <v>28</v>
      </c>
      <c r="D4125" s="303">
        <v>47.75</v>
      </c>
    </row>
    <row r="4126" spans="1:4">
      <c r="A4126" s="302">
        <v>94759</v>
      </c>
      <c r="B4126" s="301" t="s">
        <v>4754</v>
      </c>
      <c r="C4126" s="301" t="s">
        <v>28</v>
      </c>
      <c r="D4126" s="303">
        <v>59.53</v>
      </c>
    </row>
    <row r="4127" spans="1:4">
      <c r="A4127" s="302">
        <v>94760</v>
      </c>
      <c r="B4127" s="301" t="s">
        <v>4755</v>
      </c>
      <c r="C4127" s="301" t="s">
        <v>28</v>
      </c>
      <c r="D4127" s="303">
        <v>97.53</v>
      </c>
    </row>
    <row r="4128" spans="1:4">
      <c r="A4128" s="302">
        <v>94761</v>
      </c>
      <c r="B4128" s="301" t="s">
        <v>4756</v>
      </c>
      <c r="C4128" s="301" t="s">
        <v>28</v>
      </c>
      <c r="D4128" s="303">
        <v>215.65</v>
      </c>
    </row>
    <row r="4129" spans="1:4">
      <c r="A4129" s="302">
        <v>94762</v>
      </c>
      <c r="B4129" s="301" t="s">
        <v>4757</v>
      </c>
      <c r="C4129" s="301" t="s">
        <v>28</v>
      </c>
      <c r="D4129" s="303">
        <v>272.43</v>
      </c>
    </row>
    <row r="4130" spans="1:4">
      <c r="A4130" s="302">
        <v>94783</v>
      </c>
      <c r="B4130" s="301" t="s">
        <v>4758</v>
      </c>
      <c r="C4130" s="301" t="s">
        <v>28</v>
      </c>
      <c r="D4130" s="303">
        <v>13.46</v>
      </c>
    </row>
    <row r="4131" spans="1:4">
      <c r="A4131" s="302">
        <v>94785</v>
      </c>
      <c r="B4131" s="301" t="s">
        <v>4759</v>
      </c>
      <c r="C4131" s="301" t="s">
        <v>28</v>
      </c>
      <c r="D4131" s="303">
        <v>23.98</v>
      </c>
    </row>
    <row r="4132" spans="1:4">
      <c r="A4132" s="302">
        <v>94786</v>
      </c>
      <c r="B4132" s="301" t="s">
        <v>4760</v>
      </c>
      <c r="C4132" s="301" t="s">
        <v>28</v>
      </c>
      <c r="D4132" s="303">
        <v>30.74</v>
      </c>
    </row>
    <row r="4133" spans="1:4">
      <c r="A4133" s="302">
        <v>94787</v>
      </c>
      <c r="B4133" s="301" t="s">
        <v>4761</v>
      </c>
      <c r="C4133" s="301" t="s">
        <v>28</v>
      </c>
      <c r="D4133" s="303">
        <v>42.27</v>
      </c>
    </row>
    <row r="4134" spans="1:4">
      <c r="A4134" s="302">
        <v>94788</v>
      </c>
      <c r="B4134" s="301" t="s">
        <v>4762</v>
      </c>
      <c r="C4134" s="301" t="s">
        <v>28</v>
      </c>
      <c r="D4134" s="303">
        <v>59.27</v>
      </c>
    </row>
    <row r="4135" spans="1:4">
      <c r="A4135" s="302">
        <v>94789</v>
      </c>
      <c r="B4135" s="301" t="s">
        <v>4763</v>
      </c>
      <c r="C4135" s="301" t="s">
        <v>28</v>
      </c>
      <c r="D4135" s="303">
        <v>177.21</v>
      </c>
    </row>
    <row r="4136" spans="1:4">
      <c r="A4136" s="302">
        <v>94790</v>
      </c>
      <c r="B4136" s="301" t="s">
        <v>4764</v>
      </c>
      <c r="C4136" s="301" t="s">
        <v>28</v>
      </c>
      <c r="D4136" s="303">
        <v>204.34</v>
      </c>
    </row>
    <row r="4137" spans="1:4">
      <c r="A4137" s="302">
        <v>94791</v>
      </c>
      <c r="B4137" s="301" t="s">
        <v>4765</v>
      </c>
      <c r="C4137" s="301" t="s">
        <v>28</v>
      </c>
      <c r="D4137" s="303">
        <v>284.60000000000002</v>
      </c>
    </row>
    <row r="4138" spans="1:4">
      <c r="A4138" s="302">
        <v>94863</v>
      </c>
      <c r="B4138" s="301" t="s">
        <v>4766</v>
      </c>
      <c r="C4138" s="301" t="s">
        <v>28</v>
      </c>
      <c r="D4138" s="303">
        <v>156.06</v>
      </c>
    </row>
    <row r="4139" spans="1:4">
      <c r="A4139" s="302">
        <v>95141</v>
      </c>
      <c r="B4139" s="301" t="s">
        <v>4767</v>
      </c>
      <c r="C4139" s="301" t="s">
        <v>28</v>
      </c>
      <c r="D4139" s="303">
        <v>22.51</v>
      </c>
    </row>
    <row r="4140" spans="1:4">
      <c r="A4140" s="302">
        <v>95237</v>
      </c>
      <c r="B4140" s="301" t="s">
        <v>4768</v>
      </c>
      <c r="C4140" s="301" t="s">
        <v>28</v>
      </c>
      <c r="D4140" s="303">
        <v>17.04</v>
      </c>
    </row>
    <row r="4141" spans="1:4">
      <c r="A4141" s="302">
        <v>95693</v>
      </c>
      <c r="B4141" s="301" t="s">
        <v>4769</v>
      </c>
      <c r="C4141" s="301" t="s">
        <v>28</v>
      </c>
      <c r="D4141" s="303">
        <v>39</v>
      </c>
    </row>
    <row r="4142" spans="1:4">
      <c r="A4142" s="302">
        <v>95694</v>
      </c>
      <c r="B4142" s="301" t="s">
        <v>4770</v>
      </c>
      <c r="C4142" s="301" t="s">
        <v>28</v>
      </c>
      <c r="D4142" s="303">
        <v>47.36</v>
      </c>
    </row>
    <row r="4143" spans="1:4">
      <c r="A4143" s="302">
        <v>95695</v>
      </c>
      <c r="B4143" s="301" t="s">
        <v>4771</v>
      </c>
      <c r="C4143" s="301" t="s">
        <v>28</v>
      </c>
      <c r="D4143" s="303">
        <v>45.95</v>
      </c>
    </row>
    <row r="4144" spans="1:4">
      <c r="A4144" s="302">
        <v>95696</v>
      </c>
      <c r="B4144" s="301" t="s">
        <v>4772</v>
      </c>
      <c r="C4144" s="301" t="s">
        <v>28</v>
      </c>
      <c r="D4144" s="303">
        <v>32.799999999999997</v>
      </c>
    </row>
    <row r="4145" spans="1:4">
      <c r="A4145" s="302">
        <v>96637</v>
      </c>
      <c r="B4145" s="301" t="s">
        <v>4773</v>
      </c>
      <c r="C4145" s="301" t="s">
        <v>28</v>
      </c>
      <c r="D4145" s="303">
        <v>10.44</v>
      </c>
    </row>
    <row r="4146" spans="1:4">
      <c r="A4146" s="302">
        <v>96638</v>
      </c>
      <c r="B4146" s="301" t="s">
        <v>4774</v>
      </c>
      <c r="C4146" s="301" t="s">
        <v>28</v>
      </c>
      <c r="D4146" s="303">
        <v>10.039999999999999</v>
      </c>
    </row>
    <row r="4147" spans="1:4">
      <c r="A4147" s="302">
        <v>96639</v>
      </c>
      <c r="B4147" s="301" t="s">
        <v>4775</v>
      </c>
      <c r="C4147" s="301" t="s">
        <v>28</v>
      </c>
      <c r="D4147" s="303">
        <v>7.28</v>
      </c>
    </row>
    <row r="4148" spans="1:4">
      <c r="A4148" s="302">
        <v>96640</v>
      </c>
      <c r="B4148" s="301" t="s">
        <v>4776</v>
      </c>
      <c r="C4148" s="301" t="s">
        <v>28</v>
      </c>
      <c r="D4148" s="303">
        <v>18.2</v>
      </c>
    </row>
    <row r="4149" spans="1:4">
      <c r="A4149" s="302">
        <v>96641</v>
      </c>
      <c r="B4149" s="301" t="s">
        <v>4777</v>
      </c>
      <c r="C4149" s="301" t="s">
        <v>28</v>
      </c>
      <c r="D4149" s="303">
        <v>14.3</v>
      </c>
    </row>
    <row r="4150" spans="1:4">
      <c r="A4150" s="302">
        <v>96642</v>
      </c>
      <c r="B4150" s="301" t="s">
        <v>4778</v>
      </c>
      <c r="C4150" s="301" t="s">
        <v>28</v>
      </c>
      <c r="D4150" s="303">
        <v>13.82</v>
      </c>
    </row>
    <row r="4151" spans="1:4">
      <c r="A4151" s="302">
        <v>96643</v>
      </c>
      <c r="B4151" s="301" t="s">
        <v>4779</v>
      </c>
      <c r="C4151" s="301" t="s">
        <v>28</v>
      </c>
      <c r="D4151" s="303">
        <v>36.69</v>
      </c>
    </row>
    <row r="4152" spans="1:4">
      <c r="A4152" s="302">
        <v>96650</v>
      </c>
      <c r="B4152" s="301" t="s">
        <v>4780</v>
      </c>
      <c r="C4152" s="301" t="s">
        <v>28</v>
      </c>
      <c r="D4152" s="303">
        <v>7.77</v>
      </c>
    </row>
    <row r="4153" spans="1:4">
      <c r="A4153" s="302">
        <v>96651</v>
      </c>
      <c r="B4153" s="301" t="s">
        <v>4781</v>
      </c>
      <c r="C4153" s="301" t="s">
        <v>28</v>
      </c>
      <c r="D4153" s="303">
        <v>7.37</v>
      </c>
    </row>
    <row r="4154" spans="1:4">
      <c r="A4154" s="302">
        <v>96652</v>
      </c>
      <c r="B4154" s="301" t="s">
        <v>4782</v>
      </c>
      <c r="C4154" s="301" t="s">
        <v>28</v>
      </c>
      <c r="D4154" s="303">
        <v>14.82</v>
      </c>
    </row>
    <row r="4155" spans="1:4">
      <c r="A4155" s="302">
        <v>96653</v>
      </c>
      <c r="B4155" s="301" t="s">
        <v>4783</v>
      </c>
      <c r="C4155" s="301" t="s">
        <v>28</v>
      </c>
      <c r="D4155" s="303">
        <v>14.77</v>
      </c>
    </row>
    <row r="4156" spans="1:4">
      <c r="A4156" s="302">
        <v>96654</v>
      </c>
      <c r="B4156" s="301" t="s">
        <v>4784</v>
      </c>
      <c r="C4156" s="301" t="s">
        <v>28</v>
      </c>
      <c r="D4156" s="303">
        <v>24.51</v>
      </c>
    </row>
    <row r="4157" spans="1:4">
      <c r="A4157" s="302">
        <v>96655</v>
      </c>
      <c r="B4157" s="301" t="s">
        <v>4785</v>
      </c>
      <c r="C4157" s="301" t="s">
        <v>28</v>
      </c>
      <c r="D4157" s="303">
        <v>24.08</v>
      </c>
    </row>
    <row r="4158" spans="1:4">
      <c r="A4158" s="302">
        <v>96656</v>
      </c>
      <c r="B4158" s="301" t="s">
        <v>4786</v>
      </c>
      <c r="C4158" s="301" t="s">
        <v>28</v>
      </c>
      <c r="D4158" s="303">
        <v>5.51</v>
      </c>
    </row>
    <row r="4159" spans="1:4">
      <c r="A4159" s="302">
        <v>96657</v>
      </c>
      <c r="B4159" s="301" t="s">
        <v>4787</v>
      </c>
      <c r="C4159" s="301" t="s">
        <v>28</v>
      </c>
      <c r="D4159" s="303">
        <v>16.43</v>
      </c>
    </row>
    <row r="4160" spans="1:4">
      <c r="A4160" s="302">
        <v>96658</v>
      </c>
      <c r="B4160" s="301" t="s">
        <v>4788</v>
      </c>
      <c r="C4160" s="301" t="s">
        <v>28</v>
      </c>
      <c r="D4160" s="303">
        <v>12.53</v>
      </c>
    </row>
    <row r="4161" spans="1:4">
      <c r="A4161" s="302">
        <v>96659</v>
      </c>
      <c r="B4161" s="301" t="s">
        <v>4789</v>
      </c>
      <c r="C4161" s="301" t="s">
        <v>28</v>
      </c>
      <c r="D4161" s="303">
        <v>10.01</v>
      </c>
    </row>
    <row r="4162" spans="1:4">
      <c r="A4162" s="302">
        <v>96660</v>
      </c>
      <c r="B4162" s="301" t="s">
        <v>4790</v>
      </c>
      <c r="C4162" s="301" t="s">
        <v>28</v>
      </c>
      <c r="D4162" s="303">
        <v>28.22</v>
      </c>
    </row>
    <row r="4163" spans="1:4">
      <c r="A4163" s="302">
        <v>96661</v>
      </c>
      <c r="B4163" s="301" t="s">
        <v>4791</v>
      </c>
      <c r="C4163" s="301" t="s">
        <v>28</v>
      </c>
      <c r="D4163" s="303">
        <v>22.22</v>
      </c>
    </row>
    <row r="4164" spans="1:4">
      <c r="A4164" s="302">
        <v>96662</v>
      </c>
      <c r="B4164" s="301" t="s">
        <v>4792</v>
      </c>
      <c r="C4164" s="301" t="s">
        <v>28</v>
      </c>
      <c r="D4164" s="303">
        <v>10.210000000000001</v>
      </c>
    </row>
    <row r="4165" spans="1:4">
      <c r="A4165" s="302">
        <v>96663</v>
      </c>
      <c r="B4165" s="301" t="s">
        <v>4793</v>
      </c>
      <c r="C4165" s="301" t="s">
        <v>28</v>
      </c>
      <c r="D4165" s="303">
        <v>18.079999999999998</v>
      </c>
    </row>
    <row r="4166" spans="1:4">
      <c r="A4166" s="302">
        <v>96664</v>
      </c>
      <c r="B4166" s="301" t="s">
        <v>4794</v>
      </c>
      <c r="C4166" s="301" t="s">
        <v>28</v>
      </c>
      <c r="D4166" s="303">
        <v>19.36</v>
      </c>
    </row>
    <row r="4167" spans="1:4">
      <c r="A4167" s="302">
        <v>96665</v>
      </c>
      <c r="B4167" s="301" t="s">
        <v>4795</v>
      </c>
      <c r="C4167" s="301" t="s">
        <v>28</v>
      </c>
      <c r="D4167" s="303">
        <v>10.220000000000001</v>
      </c>
    </row>
    <row r="4168" spans="1:4">
      <c r="A4168" s="302">
        <v>96666</v>
      </c>
      <c r="B4168" s="301" t="s">
        <v>4796</v>
      </c>
      <c r="C4168" s="301" t="s">
        <v>28</v>
      </c>
      <c r="D4168" s="303">
        <v>19.850000000000001</v>
      </c>
    </row>
    <row r="4169" spans="1:4">
      <c r="A4169" s="302">
        <v>96667</v>
      </c>
      <c r="B4169" s="301" t="s">
        <v>4797</v>
      </c>
      <c r="C4169" s="301" t="s">
        <v>28</v>
      </c>
      <c r="D4169" s="303">
        <v>34.479999999999997</v>
      </c>
    </row>
    <row r="4170" spans="1:4">
      <c r="A4170" s="302">
        <v>96684</v>
      </c>
      <c r="B4170" s="301" t="s">
        <v>4798</v>
      </c>
      <c r="C4170" s="301" t="s">
        <v>28</v>
      </c>
      <c r="D4170" s="303">
        <v>3.74</v>
      </c>
    </row>
    <row r="4171" spans="1:4">
      <c r="A4171" s="302">
        <v>96685</v>
      </c>
      <c r="B4171" s="301" t="s">
        <v>4799</v>
      </c>
      <c r="C4171" s="301" t="s">
        <v>28</v>
      </c>
      <c r="D4171" s="303">
        <v>3.34</v>
      </c>
    </row>
    <row r="4172" spans="1:4">
      <c r="A4172" s="302">
        <v>96686</v>
      </c>
      <c r="B4172" s="301" t="s">
        <v>4800</v>
      </c>
      <c r="C4172" s="301" t="s">
        <v>28</v>
      </c>
      <c r="D4172" s="303">
        <v>5.62</v>
      </c>
    </row>
    <row r="4173" spans="1:4">
      <c r="A4173" s="302">
        <v>96687</v>
      </c>
      <c r="B4173" s="301" t="s">
        <v>4801</v>
      </c>
      <c r="C4173" s="301" t="s">
        <v>28</v>
      </c>
      <c r="D4173" s="303">
        <v>5.57</v>
      </c>
    </row>
    <row r="4174" spans="1:4">
      <c r="A4174" s="302">
        <v>96688</v>
      </c>
      <c r="B4174" s="301" t="s">
        <v>4802</v>
      </c>
      <c r="C4174" s="301" t="s">
        <v>28</v>
      </c>
      <c r="D4174" s="303">
        <v>9.6300000000000008</v>
      </c>
    </row>
    <row r="4175" spans="1:4">
      <c r="A4175" s="302">
        <v>96689</v>
      </c>
      <c r="B4175" s="301" t="s">
        <v>4803</v>
      </c>
      <c r="C4175" s="301" t="s">
        <v>28</v>
      </c>
      <c r="D4175" s="303">
        <v>9.1999999999999993</v>
      </c>
    </row>
    <row r="4176" spans="1:4">
      <c r="A4176" s="302">
        <v>96690</v>
      </c>
      <c r="B4176" s="301" t="s">
        <v>4804</v>
      </c>
      <c r="C4176" s="301" t="s">
        <v>28</v>
      </c>
      <c r="D4176" s="303">
        <v>17.899999999999999</v>
      </c>
    </row>
    <row r="4177" spans="1:4">
      <c r="A4177" s="302">
        <v>96691</v>
      </c>
      <c r="B4177" s="301" t="s">
        <v>4805</v>
      </c>
      <c r="C4177" s="301" t="s">
        <v>28</v>
      </c>
      <c r="D4177" s="303">
        <v>18.48</v>
      </c>
    </row>
    <row r="4178" spans="1:4">
      <c r="A4178" s="302">
        <v>96692</v>
      </c>
      <c r="B4178" s="301" t="s">
        <v>4806</v>
      </c>
      <c r="C4178" s="301" t="s">
        <v>28</v>
      </c>
      <c r="D4178" s="303">
        <v>27.05</v>
      </c>
    </row>
    <row r="4179" spans="1:4">
      <c r="A4179" s="302">
        <v>96693</v>
      </c>
      <c r="B4179" s="301" t="s">
        <v>4807</v>
      </c>
      <c r="C4179" s="301" t="s">
        <v>28</v>
      </c>
      <c r="D4179" s="303">
        <v>25.62</v>
      </c>
    </row>
    <row r="4180" spans="1:4">
      <c r="A4180" s="302">
        <v>96694</v>
      </c>
      <c r="B4180" s="301" t="s">
        <v>4808</v>
      </c>
      <c r="C4180" s="301" t="s">
        <v>28</v>
      </c>
      <c r="D4180" s="303">
        <v>59.44</v>
      </c>
    </row>
    <row r="4181" spans="1:4">
      <c r="A4181" s="302">
        <v>96695</v>
      </c>
      <c r="B4181" s="301" t="s">
        <v>4809</v>
      </c>
      <c r="C4181" s="301" t="s">
        <v>28</v>
      </c>
      <c r="D4181" s="303">
        <v>57.76</v>
      </c>
    </row>
    <row r="4182" spans="1:4">
      <c r="A4182" s="302">
        <v>96696</v>
      </c>
      <c r="B4182" s="301" t="s">
        <v>4810</v>
      </c>
      <c r="C4182" s="301" t="s">
        <v>28</v>
      </c>
      <c r="D4182" s="303">
        <v>89.51</v>
      </c>
    </row>
    <row r="4183" spans="1:4">
      <c r="A4183" s="302">
        <v>96697</v>
      </c>
      <c r="B4183" s="301" t="s">
        <v>4811</v>
      </c>
      <c r="C4183" s="301" t="s">
        <v>28</v>
      </c>
      <c r="D4183" s="303">
        <v>133.91</v>
      </c>
    </row>
    <row r="4184" spans="1:4">
      <c r="A4184" s="302">
        <v>96698</v>
      </c>
      <c r="B4184" s="301" t="s">
        <v>4812</v>
      </c>
      <c r="C4184" s="301" t="s">
        <v>28</v>
      </c>
      <c r="D4184" s="303">
        <v>2.83</v>
      </c>
    </row>
    <row r="4185" spans="1:4">
      <c r="A4185" s="302">
        <v>96699</v>
      </c>
      <c r="B4185" s="301" t="s">
        <v>4813</v>
      </c>
      <c r="C4185" s="301" t="s">
        <v>28</v>
      </c>
      <c r="D4185" s="303">
        <v>13.75</v>
      </c>
    </row>
    <row r="4186" spans="1:4">
      <c r="A4186" s="302">
        <v>96700</v>
      </c>
      <c r="B4186" s="301" t="s">
        <v>4814</v>
      </c>
      <c r="C4186" s="301" t="s">
        <v>28</v>
      </c>
      <c r="D4186" s="303">
        <v>9.85</v>
      </c>
    </row>
    <row r="4187" spans="1:4">
      <c r="A4187" s="302">
        <v>96701</v>
      </c>
      <c r="B4187" s="301" t="s">
        <v>4815</v>
      </c>
      <c r="C4187" s="301" t="s">
        <v>28</v>
      </c>
      <c r="D4187" s="303">
        <v>3.88</v>
      </c>
    </row>
    <row r="4188" spans="1:4">
      <c r="A4188" s="302">
        <v>96702</v>
      </c>
      <c r="B4188" s="301" t="s">
        <v>4816</v>
      </c>
      <c r="C4188" s="301" t="s">
        <v>28</v>
      </c>
      <c r="D4188" s="303">
        <v>4.08</v>
      </c>
    </row>
    <row r="4189" spans="1:4">
      <c r="A4189" s="302">
        <v>96703</v>
      </c>
      <c r="B4189" s="301" t="s">
        <v>4817</v>
      </c>
      <c r="C4189" s="301" t="s">
        <v>28</v>
      </c>
      <c r="D4189" s="303">
        <v>8.1300000000000008</v>
      </c>
    </row>
    <row r="4190" spans="1:4">
      <c r="A4190" s="302">
        <v>96704</v>
      </c>
      <c r="B4190" s="301" t="s">
        <v>4818</v>
      </c>
      <c r="C4190" s="301" t="s">
        <v>28</v>
      </c>
      <c r="D4190" s="303">
        <v>9.41</v>
      </c>
    </row>
    <row r="4191" spans="1:4">
      <c r="A4191" s="302">
        <v>96705</v>
      </c>
      <c r="B4191" s="301" t="s">
        <v>4819</v>
      </c>
      <c r="C4191" s="301" t="s">
        <v>28</v>
      </c>
      <c r="D4191" s="303">
        <v>12.26</v>
      </c>
    </row>
    <row r="4192" spans="1:4">
      <c r="A4192" s="302">
        <v>96706</v>
      </c>
      <c r="B4192" s="301" t="s">
        <v>4820</v>
      </c>
      <c r="C4192" s="301" t="s">
        <v>28</v>
      </c>
      <c r="D4192" s="303">
        <v>18.41</v>
      </c>
    </row>
    <row r="4193" spans="1:4">
      <c r="A4193" s="302">
        <v>96707</v>
      </c>
      <c r="B4193" s="301" t="s">
        <v>4821</v>
      </c>
      <c r="C4193" s="301" t="s">
        <v>28</v>
      </c>
      <c r="D4193" s="303">
        <v>38.200000000000003</v>
      </c>
    </row>
    <row r="4194" spans="1:4">
      <c r="A4194" s="302">
        <v>96708</v>
      </c>
      <c r="B4194" s="301" t="s">
        <v>4822</v>
      </c>
      <c r="C4194" s="301" t="s">
        <v>28</v>
      </c>
      <c r="D4194" s="303">
        <v>60.26</v>
      </c>
    </row>
    <row r="4195" spans="1:4">
      <c r="A4195" s="302">
        <v>96709</v>
      </c>
      <c r="B4195" s="301" t="s">
        <v>4823</v>
      </c>
      <c r="C4195" s="301" t="s">
        <v>28</v>
      </c>
      <c r="D4195" s="303">
        <v>95.18</v>
      </c>
    </row>
    <row r="4196" spans="1:4">
      <c r="A4196" s="302">
        <v>96710</v>
      </c>
      <c r="B4196" s="301" t="s">
        <v>4824</v>
      </c>
      <c r="C4196" s="301" t="s">
        <v>28</v>
      </c>
      <c r="D4196" s="303">
        <v>4.9000000000000004</v>
      </c>
    </row>
    <row r="4197" spans="1:4">
      <c r="A4197" s="302">
        <v>96711</v>
      </c>
      <c r="B4197" s="301" t="s">
        <v>4825</v>
      </c>
      <c r="C4197" s="301" t="s">
        <v>28</v>
      </c>
      <c r="D4197" s="303">
        <v>7.61</v>
      </c>
    </row>
    <row r="4198" spans="1:4">
      <c r="A4198" s="302">
        <v>96712</v>
      </c>
      <c r="B4198" s="301" t="s">
        <v>4826</v>
      </c>
      <c r="C4198" s="301" t="s">
        <v>28</v>
      </c>
      <c r="D4198" s="303">
        <v>14.57</v>
      </c>
    </row>
    <row r="4199" spans="1:4">
      <c r="A4199" s="302">
        <v>96713</v>
      </c>
      <c r="B4199" s="301" t="s">
        <v>4827</v>
      </c>
      <c r="C4199" s="301" t="s">
        <v>28</v>
      </c>
      <c r="D4199" s="303">
        <v>20.25</v>
      </c>
    </row>
    <row r="4200" spans="1:4">
      <c r="A4200" s="302">
        <v>96714</v>
      </c>
      <c r="B4200" s="301" t="s">
        <v>4828</v>
      </c>
      <c r="C4200" s="301" t="s">
        <v>28</v>
      </c>
      <c r="D4200" s="303">
        <v>34.14</v>
      </c>
    </row>
    <row r="4201" spans="1:4">
      <c r="A4201" s="302">
        <v>96715</v>
      </c>
      <c r="B4201" s="301" t="s">
        <v>4829</v>
      </c>
      <c r="C4201" s="301" t="s">
        <v>28</v>
      </c>
      <c r="D4201" s="303">
        <v>64.03</v>
      </c>
    </row>
    <row r="4202" spans="1:4">
      <c r="A4202" s="302">
        <v>96716</v>
      </c>
      <c r="B4202" s="301" t="s">
        <v>4830</v>
      </c>
      <c r="C4202" s="301" t="s">
        <v>28</v>
      </c>
      <c r="D4202" s="303">
        <v>96.15</v>
      </c>
    </row>
    <row r="4203" spans="1:4">
      <c r="A4203" s="302">
        <v>96717</v>
      </c>
      <c r="B4203" s="301" t="s">
        <v>4831</v>
      </c>
      <c r="C4203" s="301" t="s">
        <v>28</v>
      </c>
      <c r="D4203" s="303">
        <v>151.37</v>
      </c>
    </row>
    <row r="4204" spans="1:4">
      <c r="A4204" s="302">
        <v>96736</v>
      </c>
      <c r="B4204" s="301" t="s">
        <v>4832</v>
      </c>
      <c r="C4204" s="301" t="s">
        <v>28</v>
      </c>
      <c r="D4204" s="303">
        <v>4.18</v>
      </c>
    </row>
    <row r="4205" spans="1:4">
      <c r="A4205" s="302">
        <v>96737</v>
      </c>
      <c r="B4205" s="301" t="s">
        <v>4833</v>
      </c>
      <c r="C4205" s="301" t="s">
        <v>28</v>
      </c>
      <c r="D4205" s="303">
        <v>4.78</v>
      </c>
    </row>
    <row r="4206" spans="1:4">
      <c r="A4206" s="302">
        <v>96738</v>
      </c>
      <c r="B4206" s="301" t="s">
        <v>4834</v>
      </c>
      <c r="C4206" s="301" t="s">
        <v>28</v>
      </c>
      <c r="D4206" s="303">
        <v>15.7</v>
      </c>
    </row>
    <row r="4207" spans="1:4">
      <c r="A4207" s="302">
        <v>96739</v>
      </c>
      <c r="B4207" s="301" t="s">
        <v>4835</v>
      </c>
      <c r="C4207" s="301" t="s">
        <v>28</v>
      </c>
      <c r="D4207" s="303">
        <v>6.17</v>
      </c>
    </row>
    <row r="4208" spans="1:4">
      <c r="A4208" s="302">
        <v>96740</v>
      </c>
      <c r="B4208" s="301" t="s">
        <v>4836</v>
      </c>
      <c r="C4208" s="301" t="s">
        <v>28</v>
      </c>
      <c r="D4208" s="303">
        <v>24.38</v>
      </c>
    </row>
    <row r="4209" spans="1:4">
      <c r="A4209" s="302">
        <v>96741</v>
      </c>
      <c r="B4209" s="301" t="s">
        <v>4837</v>
      </c>
      <c r="C4209" s="301" t="s">
        <v>28</v>
      </c>
      <c r="D4209" s="303">
        <v>9.7200000000000006</v>
      </c>
    </row>
    <row r="4210" spans="1:4">
      <c r="A4210" s="302">
        <v>96742</v>
      </c>
      <c r="B4210" s="301" t="s">
        <v>4838</v>
      </c>
      <c r="C4210" s="301" t="s">
        <v>28</v>
      </c>
      <c r="D4210" s="303">
        <v>14.76</v>
      </c>
    </row>
    <row r="4211" spans="1:4">
      <c r="A4211" s="302">
        <v>96743</v>
      </c>
      <c r="B4211" s="301" t="s">
        <v>4839</v>
      </c>
      <c r="C4211" s="301" t="s">
        <v>28</v>
      </c>
      <c r="D4211" s="303">
        <v>19.079999999999998</v>
      </c>
    </row>
    <row r="4212" spans="1:4">
      <c r="A4212" s="302">
        <v>96744</v>
      </c>
      <c r="B4212" s="301" t="s">
        <v>4840</v>
      </c>
      <c r="C4212" s="301" t="s">
        <v>28</v>
      </c>
      <c r="D4212" s="303">
        <v>40.68</v>
      </c>
    </row>
    <row r="4213" spans="1:4">
      <c r="A4213" s="302">
        <v>96745</v>
      </c>
      <c r="B4213" s="301" t="s">
        <v>4841</v>
      </c>
      <c r="C4213" s="301" t="s">
        <v>28</v>
      </c>
      <c r="D4213" s="303">
        <v>59.66</v>
      </c>
    </row>
    <row r="4214" spans="1:4">
      <c r="A4214" s="302">
        <v>96746</v>
      </c>
      <c r="B4214" s="301" t="s">
        <v>4842</v>
      </c>
      <c r="C4214" s="301" t="s">
        <v>28</v>
      </c>
      <c r="D4214" s="303">
        <v>95.14</v>
      </c>
    </row>
    <row r="4215" spans="1:4">
      <c r="A4215" s="302">
        <v>96747</v>
      </c>
      <c r="B4215" s="301" t="s">
        <v>4843</v>
      </c>
      <c r="C4215" s="301" t="s">
        <v>28</v>
      </c>
      <c r="D4215" s="303">
        <v>5.92</v>
      </c>
    </row>
    <row r="4216" spans="1:4">
      <c r="A4216" s="302">
        <v>96748</v>
      </c>
      <c r="B4216" s="301" t="s">
        <v>4844</v>
      </c>
      <c r="C4216" s="301" t="s">
        <v>28</v>
      </c>
      <c r="D4216" s="303">
        <v>6.67</v>
      </c>
    </row>
    <row r="4217" spans="1:4">
      <c r="A4217" s="302">
        <v>96749</v>
      </c>
      <c r="B4217" s="301" t="s">
        <v>4845</v>
      </c>
      <c r="C4217" s="301" t="s">
        <v>28</v>
      </c>
      <c r="D4217" s="303">
        <v>9.07</v>
      </c>
    </row>
    <row r="4218" spans="1:4">
      <c r="A4218" s="302">
        <v>96750</v>
      </c>
      <c r="B4218" s="301" t="s">
        <v>4846</v>
      </c>
      <c r="C4218" s="301" t="s">
        <v>28</v>
      </c>
      <c r="D4218" s="303">
        <v>11.99</v>
      </c>
    </row>
    <row r="4219" spans="1:4">
      <c r="A4219" s="302">
        <v>96751</v>
      </c>
      <c r="B4219" s="301" t="s">
        <v>4847</v>
      </c>
      <c r="C4219" s="301" t="s">
        <v>28</v>
      </c>
      <c r="D4219" s="303">
        <v>21.64</v>
      </c>
    </row>
    <row r="4220" spans="1:4">
      <c r="A4220" s="302">
        <v>96752</v>
      </c>
      <c r="B4220" s="301" t="s">
        <v>4848</v>
      </c>
      <c r="C4220" s="301" t="s">
        <v>28</v>
      </c>
      <c r="D4220" s="303">
        <v>28.05</v>
      </c>
    </row>
    <row r="4221" spans="1:4">
      <c r="A4221" s="302">
        <v>96753</v>
      </c>
      <c r="B4221" s="301" t="s">
        <v>4849</v>
      </c>
      <c r="C4221" s="301" t="s">
        <v>28</v>
      </c>
      <c r="D4221" s="303">
        <v>63.15</v>
      </c>
    </row>
    <row r="4222" spans="1:4">
      <c r="A4222" s="302">
        <v>96754</v>
      </c>
      <c r="B4222" s="301" t="s">
        <v>4850</v>
      </c>
      <c r="C4222" s="301" t="s">
        <v>28</v>
      </c>
      <c r="D4222" s="303">
        <v>88.59</v>
      </c>
    </row>
    <row r="4223" spans="1:4">
      <c r="A4223" s="302">
        <v>96755</v>
      </c>
      <c r="B4223" s="301" t="s">
        <v>4851</v>
      </c>
      <c r="C4223" s="301" t="s">
        <v>28</v>
      </c>
      <c r="D4223" s="303">
        <v>133.88</v>
      </c>
    </row>
    <row r="4224" spans="1:4">
      <c r="A4224" s="302">
        <v>96756</v>
      </c>
      <c r="B4224" s="301" t="s">
        <v>4852</v>
      </c>
      <c r="C4224" s="301" t="s">
        <v>28</v>
      </c>
      <c r="D4224" s="303">
        <v>10.73</v>
      </c>
    </row>
    <row r="4225" spans="1:4">
      <c r="A4225" s="302">
        <v>96757</v>
      </c>
      <c r="B4225" s="301" t="s">
        <v>4853</v>
      </c>
      <c r="C4225" s="301" t="s">
        <v>28</v>
      </c>
      <c r="D4225" s="303">
        <v>10.33</v>
      </c>
    </row>
    <row r="4226" spans="1:4">
      <c r="A4226" s="302">
        <v>96758</v>
      </c>
      <c r="B4226" s="301" t="s">
        <v>4854</v>
      </c>
      <c r="C4226" s="301" t="s">
        <v>28</v>
      </c>
      <c r="D4226" s="303">
        <v>12.19</v>
      </c>
    </row>
    <row r="4227" spans="1:4">
      <c r="A4227" s="302">
        <v>96759</v>
      </c>
      <c r="B4227" s="301" t="s">
        <v>4855</v>
      </c>
      <c r="C4227" s="301" t="s">
        <v>28</v>
      </c>
      <c r="D4227" s="303">
        <v>17.75</v>
      </c>
    </row>
    <row r="4228" spans="1:4">
      <c r="A4228" s="302">
        <v>96760</v>
      </c>
      <c r="B4228" s="301" t="s">
        <v>4856</v>
      </c>
      <c r="C4228" s="301" t="s">
        <v>28</v>
      </c>
      <c r="D4228" s="303">
        <v>25.22</v>
      </c>
    </row>
    <row r="4229" spans="1:4">
      <c r="A4229" s="302">
        <v>96761</v>
      </c>
      <c r="B4229" s="301" t="s">
        <v>4857</v>
      </c>
      <c r="C4229" s="301" t="s">
        <v>28</v>
      </c>
      <c r="D4229" s="303">
        <v>35.479999999999997</v>
      </c>
    </row>
    <row r="4230" spans="1:4">
      <c r="A4230" s="302">
        <v>96762</v>
      </c>
      <c r="B4230" s="301" t="s">
        <v>4858</v>
      </c>
      <c r="C4230" s="301" t="s">
        <v>28</v>
      </c>
      <c r="D4230" s="303">
        <v>68.94</v>
      </c>
    </row>
    <row r="4231" spans="1:4">
      <c r="A4231" s="302">
        <v>96763</v>
      </c>
      <c r="B4231" s="301" t="s">
        <v>4859</v>
      </c>
      <c r="C4231" s="301" t="s">
        <v>28</v>
      </c>
      <c r="D4231" s="303">
        <v>94.91</v>
      </c>
    </row>
    <row r="4232" spans="1:4">
      <c r="A4232" s="302">
        <v>96764</v>
      </c>
      <c r="B4232" s="301" t="s">
        <v>4860</v>
      </c>
      <c r="C4232" s="301" t="s">
        <v>28</v>
      </c>
      <c r="D4232" s="303">
        <v>151.29</v>
      </c>
    </row>
    <row r="4233" spans="1:4">
      <c r="A4233" s="302">
        <v>96802</v>
      </c>
      <c r="B4233" s="301" t="s">
        <v>4861</v>
      </c>
      <c r="C4233" s="301" t="s">
        <v>28</v>
      </c>
      <c r="D4233" s="303">
        <v>194.77</v>
      </c>
    </row>
    <row r="4234" spans="1:4">
      <c r="A4234" s="302">
        <v>96803</v>
      </c>
      <c r="B4234" s="301" t="s">
        <v>4862</v>
      </c>
      <c r="C4234" s="301" t="s">
        <v>28</v>
      </c>
      <c r="D4234" s="303">
        <v>100.24</v>
      </c>
    </row>
    <row r="4235" spans="1:4">
      <c r="A4235" s="302">
        <v>96804</v>
      </c>
      <c r="B4235" s="301" t="s">
        <v>4863</v>
      </c>
      <c r="C4235" s="301" t="s">
        <v>28</v>
      </c>
      <c r="D4235" s="303">
        <v>180.03</v>
      </c>
    </row>
    <row r="4236" spans="1:4">
      <c r="A4236" s="302">
        <v>96805</v>
      </c>
      <c r="B4236" s="301" t="s">
        <v>4864</v>
      </c>
      <c r="C4236" s="301" t="s">
        <v>28</v>
      </c>
      <c r="D4236" s="303">
        <v>201.55</v>
      </c>
    </row>
    <row r="4237" spans="1:4">
      <c r="A4237" s="302">
        <v>96806</v>
      </c>
      <c r="B4237" s="301" t="s">
        <v>4865</v>
      </c>
      <c r="C4237" s="301" t="s">
        <v>28</v>
      </c>
      <c r="D4237" s="303">
        <v>98.29</v>
      </c>
    </row>
    <row r="4238" spans="1:4">
      <c r="A4238" s="302">
        <v>96807</v>
      </c>
      <c r="B4238" s="301" t="s">
        <v>4866</v>
      </c>
      <c r="C4238" s="301" t="s">
        <v>28</v>
      </c>
      <c r="D4238" s="303">
        <v>164.28</v>
      </c>
    </row>
    <row r="4239" spans="1:4">
      <c r="A4239" s="302">
        <v>96808</v>
      </c>
      <c r="B4239" s="301" t="s">
        <v>4867</v>
      </c>
      <c r="C4239" s="301" t="s">
        <v>28</v>
      </c>
      <c r="D4239" s="303">
        <v>9.41</v>
      </c>
    </row>
    <row r="4240" spans="1:4">
      <c r="A4240" s="302">
        <v>96809</v>
      </c>
      <c r="B4240" s="301" t="s">
        <v>4868</v>
      </c>
      <c r="C4240" s="301" t="s">
        <v>28</v>
      </c>
      <c r="D4240" s="303">
        <v>10.72</v>
      </c>
    </row>
    <row r="4241" spans="1:4">
      <c r="A4241" s="302">
        <v>96810</v>
      </c>
      <c r="B4241" s="301" t="s">
        <v>4869</v>
      </c>
      <c r="C4241" s="301" t="s">
        <v>28</v>
      </c>
      <c r="D4241" s="303">
        <v>11.6</v>
      </c>
    </row>
    <row r="4242" spans="1:4">
      <c r="A4242" s="302">
        <v>96811</v>
      </c>
      <c r="B4242" s="301" t="s">
        <v>4870</v>
      </c>
      <c r="C4242" s="301" t="s">
        <v>28</v>
      </c>
      <c r="D4242" s="303">
        <v>12.52</v>
      </c>
    </row>
    <row r="4243" spans="1:4">
      <c r="A4243" s="302">
        <v>96812</v>
      </c>
      <c r="B4243" s="301" t="s">
        <v>4871</v>
      </c>
      <c r="C4243" s="301" t="s">
        <v>28</v>
      </c>
      <c r="D4243" s="303">
        <v>12.05</v>
      </c>
    </row>
    <row r="4244" spans="1:4">
      <c r="A4244" s="302">
        <v>96813</v>
      </c>
      <c r="B4244" s="301" t="s">
        <v>4872</v>
      </c>
      <c r="C4244" s="301" t="s">
        <v>28</v>
      </c>
      <c r="D4244" s="303">
        <v>13.81</v>
      </c>
    </row>
    <row r="4245" spans="1:4">
      <c r="A4245" s="302">
        <v>96814</v>
      </c>
      <c r="B4245" s="301" t="s">
        <v>4873</v>
      </c>
      <c r="C4245" s="301" t="s">
        <v>28</v>
      </c>
      <c r="D4245" s="303">
        <v>11.75</v>
      </c>
    </row>
    <row r="4246" spans="1:4">
      <c r="A4246" s="302">
        <v>96815</v>
      </c>
      <c r="B4246" s="301" t="s">
        <v>4874</v>
      </c>
      <c r="C4246" s="301" t="s">
        <v>28</v>
      </c>
      <c r="D4246" s="303">
        <v>19.57</v>
      </c>
    </row>
    <row r="4247" spans="1:4">
      <c r="A4247" s="302">
        <v>96816</v>
      </c>
      <c r="B4247" s="301" t="s">
        <v>4875</v>
      </c>
      <c r="C4247" s="301" t="s">
        <v>28</v>
      </c>
      <c r="D4247" s="303">
        <v>16.22</v>
      </c>
    </row>
    <row r="4248" spans="1:4">
      <c r="A4248" s="302">
        <v>96817</v>
      </c>
      <c r="B4248" s="301" t="s">
        <v>4876</v>
      </c>
      <c r="C4248" s="301" t="s">
        <v>28</v>
      </c>
      <c r="D4248" s="303">
        <v>18.350000000000001</v>
      </c>
    </row>
    <row r="4249" spans="1:4">
      <c r="A4249" s="302">
        <v>96818</v>
      </c>
      <c r="B4249" s="301" t="s">
        <v>4877</v>
      </c>
      <c r="C4249" s="301" t="s">
        <v>28</v>
      </c>
      <c r="D4249" s="303">
        <v>17.14</v>
      </c>
    </row>
    <row r="4250" spans="1:4">
      <c r="A4250" s="302">
        <v>96819</v>
      </c>
      <c r="B4250" s="301" t="s">
        <v>4878</v>
      </c>
      <c r="C4250" s="301" t="s">
        <v>28</v>
      </c>
      <c r="D4250" s="303">
        <v>17.14</v>
      </c>
    </row>
    <row r="4251" spans="1:4">
      <c r="A4251" s="302">
        <v>96820</v>
      </c>
      <c r="B4251" s="301" t="s">
        <v>4879</v>
      </c>
      <c r="C4251" s="301" t="s">
        <v>28</v>
      </c>
      <c r="D4251" s="303">
        <v>30.79</v>
      </c>
    </row>
    <row r="4252" spans="1:4">
      <c r="A4252" s="302">
        <v>96821</v>
      </c>
      <c r="B4252" s="301" t="s">
        <v>4880</v>
      </c>
      <c r="C4252" s="301" t="s">
        <v>28</v>
      </c>
      <c r="D4252" s="303">
        <v>26.35</v>
      </c>
    </row>
    <row r="4253" spans="1:4">
      <c r="A4253" s="302">
        <v>96822</v>
      </c>
      <c r="B4253" s="301" t="s">
        <v>4881</v>
      </c>
      <c r="C4253" s="301" t="s">
        <v>28</v>
      </c>
      <c r="D4253" s="303">
        <v>26.69</v>
      </c>
    </row>
    <row r="4254" spans="1:4">
      <c r="A4254" s="302">
        <v>96823</v>
      </c>
      <c r="B4254" s="301" t="s">
        <v>4882</v>
      </c>
      <c r="C4254" s="301" t="s">
        <v>28</v>
      </c>
      <c r="D4254" s="303">
        <v>11.02</v>
      </c>
    </row>
    <row r="4255" spans="1:4">
      <c r="A4255" s="302">
        <v>96824</v>
      </c>
      <c r="B4255" s="301" t="s">
        <v>4883</v>
      </c>
      <c r="C4255" s="301" t="s">
        <v>28</v>
      </c>
      <c r="D4255" s="303">
        <v>12.39</v>
      </c>
    </row>
    <row r="4256" spans="1:4">
      <c r="A4256" s="302">
        <v>96825</v>
      </c>
      <c r="B4256" s="301" t="s">
        <v>4884</v>
      </c>
      <c r="C4256" s="301" t="s">
        <v>28</v>
      </c>
      <c r="D4256" s="303">
        <v>16.66</v>
      </c>
    </row>
    <row r="4257" spans="1:4">
      <c r="A4257" s="302">
        <v>96826</v>
      </c>
      <c r="B4257" s="301" t="s">
        <v>4885</v>
      </c>
      <c r="C4257" s="301" t="s">
        <v>28</v>
      </c>
      <c r="D4257" s="303">
        <v>15.22</v>
      </c>
    </row>
    <row r="4258" spans="1:4">
      <c r="A4258" s="302">
        <v>96827</v>
      </c>
      <c r="B4258" s="301" t="s">
        <v>4886</v>
      </c>
      <c r="C4258" s="301" t="s">
        <v>28</v>
      </c>
      <c r="D4258" s="303">
        <v>15.77</v>
      </c>
    </row>
    <row r="4259" spans="1:4">
      <c r="A4259" s="302">
        <v>96828</v>
      </c>
      <c r="B4259" s="301" t="s">
        <v>4887</v>
      </c>
      <c r="C4259" s="301" t="s">
        <v>28</v>
      </c>
      <c r="D4259" s="303">
        <v>19.690000000000001</v>
      </c>
    </row>
    <row r="4260" spans="1:4">
      <c r="A4260" s="302">
        <v>96829</v>
      </c>
      <c r="B4260" s="301" t="s">
        <v>4888</v>
      </c>
      <c r="C4260" s="301" t="s">
        <v>28</v>
      </c>
      <c r="D4260" s="303">
        <v>15.2</v>
      </c>
    </row>
    <row r="4261" spans="1:4">
      <c r="A4261" s="302">
        <v>96830</v>
      </c>
      <c r="B4261" s="301" t="s">
        <v>4889</v>
      </c>
      <c r="C4261" s="301" t="s">
        <v>28</v>
      </c>
      <c r="D4261" s="303">
        <v>21.98</v>
      </c>
    </row>
    <row r="4262" spans="1:4">
      <c r="A4262" s="302">
        <v>96831</v>
      </c>
      <c r="B4262" s="301" t="s">
        <v>4890</v>
      </c>
      <c r="C4262" s="301" t="s">
        <v>28</v>
      </c>
      <c r="D4262" s="303">
        <v>18.02</v>
      </c>
    </row>
    <row r="4263" spans="1:4">
      <c r="A4263" s="302">
        <v>96832</v>
      </c>
      <c r="B4263" s="301" t="s">
        <v>4891</v>
      </c>
      <c r="C4263" s="301" t="s">
        <v>28</v>
      </c>
      <c r="D4263" s="303">
        <v>20.74</v>
      </c>
    </row>
    <row r="4264" spans="1:4">
      <c r="A4264" s="302">
        <v>96833</v>
      </c>
      <c r="B4264" s="301" t="s">
        <v>4892</v>
      </c>
      <c r="C4264" s="301" t="s">
        <v>28</v>
      </c>
      <c r="D4264" s="303">
        <v>19.46</v>
      </c>
    </row>
    <row r="4265" spans="1:4">
      <c r="A4265" s="302">
        <v>96834</v>
      </c>
      <c r="B4265" s="301" t="s">
        <v>4893</v>
      </c>
      <c r="C4265" s="301" t="s">
        <v>28</v>
      </c>
      <c r="D4265" s="303">
        <v>31.92</v>
      </c>
    </row>
    <row r="4266" spans="1:4">
      <c r="A4266" s="302">
        <v>96835</v>
      </c>
      <c r="B4266" s="301" t="s">
        <v>4894</v>
      </c>
      <c r="C4266" s="301" t="s">
        <v>28</v>
      </c>
      <c r="D4266" s="303">
        <v>27.68</v>
      </c>
    </row>
    <row r="4267" spans="1:4">
      <c r="A4267" s="302">
        <v>96836</v>
      </c>
      <c r="B4267" s="301" t="s">
        <v>4895</v>
      </c>
      <c r="C4267" s="301" t="s">
        <v>28</v>
      </c>
      <c r="D4267" s="303">
        <v>29.44</v>
      </c>
    </row>
    <row r="4268" spans="1:4">
      <c r="A4268" s="302">
        <v>96837</v>
      </c>
      <c r="B4268" s="301" t="s">
        <v>4896</v>
      </c>
      <c r="C4268" s="301" t="s">
        <v>28</v>
      </c>
      <c r="D4268" s="303">
        <v>16.329999999999998</v>
      </c>
    </row>
    <row r="4269" spans="1:4">
      <c r="A4269" s="302">
        <v>96838</v>
      </c>
      <c r="B4269" s="301" t="s">
        <v>4897</v>
      </c>
      <c r="C4269" s="301" t="s">
        <v>28</v>
      </c>
      <c r="D4269" s="303">
        <v>15.06</v>
      </c>
    </row>
    <row r="4270" spans="1:4">
      <c r="A4270" s="302">
        <v>96839</v>
      </c>
      <c r="B4270" s="301" t="s">
        <v>4898</v>
      </c>
      <c r="C4270" s="301" t="s">
        <v>28</v>
      </c>
      <c r="D4270" s="303">
        <v>14.84</v>
      </c>
    </row>
    <row r="4271" spans="1:4">
      <c r="A4271" s="302">
        <v>96840</v>
      </c>
      <c r="B4271" s="301" t="s">
        <v>4899</v>
      </c>
      <c r="C4271" s="301" t="s">
        <v>28</v>
      </c>
      <c r="D4271" s="303">
        <v>19.100000000000001</v>
      </c>
    </row>
    <row r="4272" spans="1:4">
      <c r="A4272" s="302">
        <v>96841</v>
      </c>
      <c r="B4272" s="301" t="s">
        <v>4900</v>
      </c>
      <c r="C4272" s="301" t="s">
        <v>28</v>
      </c>
      <c r="D4272" s="303">
        <v>16.82</v>
      </c>
    </row>
    <row r="4273" spans="1:4">
      <c r="A4273" s="302">
        <v>96842</v>
      </c>
      <c r="B4273" s="301" t="s">
        <v>4901</v>
      </c>
      <c r="C4273" s="301" t="s">
        <v>28</v>
      </c>
      <c r="D4273" s="303">
        <v>21.18</v>
      </c>
    </row>
    <row r="4274" spans="1:4">
      <c r="A4274" s="302">
        <v>96843</v>
      </c>
      <c r="B4274" s="301" t="s">
        <v>4902</v>
      </c>
      <c r="C4274" s="301" t="s">
        <v>28</v>
      </c>
      <c r="D4274" s="303">
        <v>20.399999999999999</v>
      </c>
    </row>
    <row r="4275" spans="1:4">
      <c r="A4275" s="302">
        <v>96844</v>
      </c>
      <c r="B4275" s="301" t="s">
        <v>4903</v>
      </c>
      <c r="C4275" s="301" t="s">
        <v>28</v>
      </c>
      <c r="D4275" s="303">
        <v>27.51</v>
      </c>
    </row>
    <row r="4276" spans="1:4">
      <c r="A4276" s="302">
        <v>96845</v>
      </c>
      <c r="B4276" s="301" t="s">
        <v>4904</v>
      </c>
      <c r="C4276" s="301" t="s">
        <v>28</v>
      </c>
      <c r="D4276" s="303">
        <v>29.56</v>
      </c>
    </row>
    <row r="4277" spans="1:4">
      <c r="A4277" s="302">
        <v>96846</v>
      </c>
      <c r="B4277" s="301" t="s">
        <v>4905</v>
      </c>
      <c r="C4277" s="301" t="s">
        <v>28</v>
      </c>
      <c r="D4277" s="303">
        <v>23.49</v>
      </c>
    </row>
    <row r="4278" spans="1:4">
      <c r="A4278" s="302">
        <v>96847</v>
      </c>
      <c r="B4278" s="301" t="s">
        <v>4906</v>
      </c>
      <c r="C4278" s="301" t="s">
        <v>28</v>
      </c>
      <c r="D4278" s="303">
        <v>25.71</v>
      </c>
    </row>
    <row r="4279" spans="1:4">
      <c r="A4279" s="302">
        <v>96848</v>
      </c>
      <c r="B4279" s="301" t="s">
        <v>4907</v>
      </c>
      <c r="C4279" s="301" t="s">
        <v>28</v>
      </c>
      <c r="D4279" s="303">
        <v>38.26</v>
      </c>
    </row>
    <row r="4280" spans="1:4">
      <c r="A4280" s="302">
        <v>96849</v>
      </c>
      <c r="B4280" s="301" t="s">
        <v>4908</v>
      </c>
      <c r="C4280" s="301" t="s">
        <v>28</v>
      </c>
      <c r="D4280" s="303">
        <v>13.99</v>
      </c>
    </row>
    <row r="4281" spans="1:4">
      <c r="A4281" s="302">
        <v>96850</v>
      </c>
      <c r="B4281" s="301" t="s">
        <v>4909</v>
      </c>
      <c r="C4281" s="301" t="s">
        <v>28</v>
      </c>
      <c r="D4281" s="303">
        <v>16.260000000000002</v>
      </c>
    </row>
    <row r="4282" spans="1:4">
      <c r="A4282" s="302">
        <v>96851</v>
      </c>
      <c r="B4282" s="301" t="s">
        <v>4910</v>
      </c>
      <c r="C4282" s="301" t="s">
        <v>28</v>
      </c>
      <c r="D4282" s="303">
        <v>21.35</v>
      </c>
    </row>
    <row r="4283" spans="1:4">
      <c r="A4283" s="302">
        <v>96852</v>
      </c>
      <c r="B4283" s="301" t="s">
        <v>4911</v>
      </c>
      <c r="C4283" s="301" t="s">
        <v>28</v>
      </c>
      <c r="D4283" s="303">
        <v>18.52</v>
      </c>
    </row>
    <row r="4284" spans="1:4">
      <c r="A4284" s="302">
        <v>96853</v>
      </c>
      <c r="B4284" s="301" t="s">
        <v>4912</v>
      </c>
      <c r="C4284" s="301" t="s">
        <v>28</v>
      </c>
      <c r="D4284" s="303">
        <v>20.74</v>
      </c>
    </row>
    <row r="4285" spans="1:4">
      <c r="A4285" s="302">
        <v>96854</v>
      </c>
      <c r="B4285" s="301" t="s">
        <v>4913</v>
      </c>
      <c r="C4285" s="301" t="s">
        <v>28</v>
      </c>
      <c r="D4285" s="303">
        <v>24.68</v>
      </c>
    </row>
    <row r="4286" spans="1:4">
      <c r="A4286" s="302">
        <v>96855</v>
      </c>
      <c r="B4286" s="301" t="s">
        <v>4914</v>
      </c>
      <c r="C4286" s="301" t="s">
        <v>28</v>
      </c>
      <c r="D4286" s="303">
        <v>22.97</v>
      </c>
    </row>
    <row r="4287" spans="1:4">
      <c r="A4287" s="302">
        <v>96856</v>
      </c>
      <c r="B4287" s="301" t="s">
        <v>4915</v>
      </c>
      <c r="C4287" s="301" t="s">
        <v>28</v>
      </c>
      <c r="D4287" s="303">
        <v>23.29</v>
      </c>
    </row>
    <row r="4288" spans="1:4">
      <c r="A4288" s="302">
        <v>96857</v>
      </c>
      <c r="B4288" s="301" t="s">
        <v>4916</v>
      </c>
      <c r="C4288" s="301" t="s">
        <v>28</v>
      </c>
      <c r="D4288" s="303">
        <v>36.61</v>
      </c>
    </row>
    <row r="4289" spans="1:4">
      <c r="A4289" s="302">
        <v>96858</v>
      </c>
      <c r="B4289" s="301" t="s">
        <v>4917</v>
      </c>
      <c r="C4289" s="301" t="s">
        <v>28</v>
      </c>
      <c r="D4289" s="303">
        <v>37.200000000000003</v>
      </c>
    </row>
    <row r="4290" spans="1:4">
      <c r="A4290" s="302">
        <v>96859</v>
      </c>
      <c r="B4290" s="301" t="s">
        <v>4918</v>
      </c>
      <c r="C4290" s="301" t="s">
        <v>28</v>
      </c>
      <c r="D4290" s="303">
        <v>45.84</v>
      </c>
    </row>
    <row r="4291" spans="1:4">
      <c r="A4291" s="302">
        <v>96860</v>
      </c>
      <c r="B4291" s="301" t="s">
        <v>4919</v>
      </c>
      <c r="C4291" s="301" t="s">
        <v>28</v>
      </c>
      <c r="D4291" s="303">
        <v>19.09</v>
      </c>
    </row>
    <row r="4292" spans="1:4">
      <c r="A4292" s="302">
        <v>96861</v>
      </c>
      <c r="B4292" s="301" t="s">
        <v>4920</v>
      </c>
      <c r="C4292" s="301" t="s">
        <v>28</v>
      </c>
      <c r="D4292" s="303">
        <v>20.53</v>
      </c>
    </row>
    <row r="4293" spans="1:4">
      <c r="A4293" s="302">
        <v>96862</v>
      </c>
      <c r="B4293" s="301" t="s">
        <v>4921</v>
      </c>
      <c r="C4293" s="301" t="s">
        <v>28</v>
      </c>
      <c r="D4293" s="303">
        <v>22.99</v>
      </c>
    </row>
    <row r="4294" spans="1:4">
      <c r="A4294" s="302">
        <v>96863</v>
      </c>
      <c r="B4294" s="301" t="s">
        <v>4922</v>
      </c>
      <c r="C4294" s="301" t="s">
        <v>28</v>
      </c>
      <c r="D4294" s="303">
        <v>22.75</v>
      </c>
    </row>
    <row r="4295" spans="1:4">
      <c r="A4295" s="302">
        <v>96864</v>
      </c>
      <c r="B4295" s="301" t="s">
        <v>4923</v>
      </c>
      <c r="C4295" s="301" t="s">
        <v>28</v>
      </c>
      <c r="D4295" s="303">
        <v>35.549999999999997</v>
      </c>
    </row>
    <row r="4296" spans="1:4">
      <c r="A4296" s="302">
        <v>96865</v>
      </c>
      <c r="B4296" s="301" t="s">
        <v>4924</v>
      </c>
      <c r="C4296" s="301" t="s">
        <v>28</v>
      </c>
      <c r="D4296" s="303">
        <v>34.85</v>
      </c>
    </row>
    <row r="4297" spans="1:4">
      <c r="A4297" s="302">
        <v>96866</v>
      </c>
      <c r="B4297" s="301" t="s">
        <v>4925</v>
      </c>
      <c r="C4297" s="301" t="s">
        <v>28</v>
      </c>
      <c r="D4297" s="303">
        <v>46.61</v>
      </c>
    </row>
    <row r="4298" spans="1:4">
      <c r="A4298" s="302">
        <v>96867</v>
      </c>
      <c r="B4298" s="301" t="s">
        <v>4926</v>
      </c>
      <c r="C4298" s="301" t="s">
        <v>28</v>
      </c>
      <c r="D4298" s="303">
        <v>53.87</v>
      </c>
    </row>
    <row r="4299" spans="1:4">
      <c r="A4299" s="302">
        <v>96868</v>
      </c>
      <c r="B4299" s="301" t="s">
        <v>4927</v>
      </c>
      <c r="C4299" s="301" t="s">
        <v>28</v>
      </c>
      <c r="D4299" s="303">
        <v>21.54</v>
      </c>
    </row>
    <row r="4300" spans="1:4">
      <c r="A4300" s="302">
        <v>96869</v>
      </c>
      <c r="B4300" s="301" t="s">
        <v>4928</v>
      </c>
      <c r="C4300" s="301" t="s">
        <v>28</v>
      </c>
      <c r="D4300" s="303">
        <v>25.73</v>
      </c>
    </row>
    <row r="4301" spans="1:4">
      <c r="A4301" s="302">
        <v>96870</v>
      </c>
      <c r="B4301" s="301" t="s">
        <v>4929</v>
      </c>
      <c r="C4301" s="301" t="s">
        <v>28</v>
      </c>
      <c r="D4301" s="303">
        <v>40.29</v>
      </c>
    </row>
    <row r="4302" spans="1:4">
      <c r="A4302" s="302">
        <v>96871</v>
      </c>
      <c r="B4302" s="301" t="s">
        <v>4930</v>
      </c>
      <c r="C4302" s="301" t="s">
        <v>28</v>
      </c>
      <c r="D4302" s="303">
        <v>58.15</v>
      </c>
    </row>
    <row r="4303" spans="1:4">
      <c r="A4303" s="302">
        <v>96872</v>
      </c>
      <c r="B4303" s="301" t="s">
        <v>4931</v>
      </c>
      <c r="C4303" s="301" t="s">
        <v>28</v>
      </c>
      <c r="D4303" s="303">
        <v>56.68</v>
      </c>
    </row>
    <row r="4304" spans="1:4">
      <c r="A4304" s="302">
        <v>96873</v>
      </c>
      <c r="B4304" s="301" t="s">
        <v>4932</v>
      </c>
      <c r="C4304" s="301" t="s">
        <v>28</v>
      </c>
      <c r="D4304" s="303">
        <v>64.69</v>
      </c>
    </row>
    <row r="4305" spans="1:4">
      <c r="A4305" s="302">
        <v>96874</v>
      </c>
      <c r="B4305" s="301" t="s">
        <v>4933</v>
      </c>
      <c r="C4305" s="301" t="s">
        <v>28</v>
      </c>
      <c r="D4305" s="303">
        <v>68.709999999999994</v>
      </c>
    </row>
    <row r="4306" spans="1:4">
      <c r="A4306" s="302">
        <v>96875</v>
      </c>
      <c r="B4306" s="301" t="s">
        <v>4934</v>
      </c>
      <c r="C4306" s="301" t="s">
        <v>28</v>
      </c>
      <c r="D4306" s="303">
        <v>81.59</v>
      </c>
    </row>
    <row r="4307" spans="1:4">
      <c r="A4307" s="302">
        <v>96876</v>
      </c>
      <c r="B4307" s="301" t="s">
        <v>4935</v>
      </c>
      <c r="C4307" s="301" t="s">
        <v>28</v>
      </c>
      <c r="D4307" s="303">
        <v>138.44</v>
      </c>
    </row>
    <row r="4308" spans="1:4">
      <c r="A4308" s="302">
        <v>96877</v>
      </c>
      <c r="B4308" s="301" t="s">
        <v>4936</v>
      </c>
      <c r="C4308" s="301" t="s">
        <v>28</v>
      </c>
      <c r="D4308" s="303">
        <v>147.80000000000001</v>
      </c>
    </row>
    <row r="4309" spans="1:4">
      <c r="A4309" s="302">
        <v>96878</v>
      </c>
      <c r="B4309" s="301" t="s">
        <v>4937</v>
      </c>
      <c r="C4309" s="301" t="s">
        <v>28</v>
      </c>
      <c r="D4309" s="303">
        <v>149.54</v>
      </c>
    </row>
    <row r="4310" spans="1:4">
      <c r="A4310" s="302">
        <v>96879</v>
      </c>
      <c r="B4310" s="301" t="s">
        <v>4938</v>
      </c>
      <c r="C4310" s="301" t="s">
        <v>28</v>
      </c>
      <c r="D4310" s="303">
        <v>150.66</v>
      </c>
    </row>
    <row r="4311" spans="1:4">
      <c r="A4311" s="302">
        <v>96880</v>
      </c>
      <c r="B4311" s="301" t="s">
        <v>4939</v>
      </c>
      <c r="C4311" s="301" t="s">
        <v>28</v>
      </c>
      <c r="D4311" s="303">
        <v>171.6</v>
      </c>
    </row>
    <row r="4312" spans="1:4">
      <c r="A4312" s="302">
        <v>96881</v>
      </c>
      <c r="B4312" s="301" t="s">
        <v>4940</v>
      </c>
      <c r="C4312" s="301" t="s">
        <v>28</v>
      </c>
      <c r="D4312" s="303">
        <v>181.08</v>
      </c>
    </row>
    <row r="4313" spans="1:4">
      <c r="A4313" s="302">
        <v>97425</v>
      </c>
      <c r="B4313" s="301" t="s">
        <v>4941</v>
      </c>
      <c r="C4313" s="301" t="s">
        <v>28</v>
      </c>
      <c r="D4313" s="303">
        <v>18.600000000000001</v>
      </c>
    </row>
    <row r="4314" spans="1:4">
      <c r="A4314" s="302">
        <v>97426</v>
      </c>
      <c r="B4314" s="301" t="s">
        <v>4942</v>
      </c>
      <c r="C4314" s="301" t="s">
        <v>28</v>
      </c>
      <c r="D4314" s="303">
        <v>21.94</v>
      </c>
    </row>
    <row r="4315" spans="1:4">
      <c r="A4315" s="302">
        <v>97427</v>
      </c>
      <c r="B4315" s="301" t="s">
        <v>4943</v>
      </c>
      <c r="C4315" s="301" t="s">
        <v>28</v>
      </c>
      <c r="D4315" s="303">
        <v>24.47</v>
      </c>
    </row>
    <row r="4316" spans="1:4">
      <c r="A4316" s="302">
        <v>97428</v>
      </c>
      <c r="B4316" s="301" t="s">
        <v>4944</v>
      </c>
      <c r="C4316" s="301" t="s">
        <v>28</v>
      </c>
      <c r="D4316" s="303">
        <v>30.33</v>
      </c>
    </row>
    <row r="4317" spans="1:4">
      <c r="A4317" s="302">
        <v>97429</v>
      </c>
      <c r="B4317" s="301" t="s">
        <v>4945</v>
      </c>
      <c r="C4317" s="301" t="s">
        <v>28</v>
      </c>
      <c r="D4317" s="303">
        <v>35.729999999999997</v>
      </c>
    </row>
    <row r="4318" spans="1:4">
      <c r="A4318" s="302">
        <v>97430</v>
      </c>
      <c r="B4318" s="301" t="s">
        <v>4946</v>
      </c>
      <c r="C4318" s="301" t="s">
        <v>28</v>
      </c>
      <c r="D4318" s="303">
        <v>26.97</v>
      </c>
    </row>
    <row r="4319" spans="1:4">
      <c r="A4319" s="302">
        <v>97431</v>
      </c>
      <c r="B4319" s="301" t="s">
        <v>4947</v>
      </c>
      <c r="C4319" s="301" t="s">
        <v>28</v>
      </c>
      <c r="D4319" s="303">
        <v>30.18</v>
      </c>
    </row>
    <row r="4320" spans="1:4">
      <c r="A4320" s="302">
        <v>97432</v>
      </c>
      <c r="B4320" s="301" t="s">
        <v>4948</v>
      </c>
      <c r="C4320" s="301" t="s">
        <v>28</v>
      </c>
      <c r="D4320" s="303">
        <v>34.08</v>
      </c>
    </row>
    <row r="4321" spans="1:4">
      <c r="A4321" s="302">
        <v>97433</v>
      </c>
      <c r="B4321" s="301" t="s">
        <v>4949</v>
      </c>
      <c r="C4321" s="301" t="s">
        <v>28</v>
      </c>
      <c r="D4321" s="303">
        <v>60.04</v>
      </c>
    </row>
    <row r="4322" spans="1:4">
      <c r="A4322" s="302">
        <v>97434</v>
      </c>
      <c r="B4322" s="301" t="s">
        <v>4950</v>
      </c>
      <c r="C4322" s="301" t="s">
        <v>28</v>
      </c>
      <c r="D4322" s="303">
        <v>61.11</v>
      </c>
    </row>
    <row r="4323" spans="1:4">
      <c r="A4323" s="302">
        <v>97435</v>
      </c>
      <c r="B4323" s="301" t="s">
        <v>4951</v>
      </c>
      <c r="C4323" s="301" t="s">
        <v>28</v>
      </c>
      <c r="D4323" s="303">
        <v>70.23</v>
      </c>
    </row>
    <row r="4324" spans="1:4">
      <c r="A4324" s="302">
        <v>97436</v>
      </c>
      <c r="B4324" s="301" t="s">
        <v>4952</v>
      </c>
      <c r="C4324" s="301" t="s">
        <v>28</v>
      </c>
      <c r="D4324" s="303">
        <v>72.28</v>
      </c>
    </row>
    <row r="4325" spans="1:4">
      <c r="A4325" s="302">
        <v>97437</v>
      </c>
      <c r="B4325" s="301" t="s">
        <v>4953</v>
      </c>
      <c r="C4325" s="301" t="s">
        <v>28</v>
      </c>
      <c r="D4325" s="303">
        <v>80.349999999999994</v>
      </c>
    </row>
    <row r="4326" spans="1:4">
      <c r="A4326" s="302">
        <v>97438</v>
      </c>
      <c r="B4326" s="301" t="s">
        <v>4954</v>
      </c>
      <c r="C4326" s="301" t="s">
        <v>28</v>
      </c>
      <c r="D4326" s="303">
        <v>82.56</v>
      </c>
    </row>
    <row r="4327" spans="1:4">
      <c r="A4327" s="302">
        <v>97439</v>
      </c>
      <c r="B4327" s="301" t="s">
        <v>4955</v>
      </c>
      <c r="C4327" s="301" t="s">
        <v>28</v>
      </c>
      <c r="D4327" s="303">
        <v>90.34</v>
      </c>
    </row>
    <row r="4328" spans="1:4">
      <c r="A4328" s="302">
        <v>97440</v>
      </c>
      <c r="B4328" s="301" t="s">
        <v>4956</v>
      </c>
      <c r="C4328" s="301" t="s">
        <v>28</v>
      </c>
      <c r="D4328" s="303">
        <v>108.17</v>
      </c>
    </row>
    <row r="4329" spans="1:4">
      <c r="A4329" s="302">
        <v>97442</v>
      </c>
      <c r="B4329" s="301" t="s">
        <v>4957</v>
      </c>
      <c r="C4329" s="301" t="s">
        <v>28</v>
      </c>
      <c r="D4329" s="303">
        <v>119.48</v>
      </c>
    </row>
    <row r="4330" spans="1:4">
      <c r="A4330" s="302">
        <v>97443</v>
      </c>
      <c r="B4330" s="301" t="s">
        <v>4958</v>
      </c>
      <c r="C4330" s="301" t="s">
        <v>28</v>
      </c>
      <c r="D4330" s="303">
        <v>68.11</v>
      </c>
    </row>
    <row r="4331" spans="1:4">
      <c r="A4331" s="302">
        <v>97444</v>
      </c>
      <c r="B4331" s="301" t="s">
        <v>4959</v>
      </c>
      <c r="C4331" s="301" t="s">
        <v>28</v>
      </c>
      <c r="D4331" s="303">
        <v>79.260000000000005</v>
      </c>
    </row>
    <row r="4332" spans="1:4">
      <c r="A4332" s="302">
        <v>97446</v>
      </c>
      <c r="B4332" s="301" t="s">
        <v>4960</v>
      </c>
      <c r="C4332" s="301" t="s">
        <v>28</v>
      </c>
      <c r="D4332" s="303">
        <v>133.79</v>
      </c>
    </row>
    <row r="4333" spans="1:4">
      <c r="A4333" s="302">
        <v>97447</v>
      </c>
      <c r="B4333" s="301" t="s">
        <v>4961</v>
      </c>
      <c r="C4333" s="301" t="s">
        <v>28</v>
      </c>
      <c r="D4333" s="303">
        <v>133.79</v>
      </c>
    </row>
    <row r="4334" spans="1:4">
      <c r="A4334" s="302">
        <v>97449</v>
      </c>
      <c r="B4334" s="301" t="s">
        <v>4962</v>
      </c>
      <c r="C4334" s="301" t="s">
        <v>28</v>
      </c>
      <c r="D4334" s="303">
        <v>142.57</v>
      </c>
    </row>
    <row r="4335" spans="1:4">
      <c r="A4335" s="302">
        <v>97450</v>
      </c>
      <c r="B4335" s="301" t="s">
        <v>4963</v>
      </c>
      <c r="C4335" s="301" t="s">
        <v>28</v>
      </c>
      <c r="D4335" s="303">
        <v>172.95</v>
      </c>
    </row>
    <row r="4336" spans="1:4">
      <c r="A4336" s="302">
        <v>97452</v>
      </c>
      <c r="B4336" s="301" t="s">
        <v>4964</v>
      </c>
      <c r="C4336" s="301" t="s">
        <v>28</v>
      </c>
      <c r="D4336" s="303">
        <v>111.44</v>
      </c>
    </row>
    <row r="4337" spans="1:4">
      <c r="A4337" s="302">
        <v>97453</v>
      </c>
      <c r="B4337" s="301" t="s">
        <v>4965</v>
      </c>
      <c r="C4337" s="301" t="s">
        <v>28</v>
      </c>
      <c r="D4337" s="303">
        <v>117.81</v>
      </c>
    </row>
    <row r="4338" spans="1:4">
      <c r="A4338" s="302">
        <v>97454</v>
      </c>
      <c r="B4338" s="301" t="s">
        <v>4966</v>
      </c>
      <c r="C4338" s="301" t="s">
        <v>28</v>
      </c>
      <c r="D4338" s="303">
        <v>184.83</v>
      </c>
    </row>
    <row r="4339" spans="1:4">
      <c r="A4339" s="302">
        <v>97455</v>
      </c>
      <c r="B4339" s="301" t="s">
        <v>4967</v>
      </c>
      <c r="C4339" s="301" t="s">
        <v>28</v>
      </c>
      <c r="D4339" s="303">
        <v>195.01</v>
      </c>
    </row>
    <row r="4340" spans="1:4">
      <c r="A4340" s="302">
        <v>97456</v>
      </c>
      <c r="B4340" s="301" t="s">
        <v>4968</v>
      </c>
      <c r="C4340" s="301" t="s">
        <v>28</v>
      </c>
      <c r="D4340" s="303">
        <v>408.5</v>
      </c>
    </row>
    <row r="4341" spans="1:4">
      <c r="A4341" s="302">
        <v>97457</v>
      </c>
      <c r="B4341" s="301" t="s">
        <v>4969</v>
      </c>
      <c r="C4341" s="301" t="s">
        <v>28</v>
      </c>
      <c r="D4341" s="303">
        <v>362.81</v>
      </c>
    </row>
    <row r="4342" spans="1:4">
      <c r="A4342" s="302">
        <v>97458</v>
      </c>
      <c r="B4342" s="301" t="s">
        <v>4970</v>
      </c>
      <c r="C4342" s="301" t="s">
        <v>28</v>
      </c>
      <c r="D4342" s="303">
        <v>174.12</v>
      </c>
    </row>
    <row r="4343" spans="1:4">
      <c r="A4343" s="302">
        <v>97459</v>
      </c>
      <c r="B4343" s="301" t="s">
        <v>4971</v>
      </c>
      <c r="C4343" s="301" t="s">
        <v>28</v>
      </c>
      <c r="D4343" s="303">
        <v>292.11</v>
      </c>
    </row>
    <row r="4344" spans="1:4">
      <c r="A4344" s="302">
        <v>97460</v>
      </c>
      <c r="B4344" s="301" t="s">
        <v>4972</v>
      </c>
      <c r="C4344" s="301" t="s">
        <v>28</v>
      </c>
      <c r="D4344" s="303">
        <v>443.8</v>
      </c>
    </row>
    <row r="4345" spans="1:4">
      <c r="A4345" s="302">
        <v>97461</v>
      </c>
      <c r="B4345" s="301" t="s">
        <v>4973</v>
      </c>
      <c r="C4345" s="301" t="s">
        <v>28</v>
      </c>
      <c r="D4345" s="303">
        <v>21.32</v>
      </c>
    </row>
    <row r="4346" spans="1:4">
      <c r="A4346" s="302">
        <v>97462</v>
      </c>
      <c r="B4346" s="301" t="s">
        <v>4974</v>
      </c>
      <c r="C4346" s="301" t="s">
        <v>28</v>
      </c>
      <c r="D4346" s="303">
        <v>18.05</v>
      </c>
    </row>
    <row r="4347" spans="1:4">
      <c r="A4347" s="302">
        <v>97464</v>
      </c>
      <c r="B4347" s="301" t="s">
        <v>4975</v>
      </c>
      <c r="C4347" s="301" t="s">
        <v>28</v>
      </c>
      <c r="D4347" s="303">
        <v>30.46</v>
      </c>
    </row>
    <row r="4348" spans="1:4">
      <c r="A4348" s="302">
        <v>97465</v>
      </c>
      <c r="B4348" s="301" t="s">
        <v>4976</v>
      </c>
      <c r="C4348" s="301" t="s">
        <v>28</v>
      </c>
      <c r="D4348" s="303">
        <v>35.97</v>
      </c>
    </row>
    <row r="4349" spans="1:4">
      <c r="A4349" s="302">
        <v>97467</v>
      </c>
      <c r="B4349" s="301" t="s">
        <v>4977</v>
      </c>
      <c r="C4349" s="301" t="s">
        <v>28</v>
      </c>
      <c r="D4349" s="303">
        <v>38.619999999999997</v>
      </c>
    </row>
    <row r="4350" spans="1:4">
      <c r="A4350" s="302">
        <v>97468</v>
      </c>
      <c r="B4350" s="301" t="s">
        <v>4978</v>
      </c>
      <c r="C4350" s="301" t="s">
        <v>28</v>
      </c>
      <c r="D4350" s="303">
        <v>45.67</v>
      </c>
    </row>
    <row r="4351" spans="1:4">
      <c r="A4351" s="302">
        <v>97470</v>
      </c>
      <c r="B4351" s="301" t="s">
        <v>4979</v>
      </c>
      <c r="C4351" s="301" t="s">
        <v>28</v>
      </c>
      <c r="D4351" s="303">
        <v>56.47</v>
      </c>
    </row>
    <row r="4352" spans="1:4">
      <c r="A4352" s="302">
        <v>97471</v>
      </c>
      <c r="B4352" s="301" t="s">
        <v>4980</v>
      </c>
      <c r="C4352" s="301" t="s">
        <v>28</v>
      </c>
      <c r="D4352" s="303">
        <v>67.62</v>
      </c>
    </row>
    <row r="4353" spans="1:4">
      <c r="A4353" s="302">
        <v>97474</v>
      </c>
      <c r="B4353" s="301" t="s">
        <v>4981</v>
      </c>
      <c r="C4353" s="301" t="s">
        <v>28</v>
      </c>
      <c r="D4353" s="303">
        <v>101.58</v>
      </c>
    </row>
    <row r="4354" spans="1:4">
      <c r="A4354" s="302">
        <v>97475</v>
      </c>
      <c r="B4354" s="301" t="s">
        <v>4982</v>
      </c>
      <c r="C4354" s="301" t="s">
        <v>28</v>
      </c>
      <c r="D4354" s="303">
        <v>124.13</v>
      </c>
    </row>
    <row r="4355" spans="1:4">
      <c r="A4355" s="302">
        <v>97477</v>
      </c>
      <c r="B4355" s="301" t="s">
        <v>4983</v>
      </c>
      <c r="C4355" s="301" t="s">
        <v>28</v>
      </c>
      <c r="D4355" s="303">
        <v>134.9</v>
      </c>
    </row>
    <row r="4356" spans="1:4">
      <c r="A4356" s="302">
        <v>97478</v>
      </c>
      <c r="B4356" s="301" t="s">
        <v>4984</v>
      </c>
      <c r="C4356" s="301" t="s">
        <v>28</v>
      </c>
      <c r="D4356" s="303">
        <v>165.28</v>
      </c>
    </row>
    <row r="4357" spans="1:4">
      <c r="A4357" s="302">
        <v>97479</v>
      </c>
      <c r="B4357" s="301" t="s">
        <v>4985</v>
      </c>
      <c r="C4357" s="301" t="s">
        <v>28</v>
      </c>
      <c r="D4357" s="303">
        <v>34.270000000000003</v>
      </c>
    </row>
    <row r="4358" spans="1:4">
      <c r="A4358" s="302">
        <v>97480</v>
      </c>
      <c r="B4358" s="301" t="s">
        <v>4986</v>
      </c>
      <c r="C4358" s="301" t="s">
        <v>28</v>
      </c>
      <c r="D4358" s="303">
        <v>34.270000000000003</v>
      </c>
    </row>
    <row r="4359" spans="1:4">
      <c r="A4359" s="302">
        <v>97481</v>
      </c>
      <c r="B4359" s="301" t="s">
        <v>4987</v>
      </c>
      <c r="C4359" s="301" t="s">
        <v>28</v>
      </c>
      <c r="D4359" s="303">
        <v>49.24</v>
      </c>
    </row>
    <row r="4360" spans="1:4">
      <c r="A4360" s="302">
        <v>97482</v>
      </c>
      <c r="B4360" s="301" t="s">
        <v>4988</v>
      </c>
      <c r="C4360" s="301" t="s">
        <v>28</v>
      </c>
      <c r="D4360" s="303">
        <v>49.24</v>
      </c>
    </row>
    <row r="4361" spans="1:4">
      <c r="A4361" s="302">
        <v>97483</v>
      </c>
      <c r="B4361" s="301" t="s">
        <v>4989</v>
      </c>
      <c r="C4361" s="301" t="s">
        <v>28</v>
      </c>
      <c r="D4361" s="303">
        <v>68.510000000000005</v>
      </c>
    </row>
    <row r="4362" spans="1:4">
      <c r="A4362" s="302">
        <v>97484</v>
      </c>
      <c r="B4362" s="301" t="s">
        <v>4990</v>
      </c>
      <c r="C4362" s="301" t="s">
        <v>28</v>
      </c>
      <c r="D4362" s="303">
        <v>68.510000000000005</v>
      </c>
    </row>
    <row r="4363" spans="1:4">
      <c r="A4363" s="302">
        <v>97485</v>
      </c>
      <c r="B4363" s="301" t="s">
        <v>4991</v>
      </c>
      <c r="C4363" s="301" t="s">
        <v>28</v>
      </c>
      <c r="D4363" s="303">
        <v>93.99</v>
      </c>
    </row>
    <row r="4364" spans="1:4">
      <c r="A4364" s="302">
        <v>97486</v>
      </c>
      <c r="B4364" s="301" t="s">
        <v>4992</v>
      </c>
      <c r="C4364" s="301" t="s">
        <v>28</v>
      </c>
      <c r="D4364" s="303">
        <v>100.36</v>
      </c>
    </row>
    <row r="4365" spans="1:4">
      <c r="A4365" s="302">
        <v>97487</v>
      </c>
      <c r="B4365" s="301" t="s">
        <v>4993</v>
      </c>
      <c r="C4365" s="301" t="s">
        <v>28</v>
      </c>
      <c r="D4365" s="303">
        <v>170.36</v>
      </c>
    </row>
    <row r="4366" spans="1:4">
      <c r="A4366" s="302">
        <v>97488</v>
      </c>
      <c r="B4366" s="301" t="s">
        <v>4994</v>
      </c>
      <c r="C4366" s="301" t="s">
        <v>28</v>
      </c>
      <c r="D4366" s="303">
        <v>180.54</v>
      </c>
    </row>
    <row r="4367" spans="1:4">
      <c r="A4367" s="302">
        <v>97489</v>
      </c>
      <c r="B4367" s="301" t="s">
        <v>4995</v>
      </c>
      <c r="C4367" s="301" t="s">
        <v>28</v>
      </c>
      <c r="D4367" s="303">
        <v>396.95</v>
      </c>
    </row>
    <row r="4368" spans="1:4">
      <c r="A4368" s="302">
        <v>97490</v>
      </c>
      <c r="B4368" s="301" t="s">
        <v>4996</v>
      </c>
      <c r="C4368" s="301" t="s">
        <v>28</v>
      </c>
      <c r="D4368" s="303">
        <v>351.26</v>
      </c>
    </row>
    <row r="4369" spans="1:4">
      <c r="A4369" s="302">
        <v>97491</v>
      </c>
      <c r="B4369" s="301" t="s">
        <v>4997</v>
      </c>
      <c r="C4369" s="301" t="s">
        <v>28</v>
      </c>
      <c r="D4369" s="303">
        <v>52.4</v>
      </c>
    </row>
    <row r="4370" spans="1:4">
      <c r="A4370" s="302">
        <v>97492</v>
      </c>
      <c r="B4370" s="301" t="s">
        <v>4998</v>
      </c>
      <c r="C4370" s="301" t="s">
        <v>28</v>
      </c>
      <c r="D4370" s="303">
        <v>76.290000000000006</v>
      </c>
    </row>
    <row r="4371" spans="1:4">
      <c r="A4371" s="302">
        <v>97493</v>
      </c>
      <c r="B4371" s="301" t="s">
        <v>4999</v>
      </c>
      <c r="C4371" s="301" t="s">
        <v>28</v>
      </c>
      <c r="D4371" s="303">
        <v>98.24</v>
      </c>
    </row>
    <row r="4372" spans="1:4">
      <c r="A4372" s="302">
        <v>97494</v>
      </c>
      <c r="B4372" s="301" t="s">
        <v>5000</v>
      </c>
      <c r="C4372" s="301" t="s">
        <v>28</v>
      </c>
      <c r="D4372" s="303">
        <v>150.82</v>
      </c>
    </row>
    <row r="4373" spans="1:4">
      <c r="A4373" s="302">
        <v>97495</v>
      </c>
      <c r="B4373" s="301" t="s">
        <v>5001</v>
      </c>
      <c r="C4373" s="301" t="s">
        <v>28</v>
      </c>
      <c r="D4373" s="303">
        <v>272.77999999999997</v>
      </c>
    </row>
    <row r="4374" spans="1:4">
      <c r="A4374" s="302">
        <v>97496</v>
      </c>
      <c r="B4374" s="301" t="s">
        <v>5002</v>
      </c>
      <c r="C4374" s="301" t="s">
        <v>28</v>
      </c>
      <c r="D4374" s="303">
        <v>428.44</v>
      </c>
    </row>
    <row r="4375" spans="1:4">
      <c r="A4375" s="302">
        <v>97499</v>
      </c>
      <c r="B4375" s="301" t="s">
        <v>5003</v>
      </c>
      <c r="C4375" s="301" t="s">
        <v>28</v>
      </c>
      <c r="D4375" s="303">
        <v>19.440000000000001</v>
      </c>
    </row>
    <row r="4376" spans="1:4">
      <c r="A4376" s="302">
        <v>97500</v>
      </c>
      <c r="B4376" s="301" t="s">
        <v>5004</v>
      </c>
      <c r="C4376" s="301" t="s">
        <v>28</v>
      </c>
      <c r="D4376" s="303">
        <v>16.170000000000002</v>
      </c>
    </row>
    <row r="4377" spans="1:4">
      <c r="A4377" s="302">
        <v>97502</v>
      </c>
      <c r="B4377" s="301" t="s">
        <v>5005</v>
      </c>
      <c r="C4377" s="301" t="s">
        <v>28</v>
      </c>
      <c r="D4377" s="303">
        <v>26.96</v>
      </c>
    </row>
    <row r="4378" spans="1:4">
      <c r="A4378" s="302">
        <v>97503</v>
      </c>
      <c r="B4378" s="301" t="s">
        <v>5006</v>
      </c>
      <c r="C4378" s="301" t="s">
        <v>28</v>
      </c>
      <c r="D4378" s="303">
        <v>32.65</v>
      </c>
    </row>
    <row r="4379" spans="1:4">
      <c r="A4379" s="302">
        <v>97505</v>
      </c>
      <c r="B4379" s="301" t="s">
        <v>5007</v>
      </c>
      <c r="C4379" s="301" t="s">
        <v>28</v>
      </c>
      <c r="D4379" s="303">
        <v>33.700000000000003</v>
      </c>
    </row>
    <row r="4380" spans="1:4">
      <c r="A4380" s="302">
        <v>97506</v>
      </c>
      <c r="B4380" s="301" t="s">
        <v>5008</v>
      </c>
      <c r="C4380" s="301" t="s">
        <v>28</v>
      </c>
      <c r="D4380" s="303">
        <v>40.75</v>
      </c>
    </row>
    <row r="4381" spans="1:4">
      <c r="A4381" s="302">
        <v>97508</v>
      </c>
      <c r="B4381" s="301" t="s">
        <v>5009</v>
      </c>
      <c r="C4381" s="301" t="s">
        <v>28</v>
      </c>
      <c r="D4381" s="303">
        <v>49.51</v>
      </c>
    </row>
    <row r="4382" spans="1:4">
      <c r="A4382" s="302">
        <v>97509</v>
      </c>
      <c r="B4382" s="301" t="s">
        <v>5010</v>
      </c>
      <c r="C4382" s="301" t="s">
        <v>28</v>
      </c>
      <c r="D4382" s="303">
        <v>60.66</v>
      </c>
    </row>
    <row r="4383" spans="1:4">
      <c r="A4383" s="302">
        <v>97511</v>
      </c>
      <c r="B4383" s="301" t="s">
        <v>5011</v>
      </c>
      <c r="C4383" s="301" t="s">
        <v>28</v>
      </c>
      <c r="D4383" s="303">
        <v>91.58</v>
      </c>
    </row>
    <row r="4384" spans="1:4">
      <c r="A4384" s="302">
        <v>97512</v>
      </c>
      <c r="B4384" s="301" t="s">
        <v>5012</v>
      </c>
      <c r="C4384" s="301" t="s">
        <v>28</v>
      </c>
      <c r="D4384" s="303">
        <v>114.13</v>
      </c>
    </row>
    <row r="4385" spans="1:4">
      <c r="A4385" s="302">
        <v>97514</v>
      </c>
      <c r="B4385" s="301" t="s">
        <v>5013</v>
      </c>
      <c r="C4385" s="301" t="s">
        <v>28</v>
      </c>
      <c r="D4385" s="303">
        <v>121.75</v>
      </c>
    </row>
    <row r="4386" spans="1:4">
      <c r="A4386" s="302">
        <v>97515</v>
      </c>
      <c r="B4386" s="301" t="s">
        <v>5014</v>
      </c>
      <c r="C4386" s="301" t="s">
        <v>28</v>
      </c>
      <c r="D4386" s="303">
        <v>152.13</v>
      </c>
    </row>
    <row r="4387" spans="1:4">
      <c r="A4387" s="302">
        <v>97517</v>
      </c>
      <c r="B4387" s="301" t="s">
        <v>5015</v>
      </c>
      <c r="C4387" s="301" t="s">
        <v>28</v>
      </c>
      <c r="D4387" s="303">
        <v>31.45</v>
      </c>
    </row>
    <row r="4388" spans="1:4">
      <c r="A4388" s="302">
        <v>97518</v>
      </c>
      <c r="B4388" s="301" t="s">
        <v>5016</v>
      </c>
      <c r="C4388" s="301" t="s">
        <v>28</v>
      </c>
      <c r="D4388" s="303">
        <v>31.45</v>
      </c>
    </row>
    <row r="4389" spans="1:4">
      <c r="A4389" s="302">
        <v>97519</v>
      </c>
      <c r="B4389" s="301" t="s">
        <v>5017</v>
      </c>
      <c r="C4389" s="301" t="s">
        <v>28</v>
      </c>
      <c r="D4389" s="303">
        <v>44.28</v>
      </c>
    </row>
    <row r="4390" spans="1:4">
      <c r="A4390" s="302">
        <v>97520</v>
      </c>
      <c r="B4390" s="301" t="s">
        <v>5018</v>
      </c>
      <c r="C4390" s="301" t="s">
        <v>28</v>
      </c>
      <c r="D4390" s="303">
        <v>44.28</v>
      </c>
    </row>
    <row r="4391" spans="1:4">
      <c r="A4391" s="302">
        <v>97521</v>
      </c>
      <c r="B4391" s="301" t="s">
        <v>5019</v>
      </c>
      <c r="C4391" s="301" t="s">
        <v>28</v>
      </c>
      <c r="D4391" s="303">
        <v>61.11</v>
      </c>
    </row>
    <row r="4392" spans="1:4">
      <c r="A4392" s="302">
        <v>97522</v>
      </c>
      <c r="B4392" s="301" t="s">
        <v>5020</v>
      </c>
      <c r="C4392" s="301" t="s">
        <v>28</v>
      </c>
      <c r="D4392" s="303">
        <v>61.11</v>
      </c>
    </row>
    <row r="4393" spans="1:4">
      <c r="A4393" s="302">
        <v>97523</v>
      </c>
      <c r="B4393" s="301" t="s">
        <v>5021</v>
      </c>
      <c r="C4393" s="301" t="s">
        <v>28</v>
      </c>
      <c r="D4393" s="303">
        <v>83.54</v>
      </c>
    </row>
    <row r="4394" spans="1:4">
      <c r="A4394" s="302">
        <v>97524</v>
      </c>
      <c r="B4394" s="301" t="s">
        <v>5022</v>
      </c>
      <c r="C4394" s="301" t="s">
        <v>28</v>
      </c>
      <c r="D4394" s="303">
        <v>89.91</v>
      </c>
    </row>
    <row r="4395" spans="1:4">
      <c r="A4395" s="302">
        <v>97525</v>
      </c>
      <c r="B4395" s="301" t="s">
        <v>5023</v>
      </c>
      <c r="C4395" s="301" t="s">
        <v>28</v>
      </c>
      <c r="D4395" s="303">
        <v>155.27000000000001</v>
      </c>
    </row>
    <row r="4396" spans="1:4">
      <c r="A4396" s="302">
        <v>97526</v>
      </c>
      <c r="B4396" s="301" t="s">
        <v>5024</v>
      </c>
      <c r="C4396" s="301" t="s">
        <v>28</v>
      </c>
      <c r="D4396" s="303">
        <v>165.45</v>
      </c>
    </row>
    <row r="4397" spans="1:4">
      <c r="A4397" s="302">
        <v>97527</v>
      </c>
      <c r="B4397" s="301" t="s">
        <v>5025</v>
      </c>
      <c r="C4397" s="301" t="s">
        <v>28</v>
      </c>
      <c r="D4397" s="303">
        <v>377.29</v>
      </c>
    </row>
    <row r="4398" spans="1:4">
      <c r="A4398" s="302">
        <v>97528</v>
      </c>
      <c r="B4398" s="301" t="s">
        <v>5026</v>
      </c>
      <c r="C4398" s="301" t="s">
        <v>28</v>
      </c>
      <c r="D4398" s="303">
        <v>331.6</v>
      </c>
    </row>
    <row r="4399" spans="1:4">
      <c r="A4399" s="302">
        <v>97529</v>
      </c>
      <c r="B4399" s="301" t="s">
        <v>5027</v>
      </c>
      <c r="C4399" s="301" t="s">
        <v>28</v>
      </c>
      <c r="D4399" s="303">
        <v>48.7</v>
      </c>
    </row>
    <row r="4400" spans="1:4">
      <c r="A4400" s="302">
        <v>97530</v>
      </c>
      <c r="B4400" s="301" t="s">
        <v>5028</v>
      </c>
      <c r="C4400" s="301" t="s">
        <v>28</v>
      </c>
      <c r="D4400" s="303">
        <v>69.66</v>
      </c>
    </row>
    <row r="4401" spans="1:4">
      <c r="A4401" s="302">
        <v>97531</v>
      </c>
      <c r="B4401" s="301" t="s">
        <v>5029</v>
      </c>
      <c r="C4401" s="301" t="s">
        <v>28</v>
      </c>
      <c r="D4401" s="303">
        <v>88.33</v>
      </c>
    </row>
    <row r="4402" spans="1:4">
      <c r="A4402" s="302">
        <v>97532</v>
      </c>
      <c r="B4402" s="301" t="s">
        <v>5030</v>
      </c>
      <c r="C4402" s="301" t="s">
        <v>28</v>
      </c>
      <c r="D4402" s="303">
        <v>136.9</v>
      </c>
    </row>
    <row r="4403" spans="1:4">
      <c r="A4403" s="302">
        <v>97533</v>
      </c>
      <c r="B4403" s="301" t="s">
        <v>5031</v>
      </c>
      <c r="C4403" s="301" t="s">
        <v>28</v>
      </c>
      <c r="D4403" s="303">
        <v>255.66</v>
      </c>
    </row>
    <row r="4404" spans="1:4">
      <c r="A4404" s="302">
        <v>97534</v>
      </c>
      <c r="B4404" s="301" t="s">
        <v>5032</v>
      </c>
      <c r="C4404" s="301" t="s">
        <v>28</v>
      </c>
      <c r="D4404" s="303">
        <v>402.21</v>
      </c>
    </row>
    <row r="4405" spans="1:4">
      <c r="A4405" s="302">
        <v>97537</v>
      </c>
      <c r="B4405" s="301" t="s">
        <v>5033</v>
      </c>
      <c r="C4405" s="301" t="s">
        <v>28</v>
      </c>
      <c r="D4405" s="303">
        <v>14.91</v>
      </c>
    </row>
    <row r="4406" spans="1:4">
      <c r="A4406" s="302">
        <v>97540</v>
      </c>
      <c r="B4406" s="301" t="s">
        <v>5034</v>
      </c>
      <c r="C4406" s="301" t="s">
        <v>28</v>
      </c>
      <c r="D4406" s="303">
        <v>20.52</v>
      </c>
    </row>
    <row r="4407" spans="1:4">
      <c r="A4407" s="302">
        <v>97541</v>
      </c>
      <c r="B4407" s="301" t="s">
        <v>5035</v>
      </c>
      <c r="C4407" s="301" t="s">
        <v>28</v>
      </c>
      <c r="D4407" s="303">
        <v>17.8</v>
      </c>
    </row>
    <row r="4408" spans="1:4">
      <c r="A4408" s="302">
        <v>97543</v>
      </c>
      <c r="B4408" s="301" t="s">
        <v>5036</v>
      </c>
      <c r="C4408" s="301" t="s">
        <v>28</v>
      </c>
      <c r="D4408" s="303">
        <v>34.08</v>
      </c>
    </row>
    <row r="4409" spans="1:4">
      <c r="A4409" s="302">
        <v>97544</v>
      </c>
      <c r="B4409" s="301" t="s">
        <v>5037</v>
      </c>
      <c r="C4409" s="301" t="s">
        <v>28</v>
      </c>
      <c r="D4409" s="303">
        <v>30.81</v>
      </c>
    </row>
    <row r="4410" spans="1:4">
      <c r="A4410" s="302">
        <v>97546</v>
      </c>
      <c r="B4410" s="301" t="s">
        <v>5038</v>
      </c>
      <c r="C4410" s="301" t="s">
        <v>28</v>
      </c>
      <c r="D4410" s="303">
        <v>21.03</v>
      </c>
    </row>
    <row r="4411" spans="1:4">
      <c r="A4411" s="302">
        <v>97547</v>
      </c>
      <c r="B4411" s="301" t="s">
        <v>5039</v>
      </c>
      <c r="C4411" s="301" t="s">
        <v>28</v>
      </c>
      <c r="D4411" s="303">
        <v>21.03</v>
      </c>
    </row>
    <row r="4412" spans="1:4">
      <c r="A4412" s="302">
        <v>97548</v>
      </c>
      <c r="B4412" s="301" t="s">
        <v>5040</v>
      </c>
      <c r="C4412" s="301" t="s">
        <v>28</v>
      </c>
      <c r="D4412" s="303">
        <v>31.61</v>
      </c>
    </row>
    <row r="4413" spans="1:4">
      <c r="A4413" s="302">
        <v>97549</v>
      </c>
      <c r="B4413" s="301" t="s">
        <v>5041</v>
      </c>
      <c r="C4413" s="301" t="s">
        <v>28</v>
      </c>
      <c r="D4413" s="303">
        <v>31.61</v>
      </c>
    </row>
    <row r="4414" spans="1:4">
      <c r="A4414" s="302">
        <v>97550</v>
      </c>
      <c r="B4414" s="301" t="s">
        <v>5042</v>
      </c>
      <c r="C4414" s="301" t="s">
        <v>28</v>
      </c>
      <c r="D4414" s="303">
        <v>53.43</v>
      </c>
    </row>
    <row r="4415" spans="1:4">
      <c r="A4415" s="302">
        <v>97551</v>
      </c>
      <c r="B4415" s="301" t="s">
        <v>5043</v>
      </c>
      <c r="C4415" s="301" t="s">
        <v>28</v>
      </c>
      <c r="D4415" s="303">
        <v>53.43</v>
      </c>
    </row>
    <row r="4416" spans="1:4">
      <c r="A4416" s="302">
        <v>97552</v>
      </c>
      <c r="B4416" s="301" t="s">
        <v>5044</v>
      </c>
      <c r="C4416" s="301" t="s">
        <v>28</v>
      </c>
      <c r="D4416" s="303">
        <v>30.39</v>
      </c>
    </row>
    <row r="4417" spans="1:4">
      <c r="A4417" s="302">
        <v>97553</v>
      </c>
      <c r="B4417" s="301" t="s">
        <v>5045</v>
      </c>
      <c r="C4417" s="301" t="s">
        <v>28</v>
      </c>
      <c r="D4417" s="303">
        <v>44.5</v>
      </c>
    </row>
    <row r="4418" spans="1:4">
      <c r="A4418" s="302">
        <v>97554</v>
      </c>
      <c r="B4418" s="301" t="s">
        <v>5046</v>
      </c>
      <c r="C4418" s="301" t="s">
        <v>28</v>
      </c>
      <c r="D4418" s="303">
        <v>78.03</v>
      </c>
    </row>
    <row r="4419" spans="1:4">
      <c r="A4419" s="302">
        <v>98602</v>
      </c>
      <c r="B4419" s="301" t="s">
        <v>5047</v>
      </c>
      <c r="C4419" s="301" t="s">
        <v>28</v>
      </c>
      <c r="D4419" s="303">
        <v>11.31</v>
      </c>
    </row>
    <row r="4420" spans="1:4">
      <c r="A4420" s="302">
        <v>6171</v>
      </c>
      <c r="B4420" s="301" t="s">
        <v>5048</v>
      </c>
      <c r="C4420" s="301" t="s">
        <v>28</v>
      </c>
      <c r="D4420" s="303">
        <v>23.88</v>
      </c>
    </row>
    <row r="4421" spans="1:4">
      <c r="A4421" s="301" t="s">
        <v>5049</v>
      </c>
      <c r="B4421" s="301" t="s">
        <v>5050</v>
      </c>
      <c r="C4421" s="301" t="s">
        <v>28</v>
      </c>
      <c r="D4421" s="303">
        <v>219.64</v>
      </c>
    </row>
    <row r="4422" spans="1:4">
      <c r="A4422" s="301" t="s">
        <v>5051</v>
      </c>
      <c r="B4422" s="301" t="s">
        <v>5052</v>
      </c>
      <c r="C4422" s="301" t="s">
        <v>28</v>
      </c>
      <c r="D4422" s="303">
        <v>299.5</v>
      </c>
    </row>
    <row r="4423" spans="1:4">
      <c r="A4423" s="302">
        <v>88503</v>
      </c>
      <c r="B4423" s="301" t="s">
        <v>5053</v>
      </c>
      <c r="C4423" s="301" t="s">
        <v>28</v>
      </c>
      <c r="D4423" s="303">
        <v>656.19</v>
      </c>
    </row>
    <row r="4424" spans="1:4">
      <c r="A4424" s="302">
        <v>88504</v>
      </c>
      <c r="B4424" s="301" t="s">
        <v>5054</v>
      </c>
      <c r="C4424" s="301" t="s">
        <v>28</v>
      </c>
      <c r="D4424" s="303">
        <v>537.37</v>
      </c>
    </row>
    <row r="4425" spans="1:4">
      <c r="A4425" s="302">
        <v>97900</v>
      </c>
      <c r="B4425" s="301" t="s">
        <v>5055</v>
      </c>
      <c r="C4425" s="301" t="s">
        <v>28</v>
      </c>
      <c r="D4425" s="303">
        <v>139.74</v>
      </c>
    </row>
    <row r="4426" spans="1:4">
      <c r="A4426" s="302">
        <v>97901</v>
      </c>
      <c r="B4426" s="301" t="s">
        <v>5056</v>
      </c>
      <c r="C4426" s="301" t="s">
        <v>28</v>
      </c>
      <c r="D4426" s="303">
        <v>221.91</v>
      </c>
    </row>
    <row r="4427" spans="1:4">
      <c r="A4427" s="302">
        <v>97902</v>
      </c>
      <c r="B4427" s="301" t="s">
        <v>5057</v>
      </c>
      <c r="C4427" s="301" t="s">
        <v>28</v>
      </c>
      <c r="D4427" s="303">
        <v>437.54</v>
      </c>
    </row>
    <row r="4428" spans="1:4">
      <c r="A4428" s="302">
        <v>97903</v>
      </c>
      <c r="B4428" s="301" t="s">
        <v>5058</v>
      </c>
      <c r="C4428" s="301" t="s">
        <v>28</v>
      </c>
      <c r="D4428" s="303">
        <v>603.49</v>
      </c>
    </row>
    <row r="4429" spans="1:4">
      <c r="A4429" s="302">
        <v>97904</v>
      </c>
      <c r="B4429" s="301" t="s">
        <v>5059</v>
      </c>
      <c r="C4429" s="301" t="s">
        <v>28</v>
      </c>
      <c r="D4429" s="303">
        <v>711.6</v>
      </c>
    </row>
    <row r="4430" spans="1:4">
      <c r="A4430" s="302">
        <v>97905</v>
      </c>
      <c r="B4430" s="301" t="s">
        <v>5060</v>
      </c>
      <c r="C4430" s="301" t="s">
        <v>28</v>
      </c>
      <c r="D4430" s="303">
        <v>178.59</v>
      </c>
    </row>
    <row r="4431" spans="1:4">
      <c r="A4431" s="302">
        <v>97906</v>
      </c>
      <c r="B4431" s="301" t="s">
        <v>5061</v>
      </c>
      <c r="C4431" s="301" t="s">
        <v>28</v>
      </c>
      <c r="D4431" s="303">
        <v>333.45</v>
      </c>
    </row>
    <row r="4432" spans="1:4">
      <c r="A4432" s="302">
        <v>97907</v>
      </c>
      <c r="B4432" s="301" t="s">
        <v>5062</v>
      </c>
      <c r="C4432" s="301" t="s">
        <v>28</v>
      </c>
      <c r="D4432" s="303">
        <v>470.67</v>
      </c>
    </row>
    <row r="4433" spans="1:4">
      <c r="A4433" s="302">
        <v>97908</v>
      </c>
      <c r="B4433" s="301" t="s">
        <v>5063</v>
      </c>
      <c r="C4433" s="301" t="s">
        <v>28</v>
      </c>
      <c r="D4433" s="303">
        <v>554.44000000000005</v>
      </c>
    </row>
    <row r="4434" spans="1:4">
      <c r="A4434" s="302">
        <v>98102</v>
      </c>
      <c r="B4434" s="301" t="s">
        <v>5064</v>
      </c>
      <c r="C4434" s="301" t="s">
        <v>28</v>
      </c>
      <c r="D4434" s="303">
        <v>77.56</v>
      </c>
    </row>
    <row r="4435" spans="1:4">
      <c r="A4435" s="302">
        <v>98103</v>
      </c>
      <c r="B4435" s="301" t="s">
        <v>5065</v>
      </c>
      <c r="C4435" s="301" t="s">
        <v>28</v>
      </c>
      <c r="D4435" s="303">
        <v>163.18</v>
      </c>
    </row>
    <row r="4436" spans="1:4">
      <c r="A4436" s="302">
        <v>98104</v>
      </c>
      <c r="B4436" s="301" t="s">
        <v>5066</v>
      </c>
      <c r="C4436" s="301" t="s">
        <v>28</v>
      </c>
      <c r="D4436" s="303">
        <v>295.36</v>
      </c>
    </row>
    <row r="4437" spans="1:4">
      <c r="A4437" s="302">
        <v>98105</v>
      </c>
      <c r="B4437" s="301" t="s">
        <v>5067</v>
      </c>
      <c r="C4437" s="301" t="s">
        <v>28</v>
      </c>
      <c r="D4437" s="303">
        <v>511.15</v>
      </c>
    </row>
    <row r="4438" spans="1:4">
      <c r="A4438" s="302">
        <v>98106</v>
      </c>
      <c r="B4438" s="301" t="s">
        <v>5068</v>
      </c>
      <c r="C4438" s="301" t="s">
        <v>28</v>
      </c>
      <c r="D4438" s="303">
        <v>845.77</v>
      </c>
    </row>
    <row r="4439" spans="1:4">
      <c r="A4439" s="302">
        <v>98107</v>
      </c>
      <c r="B4439" s="301" t="s">
        <v>5069</v>
      </c>
      <c r="C4439" s="301" t="s">
        <v>28</v>
      </c>
      <c r="D4439" s="303">
        <v>214.36</v>
      </c>
    </row>
    <row r="4440" spans="1:4">
      <c r="A4440" s="302">
        <v>98108</v>
      </c>
      <c r="B4440" s="301" t="s">
        <v>5070</v>
      </c>
      <c r="C4440" s="301" t="s">
        <v>28</v>
      </c>
      <c r="D4440" s="303">
        <v>380.57</v>
      </c>
    </row>
    <row r="4441" spans="1:4">
      <c r="A4441" s="302">
        <v>99250</v>
      </c>
      <c r="B4441" s="301" t="s">
        <v>5071</v>
      </c>
      <c r="C4441" s="301" t="s">
        <v>28</v>
      </c>
      <c r="D4441" s="303">
        <v>136.75</v>
      </c>
    </row>
    <row r="4442" spans="1:4">
      <c r="A4442" s="302">
        <v>99251</v>
      </c>
      <c r="B4442" s="301" t="s">
        <v>5072</v>
      </c>
      <c r="C4442" s="301" t="s">
        <v>28</v>
      </c>
      <c r="D4442" s="303">
        <v>216.76</v>
      </c>
    </row>
    <row r="4443" spans="1:4">
      <c r="A4443" s="302">
        <v>99253</v>
      </c>
      <c r="B4443" s="301" t="s">
        <v>5073</v>
      </c>
      <c r="C4443" s="301" t="s">
        <v>28</v>
      </c>
      <c r="D4443" s="303">
        <v>425.99</v>
      </c>
    </row>
    <row r="4444" spans="1:4">
      <c r="A4444" s="302">
        <v>99255</v>
      </c>
      <c r="B4444" s="301" t="s">
        <v>5074</v>
      </c>
      <c r="C4444" s="301" t="s">
        <v>28</v>
      </c>
      <c r="D4444" s="303">
        <v>587.65</v>
      </c>
    </row>
    <row r="4445" spans="1:4">
      <c r="A4445" s="302">
        <v>99257</v>
      </c>
      <c r="B4445" s="301" t="s">
        <v>5075</v>
      </c>
      <c r="C4445" s="301" t="s">
        <v>28</v>
      </c>
      <c r="D4445" s="303">
        <v>691.11</v>
      </c>
    </row>
    <row r="4446" spans="1:4">
      <c r="A4446" s="302">
        <v>99258</v>
      </c>
      <c r="B4446" s="301" t="s">
        <v>5076</v>
      </c>
      <c r="C4446" s="301" t="s">
        <v>28</v>
      </c>
      <c r="D4446" s="303">
        <v>174.35</v>
      </c>
    </row>
    <row r="4447" spans="1:4">
      <c r="A4447" s="302">
        <v>99260</v>
      </c>
      <c r="B4447" s="301" t="s">
        <v>5077</v>
      </c>
      <c r="C4447" s="301" t="s">
        <v>28</v>
      </c>
      <c r="D4447" s="303">
        <v>326.17</v>
      </c>
    </row>
    <row r="4448" spans="1:4">
      <c r="A4448" s="302">
        <v>99262</v>
      </c>
      <c r="B4448" s="301" t="s">
        <v>5078</v>
      </c>
      <c r="C4448" s="301" t="s">
        <v>28</v>
      </c>
      <c r="D4448" s="303">
        <v>460.28</v>
      </c>
    </row>
    <row r="4449" spans="1:4">
      <c r="A4449" s="302">
        <v>99264</v>
      </c>
      <c r="B4449" s="301" t="s">
        <v>5079</v>
      </c>
      <c r="C4449" s="301" t="s">
        <v>28</v>
      </c>
      <c r="D4449" s="303">
        <v>540.41</v>
      </c>
    </row>
    <row r="4450" spans="1:4">
      <c r="A4450" s="302">
        <v>89482</v>
      </c>
      <c r="B4450" s="301" t="s">
        <v>5080</v>
      </c>
      <c r="C4450" s="301" t="s">
        <v>28</v>
      </c>
      <c r="D4450" s="303">
        <v>20.81</v>
      </c>
    </row>
    <row r="4451" spans="1:4">
      <c r="A4451" s="302">
        <v>89491</v>
      </c>
      <c r="B4451" s="301" t="s">
        <v>5081</v>
      </c>
      <c r="C4451" s="301" t="s">
        <v>28</v>
      </c>
      <c r="D4451" s="303">
        <v>49.82</v>
      </c>
    </row>
    <row r="4452" spans="1:4">
      <c r="A4452" s="302">
        <v>89495</v>
      </c>
      <c r="B4452" s="301" t="s">
        <v>5082</v>
      </c>
      <c r="C4452" s="301" t="s">
        <v>28</v>
      </c>
      <c r="D4452" s="303">
        <v>8</v>
      </c>
    </row>
    <row r="4453" spans="1:4">
      <c r="A4453" s="302">
        <v>89707</v>
      </c>
      <c r="B4453" s="301" t="s">
        <v>5083</v>
      </c>
      <c r="C4453" s="301" t="s">
        <v>28</v>
      </c>
      <c r="D4453" s="303">
        <v>25.1</v>
      </c>
    </row>
    <row r="4454" spans="1:4">
      <c r="A4454" s="302">
        <v>89708</v>
      </c>
      <c r="B4454" s="301" t="s">
        <v>5084</v>
      </c>
      <c r="C4454" s="301" t="s">
        <v>28</v>
      </c>
      <c r="D4454" s="303">
        <v>55.52</v>
      </c>
    </row>
    <row r="4455" spans="1:4">
      <c r="A4455" s="302">
        <v>89709</v>
      </c>
      <c r="B4455" s="301" t="s">
        <v>868</v>
      </c>
      <c r="C4455" s="301" t="s">
        <v>28</v>
      </c>
      <c r="D4455" s="303">
        <v>9.25</v>
      </c>
    </row>
    <row r="4456" spans="1:4">
      <c r="A4456" s="302">
        <v>89710</v>
      </c>
      <c r="B4456" s="301" t="s">
        <v>5085</v>
      </c>
      <c r="C4456" s="301" t="s">
        <v>28</v>
      </c>
      <c r="D4456" s="303">
        <v>9.07</v>
      </c>
    </row>
    <row r="4457" spans="1:4">
      <c r="A4457" s="302">
        <v>86872</v>
      </c>
      <c r="B4457" s="301" t="s">
        <v>12017</v>
      </c>
      <c r="C4457" s="301" t="s">
        <v>28</v>
      </c>
      <c r="D4457" s="303">
        <v>551.79</v>
      </c>
    </row>
    <row r="4458" spans="1:4">
      <c r="A4458" s="302">
        <v>86874</v>
      </c>
      <c r="B4458" s="301" t="s">
        <v>12018</v>
      </c>
      <c r="C4458" s="301" t="s">
        <v>28</v>
      </c>
      <c r="D4458" s="303">
        <v>338.2</v>
      </c>
    </row>
    <row r="4459" spans="1:4">
      <c r="A4459" s="302">
        <v>86875</v>
      </c>
      <c r="B4459" s="301" t="s">
        <v>12019</v>
      </c>
      <c r="C4459" s="301" t="s">
        <v>28</v>
      </c>
      <c r="D4459" s="303">
        <v>336.55</v>
      </c>
    </row>
    <row r="4460" spans="1:4">
      <c r="A4460" s="302">
        <v>86876</v>
      </c>
      <c r="B4460" s="301" t="s">
        <v>12020</v>
      </c>
      <c r="C4460" s="301" t="s">
        <v>28</v>
      </c>
      <c r="D4460" s="303">
        <v>193.62</v>
      </c>
    </row>
    <row r="4461" spans="1:4">
      <c r="A4461" s="302">
        <v>86877</v>
      </c>
      <c r="B4461" s="301" t="s">
        <v>12021</v>
      </c>
      <c r="C4461" s="301" t="s">
        <v>28</v>
      </c>
      <c r="D4461" s="303">
        <v>24.63</v>
      </c>
    </row>
    <row r="4462" spans="1:4">
      <c r="A4462" s="302">
        <v>86878</v>
      </c>
      <c r="B4462" s="301" t="s">
        <v>12022</v>
      </c>
      <c r="C4462" s="301" t="s">
        <v>28</v>
      </c>
      <c r="D4462" s="303">
        <v>51.15</v>
      </c>
    </row>
    <row r="4463" spans="1:4">
      <c r="A4463" s="302">
        <v>86879</v>
      </c>
      <c r="B4463" s="301" t="s">
        <v>12023</v>
      </c>
      <c r="C4463" s="301" t="s">
        <v>28</v>
      </c>
      <c r="D4463" s="303">
        <v>6.08</v>
      </c>
    </row>
    <row r="4464" spans="1:4">
      <c r="A4464" s="302">
        <v>86880</v>
      </c>
      <c r="B4464" s="301" t="s">
        <v>12024</v>
      </c>
      <c r="C4464" s="301" t="s">
        <v>28</v>
      </c>
      <c r="D4464" s="303">
        <v>17.47</v>
      </c>
    </row>
    <row r="4465" spans="1:4">
      <c r="A4465" s="302">
        <v>86881</v>
      </c>
      <c r="B4465" s="301" t="s">
        <v>12025</v>
      </c>
      <c r="C4465" s="301" t="s">
        <v>28</v>
      </c>
      <c r="D4465" s="303">
        <v>143.46</v>
      </c>
    </row>
    <row r="4466" spans="1:4">
      <c r="A4466" s="302">
        <v>86882</v>
      </c>
      <c r="B4466" s="301" t="s">
        <v>12026</v>
      </c>
      <c r="C4466" s="301" t="s">
        <v>28</v>
      </c>
      <c r="D4466" s="303">
        <v>17.899999999999999</v>
      </c>
    </row>
    <row r="4467" spans="1:4">
      <c r="A4467" s="302">
        <v>86883</v>
      </c>
      <c r="B4467" s="301" t="s">
        <v>12027</v>
      </c>
      <c r="C4467" s="301" t="s">
        <v>28</v>
      </c>
      <c r="D4467" s="303">
        <v>10.24</v>
      </c>
    </row>
    <row r="4468" spans="1:4">
      <c r="A4468" s="302">
        <v>86884</v>
      </c>
      <c r="B4468" s="301" t="s">
        <v>12028</v>
      </c>
      <c r="C4468" s="301" t="s">
        <v>28</v>
      </c>
      <c r="D4468" s="303">
        <v>7.48</v>
      </c>
    </row>
    <row r="4469" spans="1:4">
      <c r="A4469" s="302">
        <v>86885</v>
      </c>
      <c r="B4469" s="301" t="s">
        <v>12029</v>
      </c>
      <c r="C4469" s="301" t="s">
        <v>28</v>
      </c>
      <c r="D4469" s="303">
        <v>9.9</v>
      </c>
    </row>
    <row r="4470" spans="1:4">
      <c r="A4470" s="302">
        <v>86886</v>
      </c>
      <c r="B4470" s="301" t="s">
        <v>12030</v>
      </c>
      <c r="C4470" s="301" t="s">
        <v>28</v>
      </c>
      <c r="D4470" s="303">
        <v>35.18</v>
      </c>
    </row>
    <row r="4471" spans="1:4">
      <c r="A4471" s="302">
        <v>86887</v>
      </c>
      <c r="B4471" s="301" t="s">
        <v>12031</v>
      </c>
      <c r="C4471" s="301" t="s">
        <v>28</v>
      </c>
      <c r="D4471" s="303">
        <v>38.14</v>
      </c>
    </row>
    <row r="4472" spans="1:4">
      <c r="A4472" s="302">
        <v>86888</v>
      </c>
      <c r="B4472" s="301" t="s">
        <v>12032</v>
      </c>
      <c r="C4472" s="301" t="s">
        <v>28</v>
      </c>
      <c r="D4472" s="303">
        <v>324.10000000000002</v>
      </c>
    </row>
    <row r="4473" spans="1:4">
      <c r="A4473" s="302">
        <v>86889</v>
      </c>
      <c r="B4473" s="301" t="s">
        <v>12033</v>
      </c>
      <c r="C4473" s="301" t="s">
        <v>28</v>
      </c>
      <c r="D4473" s="303">
        <v>538.25</v>
      </c>
    </row>
    <row r="4474" spans="1:4">
      <c r="A4474" s="302">
        <v>86893</v>
      </c>
      <c r="B4474" s="301" t="s">
        <v>12034</v>
      </c>
      <c r="C4474" s="301" t="s">
        <v>28</v>
      </c>
      <c r="D4474" s="303">
        <v>426.19</v>
      </c>
    </row>
    <row r="4475" spans="1:4">
      <c r="A4475" s="302">
        <v>86894</v>
      </c>
      <c r="B4475" s="301" t="s">
        <v>12035</v>
      </c>
      <c r="C4475" s="301" t="s">
        <v>28</v>
      </c>
      <c r="D4475" s="303">
        <v>189.38</v>
      </c>
    </row>
    <row r="4476" spans="1:4">
      <c r="A4476" s="302">
        <v>86895</v>
      </c>
      <c r="B4476" s="301" t="s">
        <v>12036</v>
      </c>
      <c r="C4476" s="301" t="s">
        <v>28</v>
      </c>
      <c r="D4476" s="303">
        <v>258.2</v>
      </c>
    </row>
    <row r="4477" spans="1:4">
      <c r="A4477" s="302">
        <v>86899</v>
      </c>
      <c r="B4477" s="301" t="s">
        <v>12037</v>
      </c>
      <c r="C4477" s="301" t="s">
        <v>28</v>
      </c>
      <c r="D4477" s="303">
        <v>216.16</v>
      </c>
    </row>
    <row r="4478" spans="1:4">
      <c r="A4478" s="302">
        <v>86900</v>
      </c>
      <c r="B4478" s="301" t="s">
        <v>12038</v>
      </c>
      <c r="C4478" s="301" t="s">
        <v>28</v>
      </c>
      <c r="D4478" s="303">
        <v>147.68</v>
      </c>
    </row>
    <row r="4479" spans="1:4">
      <c r="A4479" s="302">
        <v>86901</v>
      </c>
      <c r="B4479" s="301" t="s">
        <v>12039</v>
      </c>
      <c r="C4479" s="301" t="s">
        <v>28</v>
      </c>
      <c r="D4479" s="303">
        <v>100.82</v>
      </c>
    </row>
    <row r="4480" spans="1:4">
      <c r="A4480" s="302">
        <v>86902</v>
      </c>
      <c r="B4480" s="301" t="s">
        <v>12040</v>
      </c>
      <c r="C4480" s="301" t="s">
        <v>28</v>
      </c>
      <c r="D4480" s="303">
        <v>199.62</v>
      </c>
    </row>
    <row r="4481" spans="1:4">
      <c r="A4481" s="302">
        <v>86903</v>
      </c>
      <c r="B4481" s="301" t="s">
        <v>12041</v>
      </c>
      <c r="C4481" s="301" t="s">
        <v>28</v>
      </c>
      <c r="D4481" s="303">
        <v>259.94</v>
      </c>
    </row>
    <row r="4482" spans="1:4">
      <c r="A4482" s="302">
        <v>86904</v>
      </c>
      <c r="B4482" s="301" t="s">
        <v>12042</v>
      </c>
      <c r="C4482" s="301" t="s">
        <v>28</v>
      </c>
      <c r="D4482" s="303">
        <v>100.01</v>
      </c>
    </row>
    <row r="4483" spans="1:4">
      <c r="A4483" s="302">
        <v>86905</v>
      </c>
      <c r="B4483" s="301" t="s">
        <v>12043</v>
      </c>
      <c r="C4483" s="301" t="s">
        <v>28</v>
      </c>
      <c r="D4483" s="303">
        <v>201.21</v>
      </c>
    </row>
    <row r="4484" spans="1:4">
      <c r="A4484" s="302">
        <v>86906</v>
      </c>
      <c r="B4484" s="301" t="s">
        <v>12044</v>
      </c>
      <c r="C4484" s="301" t="s">
        <v>28</v>
      </c>
      <c r="D4484" s="303">
        <v>46.97</v>
      </c>
    </row>
    <row r="4485" spans="1:4">
      <c r="A4485" s="302">
        <v>86908</v>
      </c>
      <c r="B4485" s="301" t="s">
        <v>12045</v>
      </c>
      <c r="C4485" s="301" t="s">
        <v>28</v>
      </c>
      <c r="D4485" s="303">
        <v>240.86</v>
      </c>
    </row>
    <row r="4486" spans="1:4">
      <c r="A4486" s="302">
        <v>86909</v>
      </c>
      <c r="B4486" s="301" t="s">
        <v>12046</v>
      </c>
      <c r="C4486" s="301" t="s">
        <v>28</v>
      </c>
      <c r="D4486" s="303">
        <v>93.93</v>
      </c>
    </row>
    <row r="4487" spans="1:4">
      <c r="A4487" s="302">
        <v>86910</v>
      </c>
      <c r="B4487" s="301" t="s">
        <v>12047</v>
      </c>
      <c r="C4487" s="301" t="s">
        <v>28</v>
      </c>
      <c r="D4487" s="303">
        <v>88.62</v>
      </c>
    </row>
    <row r="4488" spans="1:4">
      <c r="A4488" s="302">
        <v>86911</v>
      </c>
      <c r="B4488" s="301" t="s">
        <v>12048</v>
      </c>
      <c r="C4488" s="301" t="s">
        <v>28</v>
      </c>
      <c r="D4488" s="303">
        <v>39.82</v>
      </c>
    </row>
    <row r="4489" spans="1:4">
      <c r="A4489" s="302">
        <v>86913</v>
      </c>
      <c r="B4489" s="301" t="s">
        <v>12049</v>
      </c>
      <c r="C4489" s="301" t="s">
        <v>28</v>
      </c>
      <c r="D4489" s="303">
        <v>17.95</v>
      </c>
    </row>
    <row r="4490" spans="1:4">
      <c r="A4490" s="302">
        <v>86914</v>
      </c>
      <c r="B4490" s="301" t="s">
        <v>12050</v>
      </c>
      <c r="C4490" s="301" t="s">
        <v>28</v>
      </c>
      <c r="D4490" s="303">
        <v>36.380000000000003</v>
      </c>
    </row>
    <row r="4491" spans="1:4">
      <c r="A4491" s="302">
        <v>86915</v>
      </c>
      <c r="B4491" s="301" t="s">
        <v>12051</v>
      </c>
      <c r="C4491" s="301" t="s">
        <v>28</v>
      </c>
      <c r="D4491" s="303">
        <v>79.02</v>
      </c>
    </row>
    <row r="4492" spans="1:4">
      <c r="A4492" s="302">
        <v>86916</v>
      </c>
      <c r="B4492" s="301" t="s">
        <v>12052</v>
      </c>
      <c r="C4492" s="301" t="s">
        <v>28</v>
      </c>
      <c r="D4492" s="303">
        <v>30.58</v>
      </c>
    </row>
    <row r="4493" spans="1:4">
      <c r="A4493" s="302">
        <v>86919</v>
      </c>
      <c r="B4493" s="301" t="s">
        <v>12053</v>
      </c>
      <c r="C4493" s="301" t="s">
        <v>28</v>
      </c>
      <c r="D4493" s="303">
        <v>623.04</v>
      </c>
    </row>
    <row r="4494" spans="1:4">
      <c r="A4494" s="302">
        <v>86920</v>
      </c>
      <c r="B4494" s="301" t="s">
        <v>12054</v>
      </c>
      <c r="C4494" s="301" t="s">
        <v>28</v>
      </c>
      <c r="D4494" s="303">
        <v>586.05999999999995</v>
      </c>
    </row>
    <row r="4495" spans="1:4">
      <c r="A4495" s="302">
        <v>86921</v>
      </c>
      <c r="B4495" s="301" t="s">
        <v>12055</v>
      </c>
      <c r="C4495" s="301" t="s">
        <v>28</v>
      </c>
      <c r="D4495" s="303">
        <v>598.69000000000005</v>
      </c>
    </row>
    <row r="4496" spans="1:4">
      <c r="A4496" s="302">
        <v>86922</v>
      </c>
      <c r="B4496" s="301" t="s">
        <v>12056</v>
      </c>
      <c r="C4496" s="301" t="s">
        <v>28</v>
      </c>
      <c r="D4496" s="303">
        <v>542.66999999999996</v>
      </c>
    </row>
    <row r="4497" spans="1:4">
      <c r="A4497" s="302">
        <v>86923</v>
      </c>
      <c r="B4497" s="301" t="s">
        <v>12057</v>
      </c>
      <c r="C4497" s="301" t="s">
        <v>28</v>
      </c>
      <c r="D4497" s="303">
        <v>380.13</v>
      </c>
    </row>
    <row r="4498" spans="1:4">
      <c r="A4498" s="302">
        <v>86924</v>
      </c>
      <c r="B4498" s="301" t="s">
        <v>12058</v>
      </c>
      <c r="C4498" s="301" t="s">
        <v>28</v>
      </c>
      <c r="D4498" s="303">
        <v>392.76</v>
      </c>
    </row>
    <row r="4499" spans="1:4">
      <c r="A4499" s="302">
        <v>86925</v>
      </c>
      <c r="B4499" s="301" t="s">
        <v>12059</v>
      </c>
      <c r="C4499" s="301" t="s">
        <v>28</v>
      </c>
      <c r="D4499" s="303">
        <v>370.82</v>
      </c>
    </row>
    <row r="4500" spans="1:4">
      <c r="A4500" s="302">
        <v>86926</v>
      </c>
      <c r="B4500" s="301" t="s">
        <v>12060</v>
      </c>
      <c r="C4500" s="301" t="s">
        <v>28</v>
      </c>
      <c r="D4500" s="303">
        <v>383.45</v>
      </c>
    </row>
    <row r="4501" spans="1:4">
      <c r="A4501" s="302">
        <v>86927</v>
      </c>
      <c r="B4501" s="301" t="s">
        <v>12061</v>
      </c>
      <c r="C4501" s="301" t="s">
        <v>28</v>
      </c>
      <c r="D4501" s="303">
        <v>235.55</v>
      </c>
    </row>
    <row r="4502" spans="1:4">
      <c r="A4502" s="302">
        <v>86928</v>
      </c>
      <c r="B4502" s="301" t="s">
        <v>12062</v>
      </c>
      <c r="C4502" s="301" t="s">
        <v>28</v>
      </c>
      <c r="D4502" s="303">
        <v>248.18</v>
      </c>
    </row>
    <row r="4503" spans="1:4">
      <c r="A4503" s="302">
        <v>86929</v>
      </c>
      <c r="B4503" s="301" t="s">
        <v>12063</v>
      </c>
      <c r="C4503" s="301" t="s">
        <v>28</v>
      </c>
      <c r="D4503" s="303">
        <v>227.89</v>
      </c>
    </row>
    <row r="4504" spans="1:4">
      <c r="A4504" s="302">
        <v>86930</v>
      </c>
      <c r="B4504" s="301" t="s">
        <v>12064</v>
      </c>
      <c r="C4504" s="301" t="s">
        <v>28</v>
      </c>
      <c r="D4504" s="303">
        <v>240.52</v>
      </c>
    </row>
    <row r="4505" spans="1:4">
      <c r="A4505" s="302">
        <v>86931</v>
      </c>
      <c r="B4505" s="301" t="s">
        <v>12065</v>
      </c>
      <c r="C4505" s="301" t="s">
        <v>28</v>
      </c>
      <c r="D4505" s="303">
        <v>334</v>
      </c>
    </row>
    <row r="4506" spans="1:4">
      <c r="A4506" s="302">
        <v>86932</v>
      </c>
      <c r="B4506" s="301" t="s">
        <v>12066</v>
      </c>
      <c r="C4506" s="301" t="s">
        <v>28</v>
      </c>
      <c r="D4506" s="303">
        <v>362.24</v>
      </c>
    </row>
    <row r="4507" spans="1:4">
      <c r="A4507" s="302">
        <v>86933</v>
      </c>
      <c r="B4507" s="301" t="s">
        <v>12067</v>
      </c>
      <c r="C4507" s="301" t="s">
        <v>28</v>
      </c>
      <c r="D4507" s="303">
        <v>264.57</v>
      </c>
    </row>
    <row r="4508" spans="1:4">
      <c r="A4508" s="302">
        <v>86934</v>
      </c>
      <c r="B4508" s="301" t="s">
        <v>12068</v>
      </c>
      <c r="C4508" s="301" t="s">
        <v>28</v>
      </c>
      <c r="D4508" s="303">
        <v>256.91000000000003</v>
      </c>
    </row>
    <row r="4509" spans="1:4">
      <c r="A4509" s="302">
        <v>86935</v>
      </c>
      <c r="B4509" s="301" t="s">
        <v>12069</v>
      </c>
      <c r="C4509" s="301" t="s">
        <v>28</v>
      </c>
      <c r="D4509" s="303">
        <v>209.07</v>
      </c>
    </row>
    <row r="4510" spans="1:4">
      <c r="A4510" s="302">
        <v>86936</v>
      </c>
      <c r="B4510" s="301" t="s">
        <v>12070</v>
      </c>
      <c r="C4510" s="301" t="s">
        <v>28</v>
      </c>
      <c r="D4510" s="303">
        <v>342.29</v>
      </c>
    </row>
    <row r="4511" spans="1:4">
      <c r="A4511" s="302">
        <v>86937</v>
      </c>
      <c r="B4511" s="301" t="s">
        <v>12071</v>
      </c>
      <c r="C4511" s="301" t="s">
        <v>28</v>
      </c>
      <c r="D4511" s="303">
        <v>135.69</v>
      </c>
    </row>
    <row r="4512" spans="1:4">
      <c r="A4512" s="302">
        <v>86938</v>
      </c>
      <c r="B4512" s="301" t="s">
        <v>12072</v>
      </c>
      <c r="C4512" s="301" t="s">
        <v>28</v>
      </c>
      <c r="D4512" s="303">
        <v>268.91000000000003</v>
      </c>
    </row>
    <row r="4513" spans="1:4">
      <c r="A4513" s="302">
        <v>86939</v>
      </c>
      <c r="B4513" s="301" t="s">
        <v>12073</v>
      </c>
      <c r="C4513" s="301" t="s">
        <v>28</v>
      </c>
      <c r="D4513" s="303">
        <v>270.39</v>
      </c>
    </row>
    <row r="4514" spans="1:4">
      <c r="A4514" s="302">
        <v>86940</v>
      </c>
      <c r="B4514" s="301" t="s">
        <v>12074</v>
      </c>
      <c r="C4514" s="301" t="s">
        <v>28</v>
      </c>
      <c r="D4514" s="303">
        <v>705.52</v>
      </c>
    </row>
    <row r="4515" spans="1:4">
      <c r="A4515" s="302">
        <v>86941</v>
      </c>
      <c r="B4515" s="301" t="s">
        <v>12075</v>
      </c>
      <c r="C4515" s="301" t="s">
        <v>28</v>
      </c>
      <c r="D4515" s="303">
        <v>545.19000000000005</v>
      </c>
    </row>
    <row r="4516" spans="1:4">
      <c r="A4516" s="302">
        <v>86942</v>
      </c>
      <c r="B4516" s="301" t="s">
        <v>12076</v>
      </c>
      <c r="C4516" s="301" t="s">
        <v>28</v>
      </c>
      <c r="D4516" s="303">
        <v>178.44</v>
      </c>
    </row>
    <row r="4517" spans="1:4">
      <c r="A4517" s="302">
        <v>86943</v>
      </c>
      <c r="B4517" s="301" t="s">
        <v>12077</v>
      </c>
      <c r="C4517" s="301" t="s">
        <v>28</v>
      </c>
      <c r="D4517" s="303">
        <v>170.78</v>
      </c>
    </row>
    <row r="4518" spans="1:4">
      <c r="A4518" s="302">
        <v>86947</v>
      </c>
      <c r="B4518" s="301" t="s">
        <v>12078</v>
      </c>
      <c r="C4518" s="301" t="s">
        <v>28</v>
      </c>
      <c r="D4518" s="303">
        <v>762.56</v>
      </c>
    </row>
    <row r="4519" spans="1:4">
      <c r="A4519" s="302">
        <v>93396</v>
      </c>
      <c r="B4519" s="301" t="s">
        <v>12079</v>
      </c>
      <c r="C4519" s="301" t="s">
        <v>28</v>
      </c>
      <c r="D4519" s="303">
        <v>448.34</v>
      </c>
    </row>
    <row r="4520" spans="1:4">
      <c r="A4520" s="302">
        <v>93441</v>
      </c>
      <c r="B4520" s="301" t="s">
        <v>12080</v>
      </c>
      <c r="C4520" s="301" t="s">
        <v>28</v>
      </c>
      <c r="D4520" s="303">
        <v>794.62</v>
      </c>
    </row>
    <row r="4521" spans="1:4">
      <c r="A4521" s="302">
        <v>93442</v>
      </c>
      <c r="B4521" s="301" t="s">
        <v>12081</v>
      </c>
      <c r="C4521" s="301" t="s">
        <v>28</v>
      </c>
      <c r="D4521" s="303">
        <v>869.89</v>
      </c>
    </row>
    <row r="4522" spans="1:4">
      <c r="A4522" s="302">
        <v>95469</v>
      </c>
      <c r="B4522" s="301" t="s">
        <v>12082</v>
      </c>
      <c r="C4522" s="301" t="s">
        <v>28</v>
      </c>
      <c r="D4522" s="303">
        <v>152.11000000000001</v>
      </c>
    </row>
    <row r="4523" spans="1:4">
      <c r="A4523" s="302">
        <v>95470</v>
      </c>
      <c r="B4523" s="301" t="s">
        <v>5086</v>
      </c>
      <c r="C4523" s="301" t="s">
        <v>28</v>
      </c>
      <c r="D4523" s="303">
        <v>157.97</v>
      </c>
    </row>
    <row r="4524" spans="1:4">
      <c r="A4524" s="302">
        <v>95471</v>
      </c>
      <c r="B4524" s="301" t="s">
        <v>12083</v>
      </c>
      <c r="C4524" s="301" t="s">
        <v>28</v>
      </c>
      <c r="D4524" s="303">
        <v>562.71</v>
      </c>
    </row>
    <row r="4525" spans="1:4">
      <c r="A4525" s="302">
        <v>95472</v>
      </c>
      <c r="B4525" s="301" t="s">
        <v>12084</v>
      </c>
      <c r="C4525" s="301" t="s">
        <v>28</v>
      </c>
      <c r="D4525" s="303">
        <v>568.57000000000005</v>
      </c>
    </row>
    <row r="4526" spans="1:4">
      <c r="A4526" s="302">
        <v>95542</v>
      </c>
      <c r="B4526" s="301" t="s">
        <v>12085</v>
      </c>
      <c r="C4526" s="301" t="s">
        <v>28</v>
      </c>
      <c r="D4526" s="303">
        <v>28.2</v>
      </c>
    </row>
    <row r="4527" spans="1:4">
      <c r="A4527" s="302">
        <v>95543</v>
      </c>
      <c r="B4527" s="301" t="s">
        <v>12086</v>
      </c>
      <c r="C4527" s="301" t="s">
        <v>28</v>
      </c>
      <c r="D4527" s="303">
        <v>47.41</v>
      </c>
    </row>
    <row r="4528" spans="1:4">
      <c r="A4528" s="302">
        <v>95544</v>
      </c>
      <c r="B4528" s="301" t="s">
        <v>12087</v>
      </c>
      <c r="C4528" s="301" t="s">
        <v>28</v>
      </c>
      <c r="D4528" s="303">
        <v>34.49</v>
      </c>
    </row>
    <row r="4529" spans="1:4">
      <c r="A4529" s="302">
        <v>95545</v>
      </c>
      <c r="B4529" s="301" t="s">
        <v>12088</v>
      </c>
      <c r="C4529" s="301" t="s">
        <v>28</v>
      </c>
      <c r="D4529" s="303">
        <v>33.82</v>
      </c>
    </row>
    <row r="4530" spans="1:4">
      <c r="A4530" s="302">
        <v>95546</v>
      </c>
      <c r="B4530" s="301" t="s">
        <v>12089</v>
      </c>
      <c r="C4530" s="301" t="s">
        <v>28</v>
      </c>
      <c r="D4530" s="303">
        <v>115.66</v>
      </c>
    </row>
    <row r="4531" spans="1:4">
      <c r="A4531" s="302">
        <v>95547</v>
      </c>
      <c r="B4531" s="301" t="s">
        <v>12090</v>
      </c>
      <c r="C4531" s="301" t="s">
        <v>28</v>
      </c>
      <c r="D4531" s="303">
        <v>47.3</v>
      </c>
    </row>
    <row r="4532" spans="1:4">
      <c r="A4532" s="302">
        <v>100848</v>
      </c>
      <c r="B4532" s="301" t="s">
        <v>12091</v>
      </c>
      <c r="C4532" s="301" t="s">
        <v>28</v>
      </c>
      <c r="D4532" s="303">
        <v>276.08999999999997</v>
      </c>
    </row>
    <row r="4533" spans="1:4">
      <c r="A4533" s="302">
        <v>100849</v>
      </c>
      <c r="B4533" s="301" t="s">
        <v>12092</v>
      </c>
      <c r="C4533" s="301" t="s">
        <v>28</v>
      </c>
      <c r="D4533" s="303">
        <v>29</v>
      </c>
    </row>
    <row r="4534" spans="1:4">
      <c r="A4534" s="302">
        <v>100851</v>
      </c>
      <c r="B4534" s="301" t="s">
        <v>12093</v>
      </c>
      <c r="C4534" s="301" t="s">
        <v>28</v>
      </c>
      <c r="D4534" s="303">
        <v>57.4</v>
      </c>
    </row>
    <row r="4535" spans="1:4">
      <c r="A4535" s="302">
        <v>100852</v>
      </c>
      <c r="B4535" s="301" t="s">
        <v>12094</v>
      </c>
      <c r="C4535" s="301" t="s">
        <v>28</v>
      </c>
      <c r="D4535" s="303">
        <v>161.76</v>
      </c>
    </row>
    <row r="4536" spans="1:4">
      <c r="A4536" s="302">
        <v>100854</v>
      </c>
      <c r="B4536" s="301" t="s">
        <v>12095</v>
      </c>
      <c r="C4536" s="301" t="s">
        <v>28</v>
      </c>
      <c r="D4536" s="303">
        <v>593.12</v>
      </c>
    </row>
    <row r="4537" spans="1:4">
      <c r="A4537" s="302">
        <v>100855</v>
      </c>
      <c r="B4537" s="301" t="s">
        <v>12096</v>
      </c>
      <c r="C4537" s="301" t="s">
        <v>28</v>
      </c>
      <c r="D4537" s="303">
        <v>33.82</v>
      </c>
    </row>
    <row r="4538" spans="1:4">
      <c r="A4538" s="302">
        <v>100856</v>
      </c>
      <c r="B4538" s="301" t="s">
        <v>12097</v>
      </c>
      <c r="C4538" s="301" t="s">
        <v>28</v>
      </c>
      <c r="D4538" s="303">
        <v>22.48</v>
      </c>
    </row>
    <row r="4539" spans="1:4">
      <c r="A4539" s="302">
        <v>100857</v>
      </c>
      <c r="B4539" s="301" t="s">
        <v>12098</v>
      </c>
      <c r="C4539" s="301" t="s">
        <v>28</v>
      </c>
      <c r="D4539" s="303">
        <v>222.36</v>
      </c>
    </row>
    <row r="4540" spans="1:4">
      <c r="A4540" s="302">
        <v>100858</v>
      </c>
      <c r="B4540" s="301" t="s">
        <v>12099</v>
      </c>
      <c r="C4540" s="301" t="s">
        <v>28</v>
      </c>
      <c r="D4540" s="303">
        <v>425.96</v>
      </c>
    </row>
    <row r="4541" spans="1:4">
      <c r="A4541" s="302">
        <v>100860</v>
      </c>
      <c r="B4541" s="301" t="s">
        <v>12100</v>
      </c>
      <c r="C4541" s="301" t="s">
        <v>28</v>
      </c>
      <c r="D4541" s="303">
        <v>73.099999999999994</v>
      </c>
    </row>
    <row r="4542" spans="1:4">
      <c r="A4542" s="302">
        <v>100861</v>
      </c>
      <c r="B4542" s="301" t="s">
        <v>12101</v>
      </c>
      <c r="C4542" s="301" t="s">
        <v>28</v>
      </c>
      <c r="D4542" s="303">
        <v>23.61</v>
      </c>
    </row>
    <row r="4543" spans="1:4">
      <c r="A4543" s="302">
        <v>100862</v>
      </c>
      <c r="B4543" s="301" t="s">
        <v>12102</v>
      </c>
      <c r="C4543" s="301" t="s">
        <v>28</v>
      </c>
      <c r="D4543" s="303">
        <v>25.81</v>
      </c>
    </row>
    <row r="4544" spans="1:4">
      <c r="A4544" s="302">
        <v>100863</v>
      </c>
      <c r="B4544" s="301" t="s">
        <v>12103</v>
      </c>
      <c r="C4544" s="301" t="s">
        <v>28</v>
      </c>
      <c r="D4544" s="303">
        <v>605.47</v>
      </c>
    </row>
    <row r="4545" spans="1:4">
      <c r="A4545" s="302">
        <v>100864</v>
      </c>
      <c r="B4545" s="301" t="s">
        <v>12104</v>
      </c>
      <c r="C4545" s="301" t="s">
        <v>28</v>
      </c>
      <c r="D4545" s="303">
        <v>674.28</v>
      </c>
    </row>
    <row r="4546" spans="1:4">
      <c r="A4546" s="302">
        <v>100865</v>
      </c>
      <c r="B4546" s="301" t="s">
        <v>12105</v>
      </c>
      <c r="C4546" s="301" t="s">
        <v>28</v>
      </c>
      <c r="D4546" s="303">
        <v>640.67999999999995</v>
      </c>
    </row>
    <row r="4547" spans="1:4">
      <c r="A4547" s="302">
        <v>100866</v>
      </c>
      <c r="B4547" s="301" t="s">
        <v>12106</v>
      </c>
      <c r="C4547" s="301" t="s">
        <v>28</v>
      </c>
      <c r="D4547" s="303">
        <v>298.12</v>
      </c>
    </row>
    <row r="4548" spans="1:4">
      <c r="A4548" s="302">
        <v>100867</v>
      </c>
      <c r="B4548" s="301" t="s">
        <v>12107</v>
      </c>
      <c r="C4548" s="301" t="s">
        <v>28</v>
      </c>
      <c r="D4548" s="303">
        <v>320.81</v>
      </c>
    </row>
    <row r="4549" spans="1:4">
      <c r="A4549" s="302">
        <v>100868</v>
      </c>
      <c r="B4549" s="301" t="s">
        <v>12108</v>
      </c>
      <c r="C4549" s="301" t="s">
        <v>28</v>
      </c>
      <c r="D4549" s="303">
        <v>335.91</v>
      </c>
    </row>
    <row r="4550" spans="1:4">
      <c r="A4550" s="302">
        <v>100869</v>
      </c>
      <c r="B4550" s="301" t="s">
        <v>12109</v>
      </c>
      <c r="C4550" s="301" t="s">
        <v>28</v>
      </c>
      <c r="D4550" s="303">
        <v>347.49</v>
      </c>
    </row>
    <row r="4551" spans="1:4">
      <c r="A4551" s="302">
        <v>100870</v>
      </c>
      <c r="B4551" s="301" t="s">
        <v>12110</v>
      </c>
      <c r="C4551" s="301" t="s">
        <v>28</v>
      </c>
      <c r="D4551" s="303">
        <v>181.81</v>
      </c>
    </row>
    <row r="4552" spans="1:4">
      <c r="A4552" s="302">
        <v>100871</v>
      </c>
      <c r="B4552" s="301" t="s">
        <v>12111</v>
      </c>
      <c r="C4552" s="301" t="s">
        <v>28</v>
      </c>
      <c r="D4552" s="303">
        <v>194.85</v>
      </c>
    </row>
    <row r="4553" spans="1:4">
      <c r="A4553" s="302">
        <v>100872</v>
      </c>
      <c r="B4553" s="301" t="s">
        <v>12112</v>
      </c>
      <c r="C4553" s="301" t="s">
        <v>28</v>
      </c>
      <c r="D4553" s="303">
        <v>203.18</v>
      </c>
    </row>
    <row r="4554" spans="1:4">
      <c r="A4554" s="302">
        <v>100873</v>
      </c>
      <c r="B4554" s="301" t="s">
        <v>12113</v>
      </c>
      <c r="C4554" s="301" t="s">
        <v>28</v>
      </c>
      <c r="D4554" s="303">
        <v>208.38</v>
      </c>
    </row>
    <row r="4555" spans="1:4">
      <c r="A4555" s="302">
        <v>100874</v>
      </c>
      <c r="B4555" s="301" t="s">
        <v>12114</v>
      </c>
      <c r="C4555" s="301" t="s">
        <v>28</v>
      </c>
      <c r="D4555" s="303">
        <v>298.12</v>
      </c>
    </row>
    <row r="4556" spans="1:4">
      <c r="A4556" s="302">
        <v>100875</v>
      </c>
      <c r="B4556" s="301" t="s">
        <v>12115</v>
      </c>
      <c r="C4556" s="301" t="s">
        <v>28</v>
      </c>
      <c r="D4556" s="304">
        <v>1176.1500000000001</v>
      </c>
    </row>
    <row r="4557" spans="1:4">
      <c r="A4557" s="302">
        <v>6087</v>
      </c>
      <c r="B4557" s="301" t="s">
        <v>918</v>
      </c>
      <c r="C4557" s="301" t="s">
        <v>28</v>
      </c>
      <c r="D4557" s="303">
        <v>23.74</v>
      </c>
    </row>
    <row r="4558" spans="1:4">
      <c r="A4558" s="302">
        <v>98052</v>
      </c>
      <c r="B4558" s="301" t="s">
        <v>5087</v>
      </c>
      <c r="C4558" s="301" t="s">
        <v>28</v>
      </c>
      <c r="D4558" s="304">
        <v>1245.1300000000001</v>
      </c>
    </row>
    <row r="4559" spans="1:4">
      <c r="A4559" s="302">
        <v>98053</v>
      </c>
      <c r="B4559" s="301" t="s">
        <v>5088</v>
      </c>
      <c r="C4559" s="301" t="s">
        <v>28</v>
      </c>
      <c r="D4559" s="304">
        <v>1841.33</v>
      </c>
    </row>
    <row r="4560" spans="1:4">
      <c r="A4560" s="302">
        <v>98054</v>
      </c>
      <c r="B4560" s="301" t="s">
        <v>5089</v>
      </c>
      <c r="C4560" s="301" t="s">
        <v>28</v>
      </c>
      <c r="D4560" s="304">
        <v>2730.64</v>
      </c>
    </row>
    <row r="4561" spans="1:4">
      <c r="A4561" s="302">
        <v>98055</v>
      </c>
      <c r="B4561" s="301" t="s">
        <v>5090</v>
      </c>
      <c r="C4561" s="301" t="s">
        <v>28</v>
      </c>
      <c r="D4561" s="304">
        <v>3619.21</v>
      </c>
    </row>
    <row r="4562" spans="1:4">
      <c r="A4562" s="302">
        <v>98056</v>
      </c>
      <c r="B4562" s="301" t="s">
        <v>5091</v>
      </c>
      <c r="C4562" s="301" t="s">
        <v>28</v>
      </c>
      <c r="D4562" s="304">
        <v>4198.43</v>
      </c>
    </row>
    <row r="4563" spans="1:4">
      <c r="A4563" s="302">
        <v>98057</v>
      </c>
      <c r="B4563" s="301" t="s">
        <v>5092</v>
      </c>
      <c r="C4563" s="301" t="s">
        <v>28</v>
      </c>
      <c r="D4563" s="304">
        <v>5573.17</v>
      </c>
    </row>
    <row r="4564" spans="1:4">
      <c r="A4564" s="302">
        <v>98066</v>
      </c>
      <c r="B4564" s="301" t="s">
        <v>5093</v>
      </c>
      <c r="C4564" s="301" t="s">
        <v>28</v>
      </c>
      <c r="D4564" s="304">
        <v>3743.87</v>
      </c>
    </row>
    <row r="4565" spans="1:4">
      <c r="A4565" s="302">
        <v>98067</v>
      </c>
      <c r="B4565" s="301" t="s">
        <v>5094</v>
      </c>
      <c r="C4565" s="301" t="s">
        <v>28</v>
      </c>
      <c r="D4565" s="304">
        <v>5005.93</v>
      </c>
    </row>
    <row r="4566" spans="1:4">
      <c r="A4566" s="302">
        <v>98068</v>
      </c>
      <c r="B4566" s="301" t="s">
        <v>5095</v>
      </c>
      <c r="C4566" s="301" t="s">
        <v>28</v>
      </c>
      <c r="D4566" s="304">
        <v>7081.64</v>
      </c>
    </row>
    <row r="4567" spans="1:4">
      <c r="A4567" s="302">
        <v>98069</v>
      </c>
      <c r="B4567" s="301" t="s">
        <v>5096</v>
      </c>
      <c r="C4567" s="301" t="s">
        <v>28</v>
      </c>
      <c r="D4567" s="304">
        <v>9484.9500000000007</v>
      </c>
    </row>
    <row r="4568" spans="1:4">
      <c r="A4568" s="302">
        <v>98070</v>
      </c>
      <c r="B4568" s="301" t="s">
        <v>5097</v>
      </c>
      <c r="C4568" s="301" t="s">
        <v>28</v>
      </c>
      <c r="D4568" s="304">
        <v>10880.54</v>
      </c>
    </row>
    <row r="4569" spans="1:4">
      <c r="A4569" s="302">
        <v>98071</v>
      </c>
      <c r="B4569" s="301" t="s">
        <v>5098</v>
      </c>
      <c r="C4569" s="301" t="s">
        <v>28</v>
      </c>
      <c r="D4569" s="304">
        <v>11964.29</v>
      </c>
    </row>
    <row r="4570" spans="1:4">
      <c r="A4570" s="302">
        <v>98072</v>
      </c>
      <c r="B4570" s="301" t="s">
        <v>5099</v>
      </c>
      <c r="C4570" s="301" t="s">
        <v>28</v>
      </c>
      <c r="D4570" s="304">
        <v>3116.81</v>
      </c>
    </row>
    <row r="4571" spans="1:4">
      <c r="A4571" s="302">
        <v>98073</v>
      </c>
      <c r="B4571" s="301" t="s">
        <v>5100</v>
      </c>
      <c r="C4571" s="301" t="s">
        <v>28</v>
      </c>
      <c r="D4571" s="304">
        <v>4863.3</v>
      </c>
    </row>
    <row r="4572" spans="1:4">
      <c r="A4572" s="302">
        <v>98074</v>
      </c>
      <c r="B4572" s="301" t="s">
        <v>5101</v>
      </c>
      <c r="C4572" s="301" t="s">
        <v>28</v>
      </c>
      <c r="D4572" s="304">
        <v>7538.27</v>
      </c>
    </row>
    <row r="4573" spans="1:4">
      <c r="A4573" s="302">
        <v>98075</v>
      </c>
      <c r="B4573" s="301" t="s">
        <v>5102</v>
      </c>
      <c r="C4573" s="301" t="s">
        <v>28</v>
      </c>
      <c r="D4573" s="304">
        <v>9796.3700000000008</v>
      </c>
    </row>
    <row r="4574" spans="1:4">
      <c r="A4574" s="302">
        <v>98076</v>
      </c>
      <c r="B4574" s="301" t="s">
        <v>5103</v>
      </c>
      <c r="C4574" s="301" t="s">
        <v>28</v>
      </c>
      <c r="D4574" s="304">
        <v>11279.99</v>
      </c>
    </row>
    <row r="4575" spans="1:4">
      <c r="A4575" s="302">
        <v>98077</v>
      </c>
      <c r="B4575" s="301" t="s">
        <v>5104</v>
      </c>
      <c r="C4575" s="301" t="s">
        <v>28</v>
      </c>
      <c r="D4575" s="304">
        <v>13275.84</v>
      </c>
    </row>
    <row r="4576" spans="1:4">
      <c r="A4576" s="302">
        <v>98078</v>
      </c>
      <c r="B4576" s="301" t="s">
        <v>5105</v>
      </c>
      <c r="C4576" s="301" t="s">
        <v>28</v>
      </c>
      <c r="D4576" s="304">
        <v>3182.25</v>
      </c>
    </row>
    <row r="4577" spans="1:4">
      <c r="A4577" s="302">
        <v>98079</v>
      </c>
      <c r="B4577" s="301" t="s">
        <v>5106</v>
      </c>
      <c r="C4577" s="301" t="s">
        <v>28</v>
      </c>
      <c r="D4577" s="304">
        <v>5573.44</v>
      </c>
    </row>
    <row r="4578" spans="1:4">
      <c r="A4578" s="302">
        <v>98080</v>
      </c>
      <c r="B4578" s="301" t="s">
        <v>5107</v>
      </c>
      <c r="C4578" s="301" t="s">
        <v>28</v>
      </c>
      <c r="D4578" s="304">
        <v>7163.65</v>
      </c>
    </row>
    <row r="4579" spans="1:4">
      <c r="A4579" s="302">
        <v>98081</v>
      </c>
      <c r="B4579" s="301" t="s">
        <v>5108</v>
      </c>
      <c r="C4579" s="301" t="s">
        <v>28</v>
      </c>
      <c r="D4579" s="304">
        <v>10610.05</v>
      </c>
    </row>
    <row r="4580" spans="1:4">
      <c r="A4580" s="302">
        <v>98082</v>
      </c>
      <c r="B4580" s="301" t="s">
        <v>5109</v>
      </c>
      <c r="C4580" s="301" t="s">
        <v>28</v>
      </c>
      <c r="D4580" s="304">
        <v>2909.44</v>
      </c>
    </row>
    <row r="4581" spans="1:4">
      <c r="A4581" s="302">
        <v>98083</v>
      </c>
      <c r="B4581" s="301" t="s">
        <v>5110</v>
      </c>
      <c r="C4581" s="301" t="s">
        <v>28</v>
      </c>
      <c r="D4581" s="304">
        <v>3851.47</v>
      </c>
    </row>
    <row r="4582" spans="1:4">
      <c r="A4582" s="302">
        <v>98084</v>
      </c>
      <c r="B4582" s="301" t="s">
        <v>5111</v>
      </c>
      <c r="C4582" s="301" t="s">
        <v>28</v>
      </c>
      <c r="D4582" s="304">
        <v>5414.79</v>
      </c>
    </row>
    <row r="4583" spans="1:4">
      <c r="A4583" s="302">
        <v>98085</v>
      </c>
      <c r="B4583" s="301" t="s">
        <v>5112</v>
      </c>
      <c r="C4583" s="301" t="s">
        <v>28</v>
      </c>
      <c r="D4583" s="304">
        <v>7327.82</v>
      </c>
    </row>
    <row r="4584" spans="1:4">
      <c r="A4584" s="302">
        <v>98086</v>
      </c>
      <c r="B4584" s="301" t="s">
        <v>5113</v>
      </c>
      <c r="C4584" s="301" t="s">
        <v>28</v>
      </c>
      <c r="D4584" s="304">
        <v>8300.94</v>
      </c>
    </row>
    <row r="4585" spans="1:4">
      <c r="A4585" s="302">
        <v>98087</v>
      </c>
      <c r="B4585" s="301" t="s">
        <v>5114</v>
      </c>
      <c r="C4585" s="301" t="s">
        <v>28</v>
      </c>
      <c r="D4585" s="304">
        <v>8917.34</v>
      </c>
    </row>
    <row r="4586" spans="1:4">
      <c r="A4586" s="302">
        <v>98088</v>
      </c>
      <c r="B4586" s="301" t="s">
        <v>5115</v>
      </c>
      <c r="C4586" s="301" t="s">
        <v>28</v>
      </c>
      <c r="D4586" s="304">
        <v>2482.11</v>
      </c>
    </row>
    <row r="4587" spans="1:4">
      <c r="A4587" s="302">
        <v>98089</v>
      </c>
      <c r="B4587" s="301" t="s">
        <v>5116</v>
      </c>
      <c r="C4587" s="301" t="s">
        <v>28</v>
      </c>
      <c r="D4587" s="304">
        <v>3924.06</v>
      </c>
    </row>
    <row r="4588" spans="1:4">
      <c r="A4588" s="302">
        <v>98090</v>
      </c>
      <c r="B4588" s="301" t="s">
        <v>5117</v>
      </c>
      <c r="C4588" s="301" t="s">
        <v>28</v>
      </c>
      <c r="D4588" s="304">
        <v>6162.28</v>
      </c>
    </row>
    <row r="4589" spans="1:4">
      <c r="A4589" s="302">
        <v>98091</v>
      </c>
      <c r="B4589" s="301" t="s">
        <v>5118</v>
      </c>
      <c r="C4589" s="301" t="s">
        <v>28</v>
      </c>
      <c r="D4589" s="304">
        <v>7969.53</v>
      </c>
    </row>
    <row r="4590" spans="1:4">
      <c r="A4590" s="302">
        <v>98092</v>
      </c>
      <c r="B4590" s="301" t="s">
        <v>5119</v>
      </c>
      <c r="C4590" s="301" t="s">
        <v>28</v>
      </c>
      <c r="D4590" s="304">
        <v>9342.6299999999992</v>
      </c>
    </row>
    <row r="4591" spans="1:4">
      <c r="A4591" s="302">
        <v>98093</v>
      </c>
      <c r="B4591" s="301" t="s">
        <v>5120</v>
      </c>
      <c r="C4591" s="301" t="s">
        <v>28</v>
      </c>
      <c r="D4591" s="304">
        <v>11027.73</v>
      </c>
    </row>
    <row r="4592" spans="1:4">
      <c r="A4592" s="302">
        <v>98094</v>
      </c>
      <c r="B4592" s="301" t="s">
        <v>5121</v>
      </c>
      <c r="C4592" s="301" t="s">
        <v>28</v>
      </c>
      <c r="D4592" s="304">
        <v>2097.14</v>
      </c>
    </row>
    <row r="4593" spans="1:4">
      <c r="A4593" s="302">
        <v>98099</v>
      </c>
      <c r="B4593" s="301" t="s">
        <v>5122</v>
      </c>
      <c r="C4593" s="301" t="s">
        <v>28</v>
      </c>
      <c r="D4593" s="304">
        <v>3603.25</v>
      </c>
    </row>
    <row r="4594" spans="1:4">
      <c r="A4594" s="302">
        <v>98100</v>
      </c>
      <c r="B4594" s="301" t="s">
        <v>5123</v>
      </c>
      <c r="C4594" s="301" t="s">
        <v>28</v>
      </c>
      <c r="D4594" s="304">
        <v>4701.7</v>
      </c>
    </row>
    <row r="4595" spans="1:4">
      <c r="A4595" s="302">
        <v>98101</v>
      </c>
      <c r="B4595" s="301" t="s">
        <v>5124</v>
      </c>
      <c r="C4595" s="301" t="s">
        <v>28</v>
      </c>
      <c r="D4595" s="304">
        <v>6955.16</v>
      </c>
    </row>
    <row r="4596" spans="1:4">
      <c r="A4596" s="302">
        <v>98109</v>
      </c>
      <c r="B4596" s="301" t="s">
        <v>5125</v>
      </c>
      <c r="C4596" s="301" t="s">
        <v>28</v>
      </c>
      <c r="D4596" s="303">
        <v>620.46</v>
      </c>
    </row>
    <row r="4597" spans="1:4">
      <c r="A4597" s="302">
        <v>98110</v>
      </c>
      <c r="B4597" s="301" t="s">
        <v>5126</v>
      </c>
      <c r="C4597" s="301" t="s">
        <v>28</v>
      </c>
      <c r="D4597" s="303">
        <v>395.7</v>
      </c>
    </row>
    <row r="4598" spans="1:4">
      <c r="A4598" s="302">
        <v>98111</v>
      </c>
      <c r="B4598" s="301" t="s">
        <v>5127</v>
      </c>
      <c r="C4598" s="301" t="s">
        <v>28</v>
      </c>
      <c r="D4598" s="303">
        <v>20.64</v>
      </c>
    </row>
    <row r="4599" spans="1:4">
      <c r="A4599" s="302">
        <v>98114</v>
      </c>
      <c r="B4599" s="301" t="s">
        <v>5128</v>
      </c>
      <c r="C4599" s="301" t="s">
        <v>28</v>
      </c>
      <c r="D4599" s="303">
        <v>376.15</v>
      </c>
    </row>
    <row r="4600" spans="1:4">
      <c r="A4600" s="302">
        <v>98115</v>
      </c>
      <c r="B4600" s="301" t="s">
        <v>5129</v>
      </c>
      <c r="C4600" s="301" t="s">
        <v>28</v>
      </c>
      <c r="D4600" s="303">
        <v>87.36</v>
      </c>
    </row>
    <row r="4601" spans="1:4">
      <c r="A4601" s="302">
        <v>89957</v>
      </c>
      <c r="B4601" s="301" t="s">
        <v>5130</v>
      </c>
      <c r="C4601" s="301" t="s">
        <v>28</v>
      </c>
      <c r="D4601" s="303">
        <v>105.12</v>
      </c>
    </row>
    <row r="4602" spans="1:4">
      <c r="A4602" s="302">
        <v>89959</v>
      </c>
      <c r="B4602" s="301" t="s">
        <v>5131</v>
      </c>
      <c r="C4602" s="301" t="s">
        <v>28</v>
      </c>
      <c r="D4602" s="303">
        <v>195.33</v>
      </c>
    </row>
    <row r="4603" spans="1:4">
      <c r="A4603" s="301" t="s">
        <v>12528</v>
      </c>
      <c r="B4603" s="301" t="s">
        <v>12529</v>
      </c>
      <c r="C4603" s="301" t="s">
        <v>28</v>
      </c>
      <c r="D4603" s="303">
        <v>80.14</v>
      </c>
    </row>
    <row r="4604" spans="1:4">
      <c r="A4604" s="301" t="s">
        <v>12530</v>
      </c>
      <c r="B4604" s="301" t="s">
        <v>279</v>
      </c>
      <c r="C4604" s="301" t="s">
        <v>28</v>
      </c>
      <c r="D4604" s="303">
        <v>168.74</v>
      </c>
    </row>
    <row r="4605" spans="1:4">
      <c r="A4605" s="302">
        <v>89349</v>
      </c>
      <c r="B4605" s="301" t="s">
        <v>5132</v>
      </c>
      <c r="C4605" s="301" t="s">
        <v>28</v>
      </c>
      <c r="D4605" s="303">
        <v>23.48</v>
      </c>
    </row>
    <row r="4606" spans="1:4">
      <c r="A4606" s="302">
        <v>89351</v>
      </c>
      <c r="B4606" s="301" t="s">
        <v>5133</v>
      </c>
      <c r="C4606" s="301" t="s">
        <v>28</v>
      </c>
      <c r="D4606" s="303">
        <v>26.63</v>
      </c>
    </row>
    <row r="4607" spans="1:4">
      <c r="A4607" s="302">
        <v>89352</v>
      </c>
      <c r="B4607" s="301" t="s">
        <v>5134</v>
      </c>
      <c r="C4607" s="301" t="s">
        <v>28</v>
      </c>
      <c r="D4607" s="303">
        <v>30.16</v>
      </c>
    </row>
    <row r="4608" spans="1:4">
      <c r="A4608" s="302">
        <v>89353</v>
      </c>
      <c r="B4608" s="301" t="s">
        <v>361</v>
      </c>
      <c r="C4608" s="301" t="s">
        <v>28</v>
      </c>
      <c r="D4608" s="303">
        <v>31.41</v>
      </c>
    </row>
    <row r="4609" spans="1:4">
      <c r="A4609" s="302">
        <v>89354</v>
      </c>
      <c r="B4609" s="301" t="s">
        <v>390</v>
      </c>
      <c r="C4609" s="301" t="s">
        <v>28</v>
      </c>
      <c r="D4609" s="303">
        <v>228.21</v>
      </c>
    </row>
    <row r="4610" spans="1:4">
      <c r="A4610" s="302">
        <v>89969</v>
      </c>
      <c r="B4610" s="301" t="s">
        <v>5135</v>
      </c>
      <c r="C4610" s="301" t="s">
        <v>28</v>
      </c>
      <c r="D4610" s="303">
        <v>34.17</v>
      </c>
    </row>
    <row r="4611" spans="1:4">
      <c r="A4611" s="302">
        <v>89970</v>
      </c>
      <c r="B4611" s="301" t="s">
        <v>5136</v>
      </c>
      <c r="C4611" s="301" t="s">
        <v>28</v>
      </c>
      <c r="D4611" s="303">
        <v>37.57</v>
      </c>
    </row>
    <row r="4612" spans="1:4">
      <c r="A4612" s="302">
        <v>89971</v>
      </c>
      <c r="B4612" s="301" t="s">
        <v>5137</v>
      </c>
      <c r="C4612" s="301" t="s">
        <v>28</v>
      </c>
      <c r="D4612" s="303">
        <v>38.92</v>
      </c>
    </row>
    <row r="4613" spans="1:4">
      <c r="A4613" s="302">
        <v>89972</v>
      </c>
      <c r="B4613" s="301" t="s">
        <v>5138</v>
      </c>
      <c r="C4613" s="301" t="s">
        <v>28</v>
      </c>
      <c r="D4613" s="303">
        <v>41.81</v>
      </c>
    </row>
    <row r="4614" spans="1:4">
      <c r="A4614" s="302">
        <v>89973</v>
      </c>
      <c r="B4614" s="301" t="s">
        <v>5139</v>
      </c>
      <c r="C4614" s="301" t="s">
        <v>28</v>
      </c>
      <c r="D4614" s="303">
        <v>429.09</v>
      </c>
    </row>
    <row r="4615" spans="1:4">
      <c r="A4615" s="302">
        <v>89974</v>
      </c>
      <c r="B4615" s="301" t="s">
        <v>5140</v>
      </c>
      <c r="C4615" s="301" t="s">
        <v>28</v>
      </c>
      <c r="D4615" s="303">
        <v>271.86</v>
      </c>
    </row>
    <row r="4616" spans="1:4">
      <c r="A4616" s="302">
        <v>89984</v>
      </c>
      <c r="B4616" s="301" t="s">
        <v>363</v>
      </c>
      <c r="C4616" s="301" t="s">
        <v>28</v>
      </c>
      <c r="D4616" s="303">
        <v>63.49</v>
      </c>
    </row>
    <row r="4617" spans="1:4">
      <c r="A4617" s="302">
        <v>89985</v>
      </c>
      <c r="B4617" s="301" t="s">
        <v>149</v>
      </c>
      <c r="C4617" s="301" t="s">
        <v>28</v>
      </c>
      <c r="D4617" s="303">
        <v>65.3</v>
      </c>
    </row>
    <row r="4618" spans="1:4">
      <c r="A4618" s="302">
        <v>89986</v>
      </c>
      <c r="B4618" s="301" t="s">
        <v>5141</v>
      </c>
      <c r="C4618" s="301" t="s">
        <v>28</v>
      </c>
      <c r="D4618" s="303">
        <v>61.95</v>
      </c>
    </row>
    <row r="4619" spans="1:4">
      <c r="A4619" s="302">
        <v>89987</v>
      </c>
      <c r="B4619" s="301" t="s">
        <v>5142</v>
      </c>
      <c r="C4619" s="301" t="s">
        <v>28</v>
      </c>
      <c r="D4619" s="303">
        <v>68.650000000000006</v>
      </c>
    </row>
    <row r="4620" spans="1:4">
      <c r="A4620" s="302">
        <v>90371</v>
      </c>
      <c r="B4620" s="301" t="s">
        <v>5143</v>
      </c>
      <c r="C4620" s="301" t="s">
        <v>28</v>
      </c>
      <c r="D4620" s="303">
        <v>16.34</v>
      </c>
    </row>
    <row r="4621" spans="1:4">
      <c r="A4621" s="302">
        <v>94489</v>
      </c>
      <c r="B4621" s="301" t="s">
        <v>5144</v>
      </c>
      <c r="C4621" s="301" t="s">
        <v>28</v>
      </c>
      <c r="D4621" s="303">
        <v>13.28</v>
      </c>
    </row>
    <row r="4622" spans="1:4">
      <c r="A4622" s="302">
        <v>94490</v>
      </c>
      <c r="B4622" s="301" t="s">
        <v>5145</v>
      </c>
      <c r="C4622" s="301" t="s">
        <v>28</v>
      </c>
      <c r="D4622" s="303">
        <v>22.45</v>
      </c>
    </row>
    <row r="4623" spans="1:4">
      <c r="A4623" s="302">
        <v>94491</v>
      </c>
      <c r="B4623" s="301" t="s">
        <v>5146</v>
      </c>
      <c r="C4623" s="301" t="s">
        <v>28</v>
      </c>
      <c r="D4623" s="303">
        <v>31.64</v>
      </c>
    </row>
    <row r="4624" spans="1:4">
      <c r="A4624" s="302">
        <v>94492</v>
      </c>
      <c r="B4624" s="301" t="s">
        <v>5147</v>
      </c>
      <c r="C4624" s="301" t="s">
        <v>28</v>
      </c>
      <c r="D4624" s="303">
        <v>32.28</v>
      </c>
    </row>
    <row r="4625" spans="1:4">
      <c r="A4625" s="302">
        <v>94493</v>
      </c>
      <c r="B4625" s="301" t="s">
        <v>5148</v>
      </c>
      <c r="C4625" s="301" t="s">
        <v>28</v>
      </c>
      <c r="D4625" s="303">
        <v>58.98</v>
      </c>
    </row>
    <row r="4626" spans="1:4">
      <c r="A4626" s="302">
        <v>94494</v>
      </c>
      <c r="B4626" s="301" t="s">
        <v>5149</v>
      </c>
      <c r="C4626" s="301" t="s">
        <v>28</v>
      </c>
      <c r="D4626" s="303">
        <v>51.63</v>
      </c>
    </row>
    <row r="4627" spans="1:4">
      <c r="A4627" s="302">
        <v>94495</v>
      </c>
      <c r="B4627" s="301" t="s">
        <v>379</v>
      </c>
      <c r="C4627" s="301" t="s">
        <v>28</v>
      </c>
      <c r="D4627" s="303">
        <v>65.61</v>
      </c>
    </row>
    <row r="4628" spans="1:4">
      <c r="A4628" s="302">
        <v>94496</v>
      </c>
      <c r="B4628" s="301" t="s">
        <v>384</v>
      </c>
      <c r="C4628" s="301" t="s">
        <v>28</v>
      </c>
      <c r="D4628" s="303">
        <v>80.11</v>
      </c>
    </row>
    <row r="4629" spans="1:4">
      <c r="A4629" s="302">
        <v>94497</v>
      </c>
      <c r="B4629" s="301" t="s">
        <v>362</v>
      </c>
      <c r="C4629" s="301" t="s">
        <v>28</v>
      </c>
      <c r="D4629" s="303">
        <v>93.75</v>
      </c>
    </row>
    <row r="4630" spans="1:4">
      <c r="A4630" s="302">
        <v>94498</v>
      </c>
      <c r="B4630" s="301" t="s">
        <v>5150</v>
      </c>
      <c r="C4630" s="301" t="s">
        <v>28</v>
      </c>
      <c r="D4630" s="303">
        <v>120.86</v>
      </c>
    </row>
    <row r="4631" spans="1:4">
      <c r="A4631" s="302">
        <v>94499</v>
      </c>
      <c r="B4631" s="301" t="s">
        <v>107</v>
      </c>
      <c r="C4631" s="301" t="s">
        <v>28</v>
      </c>
      <c r="D4631" s="303">
        <v>219.02</v>
      </c>
    </row>
    <row r="4632" spans="1:4">
      <c r="A4632" s="302">
        <v>94500</v>
      </c>
      <c r="B4632" s="301" t="s">
        <v>360</v>
      </c>
      <c r="C4632" s="301" t="s">
        <v>28</v>
      </c>
      <c r="D4632" s="303">
        <v>260.27999999999997</v>
      </c>
    </row>
    <row r="4633" spans="1:4">
      <c r="A4633" s="302">
        <v>94501</v>
      </c>
      <c r="B4633" s="301" t="s">
        <v>5151</v>
      </c>
      <c r="C4633" s="301" t="s">
        <v>28</v>
      </c>
      <c r="D4633" s="303">
        <v>508.99</v>
      </c>
    </row>
    <row r="4634" spans="1:4">
      <c r="A4634" s="302">
        <v>94792</v>
      </c>
      <c r="B4634" s="301" t="s">
        <v>985</v>
      </c>
      <c r="C4634" s="301" t="s">
        <v>28</v>
      </c>
      <c r="D4634" s="303">
        <v>99.63</v>
      </c>
    </row>
    <row r="4635" spans="1:4">
      <c r="A4635" s="302">
        <v>94793</v>
      </c>
      <c r="B4635" s="301" t="s">
        <v>5152</v>
      </c>
      <c r="C4635" s="301" t="s">
        <v>28</v>
      </c>
      <c r="D4635" s="303">
        <v>128.46</v>
      </c>
    </row>
    <row r="4636" spans="1:4">
      <c r="A4636" s="302">
        <v>94794</v>
      </c>
      <c r="B4636" s="301" t="s">
        <v>5153</v>
      </c>
      <c r="C4636" s="301" t="s">
        <v>28</v>
      </c>
      <c r="D4636" s="303">
        <v>133.07</v>
      </c>
    </row>
    <row r="4637" spans="1:4">
      <c r="A4637" s="302">
        <v>94795</v>
      </c>
      <c r="B4637" s="301" t="s">
        <v>5154</v>
      </c>
      <c r="C4637" s="301" t="s">
        <v>28</v>
      </c>
      <c r="D4637" s="303">
        <v>22.58</v>
      </c>
    </row>
    <row r="4638" spans="1:4">
      <c r="A4638" s="302">
        <v>94796</v>
      </c>
      <c r="B4638" s="301" t="s">
        <v>5155</v>
      </c>
      <c r="C4638" s="301" t="s">
        <v>28</v>
      </c>
      <c r="D4638" s="303">
        <v>26.42</v>
      </c>
    </row>
    <row r="4639" spans="1:4">
      <c r="A4639" s="302">
        <v>94797</v>
      </c>
      <c r="B4639" s="301" t="s">
        <v>5156</v>
      </c>
      <c r="C4639" s="301" t="s">
        <v>28</v>
      </c>
      <c r="D4639" s="303">
        <v>40.090000000000003</v>
      </c>
    </row>
    <row r="4640" spans="1:4">
      <c r="A4640" s="302">
        <v>94798</v>
      </c>
      <c r="B4640" s="301" t="s">
        <v>5157</v>
      </c>
      <c r="C4640" s="301" t="s">
        <v>28</v>
      </c>
      <c r="D4640" s="303">
        <v>86.17</v>
      </c>
    </row>
    <row r="4641" spans="1:4">
      <c r="A4641" s="302">
        <v>94799</v>
      </c>
      <c r="B4641" s="301" t="s">
        <v>5158</v>
      </c>
      <c r="C4641" s="301" t="s">
        <v>28</v>
      </c>
      <c r="D4641" s="303">
        <v>83.86</v>
      </c>
    </row>
    <row r="4642" spans="1:4">
      <c r="A4642" s="302">
        <v>94800</v>
      </c>
      <c r="B4642" s="301" t="s">
        <v>5159</v>
      </c>
      <c r="C4642" s="301" t="s">
        <v>28</v>
      </c>
      <c r="D4642" s="303">
        <v>142.33000000000001</v>
      </c>
    </row>
    <row r="4643" spans="1:4">
      <c r="A4643" s="302">
        <v>95248</v>
      </c>
      <c r="B4643" s="301" t="s">
        <v>5160</v>
      </c>
      <c r="C4643" s="301" t="s">
        <v>28</v>
      </c>
      <c r="D4643" s="303">
        <v>61.81</v>
      </c>
    </row>
    <row r="4644" spans="1:4">
      <c r="A4644" s="302">
        <v>95249</v>
      </c>
      <c r="B4644" s="301" t="s">
        <v>421</v>
      </c>
      <c r="C4644" s="301" t="s">
        <v>28</v>
      </c>
      <c r="D4644" s="303">
        <v>67.11</v>
      </c>
    </row>
    <row r="4645" spans="1:4">
      <c r="A4645" s="302">
        <v>95250</v>
      </c>
      <c r="B4645" s="301" t="s">
        <v>5161</v>
      </c>
      <c r="C4645" s="301" t="s">
        <v>28</v>
      </c>
      <c r="D4645" s="303">
        <v>80.98</v>
      </c>
    </row>
    <row r="4646" spans="1:4">
      <c r="A4646" s="302">
        <v>95251</v>
      </c>
      <c r="B4646" s="301" t="s">
        <v>5162</v>
      </c>
      <c r="C4646" s="301" t="s">
        <v>28</v>
      </c>
      <c r="D4646" s="303">
        <v>107.89</v>
      </c>
    </row>
    <row r="4647" spans="1:4">
      <c r="A4647" s="302">
        <v>95252</v>
      </c>
      <c r="B4647" s="301" t="s">
        <v>5163</v>
      </c>
      <c r="C4647" s="301" t="s">
        <v>28</v>
      </c>
      <c r="D4647" s="303">
        <v>124.24</v>
      </c>
    </row>
    <row r="4648" spans="1:4">
      <c r="A4648" s="302">
        <v>95253</v>
      </c>
      <c r="B4648" s="301" t="s">
        <v>5164</v>
      </c>
      <c r="C4648" s="301" t="s">
        <v>28</v>
      </c>
      <c r="D4648" s="303">
        <v>177.65</v>
      </c>
    </row>
    <row r="4649" spans="1:4">
      <c r="A4649" s="302">
        <v>99619</v>
      </c>
      <c r="B4649" s="301" t="s">
        <v>5165</v>
      </c>
      <c r="C4649" s="301" t="s">
        <v>28</v>
      </c>
      <c r="D4649" s="303">
        <v>60.18</v>
      </c>
    </row>
    <row r="4650" spans="1:4">
      <c r="A4650" s="302">
        <v>99620</v>
      </c>
      <c r="B4650" s="301" t="s">
        <v>5166</v>
      </c>
      <c r="C4650" s="301" t="s">
        <v>28</v>
      </c>
      <c r="D4650" s="303">
        <v>99.42</v>
      </c>
    </row>
    <row r="4651" spans="1:4">
      <c r="A4651" s="302">
        <v>99621</v>
      </c>
      <c r="B4651" s="301" t="s">
        <v>5167</v>
      </c>
      <c r="C4651" s="301" t="s">
        <v>28</v>
      </c>
      <c r="D4651" s="303">
        <v>135.84</v>
      </c>
    </row>
    <row r="4652" spans="1:4">
      <c r="A4652" s="302">
        <v>99622</v>
      </c>
      <c r="B4652" s="301" t="s">
        <v>5168</v>
      </c>
      <c r="C4652" s="301" t="s">
        <v>28</v>
      </c>
      <c r="D4652" s="303">
        <v>148.5</v>
      </c>
    </row>
    <row r="4653" spans="1:4">
      <c r="A4653" s="302">
        <v>99623</v>
      </c>
      <c r="B4653" s="301" t="s">
        <v>5169</v>
      </c>
      <c r="C4653" s="301" t="s">
        <v>28</v>
      </c>
      <c r="D4653" s="303">
        <v>198.09</v>
      </c>
    </row>
    <row r="4654" spans="1:4">
      <c r="A4654" s="302">
        <v>99624</v>
      </c>
      <c r="B4654" s="301" t="s">
        <v>5170</v>
      </c>
      <c r="C4654" s="301" t="s">
        <v>28</v>
      </c>
      <c r="D4654" s="303">
        <v>270.61</v>
      </c>
    </row>
    <row r="4655" spans="1:4">
      <c r="A4655" s="302">
        <v>99625</v>
      </c>
      <c r="B4655" s="301" t="s">
        <v>5171</v>
      </c>
      <c r="C4655" s="301" t="s">
        <v>28</v>
      </c>
      <c r="D4655" s="303">
        <v>363.87</v>
      </c>
    </row>
    <row r="4656" spans="1:4">
      <c r="A4656" s="302">
        <v>99626</v>
      </c>
      <c r="B4656" s="301" t="s">
        <v>5172</v>
      </c>
      <c r="C4656" s="301" t="s">
        <v>28</v>
      </c>
      <c r="D4656" s="303">
        <v>547.4</v>
      </c>
    </row>
    <row r="4657" spans="1:4">
      <c r="A4657" s="302">
        <v>99627</v>
      </c>
      <c r="B4657" s="301" t="s">
        <v>5173</v>
      </c>
      <c r="C4657" s="301" t="s">
        <v>28</v>
      </c>
      <c r="D4657" s="303">
        <v>59.93</v>
      </c>
    </row>
    <row r="4658" spans="1:4">
      <c r="A4658" s="302">
        <v>99628</v>
      </c>
      <c r="B4658" s="301" t="s">
        <v>5174</v>
      </c>
      <c r="C4658" s="301" t="s">
        <v>28</v>
      </c>
      <c r="D4658" s="303">
        <v>41.18</v>
      </c>
    </row>
    <row r="4659" spans="1:4">
      <c r="A4659" s="302">
        <v>99629</v>
      </c>
      <c r="B4659" s="301" t="s">
        <v>5175</v>
      </c>
      <c r="C4659" s="301" t="s">
        <v>28</v>
      </c>
      <c r="D4659" s="303">
        <v>64.540000000000006</v>
      </c>
    </row>
    <row r="4660" spans="1:4">
      <c r="A4660" s="302">
        <v>99630</v>
      </c>
      <c r="B4660" s="301" t="s">
        <v>5176</v>
      </c>
      <c r="C4660" s="301" t="s">
        <v>28</v>
      </c>
      <c r="D4660" s="303">
        <v>83.75</v>
      </c>
    </row>
    <row r="4661" spans="1:4">
      <c r="A4661" s="302">
        <v>99631</v>
      </c>
      <c r="B4661" s="301" t="s">
        <v>5177</v>
      </c>
      <c r="C4661" s="301" t="s">
        <v>28</v>
      </c>
      <c r="D4661" s="303">
        <v>92.21</v>
      </c>
    </row>
    <row r="4662" spans="1:4">
      <c r="A4662" s="302">
        <v>99632</v>
      </c>
      <c r="B4662" s="301" t="s">
        <v>5178</v>
      </c>
      <c r="C4662" s="301" t="s">
        <v>28</v>
      </c>
      <c r="D4662" s="303">
        <v>122.82</v>
      </c>
    </row>
    <row r="4663" spans="1:4">
      <c r="A4663" s="302">
        <v>99633</v>
      </c>
      <c r="B4663" s="301" t="s">
        <v>5179</v>
      </c>
      <c r="C4663" s="301" t="s">
        <v>28</v>
      </c>
      <c r="D4663" s="303">
        <v>235.08</v>
      </c>
    </row>
    <row r="4664" spans="1:4">
      <c r="A4664" s="302">
        <v>99634</v>
      </c>
      <c r="B4664" s="301" t="s">
        <v>5180</v>
      </c>
      <c r="C4664" s="301" t="s">
        <v>28</v>
      </c>
      <c r="D4664" s="303">
        <v>385.37</v>
      </c>
    </row>
    <row r="4665" spans="1:4">
      <c r="A4665" s="302">
        <v>99635</v>
      </c>
      <c r="B4665" s="301" t="s">
        <v>5181</v>
      </c>
      <c r="C4665" s="301" t="s">
        <v>28</v>
      </c>
      <c r="D4665" s="303">
        <v>198.52</v>
      </c>
    </row>
    <row r="4666" spans="1:4">
      <c r="A4666" s="302">
        <v>95634</v>
      </c>
      <c r="B4666" s="301" t="s">
        <v>5182</v>
      </c>
      <c r="C4666" s="301" t="s">
        <v>28</v>
      </c>
      <c r="D4666" s="303">
        <v>117.3</v>
      </c>
    </row>
    <row r="4667" spans="1:4">
      <c r="A4667" s="302">
        <v>95635</v>
      </c>
      <c r="B4667" s="301" t="s">
        <v>5183</v>
      </c>
      <c r="C4667" s="301" t="s">
        <v>28</v>
      </c>
      <c r="D4667" s="303">
        <v>127.67</v>
      </c>
    </row>
    <row r="4668" spans="1:4">
      <c r="A4668" s="302">
        <v>95637</v>
      </c>
      <c r="B4668" s="301" t="s">
        <v>5184</v>
      </c>
      <c r="C4668" s="301" t="s">
        <v>28</v>
      </c>
      <c r="D4668" s="303">
        <v>365.84</v>
      </c>
    </row>
    <row r="4669" spans="1:4">
      <c r="A4669" s="302">
        <v>95638</v>
      </c>
      <c r="B4669" s="301" t="s">
        <v>5185</v>
      </c>
      <c r="C4669" s="301" t="s">
        <v>28</v>
      </c>
      <c r="D4669" s="303">
        <v>441.28</v>
      </c>
    </row>
    <row r="4670" spans="1:4">
      <c r="A4670" s="302">
        <v>95639</v>
      </c>
      <c r="B4670" s="301" t="s">
        <v>5186</v>
      </c>
      <c r="C4670" s="301" t="s">
        <v>28</v>
      </c>
      <c r="D4670" s="303">
        <v>549.62</v>
      </c>
    </row>
    <row r="4671" spans="1:4">
      <c r="A4671" s="302">
        <v>95641</v>
      </c>
      <c r="B4671" s="301" t="s">
        <v>5187</v>
      </c>
      <c r="C4671" s="301" t="s">
        <v>28</v>
      </c>
      <c r="D4671" s="303">
        <v>222.37</v>
      </c>
    </row>
    <row r="4672" spans="1:4">
      <c r="A4672" s="302">
        <v>95642</v>
      </c>
      <c r="B4672" s="301" t="s">
        <v>5188</v>
      </c>
      <c r="C4672" s="301" t="s">
        <v>28</v>
      </c>
      <c r="D4672" s="303">
        <v>328.82</v>
      </c>
    </row>
    <row r="4673" spans="1:4">
      <c r="A4673" s="302">
        <v>95643</v>
      </c>
      <c r="B4673" s="301" t="s">
        <v>5189</v>
      </c>
      <c r="C4673" s="301" t="s">
        <v>28</v>
      </c>
      <c r="D4673" s="303">
        <v>430.69</v>
      </c>
    </row>
    <row r="4674" spans="1:4">
      <c r="A4674" s="302">
        <v>95644</v>
      </c>
      <c r="B4674" s="301" t="s">
        <v>5190</v>
      </c>
      <c r="C4674" s="301" t="s">
        <v>28</v>
      </c>
      <c r="D4674" s="303">
        <v>160.19999999999999</v>
      </c>
    </row>
    <row r="4675" spans="1:4">
      <c r="A4675" s="302">
        <v>95645</v>
      </c>
      <c r="B4675" s="301" t="s">
        <v>5191</v>
      </c>
      <c r="C4675" s="301" t="s">
        <v>28</v>
      </c>
      <c r="D4675" s="303">
        <v>294.70999999999998</v>
      </c>
    </row>
    <row r="4676" spans="1:4">
      <c r="A4676" s="302">
        <v>95646</v>
      </c>
      <c r="B4676" s="301" t="s">
        <v>5192</v>
      </c>
      <c r="C4676" s="301" t="s">
        <v>28</v>
      </c>
      <c r="D4676" s="303">
        <v>439.04</v>
      </c>
    </row>
    <row r="4677" spans="1:4">
      <c r="A4677" s="302">
        <v>95647</v>
      </c>
      <c r="B4677" s="301" t="s">
        <v>5193</v>
      </c>
      <c r="C4677" s="301" t="s">
        <v>28</v>
      </c>
      <c r="D4677" s="303">
        <v>576.26</v>
      </c>
    </row>
    <row r="4678" spans="1:4">
      <c r="A4678" s="302">
        <v>95673</v>
      </c>
      <c r="B4678" s="301" t="s">
        <v>5194</v>
      </c>
      <c r="C4678" s="301" t="s">
        <v>28</v>
      </c>
      <c r="D4678" s="303">
        <v>102.61</v>
      </c>
    </row>
    <row r="4679" spans="1:4">
      <c r="A4679" s="302">
        <v>95674</v>
      </c>
      <c r="B4679" s="301" t="s">
        <v>5195</v>
      </c>
      <c r="C4679" s="301" t="s">
        <v>28</v>
      </c>
      <c r="D4679" s="303">
        <v>108.95</v>
      </c>
    </row>
    <row r="4680" spans="1:4">
      <c r="A4680" s="302">
        <v>95675</v>
      </c>
      <c r="B4680" s="301" t="s">
        <v>5196</v>
      </c>
      <c r="C4680" s="301" t="s">
        <v>28</v>
      </c>
      <c r="D4680" s="303">
        <v>133.11000000000001</v>
      </c>
    </row>
    <row r="4681" spans="1:4">
      <c r="A4681" s="302">
        <v>95676</v>
      </c>
      <c r="B4681" s="301" t="s">
        <v>5197</v>
      </c>
      <c r="C4681" s="301" t="s">
        <v>28</v>
      </c>
      <c r="D4681" s="303">
        <v>86.24</v>
      </c>
    </row>
    <row r="4682" spans="1:4">
      <c r="A4682" s="302">
        <v>97741</v>
      </c>
      <c r="B4682" s="301" t="s">
        <v>5198</v>
      </c>
      <c r="C4682" s="301" t="s">
        <v>28</v>
      </c>
      <c r="D4682" s="303">
        <v>123.68</v>
      </c>
    </row>
    <row r="4683" spans="1:4">
      <c r="A4683" s="302">
        <v>72285</v>
      </c>
      <c r="B4683" s="301" t="s">
        <v>5199</v>
      </c>
      <c r="C4683" s="301" t="s">
        <v>28</v>
      </c>
      <c r="D4683" s="303">
        <v>83.34</v>
      </c>
    </row>
    <row r="4684" spans="1:4">
      <c r="A4684" s="302">
        <v>90436</v>
      </c>
      <c r="B4684" s="301" t="s">
        <v>5200</v>
      </c>
      <c r="C4684" s="301" t="s">
        <v>28</v>
      </c>
      <c r="D4684" s="303">
        <v>11.01</v>
      </c>
    </row>
    <row r="4685" spans="1:4">
      <c r="A4685" s="302">
        <v>90437</v>
      </c>
      <c r="B4685" s="301" t="s">
        <v>5201</v>
      </c>
      <c r="C4685" s="301" t="s">
        <v>28</v>
      </c>
      <c r="D4685" s="303">
        <v>26.75</v>
      </c>
    </row>
    <row r="4686" spans="1:4">
      <c r="A4686" s="302">
        <v>90438</v>
      </c>
      <c r="B4686" s="301" t="s">
        <v>5202</v>
      </c>
      <c r="C4686" s="301" t="s">
        <v>28</v>
      </c>
      <c r="D4686" s="303">
        <v>38.33</v>
      </c>
    </row>
    <row r="4687" spans="1:4">
      <c r="A4687" s="302">
        <v>90439</v>
      </c>
      <c r="B4687" s="301" t="s">
        <v>5203</v>
      </c>
      <c r="C4687" s="301" t="s">
        <v>28</v>
      </c>
      <c r="D4687" s="303">
        <v>43.09</v>
      </c>
    </row>
    <row r="4688" spans="1:4">
      <c r="A4688" s="302">
        <v>90440</v>
      </c>
      <c r="B4688" s="301" t="s">
        <v>5204</v>
      </c>
      <c r="C4688" s="301" t="s">
        <v>28</v>
      </c>
      <c r="D4688" s="303">
        <v>69.02</v>
      </c>
    </row>
    <row r="4689" spans="1:4">
      <c r="A4689" s="302">
        <v>90441</v>
      </c>
      <c r="B4689" s="301" t="s">
        <v>5205</v>
      </c>
      <c r="C4689" s="301" t="s">
        <v>28</v>
      </c>
      <c r="D4689" s="303">
        <v>88.15</v>
      </c>
    </row>
    <row r="4690" spans="1:4">
      <c r="A4690" s="302">
        <v>90443</v>
      </c>
      <c r="B4690" s="301" t="s">
        <v>5206</v>
      </c>
      <c r="C4690" s="301" t="s">
        <v>35</v>
      </c>
      <c r="D4690" s="303">
        <v>10</v>
      </c>
    </row>
    <row r="4691" spans="1:4">
      <c r="A4691" s="302">
        <v>90444</v>
      </c>
      <c r="B4691" s="301" t="s">
        <v>5207</v>
      </c>
      <c r="C4691" s="301" t="s">
        <v>35</v>
      </c>
      <c r="D4691" s="303">
        <v>18.48</v>
      </c>
    </row>
    <row r="4692" spans="1:4">
      <c r="A4692" s="302">
        <v>90445</v>
      </c>
      <c r="B4692" s="301" t="s">
        <v>5208</v>
      </c>
      <c r="C4692" s="301" t="s">
        <v>35</v>
      </c>
      <c r="D4692" s="303">
        <v>19.73</v>
      </c>
    </row>
    <row r="4693" spans="1:4">
      <c r="A4693" s="302">
        <v>90446</v>
      </c>
      <c r="B4693" s="301" t="s">
        <v>5209</v>
      </c>
      <c r="C4693" s="301" t="s">
        <v>35</v>
      </c>
      <c r="D4693" s="303">
        <v>21.44</v>
      </c>
    </row>
    <row r="4694" spans="1:4">
      <c r="A4694" s="302">
        <v>90447</v>
      </c>
      <c r="B4694" s="301" t="s">
        <v>5210</v>
      </c>
      <c r="C4694" s="301" t="s">
        <v>35</v>
      </c>
      <c r="D4694" s="303">
        <v>4.96</v>
      </c>
    </row>
    <row r="4695" spans="1:4">
      <c r="A4695" s="302">
        <v>90451</v>
      </c>
      <c r="B4695" s="301" t="s">
        <v>5211</v>
      </c>
      <c r="C4695" s="301" t="s">
        <v>28</v>
      </c>
      <c r="D4695" s="303">
        <v>3.29</v>
      </c>
    </row>
    <row r="4696" spans="1:4">
      <c r="A4696" s="302">
        <v>90452</v>
      </c>
      <c r="B4696" s="301" t="s">
        <v>5212</v>
      </c>
      <c r="C4696" s="301" t="s">
        <v>28</v>
      </c>
      <c r="D4696" s="303">
        <v>13.4</v>
      </c>
    </row>
    <row r="4697" spans="1:4">
      <c r="A4697" s="302">
        <v>90453</v>
      </c>
      <c r="B4697" s="301" t="s">
        <v>5213</v>
      </c>
      <c r="C4697" s="301" t="s">
        <v>28</v>
      </c>
      <c r="D4697" s="303">
        <v>2.0299999999999998</v>
      </c>
    </row>
    <row r="4698" spans="1:4">
      <c r="A4698" s="302">
        <v>90454</v>
      </c>
      <c r="B4698" s="301" t="s">
        <v>5214</v>
      </c>
      <c r="C4698" s="301" t="s">
        <v>28</v>
      </c>
      <c r="D4698" s="303">
        <v>3.58</v>
      </c>
    </row>
    <row r="4699" spans="1:4">
      <c r="A4699" s="302">
        <v>90455</v>
      </c>
      <c r="B4699" s="301" t="s">
        <v>5215</v>
      </c>
      <c r="C4699" s="301" t="s">
        <v>28</v>
      </c>
      <c r="D4699" s="303">
        <v>4.78</v>
      </c>
    </row>
    <row r="4700" spans="1:4">
      <c r="A4700" s="302">
        <v>90456</v>
      </c>
      <c r="B4700" s="301" t="s">
        <v>5216</v>
      </c>
      <c r="C4700" s="301" t="s">
        <v>28</v>
      </c>
      <c r="D4700" s="303">
        <v>3.21</v>
      </c>
    </row>
    <row r="4701" spans="1:4">
      <c r="A4701" s="302">
        <v>90457</v>
      </c>
      <c r="B4701" s="301" t="s">
        <v>5217</v>
      </c>
      <c r="C4701" s="301" t="s">
        <v>28</v>
      </c>
      <c r="D4701" s="303">
        <v>7.32</v>
      </c>
    </row>
    <row r="4702" spans="1:4">
      <c r="A4702" s="302">
        <v>90458</v>
      </c>
      <c r="B4702" s="301" t="s">
        <v>5218</v>
      </c>
      <c r="C4702" s="301" t="s">
        <v>28</v>
      </c>
      <c r="D4702" s="303">
        <v>20.78</v>
      </c>
    </row>
    <row r="4703" spans="1:4">
      <c r="A4703" s="302">
        <v>90459</v>
      </c>
      <c r="B4703" s="301" t="s">
        <v>5219</v>
      </c>
      <c r="C4703" s="301" t="s">
        <v>28</v>
      </c>
      <c r="D4703" s="303">
        <v>29.31</v>
      </c>
    </row>
    <row r="4704" spans="1:4">
      <c r="A4704" s="302">
        <v>90460</v>
      </c>
      <c r="B4704" s="301" t="s">
        <v>5220</v>
      </c>
      <c r="C4704" s="301" t="s">
        <v>35</v>
      </c>
      <c r="D4704" s="303">
        <v>17.91</v>
      </c>
    </row>
    <row r="4705" spans="1:4">
      <c r="A4705" s="302">
        <v>90461</v>
      </c>
      <c r="B4705" s="301" t="s">
        <v>5221</v>
      </c>
      <c r="C4705" s="301" t="s">
        <v>35</v>
      </c>
      <c r="D4705" s="303">
        <v>10.039999999999999</v>
      </c>
    </row>
    <row r="4706" spans="1:4">
      <c r="A4706" s="302">
        <v>90462</v>
      </c>
      <c r="B4706" s="301" t="s">
        <v>5222</v>
      </c>
      <c r="C4706" s="301" t="s">
        <v>35</v>
      </c>
      <c r="D4706" s="303">
        <v>2.2000000000000002</v>
      </c>
    </row>
    <row r="4707" spans="1:4">
      <c r="A4707" s="302">
        <v>90463</v>
      </c>
      <c r="B4707" s="301" t="s">
        <v>5223</v>
      </c>
      <c r="C4707" s="301" t="s">
        <v>35</v>
      </c>
      <c r="D4707" s="303">
        <v>1.79</v>
      </c>
    </row>
    <row r="4708" spans="1:4">
      <c r="A4708" s="302">
        <v>90466</v>
      </c>
      <c r="B4708" s="301" t="s">
        <v>5224</v>
      </c>
      <c r="C4708" s="301" t="s">
        <v>35</v>
      </c>
      <c r="D4708" s="303">
        <v>9.93</v>
      </c>
    </row>
    <row r="4709" spans="1:4">
      <c r="A4709" s="302">
        <v>90467</v>
      </c>
      <c r="B4709" s="301" t="s">
        <v>5225</v>
      </c>
      <c r="C4709" s="301" t="s">
        <v>35</v>
      </c>
      <c r="D4709" s="303">
        <v>15.7</v>
      </c>
    </row>
    <row r="4710" spans="1:4">
      <c r="A4710" s="302">
        <v>90468</v>
      </c>
      <c r="B4710" s="301" t="s">
        <v>5226</v>
      </c>
      <c r="C4710" s="301" t="s">
        <v>35</v>
      </c>
      <c r="D4710" s="303">
        <v>4.32</v>
      </c>
    </row>
    <row r="4711" spans="1:4">
      <c r="A4711" s="302">
        <v>90469</v>
      </c>
      <c r="B4711" s="301" t="s">
        <v>5227</v>
      </c>
      <c r="C4711" s="301" t="s">
        <v>35</v>
      </c>
      <c r="D4711" s="303">
        <v>6.92</v>
      </c>
    </row>
    <row r="4712" spans="1:4">
      <c r="A4712" s="302">
        <v>90470</v>
      </c>
      <c r="B4712" s="301" t="s">
        <v>5228</v>
      </c>
      <c r="C4712" s="301" t="s">
        <v>35</v>
      </c>
      <c r="D4712" s="303">
        <v>9.5</v>
      </c>
    </row>
    <row r="4713" spans="1:4">
      <c r="A4713" s="302">
        <v>91166</v>
      </c>
      <c r="B4713" s="301" t="s">
        <v>5229</v>
      </c>
      <c r="C4713" s="301" t="s">
        <v>35</v>
      </c>
      <c r="D4713" s="303">
        <v>3.17</v>
      </c>
    </row>
    <row r="4714" spans="1:4">
      <c r="A4714" s="302">
        <v>91167</v>
      </c>
      <c r="B4714" s="301" t="s">
        <v>5230</v>
      </c>
      <c r="C4714" s="301" t="s">
        <v>35</v>
      </c>
      <c r="D4714" s="303">
        <v>9.25</v>
      </c>
    </row>
    <row r="4715" spans="1:4">
      <c r="A4715" s="302">
        <v>91168</v>
      </c>
      <c r="B4715" s="301" t="s">
        <v>5231</v>
      </c>
      <c r="C4715" s="301" t="s">
        <v>35</v>
      </c>
      <c r="D4715" s="303">
        <v>7.03</v>
      </c>
    </row>
    <row r="4716" spans="1:4">
      <c r="A4716" s="302">
        <v>91169</v>
      </c>
      <c r="B4716" s="301" t="s">
        <v>5232</v>
      </c>
      <c r="C4716" s="301" t="s">
        <v>35</v>
      </c>
      <c r="D4716" s="303">
        <v>8.31</v>
      </c>
    </row>
    <row r="4717" spans="1:4">
      <c r="A4717" s="302">
        <v>91170</v>
      </c>
      <c r="B4717" s="301" t="s">
        <v>5233</v>
      </c>
      <c r="C4717" s="301" t="s">
        <v>35</v>
      </c>
      <c r="D4717" s="303">
        <v>2.38</v>
      </c>
    </row>
    <row r="4718" spans="1:4">
      <c r="A4718" s="302">
        <v>91171</v>
      </c>
      <c r="B4718" s="301" t="s">
        <v>5234</v>
      </c>
      <c r="C4718" s="301" t="s">
        <v>35</v>
      </c>
      <c r="D4718" s="303">
        <v>2.99</v>
      </c>
    </row>
    <row r="4719" spans="1:4">
      <c r="A4719" s="302">
        <v>91172</v>
      </c>
      <c r="B4719" s="301" t="s">
        <v>5235</v>
      </c>
      <c r="C4719" s="301" t="s">
        <v>35</v>
      </c>
      <c r="D4719" s="303">
        <v>4.3899999999999997</v>
      </c>
    </row>
    <row r="4720" spans="1:4">
      <c r="A4720" s="302">
        <v>91173</v>
      </c>
      <c r="B4720" s="301" t="s">
        <v>5236</v>
      </c>
      <c r="C4720" s="301" t="s">
        <v>35</v>
      </c>
      <c r="D4720" s="303">
        <v>1.2</v>
      </c>
    </row>
    <row r="4721" spans="1:4">
      <c r="A4721" s="302">
        <v>91174</v>
      </c>
      <c r="B4721" s="301" t="s">
        <v>5237</v>
      </c>
      <c r="C4721" s="301" t="s">
        <v>35</v>
      </c>
      <c r="D4721" s="303">
        <v>2.37</v>
      </c>
    </row>
    <row r="4722" spans="1:4">
      <c r="A4722" s="302">
        <v>91175</v>
      </c>
      <c r="B4722" s="301" t="s">
        <v>5238</v>
      </c>
      <c r="C4722" s="301" t="s">
        <v>35</v>
      </c>
      <c r="D4722" s="303">
        <v>3.86</v>
      </c>
    </row>
    <row r="4723" spans="1:4">
      <c r="A4723" s="302">
        <v>91176</v>
      </c>
      <c r="B4723" s="301" t="s">
        <v>5239</v>
      </c>
      <c r="C4723" s="301" t="s">
        <v>35</v>
      </c>
      <c r="D4723" s="303">
        <v>29.57</v>
      </c>
    </row>
    <row r="4724" spans="1:4">
      <c r="A4724" s="302">
        <v>91177</v>
      </c>
      <c r="B4724" s="301" t="s">
        <v>5240</v>
      </c>
      <c r="C4724" s="301" t="s">
        <v>35</v>
      </c>
      <c r="D4724" s="303">
        <v>13.5</v>
      </c>
    </row>
    <row r="4725" spans="1:4">
      <c r="A4725" s="302">
        <v>91178</v>
      </c>
      <c r="B4725" s="301" t="s">
        <v>5241</v>
      </c>
      <c r="C4725" s="301" t="s">
        <v>35</v>
      </c>
      <c r="D4725" s="303">
        <v>14.05</v>
      </c>
    </row>
    <row r="4726" spans="1:4">
      <c r="A4726" s="302">
        <v>91179</v>
      </c>
      <c r="B4726" s="301" t="s">
        <v>5242</v>
      </c>
      <c r="C4726" s="301" t="s">
        <v>35</v>
      </c>
      <c r="D4726" s="303">
        <v>7.58</v>
      </c>
    </row>
    <row r="4727" spans="1:4">
      <c r="A4727" s="302">
        <v>91180</v>
      </c>
      <c r="B4727" s="301" t="s">
        <v>5243</v>
      </c>
      <c r="C4727" s="301" t="s">
        <v>35</v>
      </c>
      <c r="D4727" s="303">
        <v>6.3</v>
      </c>
    </row>
    <row r="4728" spans="1:4">
      <c r="A4728" s="302">
        <v>91181</v>
      </c>
      <c r="B4728" s="301" t="s">
        <v>5244</v>
      </c>
      <c r="C4728" s="301" t="s">
        <v>35</v>
      </c>
      <c r="D4728" s="303">
        <v>6.8</v>
      </c>
    </row>
    <row r="4729" spans="1:4">
      <c r="A4729" s="302">
        <v>91182</v>
      </c>
      <c r="B4729" s="301" t="s">
        <v>5245</v>
      </c>
      <c r="C4729" s="301" t="s">
        <v>35</v>
      </c>
      <c r="D4729" s="303">
        <v>21.02</v>
      </c>
    </row>
    <row r="4730" spans="1:4">
      <c r="A4730" s="302">
        <v>91183</v>
      </c>
      <c r="B4730" s="301" t="s">
        <v>5246</v>
      </c>
      <c r="C4730" s="301" t="s">
        <v>35</v>
      </c>
      <c r="D4730" s="303">
        <v>10.34</v>
      </c>
    </row>
    <row r="4731" spans="1:4">
      <c r="A4731" s="302">
        <v>91184</v>
      </c>
      <c r="B4731" s="301" t="s">
        <v>5247</v>
      </c>
      <c r="C4731" s="301" t="s">
        <v>35</v>
      </c>
      <c r="D4731" s="303">
        <v>9.65</v>
      </c>
    </row>
    <row r="4732" spans="1:4">
      <c r="A4732" s="302">
        <v>91185</v>
      </c>
      <c r="B4732" s="301" t="s">
        <v>5248</v>
      </c>
      <c r="C4732" s="301" t="s">
        <v>35</v>
      </c>
      <c r="D4732" s="303">
        <v>5.39</v>
      </c>
    </row>
    <row r="4733" spans="1:4">
      <c r="A4733" s="302">
        <v>91186</v>
      </c>
      <c r="B4733" s="301" t="s">
        <v>5249</v>
      </c>
      <c r="C4733" s="301" t="s">
        <v>35</v>
      </c>
      <c r="D4733" s="303">
        <v>4.41</v>
      </c>
    </row>
    <row r="4734" spans="1:4">
      <c r="A4734" s="302">
        <v>91187</v>
      </c>
      <c r="B4734" s="301" t="s">
        <v>5250</v>
      </c>
      <c r="C4734" s="301" t="s">
        <v>35</v>
      </c>
      <c r="D4734" s="303">
        <v>5.09</v>
      </c>
    </row>
    <row r="4735" spans="1:4">
      <c r="A4735" s="302">
        <v>91188</v>
      </c>
      <c r="B4735" s="301" t="s">
        <v>5251</v>
      </c>
      <c r="C4735" s="301" t="s">
        <v>28</v>
      </c>
      <c r="D4735" s="303">
        <v>5.27</v>
      </c>
    </row>
    <row r="4736" spans="1:4">
      <c r="A4736" s="302">
        <v>91189</v>
      </c>
      <c r="B4736" s="301" t="s">
        <v>5252</v>
      </c>
      <c r="C4736" s="301" t="s">
        <v>28</v>
      </c>
      <c r="D4736" s="303">
        <v>34.840000000000003</v>
      </c>
    </row>
    <row r="4737" spans="1:4">
      <c r="A4737" s="302">
        <v>91190</v>
      </c>
      <c r="B4737" s="301" t="s">
        <v>5253</v>
      </c>
      <c r="C4737" s="301" t="s">
        <v>28</v>
      </c>
      <c r="D4737" s="303">
        <v>3.84</v>
      </c>
    </row>
    <row r="4738" spans="1:4">
      <c r="A4738" s="302">
        <v>91191</v>
      </c>
      <c r="B4738" s="301" t="s">
        <v>5254</v>
      </c>
      <c r="C4738" s="301" t="s">
        <v>28</v>
      </c>
      <c r="D4738" s="303">
        <v>4.08</v>
      </c>
    </row>
    <row r="4739" spans="1:4">
      <c r="A4739" s="302">
        <v>91192</v>
      </c>
      <c r="B4739" s="301" t="s">
        <v>5255</v>
      </c>
      <c r="C4739" s="301" t="s">
        <v>28</v>
      </c>
      <c r="D4739" s="303">
        <v>4.5199999999999996</v>
      </c>
    </row>
    <row r="4740" spans="1:4">
      <c r="A4740" s="302">
        <v>91222</v>
      </c>
      <c r="B4740" s="301" t="s">
        <v>5256</v>
      </c>
      <c r="C4740" s="301" t="s">
        <v>35</v>
      </c>
      <c r="D4740" s="303">
        <v>10.77</v>
      </c>
    </row>
    <row r="4741" spans="1:4">
      <c r="A4741" s="302">
        <v>94480</v>
      </c>
      <c r="B4741" s="301" t="s">
        <v>5257</v>
      </c>
      <c r="C4741" s="301" t="s">
        <v>28</v>
      </c>
      <c r="D4741" s="304">
        <v>1672.6</v>
      </c>
    </row>
    <row r="4742" spans="1:4">
      <c r="A4742" s="302">
        <v>94481</v>
      </c>
      <c r="B4742" s="301" t="s">
        <v>5258</v>
      </c>
      <c r="C4742" s="301" t="s">
        <v>28</v>
      </c>
      <c r="D4742" s="304">
        <v>1199.9000000000001</v>
      </c>
    </row>
    <row r="4743" spans="1:4">
      <c r="A4743" s="302">
        <v>94482</v>
      </c>
      <c r="B4743" s="301" t="s">
        <v>5259</v>
      </c>
      <c r="C4743" s="301" t="s">
        <v>28</v>
      </c>
      <c r="D4743" s="303">
        <v>967.41</v>
      </c>
    </row>
    <row r="4744" spans="1:4">
      <c r="A4744" s="302">
        <v>94483</v>
      </c>
      <c r="B4744" s="301" t="s">
        <v>5260</v>
      </c>
      <c r="C4744" s="301" t="s">
        <v>28</v>
      </c>
      <c r="D4744" s="303">
        <v>824.01</v>
      </c>
    </row>
    <row r="4745" spans="1:4">
      <c r="A4745" s="302">
        <v>95541</v>
      </c>
      <c r="B4745" s="301" t="s">
        <v>5261</v>
      </c>
      <c r="C4745" s="301" t="s">
        <v>28</v>
      </c>
      <c r="D4745" s="303">
        <v>3.56</v>
      </c>
    </row>
    <row r="4746" spans="1:4">
      <c r="A4746" s="302">
        <v>95573</v>
      </c>
      <c r="B4746" s="301" t="s">
        <v>5262</v>
      </c>
      <c r="C4746" s="301" t="s">
        <v>28</v>
      </c>
      <c r="D4746" s="303">
        <v>17.98</v>
      </c>
    </row>
    <row r="4747" spans="1:4">
      <c r="A4747" s="302">
        <v>95574</v>
      </c>
      <c r="B4747" s="301" t="s">
        <v>5263</v>
      </c>
      <c r="C4747" s="301" t="s">
        <v>28</v>
      </c>
      <c r="D4747" s="303">
        <v>15.78</v>
      </c>
    </row>
    <row r="4748" spans="1:4">
      <c r="A4748" s="302">
        <v>96559</v>
      </c>
      <c r="B4748" s="301" t="s">
        <v>5264</v>
      </c>
      <c r="C4748" s="301" t="s">
        <v>117</v>
      </c>
      <c r="D4748" s="303">
        <v>50.52</v>
      </c>
    </row>
    <row r="4749" spans="1:4">
      <c r="A4749" s="302">
        <v>96560</v>
      </c>
      <c r="B4749" s="301" t="s">
        <v>5265</v>
      </c>
      <c r="C4749" s="301" t="s">
        <v>117</v>
      </c>
      <c r="D4749" s="303">
        <v>26.83</v>
      </c>
    </row>
    <row r="4750" spans="1:4">
      <c r="A4750" s="302">
        <v>96561</v>
      </c>
      <c r="B4750" s="301" t="s">
        <v>5266</v>
      </c>
      <c r="C4750" s="301" t="s">
        <v>117</v>
      </c>
      <c r="D4750" s="303">
        <v>16.97</v>
      </c>
    </row>
    <row r="4751" spans="1:4">
      <c r="A4751" s="302">
        <v>96562</v>
      </c>
      <c r="B4751" s="301" t="s">
        <v>5267</v>
      </c>
      <c r="C4751" s="301" t="s">
        <v>35</v>
      </c>
      <c r="D4751" s="303">
        <v>26.91</v>
      </c>
    </row>
    <row r="4752" spans="1:4">
      <c r="A4752" s="302">
        <v>96563</v>
      </c>
      <c r="B4752" s="301" t="s">
        <v>5268</v>
      </c>
      <c r="C4752" s="301" t="s">
        <v>35</v>
      </c>
      <c r="D4752" s="303">
        <v>29.67</v>
      </c>
    </row>
    <row r="4753" spans="1:4">
      <c r="A4753" s="301" t="s">
        <v>5269</v>
      </c>
      <c r="B4753" s="301" t="s">
        <v>5270</v>
      </c>
      <c r="C4753" s="301" t="s">
        <v>28</v>
      </c>
      <c r="D4753" s="303">
        <v>394.4</v>
      </c>
    </row>
    <row r="4754" spans="1:4">
      <c r="A4754" s="301" t="s">
        <v>5271</v>
      </c>
      <c r="B4754" s="301" t="s">
        <v>5272</v>
      </c>
      <c r="C4754" s="301" t="s">
        <v>28</v>
      </c>
      <c r="D4754" s="303">
        <v>512.72</v>
      </c>
    </row>
    <row r="4755" spans="1:4">
      <c r="A4755" s="301" t="s">
        <v>5273</v>
      </c>
      <c r="B4755" s="301" t="s">
        <v>5274</v>
      </c>
      <c r="C4755" s="301" t="s">
        <v>28</v>
      </c>
      <c r="D4755" s="303">
        <v>167.22</v>
      </c>
    </row>
    <row r="4756" spans="1:4">
      <c r="A4756" s="301" t="s">
        <v>5275</v>
      </c>
      <c r="B4756" s="301" t="s">
        <v>5276</v>
      </c>
      <c r="C4756" s="301" t="s">
        <v>28</v>
      </c>
      <c r="D4756" s="303">
        <v>267.56</v>
      </c>
    </row>
    <row r="4757" spans="1:4">
      <c r="A4757" s="301" t="s">
        <v>5277</v>
      </c>
      <c r="B4757" s="301" t="s">
        <v>5278</v>
      </c>
      <c r="C4757" s="301" t="s">
        <v>28</v>
      </c>
      <c r="D4757" s="303">
        <v>535.12</v>
      </c>
    </row>
    <row r="4758" spans="1:4">
      <c r="A4758" s="301" t="s">
        <v>5279</v>
      </c>
      <c r="B4758" s="301" t="s">
        <v>5280</v>
      </c>
      <c r="C4758" s="301" t="s">
        <v>28</v>
      </c>
      <c r="D4758" s="303">
        <v>802.68</v>
      </c>
    </row>
    <row r="4759" spans="1:4">
      <c r="A4759" s="301" t="s">
        <v>5281</v>
      </c>
      <c r="B4759" s="301" t="s">
        <v>5282</v>
      </c>
      <c r="C4759" s="301" t="s">
        <v>28</v>
      </c>
      <c r="D4759" s="304">
        <v>1025</v>
      </c>
    </row>
    <row r="4760" spans="1:4">
      <c r="A4760" s="301" t="s">
        <v>5283</v>
      </c>
      <c r="B4760" s="301" t="s">
        <v>5284</v>
      </c>
      <c r="C4760" s="301" t="s">
        <v>28</v>
      </c>
      <c r="D4760" s="304">
        <v>1394</v>
      </c>
    </row>
    <row r="4761" spans="1:4">
      <c r="A4761" s="301" t="s">
        <v>5285</v>
      </c>
      <c r="B4761" s="301" t="s">
        <v>5286</v>
      </c>
      <c r="C4761" s="301" t="s">
        <v>28</v>
      </c>
      <c r="D4761" s="304">
        <v>1558</v>
      </c>
    </row>
    <row r="4762" spans="1:4">
      <c r="A4762" s="301" t="s">
        <v>5287</v>
      </c>
      <c r="B4762" s="301" t="s">
        <v>5288</v>
      </c>
      <c r="C4762" s="301" t="s">
        <v>28</v>
      </c>
      <c r="D4762" s="303">
        <v>410</v>
      </c>
    </row>
    <row r="4763" spans="1:4">
      <c r="A4763" s="301" t="s">
        <v>5289</v>
      </c>
      <c r="B4763" s="301" t="s">
        <v>5290</v>
      </c>
      <c r="C4763" s="301" t="s">
        <v>28</v>
      </c>
      <c r="D4763" s="303">
        <v>533</v>
      </c>
    </row>
    <row r="4764" spans="1:4">
      <c r="A4764" s="301" t="s">
        <v>5291</v>
      </c>
      <c r="B4764" s="301" t="s">
        <v>5292</v>
      </c>
      <c r="C4764" s="301" t="s">
        <v>28</v>
      </c>
      <c r="D4764" s="303">
        <v>820</v>
      </c>
    </row>
    <row r="4765" spans="1:4">
      <c r="A4765" s="301" t="s">
        <v>5293</v>
      </c>
      <c r="B4765" s="301" t="s">
        <v>5294</v>
      </c>
      <c r="C4765" s="301" t="s">
        <v>28</v>
      </c>
      <c r="D4765" s="304">
        <v>1312</v>
      </c>
    </row>
    <row r="4766" spans="1:4">
      <c r="A4766" s="301" t="s">
        <v>5295</v>
      </c>
      <c r="B4766" s="301" t="s">
        <v>5296</v>
      </c>
      <c r="C4766" s="301" t="s">
        <v>28</v>
      </c>
      <c r="D4766" s="303">
        <v>167.22</v>
      </c>
    </row>
    <row r="4767" spans="1:4">
      <c r="A4767" s="301" t="s">
        <v>5297</v>
      </c>
      <c r="B4767" s="301" t="s">
        <v>5298</v>
      </c>
      <c r="C4767" s="301" t="s">
        <v>28</v>
      </c>
      <c r="D4767" s="303">
        <v>334.45</v>
      </c>
    </row>
    <row r="4768" spans="1:4">
      <c r="A4768" s="301" t="s">
        <v>5299</v>
      </c>
      <c r="B4768" s="301" t="s">
        <v>5300</v>
      </c>
      <c r="C4768" s="301" t="s">
        <v>28</v>
      </c>
      <c r="D4768" s="303">
        <v>668.9</v>
      </c>
    </row>
    <row r="4769" spans="1:4">
      <c r="A4769" s="302">
        <v>73612</v>
      </c>
      <c r="B4769" s="301" t="s">
        <v>12531</v>
      </c>
      <c r="C4769" s="301" t="s">
        <v>28</v>
      </c>
      <c r="D4769" s="303">
        <v>324.5</v>
      </c>
    </row>
    <row r="4770" spans="1:4">
      <c r="A4770" s="302">
        <v>73660</v>
      </c>
      <c r="B4770" s="301" t="s">
        <v>12532</v>
      </c>
      <c r="C4770" s="301" t="s">
        <v>117</v>
      </c>
      <c r="D4770" s="303">
        <v>67.94</v>
      </c>
    </row>
    <row r="4771" spans="1:4">
      <c r="A4771" s="302">
        <v>73693</v>
      </c>
      <c r="B4771" s="301" t="s">
        <v>12533</v>
      </c>
      <c r="C4771" s="301" t="s">
        <v>117</v>
      </c>
      <c r="D4771" s="303">
        <v>19.989999999999998</v>
      </c>
    </row>
    <row r="4772" spans="1:4">
      <c r="A4772" s="302">
        <v>73694</v>
      </c>
      <c r="B4772" s="301" t="s">
        <v>12534</v>
      </c>
      <c r="C4772" s="301" t="s">
        <v>28</v>
      </c>
      <c r="D4772" s="303">
        <v>132.08000000000001</v>
      </c>
    </row>
    <row r="4773" spans="1:4">
      <c r="A4773" s="302">
        <v>73695</v>
      </c>
      <c r="B4773" s="301" t="s">
        <v>12535</v>
      </c>
      <c r="C4773" s="301" t="s">
        <v>28</v>
      </c>
      <c r="D4773" s="303">
        <v>67.92</v>
      </c>
    </row>
    <row r="4774" spans="1:4">
      <c r="A4774" s="301" t="s">
        <v>12536</v>
      </c>
      <c r="B4774" s="301" t="s">
        <v>12537</v>
      </c>
      <c r="C4774" s="301" t="s">
        <v>28</v>
      </c>
      <c r="D4774" s="303">
        <v>324.5</v>
      </c>
    </row>
    <row r="4775" spans="1:4">
      <c r="A4775" s="301" t="s">
        <v>12538</v>
      </c>
      <c r="B4775" s="301" t="s">
        <v>12539</v>
      </c>
      <c r="C4775" s="301" t="s">
        <v>117</v>
      </c>
      <c r="D4775" s="303">
        <v>906.15</v>
      </c>
    </row>
    <row r="4776" spans="1:4">
      <c r="A4776" s="301" t="s">
        <v>12540</v>
      </c>
      <c r="B4776" s="301" t="s">
        <v>12541</v>
      </c>
      <c r="C4776" s="301" t="s">
        <v>60</v>
      </c>
      <c r="D4776" s="303">
        <v>75.010000000000005</v>
      </c>
    </row>
    <row r="4777" spans="1:4">
      <c r="A4777" s="301" t="s">
        <v>12542</v>
      </c>
      <c r="B4777" s="301" t="s">
        <v>12543</v>
      </c>
      <c r="C4777" s="301" t="s">
        <v>60</v>
      </c>
      <c r="D4777" s="303">
        <v>180.93</v>
      </c>
    </row>
    <row r="4778" spans="1:4">
      <c r="A4778" s="301" t="s">
        <v>12544</v>
      </c>
      <c r="B4778" s="301" t="s">
        <v>12545</v>
      </c>
      <c r="C4778" s="301" t="s">
        <v>60</v>
      </c>
      <c r="D4778" s="303">
        <v>75.010000000000005</v>
      </c>
    </row>
    <row r="4779" spans="1:4">
      <c r="A4779" s="301" t="s">
        <v>12546</v>
      </c>
      <c r="B4779" s="301" t="s">
        <v>12547</v>
      </c>
      <c r="C4779" s="301" t="s">
        <v>60</v>
      </c>
      <c r="D4779" s="303">
        <v>82.15</v>
      </c>
    </row>
    <row r="4780" spans="1:4">
      <c r="A4780" s="301" t="s">
        <v>12548</v>
      </c>
      <c r="B4780" s="301" t="s">
        <v>12549</v>
      </c>
      <c r="C4780" s="301" t="s">
        <v>60</v>
      </c>
      <c r="D4780" s="303">
        <v>75.010000000000005</v>
      </c>
    </row>
    <row r="4781" spans="1:4">
      <c r="A4781" s="301" t="s">
        <v>12550</v>
      </c>
      <c r="B4781" s="301" t="s">
        <v>12551</v>
      </c>
      <c r="C4781" s="301" t="s">
        <v>28</v>
      </c>
      <c r="D4781" s="303">
        <v>73.42</v>
      </c>
    </row>
    <row r="4782" spans="1:4">
      <c r="A4782" s="301" t="s">
        <v>12552</v>
      </c>
      <c r="B4782" s="301" t="s">
        <v>12553</v>
      </c>
      <c r="C4782" s="301" t="s">
        <v>28</v>
      </c>
      <c r="D4782" s="303">
        <v>71.540000000000006</v>
      </c>
    </row>
    <row r="4783" spans="1:4">
      <c r="A4783" s="301" t="s">
        <v>12554</v>
      </c>
      <c r="B4783" s="301" t="s">
        <v>12555</v>
      </c>
      <c r="C4783" s="301" t="s">
        <v>35</v>
      </c>
      <c r="D4783" s="303">
        <v>23.2</v>
      </c>
    </row>
    <row r="4784" spans="1:4">
      <c r="A4784" s="302">
        <v>83878</v>
      </c>
      <c r="B4784" s="301" t="s">
        <v>12556</v>
      </c>
      <c r="C4784" s="301" t="s">
        <v>28</v>
      </c>
      <c r="D4784" s="303">
        <v>35.49</v>
      </c>
    </row>
    <row r="4785" spans="1:4">
      <c r="A4785" s="302">
        <v>83879</v>
      </c>
      <c r="B4785" s="301" t="s">
        <v>12557</v>
      </c>
      <c r="C4785" s="301" t="s">
        <v>28</v>
      </c>
      <c r="D4785" s="303">
        <v>42.23</v>
      </c>
    </row>
    <row r="4786" spans="1:4">
      <c r="A4786" s="302">
        <v>73658</v>
      </c>
      <c r="B4786" s="301" t="s">
        <v>12558</v>
      </c>
      <c r="C4786" s="301" t="s">
        <v>28</v>
      </c>
      <c r="D4786" s="303">
        <v>527.47</v>
      </c>
    </row>
    <row r="4787" spans="1:4">
      <c r="A4787" s="302">
        <v>93350</v>
      </c>
      <c r="B4787" s="301" t="s">
        <v>5301</v>
      </c>
      <c r="C4787" s="301" t="s">
        <v>28</v>
      </c>
      <c r="D4787" s="303">
        <v>749.71</v>
      </c>
    </row>
    <row r="4788" spans="1:4">
      <c r="A4788" s="302">
        <v>93351</v>
      </c>
      <c r="B4788" s="301" t="s">
        <v>5302</v>
      </c>
      <c r="C4788" s="301" t="s">
        <v>28</v>
      </c>
      <c r="D4788" s="303">
        <v>611.76</v>
      </c>
    </row>
    <row r="4789" spans="1:4">
      <c r="A4789" s="302">
        <v>93352</v>
      </c>
      <c r="B4789" s="301" t="s">
        <v>5303</v>
      </c>
      <c r="C4789" s="301" t="s">
        <v>28</v>
      </c>
      <c r="D4789" s="303">
        <v>474.42</v>
      </c>
    </row>
    <row r="4790" spans="1:4">
      <c r="A4790" s="302">
        <v>93353</v>
      </c>
      <c r="B4790" s="301" t="s">
        <v>5304</v>
      </c>
      <c r="C4790" s="301" t="s">
        <v>28</v>
      </c>
      <c r="D4790" s="303">
        <v>340.87</v>
      </c>
    </row>
    <row r="4791" spans="1:4">
      <c r="A4791" s="302">
        <v>93354</v>
      </c>
      <c r="B4791" s="301" t="s">
        <v>5305</v>
      </c>
      <c r="C4791" s="301" t="s">
        <v>28</v>
      </c>
      <c r="D4791" s="303">
        <v>465.14</v>
      </c>
    </row>
    <row r="4792" spans="1:4">
      <c r="A4792" s="302">
        <v>93355</v>
      </c>
      <c r="B4792" s="301" t="s">
        <v>5306</v>
      </c>
      <c r="C4792" s="301" t="s">
        <v>28</v>
      </c>
      <c r="D4792" s="303">
        <v>387.42</v>
      </c>
    </row>
    <row r="4793" spans="1:4">
      <c r="A4793" s="302">
        <v>93356</v>
      </c>
      <c r="B4793" s="301" t="s">
        <v>5307</v>
      </c>
      <c r="C4793" s="301" t="s">
        <v>28</v>
      </c>
      <c r="D4793" s="303">
        <v>308.66000000000003</v>
      </c>
    </row>
    <row r="4794" spans="1:4">
      <c r="A4794" s="302">
        <v>93357</v>
      </c>
      <c r="B4794" s="301" t="s">
        <v>5308</v>
      </c>
      <c r="C4794" s="301" t="s">
        <v>28</v>
      </c>
      <c r="D4794" s="303">
        <v>232.01</v>
      </c>
    </row>
    <row r="4795" spans="1:4">
      <c r="A4795" s="302">
        <v>83335</v>
      </c>
      <c r="B4795" s="301" t="s">
        <v>12559</v>
      </c>
      <c r="C4795" s="301" t="s">
        <v>60</v>
      </c>
      <c r="D4795" s="303">
        <v>32.659999999999997</v>
      </c>
    </row>
    <row r="4796" spans="1:4">
      <c r="A4796" s="302">
        <v>88548</v>
      </c>
      <c r="B4796" s="301" t="s">
        <v>12560</v>
      </c>
      <c r="C4796" s="301" t="s">
        <v>60</v>
      </c>
      <c r="D4796" s="303">
        <v>26.27</v>
      </c>
    </row>
    <row r="4797" spans="1:4">
      <c r="A4797" s="301" t="s">
        <v>12561</v>
      </c>
      <c r="B4797" s="301" t="s">
        <v>12562</v>
      </c>
      <c r="C4797" s="301" t="s">
        <v>117</v>
      </c>
      <c r="D4797" s="303">
        <v>0.31</v>
      </c>
    </row>
    <row r="4798" spans="1:4">
      <c r="A4798" s="301" t="s">
        <v>5309</v>
      </c>
      <c r="B4798" s="301" t="s">
        <v>5310</v>
      </c>
      <c r="C4798" s="301" t="s">
        <v>60</v>
      </c>
      <c r="D4798" s="303">
        <v>2.56</v>
      </c>
    </row>
    <row r="4799" spans="1:4">
      <c r="A4799" s="301" t="s">
        <v>5311</v>
      </c>
      <c r="B4799" s="301" t="s">
        <v>5312</v>
      </c>
      <c r="C4799" s="301" t="s">
        <v>60</v>
      </c>
      <c r="D4799" s="303">
        <v>3.81</v>
      </c>
    </row>
    <row r="4800" spans="1:4">
      <c r="A4800" s="301" t="s">
        <v>5313</v>
      </c>
      <c r="B4800" s="301" t="s">
        <v>5314</v>
      </c>
      <c r="C4800" s="301" t="s">
        <v>60</v>
      </c>
      <c r="D4800" s="303">
        <v>1.39</v>
      </c>
    </row>
    <row r="4801" spans="1:4">
      <c r="A4801" s="301" t="s">
        <v>5315</v>
      </c>
      <c r="B4801" s="301" t="s">
        <v>5316</v>
      </c>
      <c r="C4801" s="301" t="s">
        <v>60</v>
      </c>
      <c r="D4801" s="303">
        <v>2.7</v>
      </c>
    </row>
    <row r="4802" spans="1:4">
      <c r="A4802" s="301" t="s">
        <v>5317</v>
      </c>
      <c r="B4802" s="301" t="s">
        <v>5318</v>
      </c>
      <c r="C4802" s="301" t="s">
        <v>60</v>
      </c>
      <c r="D4802" s="303">
        <v>1.34</v>
      </c>
    </row>
    <row r="4803" spans="1:4">
      <c r="A4803" s="302">
        <v>79480</v>
      </c>
      <c r="B4803" s="301" t="s">
        <v>5319</v>
      </c>
      <c r="C4803" s="301" t="s">
        <v>60</v>
      </c>
      <c r="D4803" s="303">
        <v>1.95</v>
      </c>
    </row>
    <row r="4804" spans="1:4">
      <c r="A4804" s="302">
        <v>83336</v>
      </c>
      <c r="B4804" s="301" t="s">
        <v>5320</v>
      </c>
      <c r="C4804" s="301" t="s">
        <v>60</v>
      </c>
      <c r="D4804" s="303">
        <v>3.88</v>
      </c>
    </row>
    <row r="4805" spans="1:4">
      <c r="A4805" s="302">
        <v>83338</v>
      </c>
      <c r="B4805" s="301" t="s">
        <v>5321</v>
      </c>
      <c r="C4805" s="301" t="s">
        <v>60</v>
      </c>
      <c r="D4805" s="303">
        <v>2.1</v>
      </c>
    </row>
    <row r="4806" spans="1:4">
      <c r="A4806" s="302">
        <v>89885</v>
      </c>
      <c r="B4806" s="301" t="s">
        <v>5322</v>
      </c>
      <c r="C4806" s="301" t="s">
        <v>60</v>
      </c>
      <c r="D4806" s="303">
        <v>7.04</v>
      </c>
    </row>
    <row r="4807" spans="1:4">
      <c r="A4807" s="302">
        <v>89886</v>
      </c>
      <c r="B4807" s="301" t="s">
        <v>5323</v>
      </c>
      <c r="C4807" s="301" t="s">
        <v>60</v>
      </c>
      <c r="D4807" s="303">
        <v>7.07</v>
      </c>
    </row>
    <row r="4808" spans="1:4">
      <c r="A4808" s="302">
        <v>89887</v>
      </c>
      <c r="B4808" s="301" t="s">
        <v>5324</v>
      </c>
      <c r="C4808" s="301" t="s">
        <v>60</v>
      </c>
      <c r="D4808" s="303">
        <v>7.31</v>
      </c>
    </row>
    <row r="4809" spans="1:4">
      <c r="A4809" s="302">
        <v>89888</v>
      </c>
      <c r="B4809" s="301" t="s">
        <v>5325</v>
      </c>
      <c r="C4809" s="301" t="s">
        <v>60</v>
      </c>
      <c r="D4809" s="303">
        <v>7.23</v>
      </c>
    </row>
    <row r="4810" spans="1:4">
      <c r="A4810" s="302">
        <v>89889</v>
      </c>
      <c r="B4810" s="301" t="s">
        <v>5326</v>
      </c>
      <c r="C4810" s="301" t="s">
        <v>60</v>
      </c>
      <c r="D4810" s="303">
        <v>7.51</v>
      </c>
    </row>
    <row r="4811" spans="1:4">
      <c r="A4811" s="302">
        <v>89890</v>
      </c>
      <c r="B4811" s="301" t="s">
        <v>5327</v>
      </c>
      <c r="C4811" s="301" t="s">
        <v>60</v>
      </c>
      <c r="D4811" s="303">
        <v>10.46</v>
      </c>
    </row>
    <row r="4812" spans="1:4">
      <c r="A4812" s="302">
        <v>89893</v>
      </c>
      <c r="B4812" s="301" t="s">
        <v>5328</v>
      </c>
      <c r="C4812" s="301" t="s">
        <v>60</v>
      </c>
      <c r="D4812" s="303">
        <v>12.89</v>
      </c>
    </row>
    <row r="4813" spans="1:4">
      <c r="A4813" s="302">
        <v>89894</v>
      </c>
      <c r="B4813" s="301" t="s">
        <v>5329</v>
      </c>
      <c r="C4813" s="301" t="s">
        <v>60</v>
      </c>
      <c r="D4813" s="303">
        <v>14.35</v>
      </c>
    </row>
    <row r="4814" spans="1:4">
      <c r="A4814" s="302">
        <v>89895</v>
      </c>
      <c r="B4814" s="301" t="s">
        <v>5330</v>
      </c>
      <c r="C4814" s="301" t="s">
        <v>60</v>
      </c>
      <c r="D4814" s="303">
        <v>17.45</v>
      </c>
    </row>
    <row r="4815" spans="1:4">
      <c r="A4815" s="302">
        <v>89903</v>
      </c>
      <c r="B4815" s="301" t="s">
        <v>5331</v>
      </c>
      <c r="C4815" s="301" t="s">
        <v>60</v>
      </c>
      <c r="D4815" s="303">
        <v>6.2</v>
      </c>
    </row>
    <row r="4816" spans="1:4">
      <c r="A4816" s="302">
        <v>89904</v>
      </c>
      <c r="B4816" s="301" t="s">
        <v>5332</v>
      </c>
      <c r="C4816" s="301" t="s">
        <v>60</v>
      </c>
      <c r="D4816" s="303">
        <v>6.23</v>
      </c>
    </row>
    <row r="4817" spans="1:4">
      <c r="A4817" s="302">
        <v>89905</v>
      </c>
      <c r="B4817" s="301" t="s">
        <v>5333</v>
      </c>
      <c r="C4817" s="301" t="s">
        <v>60</v>
      </c>
      <c r="D4817" s="303">
        <v>6.46</v>
      </c>
    </row>
    <row r="4818" spans="1:4">
      <c r="A4818" s="302">
        <v>89906</v>
      </c>
      <c r="B4818" s="301" t="s">
        <v>5334</v>
      </c>
      <c r="C4818" s="301" t="s">
        <v>60</v>
      </c>
      <c r="D4818" s="303">
        <v>6.38</v>
      </c>
    </row>
    <row r="4819" spans="1:4">
      <c r="A4819" s="302">
        <v>89907</v>
      </c>
      <c r="B4819" s="301" t="s">
        <v>5335</v>
      </c>
      <c r="C4819" s="301" t="s">
        <v>60</v>
      </c>
      <c r="D4819" s="303">
        <v>7.17</v>
      </c>
    </row>
    <row r="4820" spans="1:4">
      <c r="A4820" s="302">
        <v>89908</v>
      </c>
      <c r="B4820" s="301" t="s">
        <v>5336</v>
      </c>
      <c r="C4820" s="301" t="s">
        <v>60</v>
      </c>
      <c r="D4820" s="303">
        <v>9.83</v>
      </c>
    </row>
    <row r="4821" spans="1:4">
      <c r="A4821" s="302">
        <v>89911</v>
      </c>
      <c r="B4821" s="301" t="s">
        <v>5337</v>
      </c>
      <c r="C4821" s="301" t="s">
        <v>60</v>
      </c>
      <c r="D4821" s="303">
        <v>12</v>
      </c>
    </row>
    <row r="4822" spans="1:4">
      <c r="A4822" s="302">
        <v>89912</v>
      </c>
      <c r="B4822" s="301" t="s">
        <v>5338</v>
      </c>
      <c r="C4822" s="301" t="s">
        <v>60</v>
      </c>
      <c r="D4822" s="303">
        <v>12.8</v>
      </c>
    </row>
    <row r="4823" spans="1:4">
      <c r="A4823" s="302">
        <v>89913</v>
      </c>
      <c r="B4823" s="301" t="s">
        <v>5339</v>
      </c>
      <c r="C4823" s="301" t="s">
        <v>60</v>
      </c>
      <c r="D4823" s="303">
        <v>15.58</v>
      </c>
    </row>
    <row r="4824" spans="1:4">
      <c r="A4824" s="302">
        <v>89921</v>
      </c>
      <c r="B4824" s="301" t="s">
        <v>5340</v>
      </c>
      <c r="C4824" s="301" t="s">
        <v>60</v>
      </c>
      <c r="D4824" s="303">
        <v>5.73</v>
      </c>
    </row>
    <row r="4825" spans="1:4">
      <c r="A4825" s="302">
        <v>89922</v>
      </c>
      <c r="B4825" s="301" t="s">
        <v>5341</v>
      </c>
      <c r="C4825" s="301" t="s">
        <v>60</v>
      </c>
      <c r="D4825" s="303">
        <v>5.76</v>
      </c>
    </row>
    <row r="4826" spans="1:4">
      <c r="A4826" s="302">
        <v>89923</v>
      </c>
      <c r="B4826" s="301" t="s">
        <v>5342</v>
      </c>
      <c r="C4826" s="301" t="s">
        <v>60</v>
      </c>
      <c r="D4826" s="303">
        <v>6.01</v>
      </c>
    </row>
    <row r="4827" spans="1:4">
      <c r="A4827" s="302">
        <v>89924</v>
      </c>
      <c r="B4827" s="301" t="s">
        <v>5343</v>
      </c>
      <c r="C4827" s="301" t="s">
        <v>60</v>
      </c>
      <c r="D4827" s="303">
        <v>5.93</v>
      </c>
    </row>
    <row r="4828" spans="1:4">
      <c r="A4828" s="302">
        <v>89925</v>
      </c>
      <c r="B4828" s="301" t="s">
        <v>5344</v>
      </c>
      <c r="C4828" s="301" t="s">
        <v>60</v>
      </c>
      <c r="D4828" s="303">
        <v>6.2</v>
      </c>
    </row>
    <row r="4829" spans="1:4">
      <c r="A4829" s="302">
        <v>89926</v>
      </c>
      <c r="B4829" s="301" t="s">
        <v>5345</v>
      </c>
      <c r="C4829" s="301" t="s">
        <v>60</v>
      </c>
      <c r="D4829" s="303">
        <v>9.4</v>
      </c>
    </row>
    <row r="4830" spans="1:4">
      <c r="A4830" s="302">
        <v>89929</v>
      </c>
      <c r="B4830" s="301" t="s">
        <v>5346</v>
      </c>
      <c r="C4830" s="301" t="s">
        <v>60</v>
      </c>
      <c r="D4830" s="303">
        <v>12.09</v>
      </c>
    </row>
    <row r="4831" spans="1:4">
      <c r="A4831" s="302">
        <v>89930</v>
      </c>
      <c r="B4831" s="301" t="s">
        <v>5347</v>
      </c>
      <c r="C4831" s="301" t="s">
        <v>60</v>
      </c>
      <c r="D4831" s="303">
        <v>12.96</v>
      </c>
    </row>
    <row r="4832" spans="1:4">
      <c r="A4832" s="302">
        <v>89931</v>
      </c>
      <c r="B4832" s="301" t="s">
        <v>5348</v>
      </c>
      <c r="C4832" s="301" t="s">
        <v>60</v>
      </c>
      <c r="D4832" s="303">
        <v>16.32</v>
      </c>
    </row>
    <row r="4833" spans="1:4">
      <c r="A4833" s="302">
        <v>89939</v>
      </c>
      <c r="B4833" s="301" t="s">
        <v>5349</v>
      </c>
      <c r="C4833" s="301" t="s">
        <v>60</v>
      </c>
      <c r="D4833" s="303">
        <v>5.36</v>
      </c>
    </row>
    <row r="4834" spans="1:4">
      <c r="A4834" s="302">
        <v>89940</v>
      </c>
      <c r="B4834" s="301" t="s">
        <v>5350</v>
      </c>
      <c r="C4834" s="301" t="s">
        <v>60</v>
      </c>
      <c r="D4834" s="303">
        <v>5.38</v>
      </c>
    </row>
    <row r="4835" spans="1:4">
      <c r="A4835" s="302">
        <v>89941</v>
      </c>
      <c r="B4835" s="301" t="s">
        <v>5351</v>
      </c>
      <c r="C4835" s="301" t="s">
        <v>60</v>
      </c>
      <c r="D4835" s="303">
        <v>5.61</v>
      </c>
    </row>
    <row r="4836" spans="1:4">
      <c r="A4836" s="302">
        <v>89942</v>
      </c>
      <c r="B4836" s="301" t="s">
        <v>5352</v>
      </c>
      <c r="C4836" s="301" t="s">
        <v>60</v>
      </c>
      <c r="D4836" s="303">
        <v>5.54</v>
      </c>
    </row>
    <row r="4837" spans="1:4">
      <c r="A4837" s="302">
        <v>89943</v>
      </c>
      <c r="B4837" s="301" t="s">
        <v>5353</v>
      </c>
      <c r="C4837" s="301" t="s">
        <v>60</v>
      </c>
      <c r="D4837" s="303">
        <v>5.77</v>
      </c>
    </row>
    <row r="4838" spans="1:4">
      <c r="A4838" s="302">
        <v>89944</v>
      </c>
      <c r="B4838" s="301" t="s">
        <v>5354</v>
      </c>
      <c r="C4838" s="301" t="s">
        <v>60</v>
      </c>
      <c r="D4838" s="303">
        <v>8.6300000000000008</v>
      </c>
    </row>
    <row r="4839" spans="1:4">
      <c r="A4839" s="302">
        <v>89947</v>
      </c>
      <c r="B4839" s="301" t="s">
        <v>5355</v>
      </c>
      <c r="C4839" s="301" t="s">
        <v>60</v>
      </c>
      <c r="D4839" s="303">
        <v>10.65</v>
      </c>
    </row>
    <row r="4840" spans="1:4">
      <c r="A4840" s="302">
        <v>89948</v>
      </c>
      <c r="B4840" s="301" t="s">
        <v>5356</v>
      </c>
      <c r="C4840" s="301" t="s">
        <v>60</v>
      </c>
      <c r="D4840" s="303">
        <v>11.81</v>
      </c>
    </row>
    <row r="4841" spans="1:4">
      <c r="A4841" s="302">
        <v>89949</v>
      </c>
      <c r="B4841" s="301" t="s">
        <v>5357</v>
      </c>
      <c r="C4841" s="301" t="s">
        <v>60</v>
      </c>
      <c r="D4841" s="303">
        <v>14.43</v>
      </c>
    </row>
    <row r="4842" spans="1:4">
      <c r="A4842" s="302">
        <v>96520</v>
      </c>
      <c r="B4842" s="301" t="s">
        <v>5358</v>
      </c>
      <c r="C4842" s="301" t="s">
        <v>60</v>
      </c>
      <c r="D4842" s="303">
        <v>68.86</v>
      </c>
    </row>
    <row r="4843" spans="1:4">
      <c r="A4843" s="302">
        <v>96521</v>
      </c>
      <c r="B4843" s="301" t="s">
        <v>175</v>
      </c>
      <c r="C4843" s="301" t="s">
        <v>60</v>
      </c>
      <c r="D4843" s="303">
        <v>28.14</v>
      </c>
    </row>
    <row r="4844" spans="1:4">
      <c r="A4844" s="302">
        <v>96522</v>
      </c>
      <c r="B4844" s="301" t="s">
        <v>5359</v>
      </c>
      <c r="C4844" s="301" t="s">
        <v>60</v>
      </c>
      <c r="D4844" s="303">
        <v>112.74</v>
      </c>
    </row>
    <row r="4845" spans="1:4">
      <c r="A4845" s="302">
        <v>96523</v>
      </c>
      <c r="B4845" s="301" t="s">
        <v>5360</v>
      </c>
      <c r="C4845" s="301" t="s">
        <v>60</v>
      </c>
      <c r="D4845" s="303">
        <v>72.12</v>
      </c>
    </row>
    <row r="4846" spans="1:4">
      <c r="A4846" s="302">
        <v>96524</v>
      </c>
      <c r="B4846" s="301" t="s">
        <v>5361</v>
      </c>
      <c r="C4846" s="301" t="s">
        <v>60</v>
      </c>
      <c r="D4846" s="303">
        <v>129.47999999999999</v>
      </c>
    </row>
    <row r="4847" spans="1:4">
      <c r="A4847" s="302">
        <v>96525</v>
      </c>
      <c r="B4847" s="301" t="s">
        <v>176</v>
      </c>
      <c r="C4847" s="301" t="s">
        <v>60</v>
      </c>
      <c r="D4847" s="303">
        <v>25.41</v>
      </c>
    </row>
    <row r="4848" spans="1:4">
      <c r="A4848" s="302">
        <v>96526</v>
      </c>
      <c r="B4848" s="301" t="s">
        <v>5362</v>
      </c>
      <c r="C4848" s="301" t="s">
        <v>60</v>
      </c>
      <c r="D4848" s="303">
        <v>227.47</v>
      </c>
    </row>
    <row r="4849" spans="1:4">
      <c r="A4849" s="302">
        <v>96527</v>
      </c>
      <c r="B4849" s="301" t="s">
        <v>5363</v>
      </c>
      <c r="C4849" s="301" t="s">
        <v>60</v>
      </c>
      <c r="D4849" s="303">
        <v>94.73</v>
      </c>
    </row>
    <row r="4850" spans="1:4">
      <c r="A4850" s="302">
        <v>96528</v>
      </c>
      <c r="B4850" s="301" t="s">
        <v>5364</v>
      </c>
      <c r="C4850" s="301" t="s">
        <v>117</v>
      </c>
      <c r="D4850" s="303">
        <v>105.91</v>
      </c>
    </row>
    <row r="4851" spans="1:4">
      <c r="A4851" s="302">
        <v>98116</v>
      </c>
      <c r="B4851" s="301" t="s">
        <v>5365</v>
      </c>
      <c r="C4851" s="301" t="s">
        <v>60</v>
      </c>
      <c r="D4851" s="303">
        <v>10.94</v>
      </c>
    </row>
    <row r="4852" spans="1:4">
      <c r="A4852" s="302">
        <v>98117</v>
      </c>
      <c r="B4852" s="301" t="s">
        <v>5366</v>
      </c>
      <c r="C4852" s="301" t="s">
        <v>60</v>
      </c>
      <c r="D4852" s="303">
        <v>10.24</v>
      </c>
    </row>
    <row r="4853" spans="1:4">
      <c r="A4853" s="302">
        <v>98118</v>
      </c>
      <c r="B4853" s="301" t="s">
        <v>5367</v>
      </c>
      <c r="C4853" s="301" t="s">
        <v>60</v>
      </c>
      <c r="D4853" s="303">
        <v>10.27</v>
      </c>
    </row>
    <row r="4854" spans="1:4">
      <c r="A4854" s="302">
        <v>98119</v>
      </c>
      <c r="B4854" s="301" t="s">
        <v>5368</v>
      </c>
      <c r="C4854" s="301" t="s">
        <v>60</v>
      </c>
      <c r="D4854" s="303">
        <v>9.0399999999999991</v>
      </c>
    </row>
    <row r="4855" spans="1:4">
      <c r="A4855" s="302">
        <v>72915</v>
      </c>
      <c r="B4855" s="301" t="s">
        <v>5369</v>
      </c>
      <c r="C4855" s="301" t="s">
        <v>60</v>
      </c>
      <c r="D4855" s="303">
        <v>9.2100000000000009</v>
      </c>
    </row>
    <row r="4856" spans="1:4">
      <c r="A4856" s="302">
        <v>72917</v>
      </c>
      <c r="B4856" s="301" t="s">
        <v>5370</v>
      </c>
      <c r="C4856" s="301" t="s">
        <v>60</v>
      </c>
      <c r="D4856" s="303">
        <v>10.53</v>
      </c>
    </row>
    <row r="4857" spans="1:4">
      <c r="A4857" s="302">
        <v>72918</v>
      </c>
      <c r="B4857" s="301" t="s">
        <v>5371</v>
      </c>
      <c r="C4857" s="301" t="s">
        <v>60</v>
      </c>
      <c r="D4857" s="303">
        <v>12.29</v>
      </c>
    </row>
    <row r="4858" spans="1:4">
      <c r="A4858" s="301" t="s">
        <v>5372</v>
      </c>
      <c r="B4858" s="301" t="s">
        <v>5373</v>
      </c>
      <c r="C4858" s="301" t="s">
        <v>60</v>
      </c>
      <c r="D4858" s="303">
        <v>159.1</v>
      </c>
    </row>
    <row r="4859" spans="1:4">
      <c r="A4859" s="301" t="s">
        <v>5374</v>
      </c>
      <c r="B4859" s="301" t="s">
        <v>5375</v>
      </c>
      <c r="C4859" s="301" t="s">
        <v>60</v>
      </c>
      <c r="D4859" s="303">
        <v>238.65</v>
      </c>
    </row>
    <row r="4860" spans="1:4">
      <c r="A4860" s="302">
        <v>83343</v>
      </c>
      <c r="B4860" s="301" t="s">
        <v>5376</v>
      </c>
      <c r="C4860" s="301" t="s">
        <v>60</v>
      </c>
      <c r="D4860" s="303">
        <v>11.61</v>
      </c>
    </row>
    <row r="4861" spans="1:4">
      <c r="A4861" s="302">
        <v>90082</v>
      </c>
      <c r="B4861" s="301" t="s">
        <v>5377</v>
      </c>
      <c r="C4861" s="301" t="s">
        <v>60</v>
      </c>
      <c r="D4861" s="303">
        <v>7.15</v>
      </c>
    </row>
    <row r="4862" spans="1:4">
      <c r="A4862" s="302">
        <v>90084</v>
      </c>
      <c r="B4862" s="301" t="s">
        <v>5378</v>
      </c>
      <c r="C4862" s="301" t="s">
        <v>60</v>
      </c>
      <c r="D4862" s="303">
        <v>6.95</v>
      </c>
    </row>
    <row r="4863" spans="1:4">
      <c r="A4863" s="302">
        <v>90085</v>
      </c>
      <c r="B4863" s="301" t="s">
        <v>5379</v>
      </c>
      <c r="C4863" s="301" t="s">
        <v>60</v>
      </c>
      <c r="D4863" s="303">
        <v>6.53</v>
      </c>
    </row>
    <row r="4864" spans="1:4">
      <c r="A4864" s="302">
        <v>90086</v>
      </c>
      <c r="B4864" s="301" t="s">
        <v>5380</v>
      </c>
      <c r="C4864" s="301" t="s">
        <v>60</v>
      </c>
      <c r="D4864" s="303">
        <v>6.6</v>
      </c>
    </row>
    <row r="4865" spans="1:4">
      <c r="A4865" s="302">
        <v>90087</v>
      </c>
      <c r="B4865" s="301" t="s">
        <v>5381</v>
      </c>
      <c r="C4865" s="301" t="s">
        <v>60</v>
      </c>
      <c r="D4865" s="303">
        <v>5.71</v>
      </c>
    </row>
    <row r="4866" spans="1:4">
      <c r="A4866" s="302">
        <v>90088</v>
      </c>
      <c r="B4866" s="301" t="s">
        <v>5382</v>
      </c>
      <c r="C4866" s="301" t="s">
        <v>60</v>
      </c>
      <c r="D4866" s="303">
        <v>5.82</v>
      </c>
    </row>
    <row r="4867" spans="1:4">
      <c r="A4867" s="302">
        <v>90090</v>
      </c>
      <c r="B4867" s="301" t="s">
        <v>5383</v>
      </c>
      <c r="C4867" s="301" t="s">
        <v>60</v>
      </c>
      <c r="D4867" s="303">
        <v>5.59</v>
      </c>
    </row>
    <row r="4868" spans="1:4">
      <c r="A4868" s="302">
        <v>90091</v>
      </c>
      <c r="B4868" s="301" t="s">
        <v>5384</v>
      </c>
      <c r="C4868" s="301" t="s">
        <v>60</v>
      </c>
      <c r="D4868" s="303">
        <v>4.2699999999999996</v>
      </c>
    </row>
    <row r="4869" spans="1:4">
      <c r="A4869" s="302">
        <v>90092</v>
      </c>
      <c r="B4869" s="301" t="s">
        <v>5385</v>
      </c>
      <c r="C4869" s="301" t="s">
        <v>60</v>
      </c>
      <c r="D4869" s="303">
        <v>4.13</v>
      </c>
    </row>
    <row r="4870" spans="1:4">
      <c r="A4870" s="302">
        <v>90093</v>
      </c>
      <c r="B4870" s="301" t="s">
        <v>5386</v>
      </c>
      <c r="C4870" s="301" t="s">
        <v>60</v>
      </c>
      <c r="D4870" s="303">
        <v>3.89</v>
      </c>
    </row>
    <row r="4871" spans="1:4">
      <c r="A4871" s="302">
        <v>90094</v>
      </c>
      <c r="B4871" s="301" t="s">
        <v>5387</v>
      </c>
      <c r="C4871" s="301" t="s">
        <v>60</v>
      </c>
      <c r="D4871" s="303">
        <v>3.93</v>
      </c>
    </row>
    <row r="4872" spans="1:4">
      <c r="A4872" s="302">
        <v>90095</v>
      </c>
      <c r="B4872" s="301" t="s">
        <v>1135</v>
      </c>
      <c r="C4872" s="301" t="s">
        <v>60</v>
      </c>
      <c r="D4872" s="303">
        <v>3.4</v>
      </c>
    </row>
    <row r="4873" spans="1:4">
      <c r="A4873" s="302">
        <v>90096</v>
      </c>
      <c r="B4873" s="301" t="s">
        <v>5388</v>
      </c>
      <c r="C4873" s="301" t="s">
        <v>60</v>
      </c>
      <c r="D4873" s="303">
        <v>3.48</v>
      </c>
    </row>
    <row r="4874" spans="1:4">
      <c r="A4874" s="302">
        <v>90098</v>
      </c>
      <c r="B4874" s="301" t="s">
        <v>5389</v>
      </c>
      <c r="C4874" s="301" t="s">
        <v>60</v>
      </c>
      <c r="D4874" s="303">
        <v>3.33</v>
      </c>
    </row>
    <row r="4875" spans="1:4">
      <c r="A4875" s="302">
        <v>90099</v>
      </c>
      <c r="B4875" s="301" t="s">
        <v>5390</v>
      </c>
      <c r="C4875" s="301" t="s">
        <v>60</v>
      </c>
      <c r="D4875" s="303">
        <v>9.7200000000000006</v>
      </c>
    </row>
    <row r="4876" spans="1:4">
      <c r="A4876" s="302">
        <v>90100</v>
      </c>
      <c r="B4876" s="301" t="s">
        <v>5391</v>
      </c>
      <c r="C4876" s="301" t="s">
        <v>60</v>
      </c>
      <c r="D4876" s="303">
        <v>8.27</v>
      </c>
    </row>
    <row r="4877" spans="1:4">
      <c r="A4877" s="302">
        <v>90101</v>
      </c>
      <c r="B4877" s="301" t="s">
        <v>5392</v>
      </c>
      <c r="C4877" s="301" t="s">
        <v>60</v>
      </c>
      <c r="D4877" s="303">
        <v>8.17</v>
      </c>
    </row>
    <row r="4878" spans="1:4">
      <c r="A4878" s="302">
        <v>90102</v>
      </c>
      <c r="B4878" s="301" t="s">
        <v>5393</v>
      </c>
      <c r="C4878" s="301" t="s">
        <v>60</v>
      </c>
      <c r="D4878" s="303">
        <v>7.44</v>
      </c>
    </row>
    <row r="4879" spans="1:4">
      <c r="A4879" s="302">
        <v>90105</v>
      </c>
      <c r="B4879" s="301" t="s">
        <v>416</v>
      </c>
      <c r="C4879" s="301" t="s">
        <v>60</v>
      </c>
      <c r="D4879" s="303">
        <v>5.81</v>
      </c>
    </row>
    <row r="4880" spans="1:4">
      <c r="A4880" s="302">
        <v>90106</v>
      </c>
      <c r="B4880" s="301" t="s">
        <v>5394</v>
      </c>
      <c r="C4880" s="301" t="s">
        <v>60</v>
      </c>
      <c r="D4880" s="303">
        <v>4.93</v>
      </c>
    </row>
    <row r="4881" spans="1:4">
      <c r="A4881" s="302">
        <v>90107</v>
      </c>
      <c r="B4881" s="301" t="s">
        <v>5395</v>
      </c>
      <c r="C4881" s="301" t="s">
        <v>60</v>
      </c>
      <c r="D4881" s="303">
        <v>4.87</v>
      </c>
    </row>
    <row r="4882" spans="1:4">
      <c r="A4882" s="302">
        <v>90108</v>
      </c>
      <c r="B4882" s="301" t="s">
        <v>5396</v>
      </c>
      <c r="C4882" s="301" t="s">
        <v>60</v>
      </c>
      <c r="D4882" s="303">
        <v>4.43</v>
      </c>
    </row>
    <row r="4883" spans="1:4">
      <c r="A4883" s="302">
        <v>93358</v>
      </c>
      <c r="B4883" s="301" t="s">
        <v>5397</v>
      </c>
      <c r="C4883" s="301" t="s">
        <v>60</v>
      </c>
      <c r="D4883" s="303">
        <v>62.93</v>
      </c>
    </row>
    <row r="4884" spans="1:4">
      <c r="A4884" s="302">
        <v>94304</v>
      </c>
      <c r="B4884" s="301" t="s">
        <v>5398</v>
      </c>
      <c r="C4884" s="301" t="s">
        <v>60</v>
      </c>
      <c r="D4884" s="303">
        <v>23.9</v>
      </c>
    </row>
    <row r="4885" spans="1:4">
      <c r="A4885" s="302">
        <v>94305</v>
      </c>
      <c r="B4885" s="301" t="s">
        <v>5399</v>
      </c>
      <c r="C4885" s="301" t="s">
        <v>60</v>
      </c>
      <c r="D4885" s="303">
        <v>21.59</v>
      </c>
    </row>
    <row r="4886" spans="1:4">
      <c r="A4886" s="302">
        <v>94306</v>
      </c>
      <c r="B4886" s="301" t="s">
        <v>5400</v>
      </c>
      <c r="C4886" s="301" t="s">
        <v>60</v>
      </c>
      <c r="D4886" s="303">
        <v>18.64</v>
      </c>
    </row>
    <row r="4887" spans="1:4">
      <c r="A4887" s="302">
        <v>94307</v>
      </c>
      <c r="B4887" s="301" t="s">
        <v>5401</v>
      </c>
      <c r="C4887" s="301" t="s">
        <v>60</v>
      </c>
      <c r="D4887" s="303">
        <v>19.32</v>
      </c>
    </row>
    <row r="4888" spans="1:4">
      <c r="A4888" s="302">
        <v>94308</v>
      </c>
      <c r="B4888" s="301" t="s">
        <v>5402</v>
      </c>
      <c r="C4888" s="301" t="s">
        <v>60</v>
      </c>
      <c r="D4888" s="303">
        <v>17.54</v>
      </c>
    </row>
    <row r="4889" spans="1:4">
      <c r="A4889" s="302">
        <v>94309</v>
      </c>
      <c r="B4889" s="301" t="s">
        <v>5403</v>
      </c>
      <c r="C4889" s="301" t="s">
        <v>60</v>
      </c>
      <c r="D4889" s="303">
        <v>18.34</v>
      </c>
    </row>
    <row r="4890" spans="1:4">
      <c r="A4890" s="302">
        <v>94310</v>
      </c>
      <c r="B4890" s="301" t="s">
        <v>5404</v>
      </c>
      <c r="C4890" s="301" t="s">
        <v>60</v>
      </c>
      <c r="D4890" s="303">
        <v>16.96</v>
      </c>
    </row>
    <row r="4891" spans="1:4">
      <c r="A4891" s="302">
        <v>94315</v>
      </c>
      <c r="B4891" s="301" t="s">
        <v>5405</v>
      </c>
      <c r="C4891" s="301" t="s">
        <v>60</v>
      </c>
      <c r="D4891" s="303">
        <v>28.92</v>
      </c>
    </row>
    <row r="4892" spans="1:4">
      <c r="A4892" s="302">
        <v>94316</v>
      </c>
      <c r="B4892" s="301" t="s">
        <v>5406</v>
      </c>
      <c r="C4892" s="301" t="s">
        <v>60</v>
      </c>
      <c r="D4892" s="303">
        <v>23.43</v>
      </c>
    </row>
    <row r="4893" spans="1:4">
      <c r="A4893" s="302">
        <v>94317</v>
      </c>
      <c r="B4893" s="301" t="s">
        <v>5407</v>
      </c>
      <c r="C4893" s="301" t="s">
        <v>60</v>
      </c>
      <c r="D4893" s="303">
        <v>21.01</v>
      </c>
    </row>
    <row r="4894" spans="1:4">
      <c r="A4894" s="302">
        <v>94318</v>
      </c>
      <c r="B4894" s="301" t="s">
        <v>5408</v>
      </c>
      <c r="C4894" s="301" t="s">
        <v>60</v>
      </c>
      <c r="D4894" s="303">
        <v>17.89</v>
      </c>
    </row>
    <row r="4895" spans="1:4">
      <c r="A4895" s="302">
        <v>94319</v>
      </c>
      <c r="B4895" s="301" t="s">
        <v>915</v>
      </c>
      <c r="C4895" s="301" t="s">
        <v>60</v>
      </c>
      <c r="D4895" s="303">
        <v>33.15</v>
      </c>
    </row>
    <row r="4896" spans="1:4">
      <c r="A4896" s="302">
        <v>94327</v>
      </c>
      <c r="B4896" s="301" t="s">
        <v>5409</v>
      </c>
      <c r="C4896" s="301" t="s">
        <v>60</v>
      </c>
      <c r="D4896" s="303">
        <v>69.92</v>
      </c>
    </row>
    <row r="4897" spans="1:4">
      <c r="A4897" s="302">
        <v>94328</v>
      </c>
      <c r="B4897" s="301" t="s">
        <v>5410</v>
      </c>
      <c r="C4897" s="301" t="s">
        <v>60</v>
      </c>
      <c r="D4897" s="303">
        <v>67.61</v>
      </c>
    </row>
    <row r="4898" spans="1:4">
      <c r="A4898" s="302">
        <v>94329</v>
      </c>
      <c r="B4898" s="301" t="s">
        <v>5411</v>
      </c>
      <c r="C4898" s="301" t="s">
        <v>60</v>
      </c>
      <c r="D4898" s="303">
        <v>64.66</v>
      </c>
    </row>
    <row r="4899" spans="1:4">
      <c r="A4899" s="302">
        <v>94330</v>
      </c>
      <c r="B4899" s="301" t="s">
        <v>5412</v>
      </c>
      <c r="C4899" s="301" t="s">
        <v>60</v>
      </c>
      <c r="D4899" s="303">
        <v>65.34</v>
      </c>
    </row>
    <row r="4900" spans="1:4">
      <c r="A4900" s="302">
        <v>94331</v>
      </c>
      <c r="B4900" s="301" t="s">
        <v>5413</v>
      </c>
      <c r="C4900" s="301" t="s">
        <v>60</v>
      </c>
      <c r="D4900" s="303">
        <v>63.56</v>
      </c>
    </row>
    <row r="4901" spans="1:4">
      <c r="A4901" s="302">
        <v>94332</v>
      </c>
      <c r="B4901" s="301" t="s">
        <v>5414</v>
      </c>
      <c r="C4901" s="301" t="s">
        <v>60</v>
      </c>
      <c r="D4901" s="303">
        <v>64.36</v>
      </c>
    </row>
    <row r="4902" spans="1:4">
      <c r="A4902" s="302">
        <v>94333</v>
      </c>
      <c r="B4902" s="301" t="s">
        <v>5415</v>
      </c>
      <c r="C4902" s="301" t="s">
        <v>60</v>
      </c>
      <c r="D4902" s="303">
        <v>62.98</v>
      </c>
    </row>
    <row r="4903" spans="1:4">
      <c r="A4903" s="302">
        <v>94338</v>
      </c>
      <c r="B4903" s="301" t="s">
        <v>5416</v>
      </c>
      <c r="C4903" s="301" t="s">
        <v>60</v>
      </c>
      <c r="D4903" s="303">
        <v>74.94</v>
      </c>
    </row>
    <row r="4904" spans="1:4">
      <c r="A4904" s="302">
        <v>94339</v>
      </c>
      <c r="B4904" s="301" t="s">
        <v>5417</v>
      </c>
      <c r="C4904" s="301" t="s">
        <v>60</v>
      </c>
      <c r="D4904" s="303">
        <v>69.45</v>
      </c>
    </row>
    <row r="4905" spans="1:4">
      <c r="A4905" s="302">
        <v>94340</v>
      </c>
      <c r="B4905" s="301" t="s">
        <v>5418</v>
      </c>
      <c r="C4905" s="301" t="s">
        <v>60</v>
      </c>
      <c r="D4905" s="303">
        <v>67.03</v>
      </c>
    </row>
    <row r="4906" spans="1:4">
      <c r="A4906" s="302">
        <v>94341</v>
      </c>
      <c r="B4906" s="301" t="s">
        <v>5419</v>
      </c>
      <c r="C4906" s="301" t="s">
        <v>60</v>
      </c>
      <c r="D4906" s="303">
        <v>63.91</v>
      </c>
    </row>
    <row r="4907" spans="1:4">
      <c r="A4907" s="302">
        <v>94342</v>
      </c>
      <c r="B4907" s="301" t="s">
        <v>5420</v>
      </c>
      <c r="C4907" s="301" t="s">
        <v>60</v>
      </c>
      <c r="D4907" s="303">
        <v>79.17</v>
      </c>
    </row>
    <row r="4908" spans="1:4">
      <c r="A4908" s="302">
        <v>96385</v>
      </c>
      <c r="B4908" s="301" t="s">
        <v>12116</v>
      </c>
      <c r="C4908" s="301" t="s">
        <v>60</v>
      </c>
      <c r="D4908" s="303">
        <v>6.25</v>
      </c>
    </row>
    <row r="4909" spans="1:4">
      <c r="A4909" s="302">
        <v>96386</v>
      </c>
      <c r="B4909" s="301" t="s">
        <v>12117</v>
      </c>
      <c r="C4909" s="301" t="s">
        <v>60</v>
      </c>
      <c r="D4909" s="303">
        <v>4.45</v>
      </c>
    </row>
    <row r="4910" spans="1:4">
      <c r="A4910" s="302">
        <v>83346</v>
      </c>
      <c r="B4910" s="301" t="s">
        <v>12563</v>
      </c>
      <c r="C4910" s="301" t="s">
        <v>60</v>
      </c>
      <c r="D4910" s="303">
        <v>1</v>
      </c>
    </row>
    <row r="4911" spans="1:4">
      <c r="A4911" s="302">
        <v>93360</v>
      </c>
      <c r="B4911" s="301" t="s">
        <v>5421</v>
      </c>
      <c r="C4911" s="301" t="s">
        <v>60</v>
      </c>
      <c r="D4911" s="303">
        <v>13.1</v>
      </c>
    </row>
    <row r="4912" spans="1:4">
      <c r="A4912" s="302">
        <v>93361</v>
      </c>
      <c r="B4912" s="301" t="s">
        <v>5422</v>
      </c>
      <c r="C4912" s="301" t="s">
        <v>60</v>
      </c>
      <c r="D4912" s="303">
        <v>10.85</v>
      </c>
    </row>
    <row r="4913" spans="1:4">
      <c r="A4913" s="302">
        <v>93362</v>
      </c>
      <c r="B4913" s="301" t="s">
        <v>5423</v>
      </c>
      <c r="C4913" s="301" t="s">
        <v>60</v>
      </c>
      <c r="D4913" s="303">
        <v>7.87</v>
      </c>
    </row>
    <row r="4914" spans="1:4">
      <c r="A4914" s="302">
        <v>93363</v>
      </c>
      <c r="B4914" s="301" t="s">
        <v>5424</v>
      </c>
      <c r="C4914" s="301" t="s">
        <v>60</v>
      </c>
      <c r="D4914" s="303">
        <v>8.52</v>
      </c>
    </row>
    <row r="4915" spans="1:4">
      <c r="A4915" s="302">
        <v>93364</v>
      </c>
      <c r="B4915" s="301" t="s">
        <v>5425</v>
      </c>
      <c r="C4915" s="301" t="s">
        <v>60</v>
      </c>
      <c r="D4915" s="303">
        <v>6.73</v>
      </c>
    </row>
    <row r="4916" spans="1:4">
      <c r="A4916" s="302">
        <v>93365</v>
      </c>
      <c r="B4916" s="301" t="s">
        <v>5426</v>
      </c>
      <c r="C4916" s="301" t="s">
        <v>60</v>
      </c>
      <c r="D4916" s="303">
        <v>7.49</v>
      </c>
    </row>
    <row r="4917" spans="1:4">
      <c r="A4917" s="302">
        <v>93366</v>
      </c>
      <c r="B4917" s="301" t="s">
        <v>5427</v>
      </c>
      <c r="C4917" s="301" t="s">
        <v>60</v>
      </c>
      <c r="D4917" s="303">
        <v>6.17</v>
      </c>
    </row>
    <row r="4918" spans="1:4">
      <c r="A4918" s="302">
        <v>93367</v>
      </c>
      <c r="B4918" s="301" t="s">
        <v>5428</v>
      </c>
      <c r="C4918" s="301" t="s">
        <v>60</v>
      </c>
      <c r="D4918" s="303">
        <v>12.26</v>
      </c>
    </row>
    <row r="4919" spans="1:4">
      <c r="A4919" s="302">
        <v>93368</v>
      </c>
      <c r="B4919" s="301" t="s">
        <v>5429</v>
      </c>
      <c r="C4919" s="301" t="s">
        <v>60</v>
      </c>
      <c r="D4919" s="303">
        <v>9.9600000000000009</v>
      </c>
    </row>
    <row r="4920" spans="1:4">
      <c r="A4920" s="302">
        <v>93369</v>
      </c>
      <c r="B4920" s="301" t="s">
        <v>5430</v>
      </c>
      <c r="C4920" s="301" t="s">
        <v>60</v>
      </c>
      <c r="D4920" s="303">
        <v>7.01</v>
      </c>
    </row>
    <row r="4921" spans="1:4">
      <c r="A4921" s="302">
        <v>93370</v>
      </c>
      <c r="B4921" s="301" t="s">
        <v>5431</v>
      </c>
      <c r="C4921" s="301" t="s">
        <v>60</v>
      </c>
      <c r="D4921" s="303">
        <v>7.69</v>
      </c>
    </row>
    <row r="4922" spans="1:4">
      <c r="A4922" s="302">
        <v>93371</v>
      </c>
      <c r="B4922" s="301" t="s">
        <v>5432</v>
      </c>
      <c r="C4922" s="301" t="s">
        <v>60</v>
      </c>
      <c r="D4922" s="303">
        <v>5.91</v>
      </c>
    </row>
    <row r="4923" spans="1:4">
      <c r="A4923" s="302">
        <v>93372</v>
      </c>
      <c r="B4923" s="301" t="s">
        <v>5433</v>
      </c>
      <c r="C4923" s="301" t="s">
        <v>60</v>
      </c>
      <c r="D4923" s="303">
        <v>6.71</v>
      </c>
    </row>
    <row r="4924" spans="1:4">
      <c r="A4924" s="302">
        <v>93373</v>
      </c>
      <c r="B4924" s="301" t="s">
        <v>5434</v>
      </c>
      <c r="C4924" s="301" t="s">
        <v>60</v>
      </c>
      <c r="D4924" s="303">
        <v>5.34</v>
      </c>
    </row>
    <row r="4925" spans="1:4">
      <c r="A4925" s="302">
        <v>93374</v>
      </c>
      <c r="B4925" s="301" t="s">
        <v>5435</v>
      </c>
      <c r="C4925" s="301" t="s">
        <v>60</v>
      </c>
      <c r="D4925" s="303">
        <v>15.8</v>
      </c>
    </row>
    <row r="4926" spans="1:4">
      <c r="A4926" s="302">
        <v>93375</v>
      </c>
      <c r="B4926" s="301" t="s">
        <v>5436</v>
      </c>
      <c r="C4926" s="301" t="s">
        <v>60</v>
      </c>
      <c r="D4926" s="303">
        <v>12.17</v>
      </c>
    </row>
    <row r="4927" spans="1:4">
      <c r="A4927" s="302">
        <v>93376</v>
      </c>
      <c r="B4927" s="301" t="s">
        <v>5437</v>
      </c>
      <c r="C4927" s="301" t="s">
        <v>60</v>
      </c>
      <c r="D4927" s="303">
        <v>9.9600000000000009</v>
      </c>
    </row>
    <row r="4928" spans="1:4">
      <c r="A4928" s="302">
        <v>93377</v>
      </c>
      <c r="B4928" s="301" t="s">
        <v>5438</v>
      </c>
      <c r="C4928" s="301" t="s">
        <v>60</v>
      </c>
      <c r="D4928" s="303">
        <v>6.68</v>
      </c>
    </row>
    <row r="4929" spans="1:4">
      <c r="A4929" s="302">
        <v>93378</v>
      </c>
      <c r="B4929" s="301" t="s">
        <v>5439</v>
      </c>
      <c r="C4929" s="301" t="s">
        <v>60</v>
      </c>
      <c r="D4929" s="303">
        <v>14.79</v>
      </c>
    </row>
    <row r="4930" spans="1:4">
      <c r="A4930" s="302">
        <v>93379</v>
      </c>
      <c r="B4930" s="301" t="s">
        <v>5440</v>
      </c>
      <c r="C4930" s="301" t="s">
        <v>60</v>
      </c>
      <c r="D4930" s="303">
        <v>11.4</v>
      </c>
    </row>
    <row r="4931" spans="1:4">
      <c r="A4931" s="302">
        <v>93380</v>
      </c>
      <c r="B4931" s="301" t="s">
        <v>5441</v>
      </c>
      <c r="C4931" s="301" t="s">
        <v>60</v>
      </c>
      <c r="D4931" s="303">
        <v>9.3699999999999992</v>
      </c>
    </row>
    <row r="4932" spans="1:4">
      <c r="A4932" s="302">
        <v>93381</v>
      </c>
      <c r="B4932" s="301" t="s">
        <v>5442</v>
      </c>
      <c r="C4932" s="301" t="s">
        <v>60</v>
      </c>
      <c r="D4932" s="303">
        <v>6.26</v>
      </c>
    </row>
    <row r="4933" spans="1:4">
      <c r="A4933" s="302">
        <v>93382</v>
      </c>
      <c r="B4933" s="301" t="s">
        <v>178</v>
      </c>
      <c r="C4933" s="301" t="s">
        <v>60</v>
      </c>
      <c r="D4933" s="303">
        <v>21.52</v>
      </c>
    </row>
    <row r="4934" spans="1:4">
      <c r="A4934" s="302">
        <v>96995</v>
      </c>
      <c r="B4934" s="301" t="s">
        <v>5443</v>
      </c>
      <c r="C4934" s="301" t="s">
        <v>60</v>
      </c>
      <c r="D4934" s="303">
        <v>38.159999999999997</v>
      </c>
    </row>
    <row r="4935" spans="1:4">
      <c r="A4935" s="302">
        <v>72838</v>
      </c>
      <c r="B4935" s="301" t="s">
        <v>5444</v>
      </c>
      <c r="C4935" s="301" t="s">
        <v>5445</v>
      </c>
      <c r="D4935" s="303">
        <v>0.8</v>
      </c>
    </row>
    <row r="4936" spans="1:4">
      <c r="A4936" s="302">
        <v>72839</v>
      </c>
      <c r="B4936" s="301" t="s">
        <v>5446</v>
      </c>
      <c r="C4936" s="301" t="s">
        <v>5445</v>
      </c>
      <c r="D4936" s="303">
        <v>0.64</v>
      </c>
    </row>
    <row r="4937" spans="1:4">
      <c r="A4937" s="302">
        <v>72840</v>
      </c>
      <c r="B4937" s="301" t="s">
        <v>5447</v>
      </c>
      <c r="C4937" s="301" t="s">
        <v>5445</v>
      </c>
      <c r="D4937" s="303">
        <v>0.53</v>
      </c>
    </row>
    <row r="4938" spans="1:4">
      <c r="A4938" s="302">
        <v>72844</v>
      </c>
      <c r="B4938" s="301" t="s">
        <v>5448</v>
      </c>
      <c r="C4938" s="301" t="s">
        <v>5449</v>
      </c>
      <c r="D4938" s="303">
        <v>0.56999999999999995</v>
      </c>
    </row>
    <row r="4939" spans="1:4">
      <c r="A4939" s="302">
        <v>72845</v>
      </c>
      <c r="B4939" s="301" t="s">
        <v>5450</v>
      </c>
      <c r="C4939" s="301" t="s">
        <v>5449</v>
      </c>
      <c r="D4939" s="303">
        <v>3.45</v>
      </c>
    </row>
    <row r="4940" spans="1:4">
      <c r="A4940" s="302">
        <v>72846</v>
      </c>
      <c r="B4940" s="301" t="s">
        <v>5451</v>
      </c>
      <c r="C4940" s="301" t="s">
        <v>5449</v>
      </c>
      <c r="D4940" s="303">
        <v>2.84</v>
      </c>
    </row>
    <row r="4941" spans="1:4">
      <c r="A4941" s="302">
        <v>72847</v>
      </c>
      <c r="B4941" s="301" t="s">
        <v>5452</v>
      </c>
      <c r="C4941" s="301" t="s">
        <v>5449</v>
      </c>
      <c r="D4941" s="303">
        <v>6.14</v>
      </c>
    </row>
    <row r="4942" spans="1:4">
      <c r="A4942" s="302">
        <v>72848</v>
      </c>
      <c r="B4942" s="301" t="s">
        <v>5453</v>
      </c>
      <c r="C4942" s="301" t="s">
        <v>5449</v>
      </c>
      <c r="D4942" s="303">
        <v>1.53</v>
      </c>
    </row>
    <row r="4943" spans="1:4">
      <c r="A4943" s="302">
        <v>72849</v>
      </c>
      <c r="B4943" s="301" t="s">
        <v>5454</v>
      </c>
      <c r="C4943" s="301" t="s">
        <v>5449</v>
      </c>
      <c r="D4943" s="303">
        <v>1.96</v>
      </c>
    </row>
    <row r="4944" spans="1:4">
      <c r="A4944" s="302">
        <v>72850</v>
      </c>
      <c r="B4944" s="301" t="s">
        <v>5455</v>
      </c>
      <c r="C4944" s="301" t="s">
        <v>5449</v>
      </c>
      <c r="D4944" s="303">
        <v>10.08</v>
      </c>
    </row>
    <row r="4945" spans="1:4">
      <c r="A4945" s="302">
        <v>72882</v>
      </c>
      <c r="B4945" s="301" t="s">
        <v>5444</v>
      </c>
      <c r="C4945" s="301" t="s">
        <v>171</v>
      </c>
      <c r="D4945" s="303">
        <v>1.19</v>
      </c>
    </row>
    <row r="4946" spans="1:4">
      <c r="A4946" s="302">
        <v>72883</v>
      </c>
      <c r="B4946" s="301" t="s">
        <v>5446</v>
      </c>
      <c r="C4946" s="301" t="s">
        <v>171</v>
      </c>
      <c r="D4946" s="303">
        <v>0.95</v>
      </c>
    </row>
    <row r="4947" spans="1:4">
      <c r="A4947" s="302">
        <v>72884</v>
      </c>
      <c r="B4947" s="301" t="s">
        <v>5447</v>
      </c>
      <c r="C4947" s="301" t="s">
        <v>171</v>
      </c>
      <c r="D4947" s="303">
        <v>0.8</v>
      </c>
    </row>
    <row r="4948" spans="1:4">
      <c r="A4948" s="302">
        <v>72888</v>
      </c>
      <c r="B4948" s="301" t="s">
        <v>5448</v>
      </c>
      <c r="C4948" s="301" t="s">
        <v>60</v>
      </c>
      <c r="D4948" s="303">
        <v>0.85</v>
      </c>
    </row>
    <row r="4949" spans="1:4">
      <c r="A4949" s="302">
        <v>72890</v>
      </c>
      <c r="B4949" s="301" t="s">
        <v>5456</v>
      </c>
      <c r="C4949" s="301" t="s">
        <v>60</v>
      </c>
      <c r="D4949" s="303">
        <v>5.18</v>
      </c>
    </row>
    <row r="4950" spans="1:4">
      <c r="A4950" s="302">
        <v>72891</v>
      </c>
      <c r="B4950" s="301" t="s">
        <v>5457</v>
      </c>
      <c r="C4950" s="301" t="s">
        <v>60</v>
      </c>
      <c r="D4950" s="303">
        <v>4.2699999999999996</v>
      </c>
    </row>
    <row r="4951" spans="1:4">
      <c r="A4951" s="302">
        <v>72892</v>
      </c>
      <c r="B4951" s="301" t="s">
        <v>5458</v>
      </c>
      <c r="C4951" s="301" t="s">
        <v>60</v>
      </c>
      <c r="D4951" s="303">
        <v>9.2100000000000009</v>
      </c>
    </row>
    <row r="4952" spans="1:4">
      <c r="A4952" s="302">
        <v>72893</v>
      </c>
      <c r="B4952" s="301" t="s">
        <v>5459</v>
      </c>
      <c r="C4952" s="301" t="s">
        <v>60</v>
      </c>
      <c r="D4952" s="303">
        <v>2.29</v>
      </c>
    </row>
    <row r="4953" spans="1:4">
      <c r="A4953" s="302">
        <v>72894</v>
      </c>
      <c r="B4953" s="301" t="s">
        <v>5460</v>
      </c>
      <c r="C4953" s="301" t="s">
        <v>60</v>
      </c>
      <c r="D4953" s="303">
        <v>2.94</v>
      </c>
    </row>
    <row r="4954" spans="1:4">
      <c r="A4954" s="302">
        <v>72895</v>
      </c>
      <c r="B4954" s="301" t="s">
        <v>5461</v>
      </c>
      <c r="C4954" s="301" t="s">
        <v>60</v>
      </c>
      <c r="D4954" s="303">
        <v>15.53</v>
      </c>
    </row>
    <row r="4955" spans="1:4">
      <c r="A4955" s="302">
        <v>72897</v>
      </c>
      <c r="B4955" s="301" t="s">
        <v>1136</v>
      </c>
      <c r="C4955" s="301" t="s">
        <v>60</v>
      </c>
      <c r="D4955" s="303">
        <v>18.78</v>
      </c>
    </row>
    <row r="4956" spans="1:4">
      <c r="A4956" s="302">
        <v>72898</v>
      </c>
      <c r="B4956" s="301" t="s">
        <v>170</v>
      </c>
      <c r="C4956" s="301" t="s">
        <v>60</v>
      </c>
      <c r="D4956" s="303">
        <v>3.28</v>
      </c>
    </row>
    <row r="4957" spans="1:4">
      <c r="A4957" s="302">
        <v>72899</v>
      </c>
      <c r="B4957" s="301" t="s">
        <v>5462</v>
      </c>
      <c r="C4957" s="301" t="s">
        <v>60</v>
      </c>
      <c r="D4957" s="303">
        <v>4.01</v>
      </c>
    </row>
    <row r="4958" spans="1:4">
      <c r="A4958" s="302">
        <v>72900</v>
      </c>
      <c r="B4958" s="301" t="s">
        <v>5463</v>
      </c>
      <c r="C4958" s="301" t="s">
        <v>60</v>
      </c>
      <c r="D4958" s="303">
        <v>4.42</v>
      </c>
    </row>
    <row r="4959" spans="1:4">
      <c r="A4959" s="301" t="s">
        <v>5464</v>
      </c>
      <c r="B4959" s="301" t="s">
        <v>5465</v>
      </c>
      <c r="C4959" s="301" t="s">
        <v>60</v>
      </c>
      <c r="D4959" s="303">
        <v>1.43</v>
      </c>
    </row>
    <row r="4960" spans="1:4">
      <c r="A4960" s="302">
        <v>83356</v>
      </c>
      <c r="B4960" s="301" t="s">
        <v>5466</v>
      </c>
      <c r="C4960" s="301" t="s">
        <v>171</v>
      </c>
      <c r="D4960" s="303">
        <v>0.71</v>
      </c>
    </row>
    <row r="4961" spans="1:4">
      <c r="A4961" s="302">
        <v>83358</v>
      </c>
      <c r="B4961" s="301" t="s">
        <v>5467</v>
      </c>
      <c r="C4961" s="301" t="s">
        <v>171</v>
      </c>
      <c r="D4961" s="303">
        <v>1.48</v>
      </c>
    </row>
    <row r="4962" spans="1:4">
      <c r="A4962" s="302">
        <v>95303</v>
      </c>
      <c r="B4962" s="301" t="s">
        <v>5468</v>
      </c>
      <c r="C4962" s="301" t="s">
        <v>171</v>
      </c>
      <c r="D4962" s="303">
        <v>0.91</v>
      </c>
    </row>
    <row r="4963" spans="1:4">
      <c r="A4963" s="302">
        <v>97912</v>
      </c>
      <c r="B4963" s="301" t="s">
        <v>5469</v>
      </c>
      <c r="C4963" s="301" t="s">
        <v>171</v>
      </c>
      <c r="D4963" s="303">
        <v>1.65</v>
      </c>
    </row>
    <row r="4964" spans="1:4">
      <c r="A4964" s="302">
        <v>97913</v>
      </c>
      <c r="B4964" s="301" t="s">
        <v>5470</v>
      </c>
      <c r="C4964" s="301" t="s">
        <v>171</v>
      </c>
      <c r="D4964" s="303">
        <v>1.27</v>
      </c>
    </row>
    <row r="4965" spans="1:4">
      <c r="A4965" s="302">
        <v>97914</v>
      </c>
      <c r="B4965" s="301" t="s">
        <v>5471</v>
      </c>
      <c r="C4965" s="301" t="s">
        <v>171</v>
      </c>
      <c r="D4965" s="303">
        <v>1.19</v>
      </c>
    </row>
    <row r="4966" spans="1:4">
      <c r="A4966" s="302">
        <v>97915</v>
      </c>
      <c r="B4966" s="301" t="s">
        <v>5472</v>
      </c>
      <c r="C4966" s="301" t="s">
        <v>171</v>
      </c>
      <c r="D4966" s="303">
        <v>0.84</v>
      </c>
    </row>
    <row r="4967" spans="1:4">
      <c r="A4967" s="302">
        <v>97916</v>
      </c>
      <c r="B4967" s="301" t="s">
        <v>5473</v>
      </c>
      <c r="C4967" s="301" t="s">
        <v>5445</v>
      </c>
      <c r="D4967" s="303">
        <v>1.1000000000000001</v>
      </c>
    </row>
    <row r="4968" spans="1:4">
      <c r="A4968" s="302">
        <v>97917</v>
      </c>
      <c r="B4968" s="301" t="s">
        <v>5474</v>
      </c>
      <c r="C4968" s="301" t="s">
        <v>5445</v>
      </c>
      <c r="D4968" s="303">
        <v>0.84</v>
      </c>
    </row>
    <row r="4969" spans="1:4">
      <c r="A4969" s="302">
        <v>97918</v>
      </c>
      <c r="B4969" s="301" t="s">
        <v>5475</v>
      </c>
      <c r="C4969" s="301" t="s">
        <v>5445</v>
      </c>
      <c r="D4969" s="303">
        <v>0.79</v>
      </c>
    </row>
    <row r="4970" spans="1:4">
      <c r="A4970" s="302">
        <v>97919</v>
      </c>
      <c r="B4970" s="301" t="s">
        <v>5476</v>
      </c>
      <c r="C4970" s="301" t="s">
        <v>5445</v>
      </c>
      <c r="D4970" s="303">
        <v>0.56000000000000005</v>
      </c>
    </row>
    <row r="4971" spans="1:4">
      <c r="A4971" s="302">
        <v>94097</v>
      </c>
      <c r="B4971" s="301" t="s">
        <v>63</v>
      </c>
      <c r="C4971" s="301" t="s">
        <v>117</v>
      </c>
      <c r="D4971" s="303">
        <v>4.6399999999999997</v>
      </c>
    </row>
    <row r="4972" spans="1:4">
      <c r="A4972" s="302">
        <v>94098</v>
      </c>
      <c r="B4972" s="301" t="s">
        <v>5477</v>
      </c>
      <c r="C4972" s="301" t="s">
        <v>117</v>
      </c>
      <c r="D4972" s="303">
        <v>5.29</v>
      </c>
    </row>
    <row r="4973" spans="1:4">
      <c r="A4973" s="302">
        <v>94099</v>
      </c>
      <c r="B4973" s="301" t="s">
        <v>1137</v>
      </c>
      <c r="C4973" s="301" t="s">
        <v>117</v>
      </c>
      <c r="D4973" s="303">
        <v>2.34</v>
      </c>
    </row>
    <row r="4974" spans="1:4">
      <c r="A4974" s="302">
        <v>94100</v>
      </c>
      <c r="B4974" s="301" t="s">
        <v>5478</v>
      </c>
      <c r="C4974" s="301" t="s">
        <v>117</v>
      </c>
      <c r="D4974" s="303">
        <v>2.98</v>
      </c>
    </row>
    <row r="4975" spans="1:4">
      <c r="A4975" s="302">
        <v>94102</v>
      </c>
      <c r="B4975" s="301" t="s">
        <v>5479</v>
      </c>
      <c r="C4975" s="301" t="s">
        <v>60</v>
      </c>
      <c r="D4975" s="303">
        <v>161.38999999999999</v>
      </c>
    </row>
    <row r="4976" spans="1:4">
      <c r="A4976" s="302">
        <v>94103</v>
      </c>
      <c r="B4976" s="301" t="s">
        <v>310</v>
      </c>
      <c r="C4976" s="301" t="s">
        <v>60</v>
      </c>
      <c r="D4976" s="303">
        <v>226.02</v>
      </c>
    </row>
    <row r="4977" spans="1:4">
      <c r="A4977" s="302">
        <v>94104</v>
      </c>
      <c r="B4977" s="301" t="s">
        <v>5480</v>
      </c>
      <c r="C4977" s="301" t="s">
        <v>60</v>
      </c>
      <c r="D4977" s="303">
        <v>165.08</v>
      </c>
    </row>
    <row r="4978" spans="1:4">
      <c r="A4978" s="302">
        <v>94105</v>
      </c>
      <c r="B4978" s="301" t="s">
        <v>5481</v>
      </c>
      <c r="C4978" s="301" t="s">
        <v>60</v>
      </c>
      <c r="D4978" s="303">
        <v>229.74</v>
      </c>
    </row>
    <row r="4979" spans="1:4">
      <c r="A4979" s="302">
        <v>94106</v>
      </c>
      <c r="B4979" s="301" t="s">
        <v>5482</v>
      </c>
      <c r="C4979" s="301" t="s">
        <v>60</v>
      </c>
      <c r="D4979" s="303">
        <v>142.91999999999999</v>
      </c>
    </row>
    <row r="4980" spans="1:4">
      <c r="A4980" s="302">
        <v>94107</v>
      </c>
      <c r="B4980" s="301" t="s">
        <v>914</v>
      </c>
      <c r="C4980" s="301" t="s">
        <v>60</v>
      </c>
      <c r="D4980" s="303">
        <v>207.56</v>
      </c>
    </row>
    <row r="4981" spans="1:4">
      <c r="A4981" s="302">
        <v>94108</v>
      </c>
      <c r="B4981" s="301" t="s">
        <v>5483</v>
      </c>
      <c r="C4981" s="301" t="s">
        <v>60</v>
      </c>
      <c r="D4981" s="303">
        <v>146.62</v>
      </c>
    </row>
    <row r="4982" spans="1:4">
      <c r="A4982" s="302">
        <v>94110</v>
      </c>
      <c r="B4982" s="301" t="s">
        <v>916</v>
      </c>
      <c r="C4982" s="301" t="s">
        <v>60</v>
      </c>
      <c r="D4982" s="303">
        <v>211.24</v>
      </c>
    </row>
    <row r="4983" spans="1:4">
      <c r="A4983" s="302">
        <v>94111</v>
      </c>
      <c r="B4983" s="301" t="s">
        <v>5484</v>
      </c>
      <c r="C4983" s="301" t="s">
        <v>60</v>
      </c>
      <c r="D4983" s="303">
        <v>131.88</v>
      </c>
    </row>
    <row r="4984" spans="1:4">
      <c r="A4984" s="302">
        <v>94112</v>
      </c>
      <c r="B4984" s="301" t="s">
        <v>5485</v>
      </c>
      <c r="C4984" s="301" t="s">
        <v>60</v>
      </c>
      <c r="D4984" s="303">
        <v>189.64</v>
      </c>
    </row>
    <row r="4985" spans="1:4">
      <c r="A4985" s="302">
        <v>94113</v>
      </c>
      <c r="B4985" s="301" t="s">
        <v>5486</v>
      </c>
      <c r="C4985" s="301" t="s">
        <v>60</v>
      </c>
      <c r="D4985" s="303">
        <v>137.41</v>
      </c>
    </row>
    <row r="4986" spans="1:4">
      <c r="A4986" s="302">
        <v>94114</v>
      </c>
      <c r="B4986" s="301" t="s">
        <v>5487</v>
      </c>
      <c r="C4986" s="301" t="s">
        <v>60</v>
      </c>
      <c r="D4986" s="303">
        <v>195.89</v>
      </c>
    </row>
    <row r="4987" spans="1:4">
      <c r="A4987" s="302">
        <v>94115</v>
      </c>
      <c r="B4987" s="301" t="s">
        <v>5488</v>
      </c>
      <c r="C4987" s="301" t="s">
        <v>60</v>
      </c>
      <c r="D4987" s="303">
        <v>105.93</v>
      </c>
    </row>
    <row r="4988" spans="1:4">
      <c r="A4988" s="302">
        <v>94116</v>
      </c>
      <c r="B4988" s="301" t="s">
        <v>5489</v>
      </c>
      <c r="C4988" s="301" t="s">
        <v>60</v>
      </c>
      <c r="D4988" s="303">
        <v>159.93</v>
      </c>
    </row>
    <row r="4989" spans="1:4">
      <c r="A4989" s="302">
        <v>94117</v>
      </c>
      <c r="B4989" s="301" t="s">
        <v>5490</v>
      </c>
      <c r="C4989" s="301" t="s">
        <v>60</v>
      </c>
      <c r="D4989" s="303">
        <v>111.09</v>
      </c>
    </row>
    <row r="4990" spans="1:4">
      <c r="A4990" s="302">
        <v>94118</v>
      </c>
      <c r="B4990" s="301" t="s">
        <v>5491</v>
      </c>
      <c r="C4990" s="301" t="s">
        <v>60</v>
      </c>
      <c r="D4990" s="303">
        <v>165.99</v>
      </c>
    </row>
    <row r="4991" spans="1:4">
      <c r="A4991" s="302">
        <v>6514</v>
      </c>
      <c r="B4991" s="301" t="s">
        <v>12564</v>
      </c>
      <c r="C4991" s="301" t="s">
        <v>60</v>
      </c>
      <c r="D4991" s="303">
        <v>123.46</v>
      </c>
    </row>
    <row r="4992" spans="1:4">
      <c r="A4992" s="302">
        <v>88549</v>
      </c>
      <c r="B4992" s="301" t="s">
        <v>12565</v>
      </c>
      <c r="C4992" s="301" t="s">
        <v>60</v>
      </c>
      <c r="D4992" s="303">
        <v>99.91</v>
      </c>
    </row>
    <row r="4993" spans="1:4">
      <c r="A4993" s="301" t="s">
        <v>5492</v>
      </c>
      <c r="B4993" s="301" t="s">
        <v>12566</v>
      </c>
      <c r="C4993" s="301" t="s">
        <v>60</v>
      </c>
      <c r="D4993" s="303">
        <v>4.9400000000000004</v>
      </c>
    </row>
    <row r="4994" spans="1:4">
      <c r="A4994" s="302">
        <v>95606</v>
      </c>
      <c r="B4994" s="301" t="s">
        <v>5493</v>
      </c>
      <c r="C4994" s="301" t="s">
        <v>60</v>
      </c>
      <c r="D4994" s="303">
        <v>1.34</v>
      </c>
    </row>
    <row r="4995" spans="1:4">
      <c r="A4995" s="302">
        <v>72131</v>
      </c>
      <c r="B4995" s="301" t="s">
        <v>5494</v>
      </c>
      <c r="C4995" s="301" t="s">
        <v>117</v>
      </c>
      <c r="D4995" s="303">
        <v>125.19</v>
      </c>
    </row>
    <row r="4996" spans="1:4">
      <c r="A4996" s="302">
        <v>72132</v>
      </c>
      <c r="B4996" s="301" t="s">
        <v>119</v>
      </c>
      <c r="C4996" s="301" t="s">
        <v>117</v>
      </c>
      <c r="D4996" s="303">
        <v>64.89</v>
      </c>
    </row>
    <row r="4997" spans="1:4">
      <c r="A4997" s="302">
        <v>72133</v>
      </c>
      <c r="B4997" s="301" t="s">
        <v>5495</v>
      </c>
      <c r="C4997" s="301" t="s">
        <v>117</v>
      </c>
      <c r="D4997" s="303">
        <v>219.96</v>
      </c>
    </row>
    <row r="4998" spans="1:4">
      <c r="A4998" s="302">
        <v>87471</v>
      </c>
      <c r="B4998" s="301" t="s">
        <v>5496</v>
      </c>
      <c r="C4998" s="301" t="s">
        <v>117</v>
      </c>
      <c r="D4998" s="303">
        <v>40.96</v>
      </c>
    </row>
    <row r="4999" spans="1:4">
      <c r="A4999" s="302">
        <v>87472</v>
      </c>
      <c r="B4999" s="301" t="s">
        <v>5497</v>
      </c>
      <c r="C4999" s="301" t="s">
        <v>117</v>
      </c>
      <c r="D4999" s="303">
        <v>42.06</v>
      </c>
    </row>
    <row r="5000" spans="1:4">
      <c r="A5000" s="302">
        <v>87473</v>
      </c>
      <c r="B5000" s="301" t="s">
        <v>5498</v>
      </c>
      <c r="C5000" s="301" t="s">
        <v>117</v>
      </c>
      <c r="D5000" s="303">
        <v>56.52</v>
      </c>
    </row>
    <row r="5001" spans="1:4">
      <c r="A5001" s="302">
        <v>87474</v>
      </c>
      <c r="B5001" s="301" t="s">
        <v>5499</v>
      </c>
      <c r="C5001" s="301" t="s">
        <v>117</v>
      </c>
      <c r="D5001" s="303">
        <v>57.76</v>
      </c>
    </row>
    <row r="5002" spans="1:4">
      <c r="A5002" s="302">
        <v>87475</v>
      </c>
      <c r="B5002" s="301" t="s">
        <v>5500</v>
      </c>
      <c r="C5002" s="301" t="s">
        <v>117</v>
      </c>
      <c r="D5002" s="303">
        <v>67.91</v>
      </c>
    </row>
    <row r="5003" spans="1:4">
      <c r="A5003" s="302">
        <v>87476</v>
      </c>
      <c r="B5003" s="301" t="s">
        <v>5501</v>
      </c>
      <c r="C5003" s="301" t="s">
        <v>117</v>
      </c>
      <c r="D5003" s="303">
        <v>69.37</v>
      </c>
    </row>
    <row r="5004" spans="1:4">
      <c r="A5004" s="302">
        <v>87477</v>
      </c>
      <c r="B5004" s="301" t="s">
        <v>5502</v>
      </c>
      <c r="C5004" s="301" t="s">
        <v>117</v>
      </c>
      <c r="D5004" s="303">
        <v>37.15</v>
      </c>
    </row>
    <row r="5005" spans="1:4">
      <c r="A5005" s="302">
        <v>87478</v>
      </c>
      <c r="B5005" s="301" t="s">
        <v>5503</v>
      </c>
      <c r="C5005" s="301" t="s">
        <v>117</v>
      </c>
      <c r="D5005" s="303">
        <v>38.25</v>
      </c>
    </row>
    <row r="5006" spans="1:4">
      <c r="A5006" s="302">
        <v>87479</v>
      </c>
      <c r="B5006" s="301" t="s">
        <v>5504</v>
      </c>
      <c r="C5006" s="301" t="s">
        <v>117</v>
      </c>
      <c r="D5006" s="303">
        <v>52.22</v>
      </c>
    </row>
    <row r="5007" spans="1:4">
      <c r="A5007" s="302">
        <v>87480</v>
      </c>
      <c r="B5007" s="301" t="s">
        <v>5505</v>
      </c>
      <c r="C5007" s="301" t="s">
        <v>117</v>
      </c>
      <c r="D5007" s="303">
        <v>53.46</v>
      </c>
    </row>
    <row r="5008" spans="1:4">
      <c r="A5008" s="302">
        <v>87481</v>
      </c>
      <c r="B5008" s="301" t="s">
        <v>5506</v>
      </c>
      <c r="C5008" s="301" t="s">
        <v>117</v>
      </c>
      <c r="D5008" s="303">
        <v>62.98</v>
      </c>
    </row>
    <row r="5009" spans="1:4">
      <c r="A5009" s="302">
        <v>87482</v>
      </c>
      <c r="B5009" s="301" t="s">
        <v>5507</v>
      </c>
      <c r="C5009" s="301" t="s">
        <v>117</v>
      </c>
      <c r="D5009" s="303">
        <v>64.44</v>
      </c>
    </row>
    <row r="5010" spans="1:4">
      <c r="A5010" s="302">
        <v>87483</v>
      </c>
      <c r="B5010" s="301" t="s">
        <v>5508</v>
      </c>
      <c r="C5010" s="301" t="s">
        <v>117</v>
      </c>
      <c r="D5010" s="303">
        <v>46.87</v>
      </c>
    </row>
    <row r="5011" spans="1:4">
      <c r="A5011" s="302">
        <v>87484</v>
      </c>
      <c r="B5011" s="301" t="s">
        <v>5509</v>
      </c>
      <c r="C5011" s="301" t="s">
        <v>117</v>
      </c>
      <c r="D5011" s="303">
        <v>47.97</v>
      </c>
    </row>
    <row r="5012" spans="1:4">
      <c r="A5012" s="302">
        <v>87485</v>
      </c>
      <c r="B5012" s="301" t="s">
        <v>5510</v>
      </c>
      <c r="C5012" s="301" t="s">
        <v>117</v>
      </c>
      <c r="D5012" s="303">
        <v>62.56</v>
      </c>
    </row>
    <row r="5013" spans="1:4">
      <c r="A5013" s="302">
        <v>87487</v>
      </c>
      <c r="B5013" s="301" t="s">
        <v>5511</v>
      </c>
      <c r="C5013" s="301" t="s">
        <v>117</v>
      </c>
      <c r="D5013" s="303">
        <v>73.77</v>
      </c>
    </row>
    <row r="5014" spans="1:4">
      <c r="A5014" s="302">
        <v>87488</v>
      </c>
      <c r="B5014" s="301" t="s">
        <v>5512</v>
      </c>
      <c r="C5014" s="301" t="s">
        <v>117</v>
      </c>
      <c r="D5014" s="303">
        <v>75.23</v>
      </c>
    </row>
    <row r="5015" spans="1:4">
      <c r="A5015" s="302">
        <v>87489</v>
      </c>
      <c r="B5015" s="301" t="s">
        <v>5513</v>
      </c>
      <c r="C5015" s="301" t="s">
        <v>117</v>
      </c>
      <c r="D5015" s="303">
        <v>40.57</v>
      </c>
    </row>
    <row r="5016" spans="1:4">
      <c r="A5016" s="302">
        <v>87490</v>
      </c>
      <c r="B5016" s="301" t="s">
        <v>5514</v>
      </c>
      <c r="C5016" s="301" t="s">
        <v>117</v>
      </c>
      <c r="D5016" s="303">
        <v>41.67</v>
      </c>
    </row>
    <row r="5017" spans="1:4">
      <c r="A5017" s="302">
        <v>87491</v>
      </c>
      <c r="B5017" s="301" t="s">
        <v>5515</v>
      </c>
      <c r="C5017" s="301" t="s">
        <v>117</v>
      </c>
      <c r="D5017" s="303">
        <v>55.77</v>
      </c>
    </row>
    <row r="5018" spans="1:4">
      <c r="A5018" s="302">
        <v>87492</v>
      </c>
      <c r="B5018" s="301" t="s">
        <v>5516</v>
      </c>
      <c r="C5018" s="301" t="s">
        <v>117</v>
      </c>
      <c r="D5018" s="303">
        <v>57.01</v>
      </c>
    </row>
    <row r="5019" spans="1:4">
      <c r="A5019" s="302">
        <v>87493</v>
      </c>
      <c r="B5019" s="301" t="s">
        <v>5517</v>
      </c>
      <c r="C5019" s="301" t="s">
        <v>117</v>
      </c>
      <c r="D5019" s="303">
        <v>66.62</v>
      </c>
    </row>
    <row r="5020" spans="1:4">
      <c r="A5020" s="302">
        <v>87494</v>
      </c>
      <c r="B5020" s="301" t="s">
        <v>5518</v>
      </c>
      <c r="C5020" s="301" t="s">
        <v>117</v>
      </c>
      <c r="D5020" s="303">
        <v>68.08</v>
      </c>
    </row>
    <row r="5021" spans="1:4">
      <c r="A5021" s="302">
        <v>87495</v>
      </c>
      <c r="B5021" s="301" t="s">
        <v>894</v>
      </c>
      <c r="C5021" s="301" t="s">
        <v>117</v>
      </c>
      <c r="D5021" s="303">
        <v>68.48</v>
      </c>
    </row>
    <row r="5022" spans="1:4">
      <c r="A5022" s="302">
        <v>87496</v>
      </c>
      <c r="B5022" s="301" t="s">
        <v>5519</v>
      </c>
      <c r="C5022" s="301" t="s">
        <v>117</v>
      </c>
      <c r="D5022" s="303">
        <v>69.510000000000005</v>
      </c>
    </row>
    <row r="5023" spans="1:4">
      <c r="A5023" s="302">
        <v>87497</v>
      </c>
      <c r="B5023" s="301" t="s">
        <v>5520</v>
      </c>
      <c r="C5023" s="301" t="s">
        <v>117</v>
      </c>
      <c r="D5023" s="303">
        <v>66.53</v>
      </c>
    </row>
    <row r="5024" spans="1:4">
      <c r="A5024" s="302">
        <v>87498</v>
      </c>
      <c r="B5024" s="301" t="s">
        <v>5521</v>
      </c>
      <c r="C5024" s="301" t="s">
        <v>117</v>
      </c>
      <c r="D5024" s="303">
        <v>67.849999999999994</v>
      </c>
    </row>
    <row r="5025" spans="1:4">
      <c r="A5025" s="302">
        <v>87499</v>
      </c>
      <c r="B5025" s="301" t="s">
        <v>5522</v>
      </c>
      <c r="C5025" s="301" t="s">
        <v>117</v>
      </c>
      <c r="D5025" s="303">
        <v>74.55</v>
      </c>
    </row>
    <row r="5026" spans="1:4">
      <c r="A5026" s="302">
        <v>87500</v>
      </c>
      <c r="B5026" s="301" t="s">
        <v>5523</v>
      </c>
      <c r="C5026" s="301" t="s">
        <v>117</v>
      </c>
      <c r="D5026" s="303">
        <v>75.66</v>
      </c>
    </row>
    <row r="5027" spans="1:4">
      <c r="A5027" s="302">
        <v>87501</v>
      </c>
      <c r="B5027" s="301" t="s">
        <v>5524</v>
      </c>
      <c r="C5027" s="301" t="s">
        <v>117</v>
      </c>
      <c r="D5027" s="303">
        <v>115.76</v>
      </c>
    </row>
    <row r="5028" spans="1:4">
      <c r="A5028" s="302">
        <v>87502</v>
      </c>
      <c r="B5028" s="301" t="s">
        <v>5525</v>
      </c>
      <c r="C5028" s="301" t="s">
        <v>117</v>
      </c>
      <c r="D5028" s="303">
        <v>117.18</v>
      </c>
    </row>
    <row r="5029" spans="1:4">
      <c r="A5029" s="302">
        <v>87503</v>
      </c>
      <c r="B5029" s="301" t="s">
        <v>64</v>
      </c>
      <c r="C5029" s="301" t="s">
        <v>117</v>
      </c>
      <c r="D5029" s="303">
        <v>58.84</v>
      </c>
    </row>
    <row r="5030" spans="1:4">
      <c r="A5030" s="302">
        <v>87504</v>
      </c>
      <c r="B5030" s="301" t="s">
        <v>5526</v>
      </c>
      <c r="C5030" s="301" t="s">
        <v>117</v>
      </c>
      <c r="D5030" s="303">
        <v>59.87</v>
      </c>
    </row>
    <row r="5031" spans="1:4">
      <c r="A5031" s="302">
        <v>87505</v>
      </c>
      <c r="B5031" s="301" t="s">
        <v>5527</v>
      </c>
      <c r="C5031" s="301" t="s">
        <v>117</v>
      </c>
      <c r="D5031" s="303">
        <v>56.86</v>
      </c>
    </row>
    <row r="5032" spans="1:4">
      <c r="A5032" s="302">
        <v>87506</v>
      </c>
      <c r="B5032" s="301" t="s">
        <v>5528</v>
      </c>
      <c r="C5032" s="301" t="s">
        <v>117</v>
      </c>
      <c r="D5032" s="303">
        <v>58.18</v>
      </c>
    </row>
    <row r="5033" spans="1:4">
      <c r="A5033" s="302">
        <v>87507</v>
      </c>
      <c r="B5033" s="301" t="s">
        <v>5529</v>
      </c>
      <c r="C5033" s="301" t="s">
        <v>117</v>
      </c>
      <c r="D5033" s="303">
        <v>61.81</v>
      </c>
    </row>
    <row r="5034" spans="1:4">
      <c r="A5034" s="302">
        <v>87508</v>
      </c>
      <c r="B5034" s="301" t="s">
        <v>5530</v>
      </c>
      <c r="C5034" s="301" t="s">
        <v>117</v>
      </c>
      <c r="D5034" s="303">
        <v>62.92</v>
      </c>
    </row>
    <row r="5035" spans="1:4">
      <c r="A5035" s="302">
        <v>87509</v>
      </c>
      <c r="B5035" s="301" t="s">
        <v>5531</v>
      </c>
      <c r="C5035" s="301" t="s">
        <v>117</v>
      </c>
      <c r="D5035" s="303">
        <v>95.19</v>
      </c>
    </row>
    <row r="5036" spans="1:4">
      <c r="A5036" s="302">
        <v>87510</v>
      </c>
      <c r="B5036" s="301" t="s">
        <v>5532</v>
      </c>
      <c r="C5036" s="301" t="s">
        <v>117</v>
      </c>
      <c r="D5036" s="303">
        <v>96.61</v>
      </c>
    </row>
    <row r="5037" spans="1:4">
      <c r="A5037" s="302">
        <v>87511</v>
      </c>
      <c r="B5037" s="301" t="s">
        <v>5533</v>
      </c>
      <c r="C5037" s="301" t="s">
        <v>117</v>
      </c>
      <c r="D5037" s="303">
        <v>76.77</v>
      </c>
    </row>
    <row r="5038" spans="1:4">
      <c r="A5038" s="302">
        <v>87512</v>
      </c>
      <c r="B5038" s="301" t="s">
        <v>5534</v>
      </c>
      <c r="C5038" s="301" t="s">
        <v>117</v>
      </c>
      <c r="D5038" s="303">
        <v>77.8</v>
      </c>
    </row>
    <row r="5039" spans="1:4">
      <c r="A5039" s="302">
        <v>87513</v>
      </c>
      <c r="B5039" s="301" t="s">
        <v>5535</v>
      </c>
      <c r="C5039" s="301" t="s">
        <v>117</v>
      </c>
      <c r="D5039" s="303">
        <v>75.14</v>
      </c>
    </row>
    <row r="5040" spans="1:4">
      <c r="A5040" s="302">
        <v>87514</v>
      </c>
      <c r="B5040" s="301" t="s">
        <v>5536</v>
      </c>
      <c r="C5040" s="301" t="s">
        <v>117</v>
      </c>
      <c r="D5040" s="303">
        <v>76.459999999999994</v>
      </c>
    </row>
    <row r="5041" spans="1:4">
      <c r="A5041" s="302">
        <v>87515</v>
      </c>
      <c r="B5041" s="301" t="s">
        <v>813</v>
      </c>
      <c r="C5041" s="301" t="s">
        <v>117</v>
      </c>
      <c r="D5041" s="303">
        <v>86.05</v>
      </c>
    </row>
    <row r="5042" spans="1:4">
      <c r="A5042" s="302">
        <v>87516</v>
      </c>
      <c r="B5042" s="301" t="s">
        <v>5537</v>
      </c>
      <c r="C5042" s="301" t="s">
        <v>117</v>
      </c>
      <c r="D5042" s="303">
        <v>87.16</v>
      </c>
    </row>
    <row r="5043" spans="1:4">
      <c r="A5043" s="302">
        <v>87517</v>
      </c>
      <c r="B5043" s="301" t="s">
        <v>5538</v>
      </c>
      <c r="C5043" s="301" t="s">
        <v>117</v>
      </c>
      <c r="D5043" s="303">
        <v>133.66999999999999</v>
      </c>
    </row>
    <row r="5044" spans="1:4">
      <c r="A5044" s="302">
        <v>87518</v>
      </c>
      <c r="B5044" s="301" t="s">
        <v>5539</v>
      </c>
      <c r="C5044" s="301" t="s">
        <v>117</v>
      </c>
      <c r="D5044" s="303">
        <v>135.09</v>
      </c>
    </row>
    <row r="5045" spans="1:4">
      <c r="A5045" s="302">
        <v>87519</v>
      </c>
      <c r="B5045" s="301" t="s">
        <v>5540</v>
      </c>
      <c r="C5045" s="301" t="s">
        <v>117</v>
      </c>
      <c r="D5045" s="303">
        <v>64.08</v>
      </c>
    </row>
    <row r="5046" spans="1:4">
      <c r="A5046" s="302">
        <v>87520</v>
      </c>
      <c r="B5046" s="301" t="s">
        <v>5541</v>
      </c>
      <c r="C5046" s="301" t="s">
        <v>117</v>
      </c>
      <c r="D5046" s="303">
        <v>65.11</v>
      </c>
    </row>
    <row r="5047" spans="1:4">
      <c r="A5047" s="302">
        <v>87521</v>
      </c>
      <c r="B5047" s="301" t="s">
        <v>5542</v>
      </c>
      <c r="C5047" s="301" t="s">
        <v>117</v>
      </c>
      <c r="D5047" s="303">
        <v>62.14</v>
      </c>
    </row>
    <row r="5048" spans="1:4">
      <c r="A5048" s="302">
        <v>87522</v>
      </c>
      <c r="B5048" s="301" t="s">
        <v>5543</v>
      </c>
      <c r="C5048" s="301" t="s">
        <v>117</v>
      </c>
      <c r="D5048" s="303">
        <v>63.46</v>
      </c>
    </row>
    <row r="5049" spans="1:4">
      <c r="A5049" s="302">
        <v>87523</v>
      </c>
      <c r="B5049" s="301" t="s">
        <v>855</v>
      </c>
      <c r="C5049" s="301" t="s">
        <v>117</v>
      </c>
      <c r="D5049" s="303">
        <v>68.819999999999993</v>
      </c>
    </row>
    <row r="5050" spans="1:4">
      <c r="A5050" s="302">
        <v>87524</v>
      </c>
      <c r="B5050" s="301" t="s">
        <v>5544</v>
      </c>
      <c r="C5050" s="301" t="s">
        <v>117</v>
      </c>
      <c r="D5050" s="303">
        <v>69.930000000000007</v>
      </c>
    </row>
    <row r="5051" spans="1:4">
      <c r="A5051" s="302">
        <v>87525</v>
      </c>
      <c r="B5051" s="301" t="s">
        <v>5545</v>
      </c>
      <c r="C5051" s="301" t="s">
        <v>117</v>
      </c>
      <c r="D5051" s="303">
        <v>106.06</v>
      </c>
    </row>
    <row r="5052" spans="1:4">
      <c r="A5052" s="302">
        <v>87526</v>
      </c>
      <c r="B5052" s="301" t="s">
        <v>5546</v>
      </c>
      <c r="C5052" s="301" t="s">
        <v>117</v>
      </c>
      <c r="D5052" s="303">
        <v>107.48</v>
      </c>
    </row>
    <row r="5053" spans="1:4">
      <c r="A5053" s="302">
        <v>89043</v>
      </c>
      <c r="B5053" s="301" t="s">
        <v>899</v>
      </c>
      <c r="C5053" s="301" t="s">
        <v>117</v>
      </c>
      <c r="D5053" s="303">
        <v>65.28</v>
      </c>
    </row>
    <row r="5054" spans="1:4">
      <c r="A5054" s="302">
        <v>89168</v>
      </c>
      <c r="B5054" s="301" t="s">
        <v>5547</v>
      </c>
      <c r="C5054" s="301" t="s">
        <v>117</v>
      </c>
      <c r="D5054" s="303">
        <v>67.17</v>
      </c>
    </row>
    <row r="5055" spans="1:4">
      <c r="A5055" s="302">
        <v>89977</v>
      </c>
      <c r="B5055" s="301" t="s">
        <v>5548</v>
      </c>
      <c r="C5055" s="301" t="s">
        <v>117</v>
      </c>
      <c r="D5055" s="303">
        <v>112.91</v>
      </c>
    </row>
    <row r="5056" spans="1:4">
      <c r="A5056" s="302">
        <v>90112</v>
      </c>
      <c r="B5056" s="301" t="s">
        <v>5549</v>
      </c>
      <c r="C5056" s="301" t="s">
        <v>117</v>
      </c>
      <c r="D5056" s="303">
        <v>63.8</v>
      </c>
    </row>
    <row r="5057" spans="1:4">
      <c r="A5057" s="302">
        <v>95474</v>
      </c>
      <c r="B5057" s="301" t="s">
        <v>404</v>
      </c>
      <c r="C5057" s="301" t="s">
        <v>60</v>
      </c>
      <c r="D5057" s="303">
        <v>638.32000000000005</v>
      </c>
    </row>
    <row r="5058" spans="1:4">
      <c r="A5058" s="302">
        <v>89282</v>
      </c>
      <c r="B5058" s="301" t="s">
        <v>5550</v>
      </c>
      <c r="C5058" s="301" t="s">
        <v>117</v>
      </c>
      <c r="D5058" s="303">
        <v>53.88</v>
      </c>
    </row>
    <row r="5059" spans="1:4">
      <c r="A5059" s="302">
        <v>89283</v>
      </c>
      <c r="B5059" s="301" t="s">
        <v>5551</v>
      </c>
      <c r="C5059" s="301" t="s">
        <v>117</v>
      </c>
      <c r="D5059" s="303">
        <v>55.15</v>
      </c>
    </row>
    <row r="5060" spans="1:4">
      <c r="A5060" s="302">
        <v>89284</v>
      </c>
      <c r="B5060" s="301" t="s">
        <v>5552</v>
      </c>
      <c r="C5060" s="301" t="s">
        <v>117</v>
      </c>
      <c r="D5060" s="303">
        <v>49.3</v>
      </c>
    </row>
    <row r="5061" spans="1:4">
      <c r="A5061" s="302">
        <v>89285</v>
      </c>
      <c r="B5061" s="301" t="s">
        <v>5553</v>
      </c>
      <c r="C5061" s="301" t="s">
        <v>117</v>
      </c>
      <c r="D5061" s="303">
        <v>50.57</v>
      </c>
    </row>
    <row r="5062" spans="1:4">
      <c r="A5062" s="302">
        <v>89286</v>
      </c>
      <c r="B5062" s="301" t="s">
        <v>5554</v>
      </c>
      <c r="C5062" s="301" t="s">
        <v>117</v>
      </c>
      <c r="D5062" s="303">
        <v>58.27</v>
      </c>
    </row>
    <row r="5063" spans="1:4">
      <c r="A5063" s="302">
        <v>89287</v>
      </c>
      <c r="B5063" s="301" t="s">
        <v>5555</v>
      </c>
      <c r="C5063" s="301" t="s">
        <v>117</v>
      </c>
      <c r="D5063" s="303">
        <v>59.54</v>
      </c>
    </row>
    <row r="5064" spans="1:4">
      <c r="A5064" s="302">
        <v>89288</v>
      </c>
      <c r="B5064" s="301" t="s">
        <v>5556</v>
      </c>
      <c r="C5064" s="301" t="s">
        <v>117</v>
      </c>
      <c r="D5064" s="303">
        <v>51.97</v>
      </c>
    </row>
    <row r="5065" spans="1:4">
      <c r="A5065" s="302">
        <v>89289</v>
      </c>
      <c r="B5065" s="301" t="s">
        <v>5557</v>
      </c>
      <c r="C5065" s="301" t="s">
        <v>117</v>
      </c>
      <c r="D5065" s="303">
        <v>53.24</v>
      </c>
    </row>
    <row r="5066" spans="1:4">
      <c r="A5066" s="302">
        <v>89290</v>
      </c>
      <c r="B5066" s="301" t="s">
        <v>5558</v>
      </c>
      <c r="C5066" s="301" t="s">
        <v>117</v>
      </c>
      <c r="D5066" s="303">
        <v>62.52</v>
      </c>
    </row>
    <row r="5067" spans="1:4">
      <c r="A5067" s="302">
        <v>89291</v>
      </c>
      <c r="B5067" s="301" t="s">
        <v>5559</v>
      </c>
      <c r="C5067" s="301" t="s">
        <v>117</v>
      </c>
      <c r="D5067" s="303">
        <v>63.94</v>
      </c>
    </row>
    <row r="5068" spans="1:4">
      <c r="A5068" s="302">
        <v>89292</v>
      </c>
      <c r="B5068" s="301" t="s">
        <v>5560</v>
      </c>
      <c r="C5068" s="301" t="s">
        <v>117</v>
      </c>
      <c r="D5068" s="303">
        <v>58.01</v>
      </c>
    </row>
    <row r="5069" spans="1:4">
      <c r="A5069" s="302">
        <v>89293</v>
      </c>
      <c r="B5069" s="301" t="s">
        <v>5561</v>
      </c>
      <c r="C5069" s="301" t="s">
        <v>117</v>
      </c>
      <c r="D5069" s="303">
        <v>59.43</v>
      </c>
    </row>
    <row r="5070" spans="1:4">
      <c r="A5070" s="302">
        <v>89294</v>
      </c>
      <c r="B5070" s="301" t="s">
        <v>5562</v>
      </c>
      <c r="C5070" s="301" t="s">
        <v>117</v>
      </c>
      <c r="D5070" s="303">
        <v>68.41</v>
      </c>
    </row>
    <row r="5071" spans="1:4">
      <c r="A5071" s="302">
        <v>89295</v>
      </c>
      <c r="B5071" s="301" t="s">
        <v>5563</v>
      </c>
      <c r="C5071" s="301" t="s">
        <v>117</v>
      </c>
      <c r="D5071" s="303">
        <v>69.83</v>
      </c>
    </row>
    <row r="5072" spans="1:4">
      <c r="A5072" s="302">
        <v>89296</v>
      </c>
      <c r="B5072" s="301" t="s">
        <v>5564</v>
      </c>
      <c r="C5072" s="301" t="s">
        <v>117</v>
      </c>
      <c r="D5072" s="303">
        <v>61.42</v>
      </c>
    </row>
    <row r="5073" spans="1:4">
      <c r="A5073" s="302">
        <v>89297</v>
      </c>
      <c r="B5073" s="301" t="s">
        <v>5565</v>
      </c>
      <c r="C5073" s="301" t="s">
        <v>117</v>
      </c>
      <c r="D5073" s="303">
        <v>62.84</v>
      </c>
    </row>
    <row r="5074" spans="1:4">
      <c r="A5074" s="302">
        <v>89298</v>
      </c>
      <c r="B5074" s="301" t="s">
        <v>5566</v>
      </c>
      <c r="C5074" s="301" t="s">
        <v>117</v>
      </c>
      <c r="D5074" s="303">
        <v>63.67</v>
      </c>
    </row>
    <row r="5075" spans="1:4">
      <c r="A5075" s="302">
        <v>89299</v>
      </c>
      <c r="B5075" s="301" t="s">
        <v>5567</v>
      </c>
      <c r="C5075" s="301" t="s">
        <v>117</v>
      </c>
      <c r="D5075" s="303">
        <v>65.48</v>
      </c>
    </row>
    <row r="5076" spans="1:4">
      <c r="A5076" s="302">
        <v>89300</v>
      </c>
      <c r="B5076" s="301" t="s">
        <v>5568</v>
      </c>
      <c r="C5076" s="301" t="s">
        <v>117</v>
      </c>
      <c r="D5076" s="303">
        <v>59.11</v>
      </c>
    </row>
    <row r="5077" spans="1:4">
      <c r="A5077" s="302">
        <v>89301</v>
      </c>
      <c r="B5077" s="301" t="s">
        <v>5569</v>
      </c>
      <c r="C5077" s="301" t="s">
        <v>117</v>
      </c>
      <c r="D5077" s="303">
        <v>60.92</v>
      </c>
    </row>
    <row r="5078" spans="1:4">
      <c r="A5078" s="302">
        <v>89302</v>
      </c>
      <c r="B5078" s="301" t="s">
        <v>5570</v>
      </c>
      <c r="C5078" s="301" t="s">
        <v>117</v>
      </c>
      <c r="D5078" s="303">
        <v>71</v>
      </c>
    </row>
    <row r="5079" spans="1:4">
      <c r="A5079" s="302">
        <v>89303</v>
      </c>
      <c r="B5079" s="301" t="s">
        <v>5571</v>
      </c>
      <c r="C5079" s="301" t="s">
        <v>117</v>
      </c>
      <c r="D5079" s="303">
        <v>72.81</v>
      </c>
    </row>
    <row r="5080" spans="1:4">
      <c r="A5080" s="302">
        <v>89304</v>
      </c>
      <c r="B5080" s="301" t="s">
        <v>5572</v>
      </c>
      <c r="C5080" s="301" t="s">
        <v>117</v>
      </c>
      <c r="D5080" s="303">
        <v>63.59</v>
      </c>
    </row>
    <row r="5081" spans="1:4">
      <c r="A5081" s="302">
        <v>89305</v>
      </c>
      <c r="B5081" s="301" t="s">
        <v>5573</v>
      </c>
      <c r="C5081" s="301" t="s">
        <v>117</v>
      </c>
      <c r="D5081" s="303">
        <v>65.400000000000006</v>
      </c>
    </row>
    <row r="5082" spans="1:4">
      <c r="A5082" s="302">
        <v>89306</v>
      </c>
      <c r="B5082" s="301" t="s">
        <v>5574</v>
      </c>
      <c r="C5082" s="301" t="s">
        <v>117</v>
      </c>
      <c r="D5082" s="303">
        <v>72.540000000000006</v>
      </c>
    </row>
    <row r="5083" spans="1:4">
      <c r="A5083" s="302">
        <v>89307</v>
      </c>
      <c r="B5083" s="301" t="s">
        <v>5575</v>
      </c>
      <c r="C5083" s="301" t="s">
        <v>117</v>
      </c>
      <c r="D5083" s="303">
        <v>74.55</v>
      </c>
    </row>
    <row r="5084" spans="1:4">
      <c r="A5084" s="302">
        <v>89308</v>
      </c>
      <c r="B5084" s="301" t="s">
        <v>5576</v>
      </c>
      <c r="C5084" s="301" t="s">
        <v>117</v>
      </c>
      <c r="D5084" s="303">
        <v>68.03</v>
      </c>
    </row>
    <row r="5085" spans="1:4">
      <c r="A5085" s="302">
        <v>89309</v>
      </c>
      <c r="B5085" s="301" t="s">
        <v>5577</v>
      </c>
      <c r="C5085" s="301" t="s">
        <v>117</v>
      </c>
      <c r="D5085" s="303">
        <v>70.040000000000006</v>
      </c>
    </row>
    <row r="5086" spans="1:4">
      <c r="A5086" s="302">
        <v>89310</v>
      </c>
      <c r="B5086" s="301" t="s">
        <v>5578</v>
      </c>
      <c r="C5086" s="301" t="s">
        <v>117</v>
      </c>
      <c r="D5086" s="303">
        <v>82.88</v>
      </c>
    </row>
    <row r="5087" spans="1:4">
      <c r="A5087" s="302">
        <v>89311</v>
      </c>
      <c r="B5087" s="301" t="s">
        <v>5579</v>
      </c>
      <c r="C5087" s="301" t="s">
        <v>117</v>
      </c>
      <c r="D5087" s="303">
        <v>84.89</v>
      </c>
    </row>
    <row r="5088" spans="1:4">
      <c r="A5088" s="302">
        <v>89312</v>
      </c>
      <c r="B5088" s="301" t="s">
        <v>5580</v>
      </c>
      <c r="C5088" s="301" t="s">
        <v>117</v>
      </c>
      <c r="D5088" s="303">
        <v>73.27</v>
      </c>
    </row>
    <row r="5089" spans="1:4">
      <c r="A5089" s="302">
        <v>89313</v>
      </c>
      <c r="B5089" s="301" t="s">
        <v>5581</v>
      </c>
      <c r="C5089" s="301" t="s">
        <v>117</v>
      </c>
      <c r="D5089" s="303">
        <v>75.28</v>
      </c>
    </row>
    <row r="5090" spans="1:4">
      <c r="A5090" s="302">
        <v>95465</v>
      </c>
      <c r="B5090" s="301" t="s">
        <v>325</v>
      </c>
      <c r="C5090" s="301" t="s">
        <v>117</v>
      </c>
      <c r="D5090" s="303">
        <v>140.66</v>
      </c>
    </row>
    <row r="5091" spans="1:4">
      <c r="A5091" s="302">
        <v>87447</v>
      </c>
      <c r="B5091" s="301" t="s">
        <v>5582</v>
      </c>
      <c r="C5091" s="301" t="s">
        <v>117</v>
      </c>
      <c r="D5091" s="303">
        <v>50.73</v>
      </c>
    </row>
    <row r="5092" spans="1:4">
      <c r="A5092" s="302">
        <v>87448</v>
      </c>
      <c r="B5092" s="301" t="s">
        <v>5583</v>
      </c>
      <c r="C5092" s="301" t="s">
        <v>117</v>
      </c>
      <c r="D5092" s="303">
        <v>51.31</v>
      </c>
    </row>
    <row r="5093" spans="1:4">
      <c r="A5093" s="302">
        <v>87449</v>
      </c>
      <c r="B5093" s="301" t="s">
        <v>5584</v>
      </c>
      <c r="C5093" s="301" t="s">
        <v>117</v>
      </c>
      <c r="D5093" s="303">
        <v>64.37</v>
      </c>
    </row>
    <row r="5094" spans="1:4">
      <c r="A5094" s="302">
        <v>87450</v>
      </c>
      <c r="B5094" s="301" t="s">
        <v>5585</v>
      </c>
      <c r="C5094" s="301" t="s">
        <v>117</v>
      </c>
      <c r="D5094" s="303">
        <v>65.459999999999994</v>
      </c>
    </row>
    <row r="5095" spans="1:4">
      <c r="A5095" s="302">
        <v>87451</v>
      </c>
      <c r="B5095" s="301" t="s">
        <v>5586</v>
      </c>
      <c r="C5095" s="301" t="s">
        <v>117</v>
      </c>
      <c r="D5095" s="303">
        <v>80.040000000000006</v>
      </c>
    </row>
    <row r="5096" spans="1:4">
      <c r="A5096" s="302">
        <v>87452</v>
      </c>
      <c r="B5096" s="301" t="s">
        <v>5587</v>
      </c>
      <c r="C5096" s="301" t="s">
        <v>117</v>
      </c>
      <c r="D5096" s="303">
        <v>80.489999999999995</v>
      </c>
    </row>
    <row r="5097" spans="1:4">
      <c r="A5097" s="302">
        <v>87453</v>
      </c>
      <c r="B5097" s="301" t="s">
        <v>5588</v>
      </c>
      <c r="C5097" s="301" t="s">
        <v>117</v>
      </c>
      <c r="D5097" s="303">
        <v>47.21</v>
      </c>
    </row>
    <row r="5098" spans="1:4">
      <c r="A5098" s="302">
        <v>87454</v>
      </c>
      <c r="B5098" s="301" t="s">
        <v>5589</v>
      </c>
      <c r="C5098" s="301" t="s">
        <v>117</v>
      </c>
      <c r="D5098" s="303">
        <v>48.14</v>
      </c>
    </row>
    <row r="5099" spans="1:4">
      <c r="A5099" s="302">
        <v>87455</v>
      </c>
      <c r="B5099" s="301" t="s">
        <v>317</v>
      </c>
      <c r="C5099" s="301" t="s">
        <v>117</v>
      </c>
      <c r="D5099" s="303">
        <v>60</v>
      </c>
    </row>
    <row r="5100" spans="1:4">
      <c r="A5100" s="302">
        <v>87456</v>
      </c>
      <c r="B5100" s="301" t="s">
        <v>5590</v>
      </c>
      <c r="C5100" s="301" t="s">
        <v>117</v>
      </c>
      <c r="D5100" s="303">
        <v>61.44</v>
      </c>
    </row>
    <row r="5101" spans="1:4">
      <c r="A5101" s="302">
        <v>87457</v>
      </c>
      <c r="B5101" s="301" t="s">
        <v>318</v>
      </c>
      <c r="C5101" s="301" t="s">
        <v>117</v>
      </c>
      <c r="D5101" s="303">
        <v>74.03</v>
      </c>
    </row>
    <row r="5102" spans="1:4">
      <c r="A5102" s="302">
        <v>87458</v>
      </c>
      <c r="B5102" s="301" t="s">
        <v>5591</v>
      </c>
      <c r="C5102" s="301" t="s">
        <v>117</v>
      </c>
      <c r="D5102" s="303">
        <v>75.39</v>
      </c>
    </row>
    <row r="5103" spans="1:4">
      <c r="A5103" s="302">
        <v>87459</v>
      </c>
      <c r="B5103" s="301" t="s">
        <v>5592</v>
      </c>
      <c r="C5103" s="301" t="s">
        <v>117</v>
      </c>
      <c r="D5103" s="303">
        <v>56.47</v>
      </c>
    </row>
    <row r="5104" spans="1:4">
      <c r="A5104" s="302">
        <v>87460</v>
      </c>
      <c r="B5104" s="301" t="s">
        <v>5593</v>
      </c>
      <c r="C5104" s="301" t="s">
        <v>117</v>
      </c>
      <c r="D5104" s="303">
        <v>57.4</v>
      </c>
    </row>
    <row r="5105" spans="1:4">
      <c r="A5105" s="302">
        <v>87461</v>
      </c>
      <c r="B5105" s="301" t="s">
        <v>5594</v>
      </c>
      <c r="C5105" s="301" t="s">
        <v>117</v>
      </c>
      <c r="D5105" s="303">
        <v>70.14</v>
      </c>
    </row>
    <row r="5106" spans="1:4">
      <c r="A5106" s="302">
        <v>87462</v>
      </c>
      <c r="B5106" s="301" t="s">
        <v>5595</v>
      </c>
      <c r="C5106" s="301" t="s">
        <v>117</v>
      </c>
      <c r="D5106" s="303">
        <v>71.23</v>
      </c>
    </row>
    <row r="5107" spans="1:4">
      <c r="A5107" s="302">
        <v>87463</v>
      </c>
      <c r="B5107" s="301" t="s">
        <v>5596</v>
      </c>
      <c r="C5107" s="301" t="s">
        <v>117</v>
      </c>
      <c r="D5107" s="303">
        <v>84.98</v>
      </c>
    </row>
    <row r="5108" spans="1:4">
      <c r="A5108" s="302">
        <v>87464</v>
      </c>
      <c r="B5108" s="301" t="s">
        <v>5597</v>
      </c>
      <c r="C5108" s="301" t="s">
        <v>117</v>
      </c>
      <c r="D5108" s="303">
        <v>86.34</v>
      </c>
    </row>
    <row r="5109" spans="1:4">
      <c r="A5109" s="302">
        <v>87465</v>
      </c>
      <c r="B5109" s="301" t="s">
        <v>5598</v>
      </c>
      <c r="C5109" s="301" t="s">
        <v>117</v>
      </c>
      <c r="D5109" s="303">
        <v>50.45</v>
      </c>
    </row>
    <row r="5110" spans="1:4">
      <c r="A5110" s="302">
        <v>87466</v>
      </c>
      <c r="B5110" s="301" t="s">
        <v>5599</v>
      </c>
      <c r="C5110" s="301" t="s">
        <v>117</v>
      </c>
      <c r="D5110" s="303">
        <v>51.38</v>
      </c>
    </row>
    <row r="5111" spans="1:4">
      <c r="A5111" s="302">
        <v>87467</v>
      </c>
      <c r="B5111" s="301" t="s">
        <v>5600</v>
      </c>
      <c r="C5111" s="301" t="s">
        <v>117</v>
      </c>
      <c r="D5111" s="303">
        <v>63.63</v>
      </c>
    </row>
    <row r="5112" spans="1:4">
      <c r="A5112" s="302">
        <v>87468</v>
      </c>
      <c r="B5112" s="301" t="s">
        <v>5601</v>
      </c>
      <c r="C5112" s="301" t="s">
        <v>117</v>
      </c>
      <c r="D5112" s="303">
        <v>64.72</v>
      </c>
    </row>
    <row r="5113" spans="1:4">
      <c r="A5113" s="302">
        <v>87469</v>
      </c>
      <c r="B5113" s="301" t="s">
        <v>5602</v>
      </c>
      <c r="C5113" s="301" t="s">
        <v>117</v>
      </c>
      <c r="D5113" s="303">
        <v>77.819999999999993</v>
      </c>
    </row>
    <row r="5114" spans="1:4">
      <c r="A5114" s="302">
        <v>87470</v>
      </c>
      <c r="B5114" s="301" t="s">
        <v>5603</v>
      </c>
      <c r="C5114" s="301" t="s">
        <v>117</v>
      </c>
      <c r="D5114" s="303">
        <v>79.180000000000007</v>
      </c>
    </row>
    <row r="5115" spans="1:4">
      <c r="A5115" s="302">
        <v>89044</v>
      </c>
      <c r="B5115" s="301" t="s">
        <v>5604</v>
      </c>
      <c r="C5115" s="301" t="s">
        <v>117</v>
      </c>
      <c r="D5115" s="303">
        <v>50.57</v>
      </c>
    </row>
    <row r="5116" spans="1:4">
      <c r="A5116" s="302">
        <v>89169</v>
      </c>
      <c r="B5116" s="301" t="s">
        <v>5605</v>
      </c>
      <c r="C5116" s="301" t="s">
        <v>117</v>
      </c>
      <c r="D5116" s="303">
        <v>51.33</v>
      </c>
    </row>
    <row r="5117" spans="1:4">
      <c r="A5117" s="302">
        <v>89978</v>
      </c>
      <c r="B5117" s="301" t="s">
        <v>5606</v>
      </c>
      <c r="C5117" s="301" t="s">
        <v>117</v>
      </c>
      <c r="D5117" s="303">
        <v>64.650000000000006</v>
      </c>
    </row>
    <row r="5118" spans="1:4">
      <c r="A5118" s="301" t="s">
        <v>5607</v>
      </c>
      <c r="B5118" s="301" t="s">
        <v>5608</v>
      </c>
      <c r="C5118" s="301" t="s">
        <v>117</v>
      </c>
      <c r="D5118" s="303">
        <v>119.72</v>
      </c>
    </row>
    <row r="5119" spans="1:4">
      <c r="A5119" s="301" t="s">
        <v>5609</v>
      </c>
      <c r="B5119" s="301" t="s">
        <v>5610</v>
      </c>
      <c r="C5119" s="301" t="s">
        <v>117</v>
      </c>
      <c r="D5119" s="303">
        <v>119.94</v>
      </c>
    </row>
    <row r="5120" spans="1:4">
      <c r="A5120" s="301" t="s">
        <v>5611</v>
      </c>
      <c r="B5120" s="301" t="s">
        <v>5612</v>
      </c>
      <c r="C5120" s="301" t="s">
        <v>117</v>
      </c>
      <c r="D5120" s="303">
        <v>211.13</v>
      </c>
    </row>
    <row r="5121" spans="1:4">
      <c r="A5121" s="302">
        <v>89453</v>
      </c>
      <c r="B5121" s="301" t="s">
        <v>5613</v>
      </c>
      <c r="C5121" s="301" t="s">
        <v>117</v>
      </c>
      <c r="D5121" s="303">
        <v>58.7</v>
      </c>
    </row>
    <row r="5122" spans="1:4">
      <c r="A5122" s="302">
        <v>89454</v>
      </c>
      <c r="B5122" s="301" t="s">
        <v>5614</v>
      </c>
      <c r="C5122" s="301" t="s">
        <v>117</v>
      </c>
      <c r="D5122" s="303">
        <v>55.95</v>
      </c>
    </row>
    <row r="5123" spans="1:4">
      <c r="A5123" s="302">
        <v>89455</v>
      </c>
      <c r="B5123" s="301" t="s">
        <v>5615</v>
      </c>
      <c r="C5123" s="301" t="s">
        <v>117</v>
      </c>
      <c r="D5123" s="303">
        <v>72.930000000000007</v>
      </c>
    </row>
    <row r="5124" spans="1:4">
      <c r="A5124" s="302">
        <v>89456</v>
      </c>
      <c r="B5124" s="301" t="s">
        <v>5616</v>
      </c>
      <c r="C5124" s="301" t="s">
        <v>117</v>
      </c>
      <c r="D5124" s="303">
        <v>69.62</v>
      </c>
    </row>
    <row r="5125" spans="1:4">
      <c r="A5125" s="302">
        <v>89457</v>
      </c>
      <c r="B5125" s="301" t="s">
        <v>5617</v>
      </c>
      <c r="C5125" s="301" t="s">
        <v>117</v>
      </c>
      <c r="D5125" s="303">
        <v>62.5</v>
      </c>
    </row>
    <row r="5126" spans="1:4">
      <c r="A5126" s="302">
        <v>89458</v>
      </c>
      <c r="B5126" s="301" t="s">
        <v>5618</v>
      </c>
      <c r="C5126" s="301" t="s">
        <v>117</v>
      </c>
      <c r="D5126" s="303">
        <v>58.07</v>
      </c>
    </row>
    <row r="5127" spans="1:4">
      <c r="A5127" s="302">
        <v>89459</v>
      </c>
      <c r="B5127" s="301" t="s">
        <v>5619</v>
      </c>
      <c r="C5127" s="301" t="s">
        <v>117</v>
      </c>
      <c r="D5127" s="303">
        <v>78.2</v>
      </c>
    </row>
    <row r="5128" spans="1:4">
      <c r="A5128" s="302">
        <v>89460</v>
      </c>
      <c r="B5128" s="301" t="s">
        <v>5620</v>
      </c>
      <c r="C5128" s="301" t="s">
        <v>117</v>
      </c>
      <c r="D5128" s="303">
        <v>72.78</v>
      </c>
    </row>
    <row r="5129" spans="1:4">
      <c r="A5129" s="302">
        <v>89462</v>
      </c>
      <c r="B5129" s="301" t="s">
        <v>5621</v>
      </c>
      <c r="C5129" s="301" t="s">
        <v>117</v>
      </c>
      <c r="D5129" s="303">
        <v>67.7</v>
      </c>
    </row>
    <row r="5130" spans="1:4">
      <c r="A5130" s="302">
        <v>89463</v>
      </c>
      <c r="B5130" s="301" t="s">
        <v>5622</v>
      </c>
      <c r="C5130" s="301" t="s">
        <v>117</v>
      </c>
      <c r="D5130" s="303">
        <v>65.239999999999995</v>
      </c>
    </row>
    <row r="5131" spans="1:4">
      <c r="A5131" s="302">
        <v>89464</v>
      </c>
      <c r="B5131" s="301" t="s">
        <v>5623</v>
      </c>
      <c r="C5131" s="301" t="s">
        <v>117</v>
      </c>
      <c r="D5131" s="303">
        <v>90.81</v>
      </c>
    </row>
    <row r="5132" spans="1:4">
      <c r="A5132" s="302">
        <v>89465</v>
      </c>
      <c r="B5132" s="301" t="s">
        <v>5624</v>
      </c>
      <c r="C5132" s="301" t="s">
        <v>117</v>
      </c>
      <c r="D5132" s="303">
        <v>87.86</v>
      </c>
    </row>
    <row r="5133" spans="1:4">
      <c r="A5133" s="302">
        <v>89466</v>
      </c>
      <c r="B5133" s="301" t="s">
        <v>5625</v>
      </c>
      <c r="C5133" s="301" t="s">
        <v>117</v>
      </c>
      <c r="D5133" s="303">
        <v>71.66</v>
      </c>
    </row>
    <row r="5134" spans="1:4">
      <c r="A5134" s="302">
        <v>89467</v>
      </c>
      <c r="B5134" s="301" t="s">
        <v>5626</v>
      </c>
      <c r="C5134" s="301" t="s">
        <v>117</v>
      </c>
      <c r="D5134" s="303">
        <v>67.349999999999994</v>
      </c>
    </row>
    <row r="5135" spans="1:4">
      <c r="A5135" s="302">
        <v>89468</v>
      </c>
      <c r="B5135" s="301" t="s">
        <v>5627</v>
      </c>
      <c r="C5135" s="301" t="s">
        <v>117</v>
      </c>
      <c r="D5135" s="303">
        <v>95.68</v>
      </c>
    </row>
    <row r="5136" spans="1:4">
      <c r="A5136" s="302">
        <v>89469</v>
      </c>
      <c r="B5136" s="301" t="s">
        <v>5628</v>
      </c>
      <c r="C5136" s="301" t="s">
        <v>117</v>
      </c>
      <c r="D5136" s="303">
        <v>90.45</v>
      </c>
    </row>
    <row r="5137" spans="1:4">
      <c r="A5137" s="302">
        <v>89470</v>
      </c>
      <c r="B5137" s="301" t="s">
        <v>5629</v>
      </c>
      <c r="C5137" s="301" t="s">
        <v>117</v>
      </c>
      <c r="D5137" s="303">
        <v>70.040000000000006</v>
      </c>
    </row>
    <row r="5138" spans="1:4">
      <c r="A5138" s="302">
        <v>89471</v>
      </c>
      <c r="B5138" s="301" t="s">
        <v>5630</v>
      </c>
      <c r="C5138" s="301" t="s">
        <v>117</v>
      </c>
      <c r="D5138" s="303">
        <v>67.290000000000006</v>
      </c>
    </row>
    <row r="5139" spans="1:4">
      <c r="A5139" s="302">
        <v>89472</v>
      </c>
      <c r="B5139" s="301" t="s">
        <v>5631</v>
      </c>
      <c r="C5139" s="301" t="s">
        <v>117</v>
      </c>
      <c r="D5139" s="303">
        <v>84.21</v>
      </c>
    </row>
    <row r="5140" spans="1:4">
      <c r="A5140" s="302">
        <v>89473</v>
      </c>
      <c r="B5140" s="301" t="s">
        <v>5632</v>
      </c>
      <c r="C5140" s="301" t="s">
        <v>117</v>
      </c>
      <c r="D5140" s="303">
        <v>81.09</v>
      </c>
    </row>
    <row r="5141" spans="1:4">
      <c r="A5141" s="302">
        <v>89474</v>
      </c>
      <c r="B5141" s="301" t="s">
        <v>5633</v>
      </c>
      <c r="C5141" s="301" t="s">
        <v>117</v>
      </c>
      <c r="D5141" s="303">
        <v>77.09</v>
      </c>
    </row>
    <row r="5142" spans="1:4">
      <c r="A5142" s="302">
        <v>89475</v>
      </c>
      <c r="B5142" s="301" t="s">
        <v>5634</v>
      </c>
      <c r="C5142" s="301" t="s">
        <v>117</v>
      </c>
      <c r="D5142" s="303">
        <v>71.2</v>
      </c>
    </row>
    <row r="5143" spans="1:4">
      <c r="A5143" s="302">
        <v>89476</v>
      </c>
      <c r="B5143" s="301" t="s">
        <v>5635</v>
      </c>
      <c r="C5143" s="301" t="s">
        <v>117</v>
      </c>
      <c r="D5143" s="303">
        <v>92.93</v>
      </c>
    </row>
    <row r="5144" spans="1:4">
      <c r="A5144" s="302">
        <v>89477</v>
      </c>
      <c r="B5144" s="301" t="s">
        <v>5636</v>
      </c>
      <c r="C5144" s="301" t="s">
        <v>117</v>
      </c>
      <c r="D5144" s="303">
        <v>86.24</v>
      </c>
    </row>
    <row r="5145" spans="1:4">
      <c r="A5145" s="302">
        <v>89478</v>
      </c>
      <c r="B5145" s="301" t="s">
        <v>5637</v>
      </c>
      <c r="C5145" s="301" t="s">
        <v>117</v>
      </c>
      <c r="D5145" s="303">
        <v>79.239999999999995</v>
      </c>
    </row>
    <row r="5146" spans="1:4">
      <c r="A5146" s="302">
        <v>89479</v>
      </c>
      <c r="B5146" s="301" t="s">
        <v>5638</v>
      </c>
      <c r="C5146" s="301" t="s">
        <v>117</v>
      </c>
      <c r="D5146" s="303">
        <v>76.78</v>
      </c>
    </row>
    <row r="5147" spans="1:4">
      <c r="A5147" s="302">
        <v>89480</v>
      </c>
      <c r="B5147" s="301" t="s">
        <v>5639</v>
      </c>
      <c r="C5147" s="301" t="s">
        <v>117</v>
      </c>
      <c r="D5147" s="303">
        <v>102.29</v>
      </c>
    </row>
    <row r="5148" spans="1:4">
      <c r="A5148" s="302">
        <v>89483</v>
      </c>
      <c r="B5148" s="301" t="s">
        <v>5640</v>
      </c>
      <c r="C5148" s="301" t="s">
        <v>117</v>
      </c>
      <c r="D5148" s="303">
        <v>99.53</v>
      </c>
    </row>
    <row r="5149" spans="1:4">
      <c r="A5149" s="302">
        <v>89484</v>
      </c>
      <c r="B5149" s="301" t="s">
        <v>5641</v>
      </c>
      <c r="C5149" s="301" t="s">
        <v>117</v>
      </c>
      <c r="D5149" s="303">
        <v>86.46</v>
      </c>
    </row>
    <row r="5150" spans="1:4">
      <c r="A5150" s="302">
        <v>89486</v>
      </c>
      <c r="B5150" s="301" t="s">
        <v>5642</v>
      </c>
      <c r="C5150" s="301" t="s">
        <v>117</v>
      </c>
      <c r="D5150" s="303">
        <v>80.88</v>
      </c>
    </row>
    <row r="5151" spans="1:4">
      <c r="A5151" s="302">
        <v>89487</v>
      </c>
      <c r="B5151" s="301" t="s">
        <v>5643</v>
      </c>
      <c r="C5151" s="301" t="s">
        <v>117</v>
      </c>
      <c r="D5151" s="303">
        <v>110.6</v>
      </c>
    </row>
    <row r="5152" spans="1:4">
      <c r="A5152" s="302">
        <v>89488</v>
      </c>
      <c r="B5152" s="301" t="s">
        <v>5644</v>
      </c>
      <c r="C5152" s="301" t="s">
        <v>117</v>
      </c>
      <c r="D5152" s="303">
        <v>104.12</v>
      </c>
    </row>
    <row r="5153" spans="1:4">
      <c r="A5153" s="302">
        <v>91815</v>
      </c>
      <c r="B5153" s="301" t="s">
        <v>5645</v>
      </c>
      <c r="C5153" s="301" t="s">
        <v>117</v>
      </c>
      <c r="D5153" s="303">
        <v>58.68</v>
      </c>
    </row>
    <row r="5154" spans="1:4">
      <c r="A5154" s="302">
        <v>91816</v>
      </c>
      <c r="B5154" s="301" t="s">
        <v>5646</v>
      </c>
      <c r="C5154" s="301" t="s">
        <v>117</v>
      </c>
      <c r="D5154" s="303">
        <v>67.86</v>
      </c>
    </row>
    <row r="5155" spans="1:4">
      <c r="A5155" s="302">
        <v>72139</v>
      </c>
      <c r="B5155" s="301" t="s">
        <v>5647</v>
      </c>
      <c r="C5155" s="301" t="s">
        <v>117</v>
      </c>
      <c r="D5155" s="303">
        <v>545.42999999999995</v>
      </c>
    </row>
    <row r="5156" spans="1:4">
      <c r="A5156" s="302">
        <v>72175</v>
      </c>
      <c r="B5156" s="301" t="s">
        <v>5648</v>
      </c>
      <c r="C5156" s="301" t="s">
        <v>117</v>
      </c>
      <c r="D5156" s="303">
        <v>549.67999999999995</v>
      </c>
    </row>
    <row r="5157" spans="1:4">
      <c r="A5157" s="302">
        <v>72176</v>
      </c>
      <c r="B5157" s="301" t="s">
        <v>5649</v>
      </c>
      <c r="C5157" s="301" t="s">
        <v>117</v>
      </c>
      <c r="D5157" s="303">
        <v>553.92999999999995</v>
      </c>
    </row>
    <row r="5158" spans="1:4">
      <c r="A5158" s="302">
        <v>72178</v>
      </c>
      <c r="B5158" s="301" t="s">
        <v>5650</v>
      </c>
      <c r="C5158" s="301" t="s">
        <v>117</v>
      </c>
      <c r="D5158" s="303">
        <v>25.27</v>
      </c>
    </row>
    <row r="5159" spans="1:4">
      <c r="A5159" s="302">
        <v>72179</v>
      </c>
      <c r="B5159" s="301" t="s">
        <v>5651</v>
      </c>
      <c r="C5159" s="301" t="s">
        <v>117</v>
      </c>
      <c r="D5159" s="303">
        <v>49.52</v>
      </c>
    </row>
    <row r="5160" spans="1:4">
      <c r="A5160" s="302">
        <v>72180</v>
      </c>
      <c r="B5160" s="301" t="s">
        <v>5652</v>
      </c>
      <c r="C5160" s="301" t="s">
        <v>117</v>
      </c>
      <c r="D5160" s="303">
        <v>15.65</v>
      </c>
    </row>
    <row r="5161" spans="1:4">
      <c r="A5161" s="302">
        <v>72181</v>
      </c>
      <c r="B5161" s="301" t="s">
        <v>5653</v>
      </c>
      <c r="C5161" s="301" t="s">
        <v>117</v>
      </c>
      <c r="D5161" s="303">
        <v>31.75</v>
      </c>
    </row>
    <row r="5162" spans="1:4">
      <c r="A5162" s="301" t="s">
        <v>5654</v>
      </c>
      <c r="B5162" s="301" t="s">
        <v>5655</v>
      </c>
      <c r="C5162" s="301" t="s">
        <v>117</v>
      </c>
      <c r="D5162" s="303">
        <v>283.95999999999998</v>
      </c>
    </row>
    <row r="5163" spans="1:4">
      <c r="A5163" s="301" t="s">
        <v>5656</v>
      </c>
      <c r="B5163" s="301" t="s">
        <v>5657</v>
      </c>
      <c r="C5163" s="301" t="s">
        <v>117</v>
      </c>
      <c r="D5163" s="303">
        <v>202.93</v>
      </c>
    </row>
    <row r="5164" spans="1:4">
      <c r="A5164" s="301" t="s">
        <v>5658</v>
      </c>
      <c r="B5164" s="301" t="s">
        <v>5659</v>
      </c>
      <c r="C5164" s="301" t="s">
        <v>117</v>
      </c>
      <c r="D5164" s="303">
        <v>559.25</v>
      </c>
    </row>
    <row r="5165" spans="1:4">
      <c r="A5165" s="302">
        <v>79627</v>
      </c>
      <c r="B5165" s="301" t="s">
        <v>5660</v>
      </c>
      <c r="C5165" s="301" t="s">
        <v>117</v>
      </c>
      <c r="D5165" s="303">
        <v>629.78</v>
      </c>
    </row>
    <row r="5166" spans="1:4">
      <c r="A5166" s="302">
        <v>96358</v>
      </c>
      <c r="B5166" s="301" t="s">
        <v>5661</v>
      </c>
      <c r="C5166" s="301" t="s">
        <v>117</v>
      </c>
      <c r="D5166" s="303">
        <v>77.37</v>
      </c>
    </row>
    <row r="5167" spans="1:4">
      <c r="A5167" s="302">
        <v>96359</v>
      </c>
      <c r="B5167" s="301" t="s">
        <v>5662</v>
      </c>
      <c r="C5167" s="301" t="s">
        <v>117</v>
      </c>
      <c r="D5167" s="303">
        <v>85.06</v>
      </c>
    </row>
    <row r="5168" spans="1:4">
      <c r="A5168" s="302">
        <v>96360</v>
      </c>
      <c r="B5168" s="301" t="s">
        <v>5663</v>
      </c>
      <c r="C5168" s="301" t="s">
        <v>117</v>
      </c>
      <c r="D5168" s="303">
        <v>98.01</v>
      </c>
    </row>
    <row r="5169" spans="1:4">
      <c r="A5169" s="302">
        <v>96361</v>
      </c>
      <c r="B5169" s="301" t="s">
        <v>5664</v>
      </c>
      <c r="C5169" s="301" t="s">
        <v>117</v>
      </c>
      <c r="D5169" s="303">
        <v>113</v>
      </c>
    </row>
    <row r="5170" spans="1:4">
      <c r="A5170" s="302">
        <v>96362</v>
      </c>
      <c r="B5170" s="301" t="s">
        <v>5665</v>
      </c>
      <c r="C5170" s="301" t="s">
        <v>117</v>
      </c>
      <c r="D5170" s="303">
        <v>102.32</v>
      </c>
    </row>
    <row r="5171" spans="1:4">
      <c r="A5171" s="302">
        <v>96363</v>
      </c>
      <c r="B5171" s="301" t="s">
        <v>5666</v>
      </c>
      <c r="C5171" s="301" t="s">
        <v>117</v>
      </c>
      <c r="D5171" s="303">
        <v>110.27</v>
      </c>
    </row>
    <row r="5172" spans="1:4">
      <c r="A5172" s="302">
        <v>96364</v>
      </c>
      <c r="B5172" s="301" t="s">
        <v>5667</v>
      </c>
      <c r="C5172" s="301" t="s">
        <v>117</v>
      </c>
      <c r="D5172" s="303">
        <v>122.95</v>
      </c>
    </row>
    <row r="5173" spans="1:4">
      <c r="A5173" s="302">
        <v>96365</v>
      </c>
      <c r="B5173" s="301" t="s">
        <v>5668</v>
      </c>
      <c r="C5173" s="301" t="s">
        <v>117</v>
      </c>
      <c r="D5173" s="303">
        <v>138.19</v>
      </c>
    </row>
    <row r="5174" spans="1:4">
      <c r="A5174" s="302">
        <v>96366</v>
      </c>
      <c r="B5174" s="301" t="s">
        <v>5669</v>
      </c>
      <c r="C5174" s="301" t="s">
        <v>117</v>
      </c>
      <c r="D5174" s="303">
        <v>127.26</v>
      </c>
    </row>
    <row r="5175" spans="1:4">
      <c r="A5175" s="302">
        <v>96367</v>
      </c>
      <c r="B5175" s="301" t="s">
        <v>5670</v>
      </c>
      <c r="C5175" s="301" t="s">
        <v>117</v>
      </c>
      <c r="D5175" s="303">
        <v>135.43</v>
      </c>
    </row>
    <row r="5176" spans="1:4">
      <c r="A5176" s="302">
        <v>96368</v>
      </c>
      <c r="B5176" s="301" t="s">
        <v>5671</v>
      </c>
      <c r="C5176" s="301" t="s">
        <v>117</v>
      </c>
      <c r="D5176" s="303">
        <v>147.88999999999999</v>
      </c>
    </row>
    <row r="5177" spans="1:4">
      <c r="A5177" s="302">
        <v>96369</v>
      </c>
      <c r="B5177" s="301" t="s">
        <v>5672</v>
      </c>
      <c r="C5177" s="301" t="s">
        <v>117</v>
      </c>
      <c r="D5177" s="303">
        <v>163.38</v>
      </c>
    </row>
    <row r="5178" spans="1:4">
      <c r="A5178" s="302">
        <v>96370</v>
      </c>
      <c r="B5178" s="301" t="s">
        <v>5673</v>
      </c>
      <c r="C5178" s="301" t="s">
        <v>117</v>
      </c>
      <c r="D5178" s="303">
        <v>49.38</v>
      </c>
    </row>
    <row r="5179" spans="1:4">
      <c r="A5179" s="302">
        <v>96371</v>
      </c>
      <c r="B5179" s="301" t="s">
        <v>5674</v>
      </c>
      <c r="C5179" s="301" t="s">
        <v>117</v>
      </c>
      <c r="D5179" s="303">
        <v>56.92</v>
      </c>
    </row>
    <row r="5180" spans="1:4">
      <c r="A5180" s="302">
        <v>96372</v>
      </c>
      <c r="B5180" s="301" t="s">
        <v>5675</v>
      </c>
      <c r="C5180" s="301" t="s">
        <v>117</v>
      </c>
      <c r="D5180" s="303">
        <v>22.29</v>
      </c>
    </row>
    <row r="5181" spans="1:4">
      <c r="A5181" s="302">
        <v>96373</v>
      </c>
      <c r="B5181" s="301" t="s">
        <v>5676</v>
      </c>
      <c r="C5181" s="301" t="s">
        <v>35</v>
      </c>
      <c r="D5181" s="303">
        <v>7.43</v>
      </c>
    </row>
    <row r="5182" spans="1:4">
      <c r="A5182" s="302">
        <v>96374</v>
      </c>
      <c r="B5182" s="301" t="s">
        <v>5677</v>
      </c>
      <c r="C5182" s="301" t="s">
        <v>35</v>
      </c>
      <c r="D5182" s="303">
        <v>17</v>
      </c>
    </row>
    <row r="5183" spans="1:4">
      <c r="A5183" s="301" t="s">
        <v>5678</v>
      </c>
      <c r="B5183" s="301" t="s">
        <v>5679</v>
      </c>
      <c r="C5183" s="301" t="s">
        <v>117</v>
      </c>
      <c r="D5183" s="303">
        <v>61.97</v>
      </c>
    </row>
    <row r="5184" spans="1:4">
      <c r="A5184" s="301" t="s">
        <v>5680</v>
      </c>
      <c r="B5184" s="301" t="s">
        <v>5681</v>
      </c>
      <c r="C5184" s="301" t="s">
        <v>117</v>
      </c>
      <c r="D5184" s="303">
        <v>126.85</v>
      </c>
    </row>
    <row r="5185" spans="1:4">
      <c r="A5185" s="301" t="s">
        <v>5682</v>
      </c>
      <c r="B5185" s="301" t="s">
        <v>5683</v>
      </c>
      <c r="C5185" s="301" t="s">
        <v>117</v>
      </c>
      <c r="D5185" s="303">
        <v>55.36</v>
      </c>
    </row>
    <row r="5186" spans="1:4">
      <c r="A5186" s="301" t="s">
        <v>5684</v>
      </c>
      <c r="B5186" s="301" t="s">
        <v>5685</v>
      </c>
      <c r="C5186" s="301" t="s">
        <v>117</v>
      </c>
      <c r="D5186" s="303">
        <v>42.88</v>
      </c>
    </row>
    <row r="5187" spans="1:4">
      <c r="A5187" s="302">
        <v>83694</v>
      </c>
      <c r="B5187" s="301" t="s">
        <v>5686</v>
      </c>
      <c r="C5187" s="301" t="s">
        <v>117</v>
      </c>
      <c r="D5187" s="303">
        <v>15.18</v>
      </c>
    </row>
    <row r="5188" spans="1:4">
      <c r="A5188" s="301" t="s">
        <v>5687</v>
      </c>
      <c r="B5188" s="301" t="s">
        <v>5688</v>
      </c>
      <c r="C5188" s="301" t="s">
        <v>117</v>
      </c>
      <c r="D5188" s="303">
        <v>27.19</v>
      </c>
    </row>
    <row r="5189" spans="1:4">
      <c r="A5189" s="302">
        <v>83771</v>
      </c>
      <c r="B5189" s="301" t="s">
        <v>5689</v>
      </c>
      <c r="C5189" s="301" t="s">
        <v>60</v>
      </c>
      <c r="D5189" s="303">
        <v>6.88</v>
      </c>
    </row>
    <row r="5190" spans="1:4">
      <c r="A5190" s="302">
        <v>92970</v>
      </c>
      <c r="B5190" s="301" t="s">
        <v>12567</v>
      </c>
      <c r="C5190" s="301" t="s">
        <v>117</v>
      </c>
      <c r="D5190" s="303">
        <v>11.14</v>
      </c>
    </row>
    <row r="5191" spans="1:4">
      <c r="A5191" s="302">
        <v>100576</v>
      </c>
      <c r="B5191" s="301" t="s">
        <v>12118</v>
      </c>
      <c r="C5191" s="301" t="s">
        <v>117</v>
      </c>
      <c r="D5191" s="303">
        <v>1.32</v>
      </c>
    </row>
    <row r="5192" spans="1:4">
      <c r="A5192" s="302">
        <v>100577</v>
      </c>
      <c r="B5192" s="301" t="s">
        <v>12119</v>
      </c>
      <c r="C5192" s="301" t="s">
        <v>117</v>
      </c>
      <c r="D5192" s="303">
        <v>0.61</v>
      </c>
    </row>
    <row r="5193" spans="1:4">
      <c r="A5193" s="302">
        <v>96388</v>
      </c>
      <c r="B5193" s="301" t="s">
        <v>12120</v>
      </c>
      <c r="C5193" s="301" t="s">
        <v>60</v>
      </c>
      <c r="D5193" s="303">
        <v>6.25</v>
      </c>
    </row>
    <row r="5194" spans="1:4">
      <c r="A5194" s="302">
        <v>96389</v>
      </c>
      <c r="B5194" s="301" t="s">
        <v>12121</v>
      </c>
      <c r="C5194" s="301" t="s">
        <v>60</v>
      </c>
      <c r="D5194" s="303">
        <v>33.19</v>
      </c>
    </row>
    <row r="5195" spans="1:4">
      <c r="A5195" s="302">
        <v>96390</v>
      </c>
      <c r="B5195" s="301" t="s">
        <v>12122</v>
      </c>
      <c r="C5195" s="301" t="s">
        <v>60</v>
      </c>
      <c r="D5195" s="303">
        <v>54.05</v>
      </c>
    </row>
    <row r="5196" spans="1:4">
      <c r="A5196" s="302">
        <v>96391</v>
      </c>
      <c r="B5196" s="301" t="s">
        <v>12123</v>
      </c>
      <c r="C5196" s="301" t="s">
        <v>60</v>
      </c>
      <c r="D5196" s="303">
        <v>75.89</v>
      </c>
    </row>
    <row r="5197" spans="1:4">
      <c r="A5197" s="302">
        <v>96392</v>
      </c>
      <c r="B5197" s="301" t="s">
        <v>12124</v>
      </c>
      <c r="C5197" s="301" t="s">
        <v>60</v>
      </c>
      <c r="D5197" s="303">
        <v>96.99</v>
      </c>
    </row>
    <row r="5198" spans="1:4">
      <c r="A5198" s="302">
        <v>96396</v>
      </c>
      <c r="B5198" s="301" t="s">
        <v>12125</v>
      </c>
      <c r="C5198" s="301" t="s">
        <v>60</v>
      </c>
      <c r="D5198" s="303">
        <v>138.47</v>
      </c>
    </row>
    <row r="5199" spans="1:4">
      <c r="A5199" s="302">
        <v>96397</v>
      </c>
      <c r="B5199" s="301" t="s">
        <v>12126</v>
      </c>
      <c r="C5199" s="301" t="s">
        <v>60</v>
      </c>
      <c r="D5199" s="303">
        <v>177.35</v>
      </c>
    </row>
    <row r="5200" spans="1:4">
      <c r="A5200" s="302">
        <v>96398</v>
      </c>
      <c r="B5200" s="301" t="s">
        <v>12127</v>
      </c>
      <c r="C5200" s="301" t="s">
        <v>60</v>
      </c>
      <c r="D5200" s="303">
        <v>193.12</v>
      </c>
    </row>
    <row r="5201" spans="1:4">
      <c r="A5201" s="302">
        <v>96399</v>
      </c>
      <c r="B5201" s="301" t="s">
        <v>12128</v>
      </c>
      <c r="C5201" s="301" t="s">
        <v>60</v>
      </c>
      <c r="D5201" s="303">
        <v>100.07</v>
      </c>
    </row>
    <row r="5202" spans="1:4">
      <c r="A5202" s="302">
        <v>96400</v>
      </c>
      <c r="B5202" s="301" t="s">
        <v>12129</v>
      </c>
      <c r="C5202" s="301" t="s">
        <v>60</v>
      </c>
      <c r="D5202" s="303">
        <v>126.75</v>
      </c>
    </row>
    <row r="5203" spans="1:4">
      <c r="A5203" s="302">
        <v>96401</v>
      </c>
      <c r="B5203" s="301" t="s">
        <v>12130</v>
      </c>
      <c r="C5203" s="301" t="s">
        <v>117</v>
      </c>
      <c r="D5203" s="303">
        <v>8.01</v>
      </c>
    </row>
    <row r="5204" spans="1:4">
      <c r="A5204" s="302">
        <v>96402</v>
      </c>
      <c r="B5204" s="301" t="s">
        <v>12131</v>
      </c>
      <c r="C5204" s="301" t="s">
        <v>117</v>
      </c>
      <c r="D5204" s="303">
        <v>1.8</v>
      </c>
    </row>
    <row r="5205" spans="1:4">
      <c r="A5205" s="302">
        <v>100564</v>
      </c>
      <c r="B5205" s="301" t="s">
        <v>12132</v>
      </c>
      <c r="C5205" s="301" t="s">
        <v>60</v>
      </c>
      <c r="D5205" s="303">
        <v>78.78</v>
      </c>
    </row>
    <row r="5206" spans="1:4">
      <c r="A5206" s="302">
        <v>100565</v>
      </c>
      <c r="B5206" s="301" t="s">
        <v>12133</v>
      </c>
      <c r="C5206" s="301" t="s">
        <v>60</v>
      </c>
      <c r="D5206" s="303">
        <v>67.819999999999993</v>
      </c>
    </row>
    <row r="5207" spans="1:4">
      <c r="A5207" s="302">
        <v>100566</v>
      </c>
      <c r="B5207" s="301" t="s">
        <v>12134</v>
      </c>
      <c r="C5207" s="301" t="s">
        <v>60</v>
      </c>
      <c r="D5207" s="303">
        <v>121.72</v>
      </c>
    </row>
    <row r="5208" spans="1:4">
      <c r="A5208" s="302">
        <v>100567</v>
      </c>
      <c r="B5208" s="301" t="s">
        <v>12135</v>
      </c>
      <c r="C5208" s="301" t="s">
        <v>60</v>
      </c>
      <c r="D5208" s="303">
        <v>141.82</v>
      </c>
    </row>
    <row r="5209" spans="1:4">
      <c r="A5209" s="302">
        <v>100568</v>
      </c>
      <c r="B5209" s="301" t="s">
        <v>12136</v>
      </c>
      <c r="C5209" s="301" t="s">
        <v>60</v>
      </c>
      <c r="D5209" s="303">
        <v>161.56</v>
      </c>
    </row>
    <row r="5210" spans="1:4">
      <c r="A5210" s="302">
        <v>100569</v>
      </c>
      <c r="B5210" s="301" t="s">
        <v>12137</v>
      </c>
      <c r="C5210" s="301" t="s">
        <v>60</v>
      </c>
      <c r="D5210" s="303">
        <v>111.16</v>
      </c>
    </row>
    <row r="5211" spans="1:4">
      <c r="A5211" s="302">
        <v>100570</v>
      </c>
      <c r="B5211" s="301" t="s">
        <v>12138</v>
      </c>
      <c r="C5211" s="301" t="s">
        <v>60</v>
      </c>
      <c r="D5211" s="303">
        <v>132.74</v>
      </c>
    </row>
    <row r="5212" spans="1:4">
      <c r="A5212" s="302">
        <v>100571</v>
      </c>
      <c r="B5212" s="301" t="s">
        <v>12139</v>
      </c>
      <c r="C5212" s="301" t="s">
        <v>60</v>
      </c>
      <c r="D5212" s="303">
        <v>151.47999999999999</v>
      </c>
    </row>
    <row r="5213" spans="1:4">
      <c r="A5213" s="302">
        <v>100572</v>
      </c>
      <c r="B5213" s="301" t="s">
        <v>12140</v>
      </c>
      <c r="C5213" s="301" t="s">
        <v>60</v>
      </c>
      <c r="D5213" s="303">
        <v>81.83</v>
      </c>
    </row>
    <row r="5214" spans="1:4">
      <c r="A5214" s="302">
        <v>100573</v>
      </c>
      <c r="B5214" s="301" t="s">
        <v>12141</v>
      </c>
      <c r="C5214" s="301" t="s">
        <v>60</v>
      </c>
      <c r="D5214" s="303">
        <v>70.87</v>
      </c>
    </row>
    <row r="5215" spans="1:4">
      <c r="A5215" s="302">
        <v>100574</v>
      </c>
      <c r="B5215" s="301" t="s">
        <v>12142</v>
      </c>
      <c r="C5215" s="301" t="s">
        <v>60</v>
      </c>
      <c r="D5215" s="303">
        <v>0.83</v>
      </c>
    </row>
    <row r="5216" spans="1:4">
      <c r="A5216" s="302">
        <v>100575</v>
      </c>
      <c r="B5216" s="301" t="s">
        <v>12143</v>
      </c>
      <c r="C5216" s="301" t="s">
        <v>117</v>
      </c>
      <c r="D5216" s="303">
        <v>0.06</v>
      </c>
    </row>
    <row r="5217" spans="1:4">
      <c r="A5217" s="302">
        <v>72799</v>
      </c>
      <c r="B5217" s="301" t="s">
        <v>5690</v>
      </c>
      <c r="C5217" s="301" t="s">
        <v>117</v>
      </c>
      <c r="D5217" s="303">
        <v>76.8</v>
      </c>
    </row>
    <row r="5218" spans="1:4">
      <c r="A5218" s="302">
        <v>72942</v>
      </c>
      <c r="B5218" s="301" t="s">
        <v>12568</v>
      </c>
      <c r="C5218" s="301" t="s">
        <v>117</v>
      </c>
      <c r="D5218" s="303">
        <v>1.75</v>
      </c>
    </row>
    <row r="5219" spans="1:4">
      <c r="A5219" s="302">
        <v>72943</v>
      </c>
      <c r="B5219" s="301" t="s">
        <v>12569</v>
      </c>
      <c r="C5219" s="301" t="s">
        <v>117</v>
      </c>
      <c r="D5219" s="303">
        <v>1.98</v>
      </c>
    </row>
    <row r="5220" spans="1:4">
      <c r="A5220" s="302">
        <v>72972</v>
      </c>
      <c r="B5220" s="301" t="s">
        <v>12570</v>
      </c>
      <c r="C5220" s="301" t="s">
        <v>117</v>
      </c>
      <c r="D5220" s="303">
        <v>0.84</v>
      </c>
    </row>
    <row r="5221" spans="1:4">
      <c r="A5221" s="302">
        <v>72973</v>
      </c>
      <c r="B5221" s="301" t="s">
        <v>12571</v>
      </c>
      <c r="C5221" s="301" t="s">
        <v>35</v>
      </c>
      <c r="D5221" s="303">
        <v>1.59</v>
      </c>
    </row>
    <row r="5222" spans="1:4">
      <c r="A5222" s="302">
        <v>72974</v>
      </c>
      <c r="B5222" s="301" t="s">
        <v>12572</v>
      </c>
      <c r="C5222" s="301" t="s">
        <v>117</v>
      </c>
      <c r="D5222" s="303">
        <v>5.3</v>
      </c>
    </row>
    <row r="5223" spans="1:4">
      <c r="A5223" s="302">
        <v>72975</v>
      </c>
      <c r="B5223" s="301" t="s">
        <v>12573</v>
      </c>
      <c r="C5223" s="301" t="s">
        <v>117</v>
      </c>
      <c r="D5223" s="303">
        <v>0.59</v>
      </c>
    </row>
    <row r="5224" spans="1:4">
      <c r="A5224" s="302">
        <v>72978</v>
      </c>
      <c r="B5224" s="301" t="s">
        <v>12574</v>
      </c>
      <c r="C5224" s="301" t="s">
        <v>35</v>
      </c>
      <c r="D5224" s="303">
        <v>5.3</v>
      </c>
    </row>
    <row r="5225" spans="1:4">
      <c r="A5225" s="302">
        <v>72979</v>
      </c>
      <c r="B5225" s="301" t="s">
        <v>12575</v>
      </c>
      <c r="C5225" s="301" t="s">
        <v>117</v>
      </c>
      <c r="D5225" s="303">
        <v>10.130000000000001</v>
      </c>
    </row>
    <row r="5226" spans="1:4">
      <c r="A5226" s="301" t="s">
        <v>12576</v>
      </c>
      <c r="B5226" s="301" t="s">
        <v>12577</v>
      </c>
      <c r="C5226" s="301" t="s">
        <v>117</v>
      </c>
      <c r="D5226" s="303">
        <v>4.57</v>
      </c>
    </row>
    <row r="5227" spans="1:4">
      <c r="A5227" s="301" t="s">
        <v>5691</v>
      </c>
      <c r="B5227" s="301" t="s">
        <v>5692</v>
      </c>
      <c r="C5227" s="301" t="s">
        <v>60</v>
      </c>
      <c r="D5227" s="303">
        <v>819.2</v>
      </c>
    </row>
    <row r="5228" spans="1:4">
      <c r="A5228" s="301" t="s">
        <v>5693</v>
      </c>
      <c r="B5228" s="301" t="s">
        <v>5694</v>
      </c>
      <c r="C5228" s="301" t="s">
        <v>60</v>
      </c>
      <c r="D5228" s="303">
        <v>616.91</v>
      </c>
    </row>
    <row r="5229" spans="1:4">
      <c r="A5229" s="302">
        <v>92391</v>
      </c>
      <c r="B5229" s="301" t="s">
        <v>5695</v>
      </c>
      <c r="C5229" s="301" t="s">
        <v>117</v>
      </c>
      <c r="D5229" s="303">
        <v>60.47</v>
      </c>
    </row>
    <row r="5230" spans="1:4">
      <c r="A5230" s="302">
        <v>92392</v>
      </c>
      <c r="B5230" s="301" t="s">
        <v>5696</v>
      </c>
      <c r="C5230" s="301" t="s">
        <v>117</v>
      </c>
      <c r="D5230" s="303">
        <v>63.49</v>
      </c>
    </row>
    <row r="5231" spans="1:4">
      <c r="A5231" s="302">
        <v>92393</v>
      </c>
      <c r="B5231" s="301" t="s">
        <v>5697</v>
      </c>
      <c r="C5231" s="301" t="s">
        <v>117</v>
      </c>
      <c r="D5231" s="303">
        <v>54.26</v>
      </c>
    </row>
    <row r="5232" spans="1:4">
      <c r="A5232" s="302">
        <v>92394</v>
      </c>
      <c r="B5232" s="301" t="s">
        <v>5698</v>
      </c>
      <c r="C5232" s="301" t="s">
        <v>117</v>
      </c>
      <c r="D5232" s="303">
        <v>58.35</v>
      </c>
    </row>
    <row r="5233" spans="1:4">
      <c r="A5233" s="302">
        <v>92395</v>
      </c>
      <c r="B5233" s="301" t="s">
        <v>5699</v>
      </c>
      <c r="C5233" s="301" t="s">
        <v>117</v>
      </c>
      <c r="D5233" s="303">
        <v>73.88</v>
      </c>
    </row>
    <row r="5234" spans="1:4">
      <c r="A5234" s="302">
        <v>92396</v>
      </c>
      <c r="B5234" s="301" t="s">
        <v>984</v>
      </c>
      <c r="C5234" s="301" t="s">
        <v>117</v>
      </c>
      <c r="D5234" s="303">
        <v>64.83</v>
      </c>
    </row>
    <row r="5235" spans="1:4">
      <c r="A5235" s="302">
        <v>92397</v>
      </c>
      <c r="B5235" s="301" t="s">
        <v>5700</v>
      </c>
      <c r="C5235" s="301" t="s">
        <v>117</v>
      </c>
      <c r="D5235" s="303">
        <v>53.47</v>
      </c>
    </row>
    <row r="5236" spans="1:4">
      <c r="A5236" s="302">
        <v>92398</v>
      </c>
      <c r="B5236" s="301" t="s">
        <v>5701</v>
      </c>
      <c r="C5236" s="301" t="s">
        <v>117</v>
      </c>
      <c r="D5236" s="303">
        <v>60.13</v>
      </c>
    </row>
    <row r="5237" spans="1:4">
      <c r="A5237" s="302">
        <v>92399</v>
      </c>
      <c r="B5237" s="301" t="s">
        <v>5702</v>
      </c>
      <c r="C5237" s="301" t="s">
        <v>117</v>
      </c>
      <c r="D5237" s="303">
        <v>61.4</v>
      </c>
    </row>
    <row r="5238" spans="1:4">
      <c r="A5238" s="302">
        <v>92400</v>
      </c>
      <c r="B5238" s="301" t="s">
        <v>5703</v>
      </c>
      <c r="C5238" s="301" t="s">
        <v>117</v>
      </c>
      <c r="D5238" s="303">
        <v>73.790000000000006</v>
      </c>
    </row>
    <row r="5239" spans="1:4">
      <c r="A5239" s="302">
        <v>92401</v>
      </c>
      <c r="B5239" s="301" t="s">
        <v>5704</v>
      </c>
      <c r="C5239" s="301" t="s">
        <v>117</v>
      </c>
      <c r="D5239" s="303">
        <v>75.150000000000006</v>
      </c>
    </row>
    <row r="5240" spans="1:4">
      <c r="A5240" s="302">
        <v>92402</v>
      </c>
      <c r="B5240" s="301" t="s">
        <v>5705</v>
      </c>
      <c r="C5240" s="301" t="s">
        <v>117</v>
      </c>
      <c r="D5240" s="303">
        <v>66.39</v>
      </c>
    </row>
    <row r="5241" spans="1:4">
      <c r="A5241" s="302">
        <v>92403</v>
      </c>
      <c r="B5241" s="301" t="s">
        <v>5706</v>
      </c>
      <c r="C5241" s="301" t="s">
        <v>117</v>
      </c>
      <c r="D5241" s="303">
        <v>54.91</v>
      </c>
    </row>
    <row r="5242" spans="1:4">
      <c r="A5242" s="302">
        <v>92404</v>
      </c>
      <c r="B5242" s="301" t="s">
        <v>5707</v>
      </c>
      <c r="C5242" s="301" t="s">
        <v>117</v>
      </c>
      <c r="D5242" s="303">
        <v>61.56</v>
      </c>
    </row>
    <row r="5243" spans="1:4">
      <c r="A5243" s="302">
        <v>92405</v>
      </c>
      <c r="B5243" s="301" t="s">
        <v>5708</v>
      </c>
      <c r="C5243" s="301" t="s">
        <v>117</v>
      </c>
      <c r="D5243" s="303">
        <v>62.81</v>
      </c>
    </row>
    <row r="5244" spans="1:4">
      <c r="A5244" s="302">
        <v>92406</v>
      </c>
      <c r="B5244" s="301" t="s">
        <v>5709</v>
      </c>
      <c r="C5244" s="301" t="s">
        <v>117</v>
      </c>
      <c r="D5244" s="303">
        <v>75.22</v>
      </c>
    </row>
    <row r="5245" spans="1:4">
      <c r="A5245" s="302">
        <v>92407</v>
      </c>
      <c r="B5245" s="301" t="s">
        <v>5710</v>
      </c>
      <c r="C5245" s="301" t="s">
        <v>117</v>
      </c>
      <c r="D5245" s="303">
        <v>76.55</v>
      </c>
    </row>
    <row r="5246" spans="1:4">
      <c r="A5246" s="302">
        <v>93679</v>
      </c>
      <c r="B5246" s="301" t="s">
        <v>5711</v>
      </c>
      <c r="C5246" s="301" t="s">
        <v>117</v>
      </c>
      <c r="D5246" s="303">
        <v>70.7</v>
      </c>
    </row>
    <row r="5247" spans="1:4">
      <c r="A5247" s="302">
        <v>93680</v>
      </c>
      <c r="B5247" s="301" t="s">
        <v>5712</v>
      </c>
      <c r="C5247" s="301" t="s">
        <v>117</v>
      </c>
      <c r="D5247" s="303">
        <v>59.09</v>
      </c>
    </row>
    <row r="5248" spans="1:4">
      <c r="A5248" s="302">
        <v>93681</v>
      </c>
      <c r="B5248" s="301" t="s">
        <v>5713</v>
      </c>
      <c r="C5248" s="301" t="s">
        <v>117</v>
      </c>
      <c r="D5248" s="303">
        <v>71.349999999999994</v>
      </c>
    </row>
    <row r="5249" spans="1:4">
      <c r="A5249" s="302">
        <v>93682</v>
      </c>
      <c r="B5249" s="301" t="s">
        <v>5714</v>
      </c>
      <c r="C5249" s="301" t="s">
        <v>117</v>
      </c>
      <c r="D5249" s="303">
        <v>72.739999999999995</v>
      </c>
    </row>
    <row r="5250" spans="1:4">
      <c r="A5250" s="302">
        <v>97114</v>
      </c>
      <c r="B5250" s="301" t="s">
        <v>5715</v>
      </c>
      <c r="C5250" s="301" t="s">
        <v>35</v>
      </c>
      <c r="D5250" s="303">
        <v>0.38</v>
      </c>
    </row>
    <row r="5251" spans="1:4">
      <c r="A5251" s="302">
        <v>97115</v>
      </c>
      <c r="B5251" s="301" t="s">
        <v>5716</v>
      </c>
      <c r="C5251" s="301" t="s">
        <v>34</v>
      </c>
      <c r="D5251" s="303">
        <v>30.07</v>
      </c>
    </row>
    <row r="5252" spans="1:4">
      <c r="A5252" s="302">
        <v>97120</v>
      </c>
      <c r="B5252" s="301" t="s">
        <v>5717</v>
      </c>
      <c r="C5252" s="301" t="s">
        <v>34</v>
      </c>
      <c r="D5252" s="303">
        <v>6.73</v>
      </c>
    </row>
    <row r="5253" spans="1:4">
      <c r="A5253" s="302">
        <v>97802</v>
      </c>
      <c r="B5253" s="301" t="s">
        <v>12144</v>
      </c>
      <c r="C5253" s="301" t="s">
        <v>117</v>
      </c>
      <c r="D5253" s="303">
        <v>5.12</v>
      </c>
    </row>
    <row r="5254" spans="1:4">
      <c r="A5254" s="302">
        <v>97803</v>
      </c>
      <c r="B5254" s="301" t="s">
        <v>12145</v>
      </c>
      <c r="C5254" s="301" t="s">
        <v>117</v>
      </c>
      <c r="D5254" s="303">
        <v>7.64</v>
      </c>
    </row>
    <row r="5255" spans="1:4">
      <c r="A5255" s="302">
        <v>97805</v>
      </c>
      <c r="B5255" s="301" t="s">
        <v>12146</v>
      </c>
      <c r="C5255" s="301" t="s">
        <v>117</v>
      </c>
      <c r="D5255" s="303">
        <v>12.87</v>
      </c>
    </row>
    <row r="5256" spans="1:4">
      <c r="A5256" s="302">
        <v>97806</v>
      </c>
      <c r="B5256" s="301" t="s">
        <v>12147</v>
      </c>
      <c r="C5256" s="301" t="s">
        <v>117</v>
      </c>
      <c r="D5256" s="303">
        <v>15.35</v>
      </c>
    </row>
    <row r="5257" spans="1:4">
      <c r="A5257" s="302">
        <v>97807</v>
      </c>
      <c r="B5257" s="301" t="s">
        <v>12148</v>
      </c>
      <c r="C5257" s="301" t="s">
        <v>117</v>
      </c>
      <c r="D5257" s="303">
        <v>17.43</v>
      </c>
    </row>
    <row r="5258" spans="1:4">
      <c r="A5258" s="302">
        <v>97809</v>
      </c>
      <c r="B5258" s="301" t="s">
        <v>12149</v>
      </c>
      <c r="C5258" s="301" t="s">
        <v>117</v>
      </c>
      <c r="D5258" s="303">
        <v>14.32</v>
      </c>
    </row>
    <row r="5259" spans="1:4">
      <c r="A5259" s="302">
        <v>97810</v>
      </c>
      <c r="B5259" s="301" t="s">
        <v>12150</v>
      </c>
      <c r="C5259" s="301" t="s">
        <v>117</v>
      </c>
      <c r="D5259" s="303">
        <v>15.49</v>
      </c>
    </row>
    <row r="5260" spans="1:4">
      <c r="A5260" s="302">
        <v>97811</v>
      </c>
      <c r="B5260" s="301" t="s">
        <v>12151</v>
      </c>
      <c r="C5260" s="301" t="s">
        <v>117</v>
      </c>
      <c r="D5260" s="303">
        <v>17.59</v>
      </c>
    </row>
    <row r="5261" spans="1:4">
      <c r="A5261" s="302">
        <v>72947</v>
      </c>
      <c r="B5261" s="301" t="s">
        <v>5718</v>
      </c>
      <c r="C5261" s="301" t="s">
        <v>117</v>
      </c>
      <c r="D5261" s="303">
        <v>11.06</v>
      </c>
    </row>
    <row r="5262" spans="1:4">
      <c r="A5262" s="302">
        <v>83693</v>
      </c>
      <c r="B5262" s="301" t="s">
        <v>5719</v>
      </c>
      <c r="C5262" s="301" t="s">
        <v>117</v>
      </c>
      <c r="D5262" s="303">
        <v>3.52</v>
      </c>
    </row>
    <row r="5263" spans="1:4">
      <c r="A5263" s="301" t="s">
        <v>12578</v>
      </c>
      <c r="B5263" s="301" t="s">
        <v>12579</v>
      </c>
      <c r="C5263" s="301" t="s">
        <v>35</v>
      </c>
      <c r="D5263" s="303">
        <v>500.93</v>
      </c>
    </row>
    <row r="5264" spans="1:4">
      <c r="A5264" s="301" t="s">
        <v>12580</v>
      </c>
      <c r="B5264" s="301" t="s">
        <v>12581</v>
      </c>
      <c r="C5264" s="301" t="s">
        <v>35</v>
      </c>
      <c r="D5264" s="303">
        <v>430.93</v>
      </c>
    </row>
    <row r="5265" spans="1:4">
      <c r="A5265" s="301" t="s">
        <v>12582</v>
      </c>
      <c r="B5265" s="301" t="s">
        <v>12583</v>
      </c>
      <c r="C5265" s="301" t="s">
        <v>117</v>
      </c>
      <c r="D5265" s="303">
        <v>5.23</v>
      </c>
    </row>
    <row r="5266" spans="1:4">
      <c r="A5266" s="302">
        <v>72962</v>
      </c>
      <c r="B5266" s="301" t="s">
        <v>5720</v>
      </c>
      <c r="C5266" s="301" t="s">
        <v>5449</v>
      </c>
      <c r="D5266" s="303">
        <v>312.86</v>
      </c>
    </row>
    <row r="5267" spans="1:4">
      <c r="A5267" s="302">
        <v>72963</v>
      </c>
      <c r="B5267" s="301" t="s">
        <v>5721</v>
      </c>
      <c r="C5267" s="301" t="s">
        <v>5449</v>
      </c>
      <c r="D5267" s="303">
        <v>263.07</v>
      </c>
    </row>
    <row r="5268" spans="1:4">
      <c r="A5268" s="301" t="s">
        <v>12584</v>
      </c>
      <c r="B5268" s="301" t="s">
        <v>12585</v>
      </c>
      <c r="C5268" s="301" t="s">
        <v>60</v>
      </c>
      <c r="D5268" s="303">
        <v>522.96</v>
      </c>
    </row>
    <row r="5269" spans="1:4">
      <c r="A5269" s="302">
        <v>95995</v>
      </c>
      <c r="B5269" s="301" t="s">
        <v>12152</v>
      </c>
      <c r="C5269" s="301" t="s">
        <v>60</v>
      </c>
      <c r="D5269" s="303">
        <v>906.47</v>
      </c>
    </row>
    <row r="5270" spans="1:4">
      <c r="A5270" s="302">
        <v>95996</v>
      </c>
      <c r="B5270" s="301" t="s">
        <v>12153</v>
      </c>
      <c r="C5270" s="301" t="s">
        <v>60</v>
      </c>
      <c r="D5270" s="303">
        <v>860.65</v>
      </c>
    </row>
    <row r="5271" spans="1:4">
      <c r="A5271" s="302">
        <v>96001</v>
      </c>
      <c r="B5271" s="301" t="s">
        <v>12154</v>
      </c>
      <c r="C5271" s="301" t="s">
        <v>117</v>
      </c>
      <c r="D5271" s="303">
        <v>5.0199999999999996</v>
      </c>
    </row>
    <row r="5272" spans="1:4">
      <c r="A5272" s="302">
        <v>96393</v>
      </c>
      <c r="B5272" s="301" t="s">
        <v>5722</v>
      </c>
      <c r="C5272" s="301" t="s">
        <v>60</v>
      </c>
      <c r="D5272" s="303">
        <v>131.54</v>
      </c>
    </row>
    <row r="5273" spans="1:4">
      <c r="A5273" s="302">
        <v>96394</v>
      </c>
      <c r="B5273" s="301" t="s">
        <v>5723</v>
      </c>
      <c r="C5273" s="301" t="s">
        <v>60</v>
      </c>
      <c r="D5273" s="303">
        <v>169.51</v>
      </c>
    </row>
    <row r="5274" spans="1:4">
      <c r="A5274" s="302">
        <v>96395</v>
      </c>
      <c r="B5274" s="301" t="s">
        <v>5724</v>
      </c>
      <c r="C5274" s="301" t="s">
        <v>60</v>
      </c>
      <c r="D5274" s="303">
        <v>186.19</v>
      </c>
    </row>
    <row r="5275" spans="1:4">
      <c r="A5275" s="302">
        <v>73445</v>
      </c>
      <c r="B5275" s="301" t="s">
        <v>12586</v>
      </c>
      <c r="C5275" s="301" t="s">
        <v>117</v>
      </c>
      <c r="D5275" s="303">
        <v>8.5500000000000007</v>
      </c>
    </row>
    <row r="5276" spans="1:4">
      <c r="A5276" s="302">
        <v>73446</v>
      </c>
      <c r="B5276" s="301" t="s">
        <v>12587</v>
      </c>
      <c r="C5276" s="301" t="s">
        <v>117</v>
      </c>
      <c r="D5276" s="303">
        <v>19.04</v>
      </c>
    </row>
    <row r="5277" spans="1:4">
      <c r="A5277" s="301" t="s">
        <v>12588</v>
      </c>
      <c r="B5277" s="301" t="s">
        <v>12589</v>
      </c>
      <c r="C5277" s="301" t="s">
        <v>117</v>
      </c>
      <c r="D5277" s="303">
        <v>16.45</v>
      </c>
    </row>
    <row r="5278" spans="1:4">
      <c r="A5278" s="301" t="s">
        <v>12590</v>
      </c>
      <c r="B5278" s="301" t="s">
        <v>12591</v>
      </c>
      <c r="C5278" s="301" t="s">
        <v>117</v>
      </c>
      <c r="D5278" s="303">
        <v>20.61</v>
      </c>
    </row>
    <row r="5279" spans="1:4">
      <c r="A5279" s="302">
        <v>79462</v>
      </c>
      <c r="B5279" s="301" t="s">
        <v>12592</v>
      </c>
      <c r="C5279" s="301" t="s">
        <v>117</v>
      </c>
      <c r="D5279" s="303">
        <v>52.72</v>
      </c>
    </row>
    <row r="5280" spans="1:4">
      <c r="A5280" s="301" t="s">
        <v>12593</v>
      </c>
      <c r="B5280" s="301" t="s">
        <v>12594</v>
      </c>
      <c r="C5280" s="301" t="s">
        <v>117</v>
      </c>
      <c r="D5280" s="303">
        <v>11.48</v>
      </c>
    </row>
    <row r="5281" spans="1:4">
      <c r="A5281" s="302">
        <v>84651</v>
      </c>
      <c r="B5281" s="301" t="s">
        <v>12595</v>
      </c>
      <c r="C5281" s="301" t="s">
        <v>117</v>
      </c>
      <c r="D5281" s="303">
        <v>9.58</v>
      </c>
    </row>
    <row r="5282" spans="1:4">
      <c r="A5282" s="302">
        <v>88411</v>
      </c>
      <c r="B5282" s="301" t="s">
        <v>504</v>
      </c>
      <c r="C5282" s="301" t="s">
        <v>117</v>
      </c>
      <c r="D5282" s="303">
        <v>1.81</v>
      </c>
    </row>
    <row r="5283" spans="1:4">
      <c r="A5283" s="302">
        <v>88412</v>
      </c>
      <c r="B5283" s="301" t="s">
        <v>5725</v>
      </c>
      <c r="C5283" s="301" t="s">
        <v>117</v>
      </c>
      <c r="D5283" s="303">
        <v>1.25</v>
      </c>
    </row>
    <row r="5284" spans="1:4">
      <c r="A5284" s="302">
        <v>88413</v>
      </c>
      <c r="B5284" s="301" t="s">
        <v>5726</v>
      </c>
      <c r="C5284" s="301" t="s">
        <v>117</v>
      </c>
      <c r="D5284" s="303">
        <v>2.92</v>
      </c>
    </row>
    <row r="5285" spans="1:4">
      <c r="A5285" s="302">
        <v>88414</v>
      </c>
      <c r="B5285" s="301" t="s">
        <v>5727</v>
      </c>
      <c r="C5285" s="301" t="s">
        <v>117</v>
      </c>
      <c r="D5285" s="303">
        <v>3.27</v>
      </c>
    </row>
    <row r="5286" spans="1:4">
      <c r="A5286" s="302">
        <v>88415</v>
      </c>
      <c r="B5286" s="301" t="s">
        <v>5728</v>
      </c>
      <c r="C5286" s="301" t="s">
        <v>117</v>
      </c>
      <c r="D5286" s="303">
        <v>1.98</v>
      </c>
    </row>
    <row r="5287" spans="1:4">
      <c r="A5287" s="302">
        <v>88416</v>
      </c>
      <c r="B5287" s="301" t="s">
        <v>5729</v>
      </c>
      <c r="C5287" s="301" t="s">
        <v>117</v>
      </c>
      <c r="D5287" s="303">
        <v>15.82</v>
      </c>
    </row>
    <row r="5288" spans="1:4">
      <c r="A5288" s="302">
        <v>88417</v>
      </c>
      <c r="B5288" s="301" t="s">
        <v>5730</v>
      </c>
      <c r="C5288" s="301" t="s">
        <v>117</v>
      </c>
      <c r="D5288" s="303">
        <v>13.85</v>
      </c>
    </row>
    <row r="5289" spans="1:4">
      <c r="A5289" s="302">
        <v>88420</v>
      </c>
      <c r="B5289" s="301" t="s">
        <v>5731</v>
      </c>
      <c r="C5289" s="301" t="s">
        <v>117</v>
      </c>
      <c r="D5289" s="303">
        <v>19.809999999999999</v>
      </c>
    </row>
    <row r="5290" spans="1:4">
      <c r="A5290" s="302">
        <v>88421</v>
      </c>
      <c r="B5290" s="301" t="s">
        <v>5732</v>
      </c>
      <c r="C5290" s="301" t="s">
        <v>117</v>
      </c>
      <c r="D5290" s="303">
        <v>21.07</v>
      </c>
    </row>
    <row r="5291" spans="1:4">
      <c r="A5291" s="302">
        <v>88423</v>
      </c>
      <c r="B5291" s="301" t="s">
        <v>5733</v>
      </c>
      <c r="C5291" s="301" t="s">
        <v>117</v>
      </c>
      <c r="D5291" s="303">
        <v>16.45</v>
      </c>
    </row>
    <row r="5292" spans="1:4">
      <c r="A5292" s="302">
        <v>88424</v>
      </c>
      <c r="B5292" s="301" t="s">
        <v>5734</v>
      </c>
      <c r="C5292" s="301" t="s">
        <v>117</v>
      </c>
      <c r="D5292" s="303">
        <v>18.53</v>
      </c>
    </row>
    <row r="5293" spans="1:4">
      <c r="A5293" s="302">
        <v>88426</v>
      </c>
      <c r="B5293" s="301" t="s">
        <v>5735</v>
      </c>
      <c r="C5293" s="301" t="s">
        <v>117</v>
      </c>
      <c r="D5293" s="303">
        <v>15.13</v>
      </c>
    </row>
    <row r="5294" spans="1:4">
      <c r="A5294" s="302">
        <v>88428</v>
      </c>
      <c r="B5294" s="301" t="s">
        <v>5736</v>
      </c>
      <c r="C5294" s="301" t="s">
        <v>117</v>
      </c>
      <c r="D5294" s="303">
        <v>25.39</v>
      </c>
    </row>
    <row r="5295" spans="1:4">
      <c r="A5295" s="302">
        <v>88429</v>
      </c>
      <c r="B5295" s="301" t="s">
        <v>5737</v>
      </c>
      <c r="C5295" s="301" t="s">
        <v>117</v>
      </c>
      <c r="D5295" s="303">
        <v>27.58</v>
      </c>
    </row>
    <row r="5296" spans="1:4">
      <c r="A5296" s="302">
        <v>88431</v>
      </c>
      <c r="B5296" s="301" t="s">
        <v>5738</v>
      </c>
      <c r="C5296" s="301" t="s">
        <v>117</v>
      </c>
      <c r="D5296" s="303">
        <v>19.600000000000001</v>
      </c>
    </row>
    <row r="5297" spans="1:4">
      <c r="A5297" s="302">
        <v>88432</v>
      </c>
      <c r="B5297" s="301" t="s">
        <v>5739</v>
      </c>
      <c r="C5297" s="301" t="s">
        <v>117</v>
      </c>
      <c r="D5297" s="303">
        <v>14.16</v>
      </c>
    </row>
    <row r="5298" spans="1:4">
      <c r="A5298" s="302">
        <v>88482</v>
      </c>
      <c r="B5298" s="301" t="s">
        <v>5740</v>
      </c>
      <c r="C5298" s="301" t="s">
        <v>117</v>
      </c>
      <c r="D5298" s="303">
        <v>2.17</v>
      </c>
    </row>
    <row r="5299" spans="1:4">
      <c r="A5299" s="302">
        <v>88483</v>
      </c>
      <c r="B5299" s="301" t="s">
        <v>193</v>
      </c>
      <c r="C5299" s="301" t="s">
        <v>117</v>
      </c>
      <c r="D5299" s="303">
        <v>1.93</v>
      </c>
    </row>
    <row r="5300" spans="1:4">
      <c r="A5300" s="302">
        <v>88484</v>
      </c>
      <c r="B5300" s="301" t="s">
        <v>961</v>
      </c>
      <c r="C5300" s="301" t="s">
        <v>117</v>
      </c>
      <c r="D5300" s="303">
        <v>2</v>
      </c>
    </row>
    <row r="5301" spans="1:4">
      <c r="A5301" s="302">
        <v>88485</v>
      </c>
      <c r="B5301" s="301" t="s">
        <v>816</v>
      </c>
      <c r="C5301" s="301" t="s">
        <v>117</v>
      </c>
      <c r="D5301" s="303">
        <v>1.67</v>
      </c>
    </row>
    <row r="5302" spans="1:4">
      <c r="A5302" s="302">
        <v>88486</v>
      </c>
      <c r="B5302" s="301" t="s">
        <v>205</v>
      </c>
      <c r="C5302" s="301" t="s">
        <v>117</v>
      </c>
      <c r="D5302" s="303">
        <v>10.3</v>
      </c>
    </row>
    <row r="5303" spans="1:4">
      <c r="A5303" s="302">
        <v>88487</v>
      </c>
      <c r="B5303" s="301" t="s">
        <v>194</v>
      </c>
      <c r="C5303" s="301" t="s">
        <v>117</v>
      </c>
      <c r="D5303" s="303">
        <v>9.24</v>
      </c>
    </row>
    <row r="5304" spans="1:4">
      <c r="A5304" s="302">
        <v>88488</v>
      </c>
      <c r="B5304" s="301" t="s">
        <v>962</v>
      </c>
      <c r="C5304" s="301" t="s">
        <v>117</v>
      </c>
      <c r="D5304" s="303">
        <v>13.18</v>
      </c>
    </row>
    <row r="5305" spans="1:4">
      <c r="A5305" s="302">
        <v>88489</v>
      </c>
      <c r="B5305" s="301" t="s">
        <v>69</v>
      </c>
      <c r="C5305" s="301" t="s">
        <v>117</v>
      </c>
      <c r="D5305" s="303">
        <v>11.67</v>
      </c>
    </row>
    <row r="5306" spans="1:4">
      <c r="A5306" s="302">
        <v>88490</v>
      </c>
      <c r="B5306" s="301" t="s">
        <v>5741</v>
      </c>
      <c r="C5306" s="301" t="s">
        <v>117</v>
      </c>
      <c r="D5306" s="303">
        <v>7.57</v>
      </c>
    </row>
    <row r="5307" spans="1:4">
      <c r="A5307" s="302">
        <v>88491</v>
      </c>
      <c r="B5307" s="301" t="s">
        <v>5742</v>
      </c>
      <c r="C5307" s="301" t="s">
        <v>117</v>
      </c>
      <c r="D5307" s="303">
        <v>7.33</v>
      </c>
    </row>
    <row r="5308" spans="1:4">
      <c r="A5308" s="302">
        <v>88492</v>
      </c>
      <c r="B5308" s="301" t="s">
        <v>5743</v>
      </c>
      <c r="C5308" s="301" t="s">
        <v>117</v>
      </c>
      <c r="D5308" s="303">
        <v>9.09</v>
      </c>
    </row>
    <row r="5309" spans="1:4">
      <c r="A5309" s="302">
        <v>88493</v>
      </c>
      <c r="B5309" s="301" t="s">
        <v>5744</v>
      </c>
      <c r="C5309" s="301" t="s">
        <v>117</v>
      </c>
      <c r="D5309" s="303">
        <v>8.7100000000000009</v>
      </c>
    </row>
    <row r="5310" spans="1:4">
      <c r="A5310" s="302">
        <v>88494</v>
      </c>
      <c r="B5310" s="301" t="s">
        <v>204</v>
      </c>
      <c r="C5310" s="301" t="s">
        <v>117</v>
      </c>
      <c r="D5310" s="303">
        <v>15.93</v>
      </c>
    </row>
    <row r="5311" spans="1:4">
      <c r="A5311" s="302">
        <v>88495</v>
      </c>
      <c r="B5311" s="301" t="s">
        <v>332</v>
      </c>
      <c r="C5311" s="301" t="s">
        <v>117</v>
      </c>
      <c r="D5311" s="303">
        <v>8.6999999999999993</v>
      </c>
    </row>
    <row r="5312" spans="1:4">
      <c r="A5312" s="302">
        <v>88496</v>
      </c>
      <c r="B5312" s="301" t="s">
        <v>5745</v>
      </c>
      <c r="C5312" s="301" t="s">
        <v>117</v>
      </c>
      <c r="D5312" s="303">
        <v>21.64</v>
      </c>
    </row>
    <row r="5313" spans="1:4">
      <c r="A5313" s="302">
        <v>88497</v>
      </c>
      <c r="B5313" s="301" t="s">
        <v>5746</v>
      </c>
      <c r="C5313" s="301" t="s">
        <v>117</v>
      </c>
      <c r="D5313" s="303">
        <v>12</v>
      </c>
    </row>
    <row r="5314" spans="1:4">
      <c r="A5314" s="302">
        <v>95305</v>
      </c>
      <c r="B5314" s="301" t="s">
        <v>5747</v>
      </c>
      <c r="C5314" s="301" t="s">
        <v>117</v>
      </c>
      <c r="D5314" s="303">
        <v>12.12</v>
      </c>
    </row>
    <row r="5315" spans="1:4">
      <c r="A5315" s="302">
        <v>95306</v>
      </c>
      <c r="B5315" s="301" t="s">
        <v>5748</v>
      </c>
      <c r="C5315" s="301" t="s">
        <v>117</v>
      </c>
      <c r="D5315" s="303">
        <v>14.03</v>
      </c>
    </row>
    <row r="5316" spans="1:4">
      <c r="A5316" s="302">
        <v>95622</v>
      </c>
      <c r="B5316" s="301" t="s">
        <v>5749</v>
      </c>
      <c r="C5316" s="301" t="s">
        <v>117</v>
      </c>
      <c r="D5316" s="303">
        <v>11.72</v>
      </c>
    </row>
    <row r="5317" spans="1:4">
      <c r="A5317" s="302">
        <v>95623</v>
      </c>
      <c r="B5317" s="301" t="s">
        <v>5750</v>
      </c>
      <c r="C5317" s="301" t="s">
        <v>117</v>
      </c>
      <c r="D5317" s="303">
        <v>9.0299999999999994</v>
      </c>
    </row>
    <row r="5318" spans="1:4">
      <c r="A5318" s="302">
        <v>95624</v>
      </c>
      <c r="B5318" s="301" t="s">
        <v>5751</v>
      </c>
      <c r="C5318" s="301" t="s">
        <v>117</v>
      </c>
      <c r="D5318" s="303">
        <v>17.2</v>
      </c>
    </row>
    <row r="5319" spans="1:4">
      <c r="A5319" s="302">
        <v>95625</v>
      </c>
      <c r="B5319" s="301" t="s">
        <v>5752</v>
      </c>
      <c r="C5319" s="301" t="s">
        <v>117</v>
      </c>
      <c r="D5319" s="303">
        <v>18.93</v>
      </c>
    </row>
    <row r="5320" spans="1:4">
      <c r="A5320" s="302">
        <v>95626</v>
      </c>
      <c r="B5320" s="301" t="s">
        <v>5753</v>
      </c>
      <c r="C5320" s="301" t="s">
        <v>117</v>
      </c>
      <c r="D5320" s="303">
        <v>12.59</v>
      </c>
    </row>
    <row r="5321" spans="1:4">
      <c r="A5321" s="302">
        <v>96126</v>
      </c>
      <c r="B5321" s="301" t="s">
        <v>503</v>
      </c>
      <c r="C5321" s="301" t="s">
        <v>117</v>
      </c>
      <c r="D5321" s="303">
        <v>14.49</v>
      </c>
    </row>
    <row r="5322" spans="1:4">
      <c r="A5322" s="302">
        <v>96127</v>
      </c>
      <c r="B5322" s="301" t="s">
        <v>5754</v>
      </c>
      <c r="C5322" s="301" t="s">
        <v>117</v>
      </c>
      <c r="D5322" s="303">
        <v>11.13</v>
      </c>
    </row>
    <row r="5323" spans="1:4">
      <c r="A5323" s="302">
        <v>96128</v>
      </c>
      <c r="B5323" s="301" t="s">
        <v>5755</v>
      </c>
      <c r="C5323" s="301" t="s">
        <v>117</v>
      </c>
      <c r="D5323" s="303">
        <v>21.3</v>
      </c>
    </row>
    <row r="5324" spans="1:4">
      <c r="A5324" s="302">
        <v>96129</v>
      </c>
      <c r="B5324" s="301" t="s">
        <v>5756</v>
      </c>
      <c r="C5324" s="301" t="s">
        <v>117</v>
      </c>
      <c r="D5324" s="303">
        <v>23.47</v>
      </c>
    </row>
    <row r="5325" spans="1:4">
      <c r="A5325" s="302">
        <v>96130</v>
      </c>
      <c r="B5325" s="301" t="s">
        <v>5757</v>
      </c>
      <c r="C5325" s="301" t="s">
        <v>117</v>
      </c>
      <c r="D5325" s="303">
        <v>15.55</v>
      </c>
    </row>
    <row r="5326" spans="1:4">
      <c r="A5326" s="302">
        <v>96131</v>
      </c>
      <c r="B5326" s="301" t="s">
        <v>5758</v>
      </c>
      <c r="C5326" s="301" t="s">
        <v>117</v>
      </c>
      <c r="D5326" s="303">
        <v>20.059999999999999</v>
      </c>
    </row>
    <row r="5327" spans="1:4">
      <c r="A5327" s="302">
        <v>96132</v>
      </c>
      <c r="B5327" s="301" t="s">
        <v>5759</v>
      </c>
      <c r="C5327" s="301" t="s">
        <v>117</v>
      </c>
      <c r="D5327" s="303">
        <v>15.58</v>
      </c>
    </row>
    <row r="5328" spans="1:4">
      <c r="A5328" s="302">
        <v>96133</v>
      </c>
      <c r="B5328" s="301" t="s">
        <v>5760</v>
      </c>
      <c r="C5328" s="301" t="s">
        <v>117</v>
      </c>
      <c r="D5328" s="303">
        <v>29.12</v>
      </c>
    </row>
    <row r="5329" spans="1:4">
      <c r="A5329" s="302">
        <v>96134</v>
      </c>
      <c r="B5329" s="301" t="s">
        <v>5761</v>
      </c>
      <c r="C5329" s="301" t="s">
        <v>117</v>
      </c>
      <c r="D5329" s="303">
        <v>32.01</v>
      </c>
    </row>
    <row r="5330" spans="1:4">
      <c r="A5330" s="302">
        <v>96135</v>
      </c>
      <c r="B5330" s="301" t="s">
        <v>5762</v>
      </c>
      <c r="C5330" s="301" t="s">
        <v>117</v>
      </c>
      <c r="D5330" s="303">
        <v>21.49</v>
      </c>
    </row>
    <row r="5331" spans="1:4">
      <c r="A5331" s="302">
        <v>79460</v>
      </c>
      <c r="B5331" s="301" t="s">
        <v>12596</v>
      </c>
      <c r="C5331" s="301" t="s">
        <v>117</v>
      </c>
      <c r="D5331" s="303">
        <v>40.200000000000003</v>
      </c>
    </row>
    <row r="5332" spans="1:4">
      <c r="A5332" s="302">
        <v>79465</v>
      </c>
      <c r="B5332" s="301" t="s">
        <v>12597</v>
      </c>
      <c r="C5332" s="301" t="s">
        <v>117</v>
      </c>
      <c r="D5332" s="303">
        <v>39.590000000000003</v>
      </c>
    </row>
    <row r="5333" spans="1:4">
      <c r="A5333" s="301" t="s">
        <v>12598</v>
      </c>
      <c r="B5333" s="301" t="s">
        <v>12599</v>
      </c>
      <c r="C5333" s="301" t="s">
        <v>117</v>
      </c>
      <c r="D5333" s="303">
        <v>56.07</v>
      </c>
    </row>
    <row r="5334" spans="1:4">
      <c r="A5334" s="302">
        <v>84647</v>
      </c>
      <c r="B5334" s="301" t="s">
        <v>12600</v>
      </c>
      <c r="C5334" s="301" t="s">
        <v>117</v>
      </c>
      <c r="D5334" s="303">
        <v>130.68</v>
      </c>
    </row>
    <row r="5335" spans="1:4">
      <c r="A5335" s="302">
        <v>84656</v>
      </c>
      <c r="B5335" s="301" t="s">
        <v>12601</v>
      </c>
      <c r="C5335" s="301" t="s">
        <v>117</v>
      </c>
      <c r="D5335" s="303">
        <v>30.98</v>
      </c>
    </row>
    <row r="5336" spans="1:4">
      <c r="A5336" s="302">
        <v>6082</v>
      </c>
      <c r="B5336" s="301" t="s">
        <v>5763</v>
      </c>
      <c r="C5336" s="301" t="s">
        <v>117</v>
      </c>
      <c r="D5336" s="303">
        <v>16.12</v>
      </c>
    </row>
    <row r="5337" spans="1:4">
      <c r="A5337" s="302">
        <v>40905</v>
      </c>
      <c r="B5337" s="301" t="s">
        <v>5764</v>
      </c>
      <c r="C5337" s="301" t="s">
        <v>117</v>
      </c>
      <c r="D5337" s="303">
        <v>20.16</v>
      </c>
    </row>
    <row r="5338" spans="1:4">
      <c r="A5338" s="301" t="s">
        <v>5765</v>
      </c>
      <c r="B5338" s="301" t="s">
        <v>5766</v>
      </c>
      <c r="C5338" s="301" t="s">
        <v>117</v>
      </c>
      <c r="D5338" s="303">
        <v>15.82</v>
      </c>
    </row>
    <row r="5339" spans="1:4">
      <c r="A5339" s="301" t="s">
        <v>5767</v>
      </c>
      <c r="B5339" s="301" t="s">
        <v>5768</v>
      </c>
      <c r="C5339" s="301" t="s">
        <v>117</v>
      </c>
      <c r="D5339" s="303">
        <v>22.65</v>
      </c>
    </row>
    <row r="5340" spans="1:4">
      <c r="A5340" s="301" t="s">
        <v>5769</v>
      </c>
      <c r="B5340" s="301" t="s">
        <v>5770</v>
      </c>
      <c r="C5340" s="301" t="s">
        <v>117</v>
      </c>
      <c r="D5340" s="303">
        <v>22.29</v>
      </c>
    </row>
    <row r="5341" spans="1:4">
      <c r="A5341" s="301" t="s">
        <v>5771</v>
      </c>
      <c r="B5341" s="301" t="s">
        <v>5772</v>
      </c>
      <c r="C5341" s="301" t="s">
        <v>117</v>
      </c>
      <c r="D5341" s="303">
        <v>22.19</v>
      </c>
    </row>
    <row r="5342" spans="1:4">
      <c r="A5342" s="302">
        <v>79463</v>
      </c>
      <c r="B5342" s="301" t="s">
        <v>5773</v>
      </c>
      <c r="C5342" s="301" t="s">
        <v>117</v>
      </c>
      <c r="D5342" s="303">
        <v>13.5</v>
      </c>
    </row>
    <row r="5343" spans="1:4">
      <c r="A5343" s="302">
        <v>79464</v>
      </c>
      <c r="B5343" s="301" t="s">
        <v>5774</v>
      </c>
      <c r="C5343" s="301" t="s">
        <v>117</v>
      </c>
      <c r="D5343" s="303">
        <v>17.98</v>
      </c>
    </row>
    <row r="5344" spans="1:4">
      <c r="A5344" s="302">
        <v>79466</v>
      </c>
      <c r="B5344" s="301" t="s">
        <v>5775</v>
      </c>
      <c r="C5344" s="301" t="s">
        <v>117</v>
      </c>
      <c r="D5344" s="303">
        <v>17.329999999999998</v>
      </c>
    </row>
    <row r="5345" spans="1:4">
      <c r="A5345" s="301" t="s">
        <v>5776</v>
      </c>
      <c r="B5345" s="301" t="s">
        <v>5777</v>
      </c>
      <c r="C5345" s="301" t="s">
        <v>117</v>
      </c>
      <c r="D5345" s="303">
        <v>22.26</v>
      </c>
    </row>
    <row r="5346" spans="1:4">
      <c r="A5346" s="302">
        <v>84645</v>
      </c>
      <c r="B5346" s="301" t="s">
        <v>5778</v>
      </c>
      <c r="C5346" s="301" t="s">
        <v>117</v>
      </c>
      <c r="D5346" s="303">
        <v>17.11</v>
      </c>
    </row>
    <row r="5347" spans="1:4">
      <c r="A5347" s="302">
        <v>84657</v>
      </c>
      <c r="B5347" s="301" t="s">
        <v>5779</v>
      </c>
      <c r="C5347" s="301" t="s">
        <v>117</v>
      </c>
      <c r="D5347" s="303">
        <v>9.2799999999999994</v>
      </c>
    </row>
    <row r="5348" spans="1:4">
      <c r="A5348" s="302">
        <v>84659</v>
      </c>
      <c r="B5348" s="301" t="s">
        <v>5780</v>
      </c>
      <c r="C5348" s="301" t="s">
        <v>117</v>
      </c>
      <c r="D5348" s="303">
        <v>14.63</v>
      </c>
    </row>
    <row r="5349" spans="1:4">
      <c r="A5349" s="302">
        <v>84679</v>
      </c>
      <c r="B5349" s="301" t="s">
        <v>5781</v>
      </c>
      <c r="C5349" s="301" t="s">
        <v>117</v>
      </c>
      <c r="D5349" s="303">
        <v>18.95</v>
      </c>
    </row>
    <row r="5350" spans="1:4">
      <c r="A5350" s="302">
        <v>95464</v>
      </c>
      <c r="B5350" s="301" t="s">
        <v>5782</v>
      </c>
      <c r="C5350" s="301" t="s">
        <v>117</v>
      </c>
      <c r="D5350" s="303">
        <v>20.23</v>
      </c>
    </row>
    <row r="5351" spans="1:4">
      <c r="A5351" s="302">
        <v>100716</v>
      </c>
      <c r="B5351" s="301" t="s">
        <v>12155</v>
      </c>
      <c r="C5351" s="301" t="s">
        <v>117</v>
      </c>
      <c r="D5351" s="303">
        <v>21.67</v>
      </c>
    </row>
    <row r="5352" spans="1:4">
      <c r="A5352" s="302">
        <v>100717</v>
      </c>
      <c r="B5352" s="301" t="s">
        <v>12156</v>
      </c>
      <c r="C5352" s="301" t="s">
        <v>117</v>
      </c>
      <c r="D5352" s="303">
        <v>7.05</v>
      </c>
    </row>
    <row r="5353" spans="1:4">
      <c r="A5353" s="302">
        <v>100718</v>
      </c>
      <c r="B5353" s="301" t="s">
        <v>12157</v>
      </c>
      <c r="C5353" s="301" t="s">
        <v>35</v>
      </c>
      <c r="D5353" s="303">
        <v>1.01</v>
      </c>
    </row>
    <row r="5354" spans="1:4">
      <c r="A5354" s="302">
        <v>100719</v>
      </c>
      <c r="B5354" s="301" t="s">
        <v>12158</v>
      </c>
      <c r="C5354" s="301" t="s">
        <v>117</v>
      </c>
      <c r="D5354" s="303">
        <v>7.01</v>
      </c>
    </row>
    <row r="5355" spans="1:4">
      <c r="A5355" s="302">
        <v>100720</v>
      </c>
      <c r="B5355" s="301" t="s">
        <v>12159</v>
      </c>
      <c r="C5355" s="301" t="s">
        <v>117</v>
      </c>
      <c r="D5355" s="303">
        <v>7.39</v>
      </c>
    </row>
    <row r="5356" spans="1:4">
      <c r="A5356" s="302">
        <v>100721</v>
      </c>
      <c r="B5356" s="301" t="s">
        <v>12160</v>
      </c>
      <c r="C5356" s="301" t="s">
        <v>117</v>
      </c>
      <c r="D5356" s="303">
        <v>17.350000000000001</v>
      </c>
    </row>
    <row r="5357" spans="1:4">
      <c r="A5357" s="302">
        <v>100722</v>
      </c>
      <c r="B5357" s="301" t="s">
        <v>12161</v>
      </c>
      <c r="C5357" s="301" t="s">
        <v>117</v>
      </c>
      <c r="D5357" s="303">
        <v>17.18</v>
      </c>
    </row>
    <row r="5358" spans="1:4">
      <c r="A5358" s="302">
        <v>100723</v>
      </c>
      <c r="B5358" s="301" t="s">
        <v>12162</v>
      </c>
      <c r="C5358" s="301" t="s">
        <v>117</v>
      </c>
      <c r="D5358" s="303">
        <v>6.72</v>
      </c>
    </row>
    <row r="5359" spans="1:4">
      <c r="A5359" s="302">
        <v>100724</v>
      </c>
      <c r="B5359" s="301" t="s">
        <v>12163</v>
      </c>
      <c r="C5359" s="301" t="s">
        <v>117</v>
      </c>
      <c r="D5359" s="303">
        <v>8.75</v>
      </c>
    </row>
    <row r="5360" spans="1:4">
      <c r="A5360" s="302">
        <v>100725</v>
      </c>
      <c r="B5360" s="301" t="s">
        <v>12164</v>
      </c>
      <c r="C5360" s="301" t="s">
        <v>117</v>
      </c>
      <c r="D5360" s="303">
        <v>16.71</v>
      </c>
    </row>
    <row r="5361" spans="1:4">
      <c r="A5361" s="302">
        <v>100726</v>
      </c>
      <c r="B5361" s="301" t="s">
        <v>12165</v>
      </c>
      <c r="C5361" s="301" t="s">
        <v>117</v>
      </c>
      <c r="D5361" s="303">
        <v>18.47</v>
      </c>
    </row>
    <row r="5362" spans="1:4">
      <c r="A5362" s="302">
        <v>100727</v>
      </c>
      <c r="B5362" s="301" t="s">
        <v>12166</v>
      </c>
      <c r="C5362" s="301" t="s">
        <v>117</v>
      </c>
      <c r="D5362" s="303">
        <v>11.55</v>
      </c>
    </row>
    <row r="5363" spans="1:4">
      <c r="A5363" s="302">
        <v>100728</v>
      </c>
      <c r="B5363" s="301" t="s">
        <v>12167</v>
      </c>
      <c r="C5363" s="301" t="s">
        <v>117</v>
      </c>
      <c r="D5363" s="303">
        <v>11.98</v>
      </c>
    </row>
    <row r="5364" spans="1:4">
      <c r="A5364" s="302">
        <v>100729</v>
      </c>
      <c r="B5364" s="301" t="s">
        <v>12168</v>
      </c>
      <c r="C5364" s="301" t="s">
        <v>117</v>
      </c>
      <c r="D5364" s="303">
        <v>13.5</v>
      </c>
    </row>
    <row r="5365" spans="1:4">
      <c r="A5365" s="302">
        <v>100730</v>
      </c>
      <c r="B5365" s="301" t="s">
        <v>12169</v>
      </c>
      <c r="C5365" s="301" t="s">
        <v>117</v>
      </c>
      <c r="D5365" s="303">
        <v>16.16</v>
      </c>
    </row>
    <row r="5366" spans="1:4">
      <c r="A5366" s="302">
        <v>100733</v>
      </c>
      <c r="B5366" s="301" t="s">
        <v>12170</v>
      </c>
      <c r="C5366" s="301" t="s">
        <v>117</v>
      </c>
      <c r="D5366" s="303">
        <v>7.84</v>
      </c>
    </row>
    <row r="5367" spans="1:4">
      <c r="A5367" s="302">
        <v>100734</v>
      </c>
      <c r="B5367" s="301" t="s">
        <v>12171</v>
      </c>
      <c r="C5367" s="301" t="s">
        <v>117</v>
      </c>
      <c r="D5367" s="303">
        <v>10.55</v>
      </c>
    </row>
    <row r="5368" spans="1:4">
      <c r="A5368" s="302">
        <v>100735</v>
      </c>
      <c r="B5368" s="301" t="s">
        <v>12172</v>
      </c>
      <c r="C5368" s="301" t="s">
        <v>117</v>
      </c>
      <c r="D5368" s="303">
        <v>7.6</v>
      </c>
    </row>
    <row r="5369" spans="1:4">
      <c r="A5369" s="302">
        <v>100736</v>
      </c>
      <c r="B5369" s="301" t="s">
        <v>12173</v>
      </c>
      <c r="C5369" s="301" t="s">
        <v>117</v>
      </c>
      <c r="D5369" s="303">
        <v>10.31</v>
      </c>
    </row>
    <row r="5370" spans="1:4">
      <c r="A5370" s="302">
        <v>100739</v>
      </c>
      <c r="B5370" s="301" t="s">
        <v>12174</v>
      </c>
      <c r="C5370" s="301" t="s">
        <v>117</v>
      </c>
      <c r="D5370" s="303">
        <v>6.34</v>
      </c>
    </row>
    <row r="5371" spans="1:4">
      <c r="A5371" s="302">
        <v>100740</v>
      </c>
      <c r="B5371" s="301" t="s">
        <v>12175</v>
      </c>
      <c r="C5371" s="301" t="s">
        <v>117</v>
      </c>
      <c r="D5371" s="303">
        <v>7.39</v>
      </c>
    </row>
    <row r="5372" spans="1:4">
      <c r="A5372" s="302">
        <v>100741</v>
      </c>
      <c r="B5372" s="301" t="s">
        <v>12176</v>
      </c>
      <c r="C5372" s="301" t="s">
        <v>117</v>
      </c>
      <c r="D5372" s="303">
        <v>16.52</v>
      </c>
    </row>
    <row r="5373" spans="1:4">
      <c r="A5373" s="302">
        <v>100742</v>
      </c>
      <c r="B5373" s="301" t="s">
        <v>12177</v>
      </c>
      <c r="C5373" s="301" t="s">
        <v>117</v>
      </c>
      <c r="D5373" s="303">
        <v>17.149999999999999</v>
      </c>
    </row>
    <row r="5374" spans="1:4">
      <c r="A5374" s="302">
        <v>100743</v>
      </c>
      <c r="B5374" s="301" t="s">
        <v>12178</v>
      </c>
      <c r="C5374" s="301" t="s">
        <v>117</v>
      </c>
      <c r="D5374" s="303">
        <v>6.21</v>
      </c>
    </row>
    <row r="5375" spans="1:4">
      <c r="A5375" s="302">
        <v>100744</v>
      </c>
      <c r="B5375" s="301" t="s">
        <v>12179</v>
      </c>
      <c r="C5375" s="301" t="s">
        <v>117</v>
      </c>
      <c r="D5375" s="303">
        <v>7.31</v>
      </c>
    </row>
    <row r="5376" spans="1:4">
      <c r="A5376" s="302">
        <v>100745</v>
      </c>
      <c r="B5376" s="301" t="s">
        <v>12180</v>
      </c>
      <c r="C5376" s="301" t="s">
        <v>117</v>
      </c>
      <c r="D5376" s="303">
        <v>16.39</v>
      </c>
    </row>
    <row r="5377" spans="1:4">
      <c r="A5377" s="302">
        <v>100746</v>
      </c>
      <c r="B5377" s="301" t="s">
        <v>12181</v>
      </c>
      <c r="C5377" s="301" t="s">
        <v>117</v>
      </c>
      <c r="D5377" s="303">
        <v>17.07</v>
      </c>
    </row>
    <row r="5378" spans="1:4">
      <c r="A5378" s="302">
        <v>100747</v>
      </c>
      <c r="B5378" s="301" t="s">
        <v>12182</v>
      </c>
      <c r="C5378" s="301" t="s">
        <v>117</v>
      </c>
      <c r="D5378" s="303">
        <v>6.77</v>
      </c>
    </row>
    <row r="5379" spans="1:4">
      <c r="A5379" s="302">
        <v>100748</v>
      </c>
      <c r="B5379" s="301" t="s">
        <v>12183</v>
      </c>
      <c r="C5379" s="301" t="s">
        <v>117</v>
      </c>
      <c r="D5379" s="303">
        <v>7.67</v>
      </c>
    </row>
    <row r="5380" spans="1:4">
      <c r="A5380" s="302">
        <v>100749</v>
      </c>
      <c r="B5380" s="301" t="s">
        <v>12184</v>
      </c>
      <c r="C5380" s="301" t="s">
        <v>117</v>
      </c>
      <c r="D5380" s="303">
        <v>16.98</v>
      </c>
    </row>
    <row r="5381" spans="1:4">
      <c r="A5381" s="302">
        <v>100750</v>
      </c>
      <c r="B5381" s="301" t="s">
        <v>12185</v>
      </c>
      <c r="C5381" s="301" t="s">
        <v>117</v>
      </c>
      <c r="D5381" s="303">
        <v>17.440000000000001</v>
      </c>
    </row>
    <row r="5382" spans="1:4">
      <c r="A5382" s="302">
        <v>100751</v>
      </c>
      <c r="B5382" s="301" t="s">
        <v>12186</v>
      </c>
      <c r="C5382" s="301" t="s">
        <v>117</v>
      </c>
      <c r="D5382" s="303">
        <v>27.03</v>
      </c>
    </row>
    <row r="5383" spans="1:4">
      <c r="A5383" s="302">
        <v>100752</v>
      </c>
      <c r="B5383" s="301" t="s">
        <v>12187</v>
      </c>
      <c r="C5383" s="301" t="s">
        <v>117</v>
      </c>
      <c r="D5383" s="303">
        <v>32.33</v>
      </c>
    </row>
    <row r="5384" spans="1:4">
      <c r="A5384" s="302">
        <v>100753</v>
      </c>
      <c r="B5384" s="301" t="s">
        <v>12188</v>
      </c>
      <c r="C5384" s="301" t="s">
        <v>117</v>
      </c>
      <c r="D5384" s="303">
        <v>15.23</v>
      </c>
    </row>
    <row r="5385" spans="1:4">
      <c r="A5385" s="302">
        <v>100754</v>
      </c>
      <c r="B5385" s="301" t="s">
        <v>12189</v>
      </c>
      <c r="C5385" s="301" t="s">
        <v>117</v>
      </c>
      <c r="D5385" s="303">
        <v>20.63</v>
      </c>
    </row>
    <row r="5386" spans="1:4">
      <c r="A5386" s="302">
        <v>100757</v>
      </c>
      <c r="B5386" s="301" t="s">
        <v>12190</v>
      </c>
      <c r="C5386" s="301" t="s">
        <v>117</v>
      </c>
      <c r="D5386" s="303">
        <v>33.07</v>
      </c>
    </row>
    <row r="5387" spans="1:4">
      <c r="A5387" s="302">
        <v>100758</v>
      </c>
      <c r="B5387" s="301" t="s">
        <v>12191</v>
      </c>
      <c r="C5387" s="301" t="s">
        <v>117</v>
      </c>
      <c r="D5387" s="303">
        <v>34.340000000000003</v>
      </c>
    </row>
    <row r="5388" spans="1:4">
      <c r="A5388" s="302">
        <v>100759</v>
      </c>
      <c r="B5388" s="301" t="s">
        <v>12192</v>
      </c>
      <c r="C5388" s="301" t="s">
        <v>117</v>
      </c>
      <c r="D5388" s="303">
        <v>32.799999999999997</v>
      </c>
    </row>
    <row r="5389" spans="1:4">
      <c r="A5389" s="302">
        <v>100760</v>
      </c>
      <c r="B5389" s="301" t="s">
        <v>12193</v>
      </c>
      <c r="C5389" s="301" t="s">
        <v>117</v>
      </c>
      <c r="D5389" s="303">
        <v>34.17</v>
      </c>
    </row>
    <row r="5390" spans="1:4">
      <c r="A5390" s="302">
        <v>100761</v>
      </c>
      <c r="B5390" s="301" t="s">
        <v>12194</v>
      </c>
      <c r="C5390" s="301" t="s">
        <v>117</v>
      </c>
      <c r="D5390" s="303">
        <v>33.99</v>
      </c>
    </row>
    <row r="5391" spans="1:4">
      <c r="A5391" s="302">
        <v>100762</v>
      </c>
      <c r="B5391" s="301" t="s">
        <v>12195</v>
      </c>
      <c r="C5391" s="301" t="s">
        <v>117</v>
      </c>
      <c r="D5391" s="303">
        <v>34.909999999999997</v>
      </c>
    </row>
    <row r="5392" spans="1:4">
      <c r="A5392" s="302">
        <v>41595</v>
      </c>
      <c r="B5392" s="301" t="s">
        <v>5784</v>
      </c>
      <c r="C5392" s="301" t="s">
        <v>35</v>
      </c>
      <c r="D5392" s="303">
        <v>10.59</v>
      </c>
    </row>
    <row r="5393" spans="1:4">
      <c r="A5393" s="301" t="s">
        <v>5785</v>
      </c>
      <c r="B5393" s="301" t="s">
        <v>5786</v>
      </c>
      <c r="C5393" s="301" t="s">
        <v>117</v>
      </c>
      <c r="D5393" s="303">
        <v>16.43</v>
      </c>
    </row>
    <row r="5394" spans="1:4">
      <c r="A5394" s="301" t="s">
        <v>5788</v>
      </c>
      <c r="B5394" s="301" t="s">
        <v>5787</v>
      </c>
      <c r="C5394" s="301" t="s">
        <v>117</v>
      </c>
      <c r="D5394" s="303">
        <v>13.58</v>
      </c>
    </row>
    <row r="5395" spans="1:4">
      <c r="A5395" s="302">
        <v>79467</v>
      </c>
      <c r="B5395" s="301" t="s">
        <v>982</v>
      </c>
      <c r="C5395" s="301" t="s">
        <v>983</v>
      </c>
      <c r="D5395" s="303">
        <v>12.97</v>
      </c>
    </row>
    <row r="5396" spans="1:4">
      <c r="A5396" s="301" t="s">
        <v>5789</v>
      </c>
      <c r="B5396" s="301" t="s">
        <v>5790</v>
      </c>
      <c r="C5396" s="301" t="s">
        <v>117</v>
      </c>
      <c r="D5396" s="303">
        <v>18.989999999999998</v>
      </c>
    </row>
    <row r="5397" spans="1:4">
      <c r="A5397" s="302">
        <v>84663</v>
      </c>
      <c r="B5397" s="301" t="s">
        <v>5791</v>
      </c>
      <c r="C5397" s="301" t="s">
        <v>117</v>
      </c>
      <c r="D5397" s="303">
        <v>20.61</v>
      </c>
    </row>
    <row r="5398" spans="1:4">
      <c r="A5398" s="302">
        <v>84665</v>
      </c>
      <c r="B5398" s="301" t="s">
        <v>110</v>
      </c>
      <c r="C5398" s="301" t="s">
        <v>117</v>
      </c>
      <c r="D5398" s="303">
        <v>18.28</v>
      </c>
    </row>
    <row r="5399" spans="1:4">
      <c r="A5399" s="302">
        <v>84666</v>
      </c>
      <c r="B5399" s="301" t="s">
        <v>5792</v>
      </c>
      <c r="C5399" s="301" t="s">
        <v>117</v>
      </c>
      <c r="D5399" s="303">
        <v>19.989999999999998</v>
      </c>
    </row>
    <row r="5400" spans="1:4">
      <c r="A5400" s="302">
        <v>75889</v>
      </c>
      <c r="B5400" s="301" t="s">
        <v>12602</v>
      </c>
      <c r="C5400" s="301" t="s">
        <v>117</v>
      </c>
      <c r="D5400" s="303">
        <v>17.87</v>
      </c>
    </row>
    <row r="5401" spans="1:4">
      <c r="A5401" s="302">
        <v>72191</v>
      </c>
      <c r="B5401" s="301" t="s">
        <v>5793</v>
      </c>
      <c r="C5401" s="301" t="s">
        <v>117</v>
      </c>
      <c r="D5401" s="303">
        <v>76.28</v>
      </c>
    </row>
    <row r="5402" spans="1:4">
      <c r="A5402" s="301" t="s">
        <v>5794</v>
      </c>
      <c r="B5402" s="301" t="s">
        <v>5795</v>
      </c>
      <c r="C5402" s="301" t="s">
        <v>117</v>
      </c>
      <c r="D5402" s="303">
        <v>160.35</v>
      </c>
    </row>
    <row r="5403" spans="1:4">
      <c r="A5403" s="302">
        <v>84181</v>
      </c>
      <c r="B5403" s="301" t="s">
        <v>5796</v>
      </c>
      <c r="C5403" s="301" t="s">
        <v>117</v>
      </c>
      <c r="D5403" s="303">
        <v>129.37</v>
      </c>
    </row>
    <row r="5404" spans="1:4">
      <c r="A5404" s="302">
        <v>87246</v>
      </c>
      <c r="B5404" s="301" t="s">
        <v>5797</v>
      </c>
      <c r="C5404" s="301" t="s">
        <v>117</v>
      </c>
      <c r="D5404" s="303">
        <v>38.840000000000003</v>
      </c>
    </row>
    <row r="5405" spans="1:4">
      <c r="A5405" s="302">
        <v>87247</v>
      </c>
      <c r="B5405" s="301" t="s">
        <v>5798</v>
      </c>
      <c r="C5405" s="301" t="s">
        <v>117</v>
      </c>
      <c r="D5405" s="303">
        <v>33.4</v>
      </c>
    </row>
    <row r="5406" spans="1:4">
      <c r="A5406" s="302">
        <v>87248</v>
      </c>
      <c r="B5406" s="301" t="s">
        <v>5799</v>
      </c>
      <c r="C5406" s="301" t="s">
        <v>117</v>
      </c>
      <c r="D5406" s="303">
        <v>28.85</v>
      </c>
    </row>
    <row r="5407" spans="1:4">
      <c r="A5407" s="302">
        <v>87249</v>
      </c>
      <c r="B5407" s="301" t="s">
        <v>5800</v>
      </c>
      <c r="C5407" s="301" t="s">
        <v>117</v>
      </c>
      <c r="D5407" s="303">
        <v>44.11</v>
      </c>
    </row>
    <row r="5408" spans="1:4">
      <c r="A5408" s="302">
        <v>87250</v>
      </c>
      <c r="B5408" s="301" t="s">
        <v>5801</v>
      </c>
      <c r="C5408" s="301" t="s">
        <v>117</v>
      </c>
      <c r="D5408" s="303">
        <v>35.49</v>
      </c>
    </row>
    <row r="5409" spans="1:4">
      <c r="A5409" s="302">
        <v>87251</v>
      </c>
      <c r="B5409" s="301" t="s">
        <v>5802</v>
      </c>
      <c r="C5409" s="301" t="s">
        <v>117</v>
      </c>
      <c r="D5409" s="303">
        <v>29.82</v>
      </c>
    </row>
    <row r="5410" spans="1:4">
      <c r="A5410" s="302">
        <v>87255</v>
      </c>
      <c r="B5410" s="301" t="s">
        <v>5803</v>
      </c>
      <c r="C5410" s="301" t="s">
        <v>117</v>
      </c>
      <c r="D5410" s="303">
        <v>68.040000000000006</v>
      </c>
    </row>
    <row r="5411" spans="1:4">
      <c r="A5411" s="302">
        <v>87256</v>
      </c>
      <c r="B5411" s="301" t="s">
        <v>5804</v>
      </c>
      <c r="C5411" s="301" t="s">
        <v>117</v>
      </c>
      <c r="D5411" s="303">
        <v>57.96</v>
      </c>
    </row>
    <row r="5412" spans="1:4">
      <c r="A5412" s="302">
        <v>87257</v>
      </c>
      <c r="B5412" s="301" t="s">
        <v>5805</v>
      </c>
      <c r="C5412" s="301" t="s">
        <v>117</v>
      </c>
      <c r="D5412" s="303">
        <v>51.38</v>
      </c>
    </row>
    <row r="5413" spans="1:4">
      <c r="A5413" s="302">
        <v>87258</v>
      </c>
      <c r="B5413" s="301" t="s">
        <v>5806</v>
      </c>
      <c r="C5413" s="301" t="s">
        <v>117</v>
      </c>
      <c r="D5413" s="303">
        <v>91.34</v>
      </c>
    </row>
    <row r="5414" spans="1:4">
      <c r="A5414" s="302">
        <v>87259</v>
      </c>
      <c r="B5414" s="301" t="s">
        <v>5807</v>
      </c>
      <c r="C5414" s="301" t="s">
        <v>117</v>
      </c>
      <c r="D5414" s="303">
        <v>81.81</v>
      </c>
    </row>
    <row r="5415" spans="1:4">
      <c r="A5415" s="302">
        <v>87260</v>
      </c>
      <c r="B5415" s="301" t="s">
        <v>5808</v>
      </c>
      <c r="C5415" s="301" t="s">
        <v>117</v>
      </c>
      <c r="D5415" s="303">
        <v>76.06</v>
      </c>
    </row>
    <row r="5416" spans="1:4">
      <c r="A5416" s="302">
        <v>87261</v>
      </c>
      <c r="B5416" s="301" t="s">
        <v>5809</v>
      </c>
      <c r="C5416" s="301" t="s">
        <v>117</v>
      </c>
      <c r="D5416" s="303">
        <v>103.84</v>
      </c>
    </row>
    <row r="5417" spans="1:4">
      <c r="A5417" s="302">
        <v>87262</v>
      </c>
      <c r="B5417" s="301" t="s">
        <v>5810</v>
      </c>
      <c r="C5417" s="301" t="s">
        <v>117</v>
      </c>
      <c r="D5417" s="303">
        <v>92.97</v>
      </c>
    </row>
    <row r="5418" spans="1:4">
      <c r="A5418" s="302">
        <v>87263</v>
      </c>
      <c r="B5418" s="301" t="s">
        <v>5811</v>
      </c>
      <c r="C5418" s="301" t="s">
        <v>117</v>
      </c>
      <c r="D5418" s="303">
        <v>86.19</v>
      </c>
    </row>
    <row r="5419" spans="1:4">
      <c r="A5419" s="302">
        <v>89046</v>
      </c>
      <c r="B5419" s="301" t="s">
        <v>5812</v>
      </c>
      <c r="C5419" s="301" t="s">
        <v>117</v>
      </c>
      <c r="D5419" s="303">
        <v>33.119999999999997</v>
      </c>
    </row>
    <row r="5420" spans="1:4">
      <c r="A5420" s="302">
        <v>89171</v>
      </c>
      <c r="B5420" s="301" t="s">
        <v>307</v>
      </c>
      <c r="C5420" s="301" t="s">
        <v>117</v>
      </c>
      <c r="D5420" s="303">
        <v>30.91</v>
      </c>
    </row>
    <row r="5421" spans="1:4">
      <c r="A5421" s="302">
        <v>93389</v>
      </c>
      <c r="B5421" s="301" t="s">
        <v>5813</v>
      </c>
      <c r="C5421" s="301" t="s">
        <v>117</v>
      </c>
      <c r="D5421" s="303">
        <v>35.72</v>
      </c>
    </row>
    <row r="5422" spans="1:4">
      <c r="A5422" s="302">
        <v>93390</v>
      </c>
      <c r="B5422" s="301" t="s">
        <v>5814</v>
      </c>
      <c r="C5422" s="301" t="s">
        <v>117</v>
      </c>
      <c r="D5422" s="303">
        <v>30.34</v>
      </c>
    </row>
    <row r="5423" spans="1:4">
      <c r="A5423" s="302">
        <v>93391</v>
      </c>
      <c r="B5423" s="301" t="s">
        <v>5815</v>
      </c>
      <c r="C5423" s="301" t="s">
        <v>117</v>
      </c>
      <c r="D5423" s="303">
        <v>25.79</v>
      </c>
    </row>
    <row r="5424" spans="1:4">
      <c r="A5424" s="301" t="s">
        <v>5816</v>
      </c>
      <c r="B5424" s="301" t="s">
        <v>5817</v>
      </c>
      <c r="C5424" s="301" t="s">
        <v>117</v>
      </c>
      <c r="D5424" s="303">
        <v>397.93</v>
      </c>
    </row>
    <row r="5425" spans="1:4">
      <c r="A5425" s="301" t="s">
        <v>5818</v>
      </c>
      <c r="B5425" s="301" t="s">
        <v>5819</v>
      </c>
      <c r="C5425" s="301" t="s">
        <v>117</v>
      </c>
      <c r="D5425" s="303">
        <v>78.709999999999994</v>
      </c>
    </row>
    <row r="5426" spans="1:4">
      <c r="A5426" s="302">
        <v>84183</v>
      </c>
      <c r="B5426" s="301" t="s">
        <v>5820</v>
      </c>
      <c r="C5426" s="301" t="s">
        <v>117</v>
      </c>
      <c r="D5426" s="303">
        <v>268.82</v>
      </c>
    </row>
    <row r="5427" spans="1:4">
      <c r="A5427" s="302">
        <v>98670</v>
      </c>
      <c r="B5427" s="301" t="s">
        <v>5821</v>
      </c>
      <c r="C5427" s="301" t="s">
        <v>117</v>
      </c>
      <c r="D5427" s="303">
        <v>130.07</v>
      </c>
    </row>
    <row r="5428" spans="1:4">
      <c r="A5428" s="302">
        <v>98671</v>
      </c>
      <c r="B5428" s="301" t="s">
        <v>5822</v>
      </c>
      <c r="C5428" s="301" t="s">
        <v>117</v>
      </c>
      <c r="D5428" s="303">
        <v>307.8</v>
      </c>
    </row>
    <row r="5429" spans="1:4">
      <c r="A5429" s="302">
        <v>98672</v>
      </c>
      <c r="B5429" s="301" t="s">
        <v>5823</v>
      </c>
      <c r="C5429" s="301" t="s">
        <v>117</v>
      </c>
      <c r="D5429" s="303">
        <v>371.44</v>
      </c>
    </row>
    <row r="5430" spans="1:4">
      <c r="A5430" s="302">
        <v>98673</v>
      </c>
      <c r="B5430" s="301" t="s">
        <v>5824</v>
      </c>
      <c r="C5430" s="301" t="s">
        <v>117</v>
      </c>
      <c r="D5430" s="303">
        <v>134.13999999999999</v>
      </c>
    </row>
    <row r="5431" spans="1:4">
      <c r="A5431" s="302">
        <v>98679</v>
      </c>
      <c r="B5431" s="301" t="s">
        <v>5825</v>
      </c>
      <c r="C5431" s="301" t="s">
        <v>117</v>
      </c>
      <c r="D5431" s="303">
        <v>24.71</v>
      </c>
    </row>
    <row r="5432" spans="1:4">
      <c r="A5432" s="302">
        <v>98680</v>
      </c>
      <c r="B5432" s="301" t="s">
        <v>5826</v>
      </c>
      <c r="C5432" s="301" t="s">
        <v>117</v>
      </c>
      <c r="D5432" s="303">
        <v>30.84</v>
      </c>
    </row>
    <row r="5433" spans="1:4">
      <c r="A5433" s="302">
        <v>98681</v>
      </c>
      <c r="B5433" s="301" t="s">
        <v>5827</v>
      </c>
      <c r="C5433" s="301" t="s">
        <v>117</v>
      </c>
      <c r="D5433" s="303">
        <v>22.92</v>
      </c>
    </row>
    <row r="5434" spans="1:4">
      <c r="A5434" s="302">
        <v>98682</v>
      </c>
      <c r="B5434" s="301" t="s">
        <v>5828</v>
      </c>
      <c r="C5434" s="301" t="s">
        <v>117</v>
      </c>
      <c r="D5434" s="303">
        <v>29.04</v>
      </c>
    </row>
    <row r="5435" spans="1:4">
      <c r="A5435" s="302">
        <v>98685</v>
      </c>
      <c r="B5435" s="301" t="s">
        <v>5829</v>
      </c>
      <c r="C5435" s="301" t="s">
        <v>35</v>
      </c>
      <c r="D5435" s="303">
        <v>56.01</v>
      </c>
    </row>
    <row r="5436" spans="1:4">
      <c r="A5436" s="302">
        <v>98686</v>
      </c>
      <c r="B5436" s="301" t="s">
        <v>5830</v>
      </c>
      <c r="C5436" s="301" t="s">
        <v>35</v>
      </c>
      <c r="D5436" s="303">
        <v>30.7</v>
      </c>
    </row>
    <row r="5437" spans="1:4">
      <c r="A5437" s="302">
        <v>98688</v>
      </c>
      <c r="B5437" s="301" t="s">
        <v>5831</v>
      </c>
      <c r="C5437" s="301" t="s">
        <v>35</v>
      </c>
      <c r="D5437" s="303">
        <v>33.840000000000003</v>
      </c>
    </row>
    <row r="5438" spans="1:4">
      <c r="A5438" s="302">
        <v>98689</v>
      </c>
      <c r="B5438" s="301" t="s">
        <v>5832</v>
      </c>
      <c r="C5438" s="301" t="s">
        <v>35</v>
      </c>
      <c r="D5438" s="303">
        <v>79.819999999999993</v>
      </c>
    </row>
    <row r="5439" spans="1:4">
      <c r="A5439" s="302">
        <v>72187</v>
      </c>
      <c r="B5439" s="301" t="s">
        <v>5833</v>
      </c>
      <c r="C5439" s="301" t="s">
        <v>117</v>
      </c>
      <c r="D5439" s="303">
        <v>175</v>
      </c>
    </row>
    <row r="5440" spans="1:4">
      <c r="A5440" s="302">
        <v>72188</v>
      </c>
      <c r="B5440" s="301" t="s">
        <v>5834</v>
      </c>
      <c r="C5440" s="301" t="s">
        <v>117</v>
      </c>
      <c r="D5440" s="303">
        <v>175</v>
      </c>
    </row>
    <row r="5441" spans="1:4">
      <c r="A5441" s="301" t="s">
        <v>5835</v>
      </c>
      <c r="B5441" s="301" t="s">
        <v>5836</v>
      </c>
      <c r="C5441" s="301" t="s">
        <v>117</v>
      </c>
      <c r="D5441" s="303">
        <v>157.18</v>
      </c>
    </row>
    <row r="5442" spans="1:4">
      <c r="A5442" s="302">
        <v>84186</v>
      </c>
      <c r="B5442" s="301" t="s">
        <v>5837</v>
      </c>
      <c r="C5442" s="301" t="s">
        <v>117</v>
      </c>
      <c r="D5442" s="303">
        <v>66.78</v>
      </c>
    </row>
    <row r="5443" spans="1:4">
      <c r="A5443" s="302">
        <v>84187</v>
      </c>
      <c r="B5443" s="301" t="s">
        <v>5838</v>
      </c>
      <c r="C5443" s="301" t="s">
        <v>117</v>
      </c>
      <c r="D5443" s="303">
        <v>11.24</v>
      </c>
    </row>
    <row r="5444" spans="1:4">
      <c r="A5444" s="302">
        <v>72815</v>
      </c>
      <c r="B5444" s="301" t="s">
        <v>73</v>
      </c>
      <c r="C5444" s="301" t="s">
        <v>117</v>
      </c>
      <c r="D5444" s="303">
        <v>44.86</v>
      </c>
    </row>
    <row r="5445" spans="1:4">
      <c r="A5445" s="302">
        <v>84191</v>
      </c>
      <c r="B5445" s="301" t="s">
        <v>333</v>
      </c>
      <c r="C5445" s="301" t="s">
        <v>117</v>
      </c>
      <c r="D5445" s="303">
        <v>107.67</v>
      </c>
    </row>
    <row r="5446" spans="1:4">
      <c r="A5446" s="301" t="s">
        <v>5839</v>
      </c>
      <c r="B5446" s="301" t="s">
        <v>5840</v>
      </c>
      <c r="C5446" s="301" t="s">
        <v>35</v>
      </c>
      <c r="D5446" s="303">
        <v>31.64</v>
      </c>
    </row>
    <row r="5447" spans="1:4">
      <c r="A5447" s="302">
        <v>98695</v>
      </c>
      <c r="B5447" s="301" t="s">
        <v>5841</v>
      </c>
      <c r="C5447" s="301" t="s">
        <v>35</v>
      </c>
      <c r="D5447" s="303">
        <v>66.98</v>
      </c>
    </row>
    <row r="5448" spans="1:4">
      <c r="A5448" s="302">
        <v>98697</v>
      </c>
      <c r="B5448" s="301" t="s">
        <v>5842</v>
      </c>
      <c r="C5448" s="301" t="s">
        <v>35</v>
      </c>
      <c r="D5448" s="303">
        <v>44.11</v>
      </c>
    </row>
    <row r="5449" spans="1:4">
      <c r="A5449" s="301" t="s">
        <v>5843</v>
      </c>
      <c r="B5449" s="301" t="s">
        <v>5844</v>
      </c>
      <c r="C5449" s="301" t="s">
        <v>35</v>
      </c>
      <c r="D5449" s="303">
        <v>16.2</v>
      </c>
    </row>
    <row r="5450" spans="1:4">
      <c r="A5450" s="302">
        <v>84162</v>
      </c>
      <c r="B5450" s="301" t="s">
        <v>5845</v>
      </c>
      <c r="C5450" s="301" t="s">
        <v>35</v>
      </c>
      <c r="D5450" s="303">
        <v>17.28</v>
      </c>
    </row>
    <row r="5451" spans="1:4">
      <c r="A5451" s="302">
        <v>88648</v>
      </c>
      <c r="B5451" s="301" t="s">
        <v>5846</v>
      </c>
      <c r="C5451" s="301" t="s">
        <v>35</v>
      </c>
      <c r="D5451" s="303">
        <v>4.62</v>
      </c>
    </row>
    <row r="5452" spans="1:4">
      <c r="A5452" s="302">
        <v>88649</v>
      </c>
      <c r="B5452" s="301" t="s">
        <v>5847</v>
      </c>
      <c r="C5452" s="301" t="s">
        <v>35</v>
      </c>
      <c r="D5452" s="303">
        <v>5.16</v>
      </c>
    </row>
    <row r="5453" spans="1:4">
      <c r="A5453" s="302">
        <v>88650</v>
      </c>
      <c r="B5453" s="301" t="s">
        <v>5848</v>
      </c>
      <c r="C5453" s="301" t="s">
        <v>35</v>
      </c>
      <c r="D5453" s="303">
        <v>9.31</v>
      </c>
    </row>
    <row r="5454" spans="1:4">
      <c r="A5454" s="302">
        <v>96467</v>
      </c>
      <c r="B5454" s="301" t="s">
        <v>5849</v>
      </c>
      <c r="C5454" s="301" t="s">
        <v>35</v>
      </c>
      <c r="D5454" s="303">
        <v>4.2699999999999996</v>
      </c>
    </row>
    <row r="5455" spans="1:4">
      <c r="A5455" s="301" t="s">
        <v>5850</v>
      </c>
      <c r="B5455" s="301" t="s">
        <v>5851</v>
      </c>
      <c r="C5455" s="301" t="s">
        <v>35</v>
      </c>
      <c r="D5455" s="303">
        <v>24.14</v>
      </c>
    </row>
    <row r="5456" spans="1:4">
      <c r="A5456" s="302">
        <v>84168</v>
      </c>
      <c r="B5456" s="301" t="s">
        <v>5852</v>
      </c>
      <c r="C5456" s="301" t="s">
        <v>35</v>
      </c>
      <c r="D5456" s="303">
        <v>33.18</v>
      </c>
    </row>
    <row r="5457" spans="1:4">
      <c r="A5457" s="302">
        <v>68325</v>
      </c>
      <c r="B5457" s="301" t="s">
        <v>5853</v>
      </c>
      <c r="C5457" s="301" t="s">
        <v>117</v>
      </c>
      <c r="D5457" s="303">
        <v>43.04</v>
      </c>
    </row>
    <row r="5458" spans="1:4">
      <c r="A5458" s="302">
        <v>68333</v>
      </c>
      <c r="B5458" s="301" t="s">
        <v>866</v>
      </c>
      <c r="C5458" s="301" t="s">
        <v>117</v>
      </c>
      <c r="D5458" s="303">
        <v>44.66</v>
      </c>
    </row>
    <row r="5459" spans="1:4">
      <c r="A5459" s="302">
        <v>72183</v>
      </c>
      <c r="B5459" s="301" t="s">
        <v>5854</v>
      </c>
      <c r="C5459" s="301" t="s">
        <v>117</v>
      </c>
      <c r="D5459" s="303">
        <v>78.34</v>
      </c>
    </row>
    <row r="5460" spans="1:4">
      <c r="A5460" s="302">
        <v>94990</v>
      </c>
      <c r="B5460" s="301" t="s">
        <v>5855</v>
      </c>
      <c r="C5460" s="301" t="s">
        <v>60</v>
      </c>
      <c r="D5460" s="303">
        <v>552.87</v>
      </c>
    </row>
    <row r="5461" spans="1:4">
      <c r="A5461" s="302">
        <v>94991</v>
      </c>
      <c r="B5461" s="301" t="s">
        <v>335</v>
      </c>
      <c r="C5461" s="301" t="s">
        <v>60</v>
      </c>
      <c r="D5461" s="303">
        <v>514.82000000000005</v>
      </c>
    </row>
    <row r="5462" spans="1:4">
      <c r="A5462" s="302">
        <v>94992</v>
      </c>
      <c r="B5462" s="301" t="s">
        <v>5856</v>
      </c>
      <c r="C5462" s="301" t="s">
        <v>117</v>
      </c>
      <c r="D5462" s="303">
        <v>59.48</v>
      </c>
    </row>
    <row r="5463" spans="1:4">
      <c r="A5463" s="302">
        <v>94993</v>
      </c>
      <c r="B5463" s="301" t="s">
        <v>5857</v>
      </c>
      <c r="C5463" s="301" t="s">
        <v>117</v>
      </c>
      <c r="D5463" s="303">
        <v>57.2</v>
      </c>
    </row>
    <row r="5464" spans="1:4">
      <c r="A5464" s="302">
        <v>94994</v>
      </c>
      <c r="B5464" s="301" t="s">
        <v>5858</v>
      </c>
      <c r="C5464" s="301" t="s">
        <v>117</v>
      </c>
      <c r="D5464" s="303">
        <v>71.58</v>
      </c>
    </row>
    <row r="5465" spans="1:4">
      <c r="A5465" s="302">
        <v>94995</v>
      </c>
      <c r="B5465" s="301" t="s">
        <v>5859</v>
      </c>
      <c r="C5465" s="301" t="s">
        <v>117</v>
      </c>
      <c r="D5465" s="303">
        <v>68.53</v>
      </c>
    </row>
    <row r="5466" spans="1:4">
      <c r="A5466" s="302">
        <v>94996</v>
      </c>
      <c r="B5466" s="301" t="s">
        <v>5860</v>
      </c>
      <c r="C5466" s="301" t="s">
        <v>117</v>
      </c>
      <c r="D5466" s="303">
        <v>82.84</v>
      </c>
    </row>
    <row r="5467" spans="1:4">
      <c r="A5467" s="302">
        <v>94997</v>
      </c>
      <c r="B5467" s="301" t="s">
        <v>5861</v>
      </c>
      <c r="C5467" s="301" t="s">
        <v>117</v>
      </c>
      <c r="D5467" s="303">
        <v>79.03</v>
      </c>
    </row>
    <row r="5468" spans="1:4">
      <c r="A5468" s="302">
        <v>94998</v>
      </c>
      <c r="B5468" s="301" t="s">
        <v>5862</v>
      </c>
      <c r="C5468" s="301" t="s">
        <v>117</v>
      </c>
      <c r="D5468" s="303">
        <v>93.83</v>
      </c>
    </row>
    <row r="5469" spans="1:4">
      <c r="A5469" s="302">
        <v>94999</v>
      </c>
      <c r="B5469" s="301" t="s">
        <v>5863</v>
      </c>
      <c r="C5469" s="301" t="s">
        <v>117</v>
      </c>
      <c r="D5469" s="303">
        <v>89.27</v>
      </c>
    </row>
    <row r="5470" spans="1:4">
      <c r="A5470" s="302">
        <v>87620</v>
      </c>
      <c r="B5470" s="301" t="s">
        <v>5864</v>
      </c>
      <c r="C5470" s="301" t="s">
        <v>117</v>
      </c>
      <c r="D5470" s="303">
        <v>24.99</v>
      </c>
    </row>
    <row r="5471" spans="1:4">
      <c r="A5471" s="302">
        <v>87622</v>
      </c>
      <c r="B5471" s="301" t="s">
        <v>5865</v>
      </c>
      <c r="C5471" s="301" t="s">
        <v>117</v>
      </c>
      <c r="D5471" s="303">
        <v>28.11</v>
      </c>
    </row>
    <row r="5472" spans="1:4">
      <c r="A5472" s="302">
        <v>87623</v>
      </c>
      <c r="B5472" s="301" t="s">
        <v>5866</v>
      </c>
      <c r="C5472" s="301" t="s">
        <v>117</v>
      </c>
      <c r="D5472" s="303">
        <v>60.26</v>
      </c>
    </row>
    <row r="5473" spans="1:4">
      <c r="A5473" s="302">
        <v>87624</v>
      </c>
      <c r="B5473" s="301" t="s">
        <v>5867</v>
      </c>
      <c r="C5473" s="301" t="s">
        <v>117</v>
      </c>
      <c r="D5473" s="303">
        <v>65.66</v>
      </c>
    </row>
    <row r="5474" spans="1:4">
      <c r="A5474" s="302">
        <v>87630</v>
      </c>
      <c r="B5474" s="301" t="s">
        <v>5868</v>
      </c>
      <c r="C5474" s="301" t="s">
        <v>117</v>
      </c>
      <c r="D5474" s="303">
        <v>30.72</v>
      </c>
    </row>
    <row r="5475" spans="1:4">
      <c r="A5475" s="302">
        <v>87632</v>
      </c>
      <c r="B5475" s="301" t="s">
        <v>5869</v>
      </c>
      <c r="C5475" s="301" t="s">
        <v>117</v>
      </c>
      <c r="D5475" s="303">
        <v>35.06</v>
      </c>
    </row>
    <row r="5476" spans="1:4">
      <c r="A5476" s="302">
        <v>87633</v>
      </c>
      <c r="B5476" s="301" t="s">
        <v>5870</v>
      </c>
      <c r="C5476" s="301" t="s">
        <v>117</v>
      </c>
      <c r="D5476" s="303">
        <v>79.75</v>
      </c>
    </row>
    <row r="5477" spans="1:4">
      <c r="A5477" s="302">
        <v>87634</v>
      </c>
      <c r="B5477" s="301" t="s">
        <v>5871</v>
      </c>
      <c r="C5477" s="301" t="s">
        <v>117</v>
      </c>
      <c r="D5477" s="303">
        <v>87.26</v>
      </c>
    </row>
    <row r="5478" spans="1:4">
      <c r="A5478" s="302">
        <v>87640</v>
      </c>
      <c r="B5478" s="301" t="s">
        <v>5872</v>
      </c>
      <c r="C5478" s="301" t="s">
        <v>117</v>
      </c>
      <c r="D5478" s="303">
        <v>35.35</v>
      </c>
    </row>
    <row r="5479" spans="1:4">
      <c r="A5479" s="302">
        <v>87642</v>
      </c>
      <c r="B5479" s="301" t="s">
        <v>5873</v>
      </c>
      <c r="C5479" s="301" t="s">
        <v>117</v>
      </c>
      <c r="D5479" s="303">
        <v>40.67</v>
      </c>
    </row>
    <row r="5480" spans="1:4">
      <c r="A5480" s="302">
        <v>87643</v>
      </c>
      <c r="B5480" s="301" t="s">
        <v>5874</v>
      </c>
      <c r="C5480" s="301" t="s">
        <v>117</v>
      </c>
      <c r="D5480" s="303">
        <v>95.63</v>
      </c>
    </row>
    <row r="5481" spans="1:4">
      <c r="A5481" s="302">
        <v>87644</v>
      </c>
      <c r="B5481" s="301" t="s">
        <v>5875</v>
      </c>
      <c r="C5481" s="301" t="s">
        <v>117</v>
      </c>
      <c r="D5481" s="303">
        <v>104.87</v>
      </c>
    </row>
    <row r="5482" spans="1:4">
      <c r="A5482" s="302">
        <v>87680</v>
      </c>
      <c r="B5482" s="301" t="s">
        <v>5876</v>
      </c>
      <c r="C5482" s="301" t="s">
        <v>117</v>
      </c>
      <c r="D5482" s="303">
        <v>28.28</v>
      </c>
    </row>
    <row r="5483" spans="1:4">
      <c r="A5483" s="302">
        <v>87682</v>
      </c>
      <c r="B5483" s="301" t="s">
        <v>5877</v>
      </c>
      <c r="C5483" s="301" t="s">
        <v>117</v>
      </c>
      <c r="D5483" s="303">
        <v>33.6</v>
      </c>
    </row>
    <row r="5484" spans="1:4">
      <c r="A5484" s="302">
        <v>87683</v>
      </c>
      <c r="B5484" s="301" t="s">
        <v>5878</v>
      </c>
      <c r="C5484" s="301" t="s">
        <v>117</v>
      </c>
      <c r="D5484" s="303">
        <v>88.56</v>
      </c>
    </row>
    <row r="5485" spans="1:4">
      <c r="A5485" s="302">
        <v>87684</v>
      </c>
      <c r="B5485" s="301" t="s">
        <v>5879</v>
      </c>
      <c r="C5485" s="301" t="s">
        <v>117</v>
      </c>
      <c r="D5485" s="303">
        <v>97.8</v>
      </c>
    </row>
    <row r="5486" spans="1:4">
      <c r="A5486" s="302">
        <v>87690</v>
      </c>
      <c r="B5486" s="301" t="s">
        <v>5880</v>
      </c>
      <c r="C5486" s="301" t="s">
        <v>117</v>
      </c>
      <c r="D5486" s="303">
        <v>32.89</v>
      </c>
    </row>
    <row r="5487" spans="1:4">
      <c r="A5487" s="302">
        <v>87692</v>
      </c>
      <c r="B5487" s="301" t="s">
        <v>5881</v>
      </c>
      <c r="C5487" s="301" t="s">
        <v>117</v>
      </c>
      <c r="D5487" s="303">
        <v>38.99</v>
      </c>
    </row>
    <row r="5488" spans="1:4">
      <c r="A5488" s="302">
        <v>87693</v>
      </c>
      <c r="B5488" s="301" t="s">
        <v>5882</v>
      </c>
      <c r="C5488" s="301" t="s">
        <v>117</v>
      </c>
      <c r="D5488" s="303">
        <v>101.93</v>
      </c>
    </row>
    <row r="5489" spans="1:4">
      <c r="A5489" s="302">
        <v>87694</v>
      </c>
      <c r="B5489" s="301" t="s">
        <v>5883</v>
      </c>
      <c r="C5489" s="301" t="s">
        <v>117</v>
      </c>
      <c r="D5489" s="303">
        <v>112.51</v>
      </c>
    </row>
    <row r="5490" spans="1:4">
      <c r="A5490" s="302">
        <v>87700</v>
      </c>
      <c r="B5490" s="301" t="s">
        <v>5884</v>
      </c>
      <c r="C5490" s="301" t="s">
        <v>117</v>
      </c>
      <c r="D5490" s="303">
        <v>35.5</v>
      </c>
    </row>
    <row r="5491" spans="1:4">
      <c r="A5491" s="302">
        <v>87702</v>
      </c>
      <c r="B5491" s="301" t="s">
        <v>5885</v>
      </c>
      <c r="C5491" s="301" t="s">
        <v>117</v>
      </c>
      <c r="D5491" s="303">
        <v>42.14</v>
      </c>
    </row>
    <row r="5492" spans="1:4">
      <c r="A5492" s="302">
        <v>87703</v>
      </c>
      <c r="B5492" s="301" t="s">
        <v>5886</v>
      </c>
      <c r="C5492" s="301" t="s">
        <v>117</v>
      </c>
      <c r="D5492" s="303">
        <v>110.69</v>
      </c>
    </row>
    <row r="5493" spans="1:4">
      <c r="A5493" s="302">
        <v>87704</v>
      </c>
      <c r="B5493" s="301" t="s">
        <v>5887</v>
      </c>
      <c r="C5493" s="301" t="s">
        <v>117</v>
      </c>
      <c r="D5493" s="303">
        <v>122.21</v>
      </c>
    </row>
    <row r="5494" spans="1:4">
      <c r="A5494" s="302">
        <v>87735</v>
      </c>
      <c r="B5494" s="301" t="s">
        <v>5888</v>
      </c>
      <c r="C5494" s="301" t="s">
        <v>117</v>
      </c>
      <c r="D5494" s="303">
        <v>33.32</v>
      </c>
    </row>
    <row r="5495" spans="1:4">
      <c r="A5495" s="302">
        <v>87737</v>
      </c>
      <c r="B5495" s="301" t="s">
        <v>5889</v>
      </c>
      <c r="C5495" s="301" t="s">
        <v>117</v>
      </c>
      <c r="D5495" s="303">
        <v>36.44</v>
      </c>
    </row>
    <row r="5496" spans="1:4">
      <c r="A5496" s="302">
        <v>87738</v>
      </c>
      <c r="B5496" s="301" t="s">
        <v>5890</v>
      </c>
      <c r="C5496" s="301" t="s">
        <v>117</v>
      </c>
      <c r="D5496" s="303">
        <v>68.59</v>
      </c>
    </row>
    <row r="5497" spans="1:4">
      <c r="A5497" s="302">
        <v>87739</v>
      </c>
      <c r="B5497" s="301" t="s">
        <v>5891</v>
      </c>
      <c r="C5497" s="301" t="s">
        <v>117</v>
      </c>
      <c r="D5497" s="303">
        <v>73.989999999999995</v>
      </c>
    </row>
    <row r="5498" spans="1:4">
      <c r="A5498" s="302">
        <v>87745</v>
      </c>
      <c r="B5498" s="301" t="s">
        <v>5892</v>
      </c>
      <c r="C5498" s="301" t="s">
        <v>117</v>
      </c>
      <c r="D5498" s="303">
        <v>39.06</v>
      </c>
    </row>
    <row r="5499" spans="1:4">
      <c r="A5499" s="302">
        <v>87747</v>
      </c>
      <c r="B5499" s="301" t="s">
        <v>5893</v>
      </c>
      <c r="C5499" s="301" t="s">
        <v>117</v>
      </c>
      <c r="D5499" s="303">
        <v>43.4</v>
      </c>
    </row>
    <row r="5500" spans="1:4">
      <c r="A5500" s="302">
        <v>87748</v>
      </c>
      <c r="B5500" s="301" t="s">
        <v>5894</v>
      </c>
      <c r="C5500" s="301" t="s">
        <v>117</v>
      </c>
      <c r="D5500" s="303">
        <v>88.09</v>
      </c>
    </row>
    <row r="5501" spans="1:4">
      <c r="A5501" s="302">
        <v>87749</v>
      </c>
      <c r="B5501" s="301" t="s">
        <v>5895</v>
      </c>
      <c r="C5501" s="301" t="s">
        <v>117</v>
      </c>
      <c r="D5501" s="303">
        <v>95.6</v>
      </c>
    </row>
    <row r="5502" spans="1:4">
      <c r="A5502" s="302">
        <v>87755</v>
      </c>
      <c r="B5502" s="301" t="s">
        <v>5896</v>
      </c>
      <c r="C5502" s="301" t="s">
        <v>117</v>
      </c>
      <c r="D5502" s="303">
        <v>35.01</v>
      </c>
    </row>
    <row r="5503" spans="1:4">
      <c r="A5503" s="302">
        <v>87757</v>
      </c>
      <c r="B5503" s="301" t="s">
        <v>5897</v>
      </c>
      <c r="C5503" s="301" t="s">
        <v>117</v>
      </c>
      <c r="D5503" s="303">
        <v>39.35</v>
      </c>
    </row>
    <row r="5504" spans="1:4">
      <c r="A5504" s="302">
        <v>87758</v>
      </c>
      <c r="B5504" s="301" t="s">
        <v>5898</v>
      </c>
      <c r="C5504" s="301" t="s">
        <v>117</v>
      </c>
      <c r="D5504" s="303">
        <v>84.04</v>
      </c>
    </row>
    <row r="5505" spans="1:4">
      <c r="A5505" s="302">
        <v>87759</v>
      </c>
      <c r="B5505" s="301" t="s">
        <v>5899</v>
      </c>
      <c r="C5505" s="301" t="s">
        <v>117</v>
      </c>
      <c r="D5505" s="303">
        <v>91.55</v>
      </c>
    </row>
    <row r="5506" spans="1:4">
      <c r="A5506" s="302">
        <v>87765</v>
      </c>
      <c r="B5506" s="301" t="s">
        <v>5900</v>
      </c>
      <c r="C5506" s="301" t="s">
        <v>117</v>
      </c>
      <c r="D5506" s="303">
        <v>39.619999999999997</v>
      </c>
    </row>
    <row r="5507" spans="1:4">
      <c r="A5507" s="302">
        <v>87767</v>
      </c>
      <c r="B5507" s="301" t="s">
        <v>5901</v>
      </c>
      <c r="C5507" s="301" t="s">
        <v>117</v>
      </c>
      <c r="D5507" s="303">
        <v>44.94</v>
      </c>
    </row>
    <row r="5508" spans="1:4">
      <c r="A5508" s="302">
        <v>87768</v>
      </c>
      <c r="B5508" s="301" t="s">
        <v>5902</v>
      </c>
      <c r="C5508" s="301" t="s">
        <v>117</v>
      </c>
      <c r="D5508" s="303">
        <v>99.9</v>
      </c>
    </row>
    <row r="5509" spans="1:4">
      <c r="A5509" s="302">
        <v>87769</v>
      </c>
      <c r="B5509" s="301" t="s">
        <v>5903</v>
      </c>
      <c r="C5509" s="301" t="s">
        <v>117</v>
      </c>
      <c r="D5509" s="303">
        <v>109.14</v>
      </c>
    </row>
    <row r="5510" spans="1:4">
      <c r="A5510" s="302">
        <v>88470</v>
      </c>
      <c r="B5510" s="301" t="s">
        <v>5904</v>
      </c>
      <c r="C5510" s="301" t="s">
        <v>117</v>
      </c>
      <c r="D5510" s="303">
        <v>23.86</v>
      </c>
    </row>
    <row r="5511" spans="1:4">
      <c r="A5511" s="302">
        <v>88471</v>
      </c>
      <c r="B5511" s="301" t="s">
        <v>5905</v>
      </c>
      <c r="C5511" s="301" t="s">
        <v>117</v>
      </c>
      <c r="D5511" s="303">
        <v>29.47</v>
      </c>
    </row>
    <row r="5512" spans="1:4">
      <c r="A5512" s="302">
        <v>88472</v>
      </c>
      <c r="B5512" s="301" t="s">
        <v>5906</v>
      </c>
      <c r="C5512" s="301" t="s">
        <v>117</v>
      </c>
      <c r="D5512" s="303">
        <v>33.869999999999997</v>
      </c>
    </row>
    <row r="5513" spans="1:4">
      <c r="A5513" s="302">
        <v>88476</v>
      </c>
      <c r="B5513" s="301" t="s">
        <v>5907</v>
      </c>
      <c r="C5513" s="301" t="s">
        <v>117</v>
      </c>
      <c r="D5513" s="303">
        <v>19.46</v>
      </c>
    </row>
    <row r="5514" spans="1:4">
      <c r="A5514" s="302">
        <v>88477</v>
      </c>
      <c r="B5514" s="301" t="s">
        <v>5908</v>
      </c>
      <c r="C5514" s="301" t="s">
        <v>117</v>
      </c>
      <c r="D5514" s="303">
        <v>26.62</v>
      </c>
    </row>
    <row r="5515" spans="1:4">
      <c r="A5515" s="302">
        <v>88478</v>
      </c>
      <c r="B5515" s="301" t="s">
        <v>5909</v>
      </c>
      <c r="C5515" s="301" t="s">
        <v>117</v>
      </c>
      <c r="D5515" s="303">
        <v>32.44</v>
      </c>
    </row>
    <row r="5516" spans="1:4">
      <c r="A5516" s="302">
        <v>90900</v>
      </c>
      <c r="B5516" s="301" t="s">
        <v>5910</v>
      </c>
      <c r="C5516" s="301" t="s">
        <v>117</v>
      </c>
      <c r="D5516" s="303">
        <v>57.2</v>
      </c>
    </row>
    <row r="5517" spans="1:4">
      <c r="A5517" s="302">
        <v>90902</v>
      </c>
      <c r="B5517" s="301" t="s">
        <v>5911</v>
      </c>
      <c r="C5517" s="301" t="s">
        <v>117</v>
      </c>
      <c r="D5517" s="303">
        <v>63.3</v>
      </c>
    </row>
    <row r="5518" spans="1:4">
      <c r="A5518" s="302">
        <v>90903</v>
      </c>
      <c r="B5518" s="301" t="s">
        <v>5912</v>
      </c>
      <c r="C5518" s="301" t="s">
        <v>117</v>
      </c>
      <c r="D5518" s="303">
        <v>126.24</v>
      </c>
    </row>
    <row r="5519" spans="1:4">
      <c r="A5519" s="302">
        <v>90904</v>
      </c>
      <c r="B5519" s="301" t="s">
        <v>5913</v>
      </c>
      <c r="C5519" s="301" t="s">
        <v>117</v>
      </c>
      <c r="D5519" s="303">
        <v>136.82</v>
      </c>
    </row>
    <row r="5520" spans="1:4">
      <c r="A5520" s="302">
        <v>90910</v>
      </c>
      <c r="B5520" s="301" t="s">
        <v>5914</v>
      </c>
      <c r="C5520" s="301" t="s">
        <v>117</v>
      </c>
      <c r="D5520" s="303">
        <v>60.57</v>
      </c>
    </row>
    <row r="5521" spans="1:4">
      <c r="A5521" s="302">
        <v>90912</v>
      </c>
      <c r="B5521" s="301" t="s">
        <v>5915</v>
      </c>
      <c r="C5521" s="301" t="s">
        <v>117</v>
      </c>
      <c r="D5521" s="303">
        <v>67.209999999999994</v>
      </c>
    </row>
    <row r="5522" spans="1:4">
      <c r="A5522" s="302">
        <v>90913</v>
      </c>
      <c r="B5522" s="301" t="s">
        <v>5916</v>
      </c>
      <c r="C5522" s="301" t="s">
        <v>117</v>
      </c>
      <c r="D5522" s="303">
        <v>135.76</v>
      </c>
    </row>
    <row r="5523" spans="1:4">
      <c r="A5523" s="302">
        <v>90914</v>
      </c>
      <c r="B5523" s="301" t="s">
        <v>5917</v>
      </c>
      <c r="C5523" s="301" t="s">
        <v>117</v>
      </c>
      <c r="D5523" s="303">
        <v>147.28</v>
      </c>
    </row>
    <row r="5524" spans="1:4">
      <c r="A5524" s="302">
        <v>90920</v>
      </c>
      <c r="B5524" s="301" t="s">
        <v>5918</v>
      </c>
      <c r="C5524" s="301" t="s">
        <v>117</v>
      </c>
      <c r="D5524" s="303">
        <v>66.790000000000006</v>
      </c>
    </row>
    <row r="5525" spans="1:4">
      <c r="A5525" s="302">
        <v>90922</v>
      </c>
      <c r="B5525" s="301" t="s">
        <v>5919</v>
      </c>
      <c r="C5525" s="301" t="s">
        <v>117</v>
      </c>
      <c r="D5525" s="303">
        <v>74.430000000000007</v>
      </c>
    </row>
    <row r="5526" spans="1:4">
      <c r="A5526" s="302">
        <v>90923</v>
      </c>
      <c r="B5526" s="301" t="s">
        <v>5920</v>
      </c>
      <c r="C5526" s="301" t="s">
        <v>117</v>
      </c>
      <c r="D5526" s="303">
        <v>153.24</v>
      </c>
    </row>
    <row r="5527" spans="1:4">
      <c r="A5527" s="302">
        <v>90924</v>
      </c>
      <c r="B5527" s="301" t="s">
        <v>5921</v>
      </c>
      <c r="C5527" s="301" t="s">
        <v>117</v>
      </c>
      <c r="D5527" s="303">
        <v>166.48</v>
      </c>
    </row>
    <row r="5528" spans="1:4">
      <c r="A5528" s="302">
        <v>90930</v>
      </c>
      <c r="B5528" s="301" t="s">
        <v>5922</v>
      </c>
      <c r="C5528" s="301" t="s">
        <v>117</v>
      </c>
      <c r="D5528" s="303">
        <v>51.89</v>
      </c>
    </row>
    <row r="5529" spans="1:4">
      <c r="A5529" s="302">
        <v>90932</v>
      </c>
      <c r="B5529" s="301" t="s">
        <v>5923</v>
      </c>
      <c r="C5529" s="301" t="s">
        <v>117</v>
      </c>
      <c r="D5529" s="303">
        <v>57.99</v>
      </c>
    </row>
    <row r="5530" spans="1:4">
      <c r="A5530" s="302">
        <v>90933</v>
      </c>
      <c r="B5530" s="301" t="s">
        <v>5924</v>
      </c>
      <c r="C5530" s="301" t="s">
        <v>117</v>
      </c>
      <c r="D5530" s="303">
        <v>120.93</v>
      </c>
    </row>
    <row r="5531" spans="1:4">
      <c r="A5531" s="302">
        <v>90934</v>
      </c>
      <c r="B5531" s="301" t="s">
        <v>5925</v>
      </c>
      <c r="C5531" s="301" t="s">
        <v>117</v>
      </c>
      <c r="D5531" s="303">
        <v>131.51</v>
      </c>
    </row>
    <row r="5532" spans="1:4">
      <c r="A5532" s="302">
        <v>90940</v>
      </c>
      <c r="B5532" s="301" t="s">
        <v>5926</v>
      </c>
      <c r="C5532" s="301" t="s">
        <v>117</v>
      </c>
      <c r="D5532" s="303">
        <v>55.28</v>
      </c>
    </row>
    <row r="5533" spans="1:4">
      <c r="A5533" s="302">
        <v>90942</v>
      </c>
      <c r="B5533" s="301" t="s">
        <v>5927</v>
      </c>
      <c r="C5533" s="301" t="s">
        <v>117</v>
      </c>
      <c r="D5533" s="303">
        <v>61.92</v>
      </c>
    </row>
    <row r="5534" spans="1:4">
      <c r="A5534" s="302">
        <v>90943</v>
      </c>
      <c r="B5534" s="301" t="s">
        <v>5928</v>
      </c>
      <c r="C5534" s="301" t="s">
        <v>117</v>
      </c>
      <c r="D5534" s="303">
        <v>130.47</v>
      </c>
    </row>
    <row r="5535" spans="1:4">
      <c r="A5535" s="302">
        <v>90944</v>
      </c>
      <c r="B5535" s="301" t="s">
        <v>5929</v>
      </c>
      <c r="C5535" s="301" t="s">
        <v>117</v>
      </c>
      <c r="D5535" s="303">
        <v>141.99</v>
      </c>
    </row>
    <row r="5536" spans="1:4">
      <c r="A5536" s="302">
        <v>90950</v>
      </c>
      <c r="B5536" s="301" t="s">
        <v>5930</v>
      </c>
      <c r="C5536" s="301" t="s">
        <v>117</v>
      </c>
      <c r="D5536" s="303">
        <v>61.47</v>
      </c>
    </row>
    <row r="5537" spans="1:4">
      <c r="A5537" s="302">
        <v>90952</v>
      </c>
      <c r="B5537" s="301" t="s">
        <v>5931</v>
      </c>
      <c r="C5537" s="301" t="s">
        <v>117</v>
      </c>
      <c r="D5537" s="303">
        <v>69.11</v>
      </c>
    </row>
    <row r="5538" spans="1:4">
      <c r="A5538" s="302">
        <v>90953</v>
      </c>
      <c r="B5538" s="301" t="s">
        <v>5932</v>
      </c>
      <c r="C5538" s="301" t="s">
        <v>117</v>
      </c>
      <c r="D5538" s="303">
        <v>147.91999999999999</v>
      </c>
    </row>
    <row r="5539" spans="1:4">
      <c r="A5539" s="302">
        <v>90954</v>
      </c>
      <c r="B5539" s="301" t="s">
        <v>5933</v>
      </c>
      <c r="C5539" s="301" t="s">
        <v>117</v>
      </c>
      <c r="D5539" s="303">
        <v>161.16</v>
      </c>
    </row>
    <row r="5540" spans="1:4">
      <c r="A5540" s="302">
        <v>94438</v>
      </c>
      <c r="B5540" s="301" t="s">
        <v>5934</v>
      </c>
      <c r="C5540" s="301" t="s">
        <v>117</v>
      </c>
      <c r="D5540" s="303">
        <v>33.07</v>
      </c>
    </row>
    <row r="5541" spans="1:4">
      <c r="A5541" s="302">
        <v>94439</v>
      </c>
      <c r="B5541" s="301" t="s">
        <v>5935</v>
      </c>
      <c r="C5541" s="301" t="s">
        <v>117</v>
      </c>
      <c r="D5541" s="303">
        <v>36.770000000000003</v>
      </c>
    </row>
    <row r="5542" spans="1:4">
      <c r="A5542" s="302">
        <v>94779</v>
      </c>
      <c r="B5542" s="301" t="s">
        <v>867</v>
      </c>
      <c r="C5542" s="301" t="s">
        <v>117</v>
      </c>
      <c r="D5542" s="303">
        <v>32.130000000000003</v>
      </c>
    </row>
    <row r="5543" spans="1:4">
      <c r="A5543" s="302">
        <v>94782</v>
      </c>
      <c r="B5543" s="301" t="s">
        <v>5936</v>
      </c>
      <c r="C5543" s="301" t="s">
        <v>117</v>
      </c>
      <c r="D5543" s="303">
        <v>36.24</v>
      </c>
    </row>
    <row r="5544" spans="1:4">
      <c r="A5544" s="302">
        <v>72190</v>
      </c>
      <c r="B5544" s="301" t="s">
        <v>5937</v>
      </c>
      <c r="C5544" s="301" t="s">
        <v>35</v>
      </c>
      <c r="D5544" s="303">
        <v>29.97</v>
      </c>
    </row>
    <row r="5545" spans="1:4">
      <c r="A5545" s="302">
        <v>87871</v>
      </c>
      <c r="B5545" s="301" t="s">
        <v>5938</v>
      </c>
      <c r="C5545" s="301" t="s">
        <v>117</v>
      </c>
      <c r="D5545" s="303">
        <v>16.77</v>
      </c>
    </row>
    <row r="5546" spans="1:4">
      <c r="A5546" s="302">
        <v>87872</v>
      </c>
      <c r="B5546" s="301" t="s">
        <v>5939</v>
      </c>
      <c r="C5546" s="301" t="s">
        <v>117</v>
      </c>
      <c r="D5546" s="303">
        <v>16.11</v>
      </c>
    </row>
    <row r="5547" spans="1:4">
      <c r="A5547" s="302">
        <v>87873</v>
      </c>
      <c r="B5547" s="301" t="s">
        <v>5940</v>
      </c>
      <c r="C5547" s="301" t="s">
        <v>117</v>
      </c>
      <c r="D5547" s="303">
        <v>4.59</v>
      </c>
    </row>
    <row r="5548" spans="1:4">
      <c r="A5548" s="302">
        <v>87874</v>
      </c>
      <c r="B5548" s="301" t="s">
        <v>5941</v>
      </c>
      <c r="C5548" s="301" t="s">
        <v>117</v>
      </c>
      <c r="D5548" s="303">
        <v>4.45</v>
      </c>
    </row>
    <row r="5549" spans="1:4">
      <c r="A5549" s="302">
        <v>87876</v>
      </c>
      <c r="B5549" s="301" t="s">
        <v>5942</v>
      </c>
      <c r="C5549" s="301" t="s">
        <v>117</v>
      </c>
      <c r="D5549" s="303">
        <v>9.0399999999999991</v>
      </c>
    </row>
    <row r="5550" spans="1:4">
      <c r="A5550" s="302">
        <v>87877</v>
      </c>
      <c r="B5550" s="301" t="s">
        <v>5943</v>
      </c>
      <c r="C5550" s="301" t="s">
        <v>117</v>
      </c>
      <c r="D5550" s="303">
        <v>8.7200000000000006</v>
      </c>
    </row>
    <row r="5551" spans="1:4">
      <c r="A5551" s="302">
        <v>87878</v>
      </c>
      <c r="B5551" s="301" t="s">
        <v>895</v>
      </c>
      <c r="C5551" s="301" t="s">
        <v>117</v>
      </c>
      <c r="D5551" s="303">
        <v>3.33</v>
      </c>
    </row>
    <row r="5552" spans="1:4">
      <c r="A5552" s="302">
        <v>87879</v>
      </c>
      <c r="B5552" s="301" t="s">
        <v>856</v>
      </c>
      <c r="C5552" s="301" t="s">
        <v>117</v>
      </c>
      <c r="D5552" s="303">
        <v>2.88</v>
      </c>
    </row>
    <row r="5553" spans="1:4">
      <c r="A5553" s="302">
        <v>87881</v>
      </c>
      <c r="B5553" s="301" t="s">
        <v>5944</v>
      </c>
      <c r="C5553" s="301" t="s">
        <v>117</v>
      </c>
      <c r="D5553" s="303">
        <v>4.51</v>
      </c>
    </row>
    <row r="5554" spans="1:4">
      <c r="A5554" s="302">
        <v>87882</v>
      </c>
      <c r="B5554" s="301" t="s">
        <v>5945</v>
      </c>
      <c r="C5554" s="301" t="s">
        <v>117</v>
      </c>
      <c r="D5554" s="303">
        <v>4.37</v>
      </c>
    </row>
    <row r="5555" spans="1:4">
      <c r="A5555" s="302">
        <v>87884</v>
      </c>
      <c r="B5555" s="301" t="s">
        <v>5946</v>
      </c>
      <c r="C5555" s="301" t="s">
        <v>117</v>
      </c>
      <c r="D5555" s="303">
        <v>8.9600000000000009</v>
      </c>
    </row>
    <row r="5556" spans="1:4">
      <c r="A5556" s="302">
        <v>87885</v>
      </c>
      <c r="B5556" s="301" t="s">
        <v>5947</v>
      </c>
      <c r="C5556" s="301" t="s">
        <v>117</v>
      </c>
      <c r="D5556" s="303">
        <v>8.64</v>
      </c>
    </row>
    <row r="5557" spans="1:4">
      <c r="A5557" s="302">
        <v>87886</v>
      </c>
      <c r="B5557" s="301" t="s">
        <v>5948</v>
      </c>
      <c r="C5557" s="301" t="s">
        <v>117</v>
      </c>
      <c r="D5557" s="303">
        <v>21.97</v>
      </c>
    </row>
    <row r="5558" spans="1:4">
      <c r="A5558" s="302">
        <v>87887</v>
      </c>
      <c r="B5558" s="301" t="s">
        <v>5949</v>
      </c>
      <c r="C5558" s="301" t="s">
        <v>117</v>
      </c>
      <c r="D5558" s="303">
        <v>21.31</v>
      </c>
    </row>
    <row r="5559" spans="1:4">
      <c r="A5559" s="302">
        <v>87888</v>
      </c>
      <c r="B5559" s="301" t="s">
        <v>5950</v>
      </c>
      <c r="C5559" s="301" t="s">
        <v>117</v>
      </c>
      <c r="D5559" s="303">
        <v>5.71</v>
      </c>
    </row>
    <row r="5560" spans="1:4">
      <c r="A5560" s="302">
        <v>87889</v>
      </c>
      <c r="B5560" s="301" t="s">
        <v>5951</v>
      </c>
      <c r="C5560" s="301" t="s">
        <v>117</v>
      </c>
      <c r="D5560" s="303">
        <v>5.57</v>
      </c>
    </row>
    <row r="5561" spans="1:4">
      <c r="A5561" s="302">
        <v>87891</v>
      </c>
      <c r="B5561" s="301" t="s">
        <v>5952</v>
      </c>
      <c r="C5561" s="301" t="s">
        <v>117</v>
      </c>
      <c r="D5561" s="303">
        <v>10.16</v>
      </c>
    </row>
    <row r="5562" spans="1:4">
      <c r="A5562" s="302">
        <v>87892</v>
      </c>
      <c r="B5562" s="301" t="s">
        <v>5953</v>
      </c>
      <c r="C5562" s="301" t="s">
        <v>117</v>
      </c>
      <c r="D5562" s="303">
        <v>9.84</v>
      </c>
    </row>
    <row r="5563" spans="1:4">
      <c r="A5563" s="302">
        <v>87893</v>
      </c>
      <c r="B5563" s="301" t="s">
        <v>5954</v>
      </c>
      <c r="C5563" s="301" t="s">
        <v>117</v>
      </c>
      <c r="D5563" s="303">
        <v>5.27</v>
      </c>
    </row>
    <row r="5564" spans="1:4">
      <c r="A5564" s="302">
        <v>87894</v>
      </c>
      <c r="B5564" s="301" t="s">
        <v>5955</v>
      </c>
      <c r="C5564" s="301" t="s">
        <v>117</v>
      </c>
      <c r="D5564" s="303">
        <v>4.82</v>
      </c>
    </row>
    <row r="5565" spans="1:4">
      <c r="A5565" s="302">
        <v>87896</v>
      </c>
      <c r="B5565" s="301" t="s">
        <v>5956</v>
      </c>
      <c r="C5565" s="301" t="s">
        <v>117</v>
      </c>
      <c r="D5565" s="303">
        <v>4.7300000000000004</v>
      </c>
    </row>
    <row r="5566" spans="1:4">
      <c r="A5566" s="302">
        <v>87897</v>
      </c>
      <c r="B5566" s="301" t="s">
        <v>5957</v>
      </c>
      <c r="C5566" s="301" t="s">
        <v>117</v>
      </c>
      <c r="D5566" s="303">
        <v>4.28</v>
      </c>
    </row>
    <row r="5567" spans="1:4">
      <c r="A5567" s="302">
        <v>87899</v>
      </c>
      <c r="B5567" s="301" t="s">
        <v>5958</v>
      </c>
      <c r="C5567" s="301" t="s">
        <v>117</v>
      </c>
      <c r="D5567" s="303">
        <v>6.68</v>
      </c>
    </row>
    <row r="5568" spans="1:4">
      <c r="A5568" s="302">
        <v>87900</v>
      </c>
      <c r="B5568" s="301" t="s">
        <v>981</v>
      </c>
      <c r="C5568" s="301" t="s">
        <v>117</v>
      </c>
      <c r="D5568" s="303">
        <v>6.54</v>
      </c>
    </row>
    <row r="5569" spans="1:4">
      <c r="A5569" s="302">
        <v>87902</v>
      </c>
      <c r="B5569" s="301" t="s">
        <v>5959</v>
      </c>
      <c r="C5569" s="301" t="s">
        <v>117</v>
      </c>
      <c r="D5569" s="303">
        <v>11.13</v>
      </c>
    </row>
    <row r="5570" spans="1:4">
      <c r="A5570" s="302">
        <v>87903</v>
      </c>
      <c r="B5570" s="301" t="s">
        <v>5960</v>
      </c>
      <c r="C5570" s="301" t="s">
        <v>117</v>
      </c>
      <c r="D5570" s="303">
        <v>10.81</v>
      </c>
    </row>
    <row r="5571" spans="1:4">
      <c r="A5571" s="302">
        <v>87904</v>
      </c>
      <c r="B5571" s="301" t="s">
        <v>815</v>
      </c>
      <c r="C5571" s="301" t="s">
        <v>117</v>
      </c>
      <c r="D5571" s="303">
        <v>6.9</v>
      </c>
    </row>
    <row r="5572" spans="1:4">
      <c r="A5572" s="302">
        <v>87905</v>
      </c>
      <c r="B5572" s="301" t="s">
        <v>5961</v>
      </c>
      <c r="C5572" s="301" t="s">
        <v>117</v>
      </c>
      <c r="D5572" s="303">
        <v>6.45</v>
      </c>
    </row>
    <row r="5573" spans="1:4">
      <c r="A5573" s="302">
        <v>87907</v>
      </c>
      <c r="B5573" s="301" t="s">
        <v>5962</v>
      </c>
      <c r="C5573" s="301" t="s">
        <v>117</v>
      </c>
      <c r="D5573" s="303">
        <v>6.11</v>
      </c>
    </row>
    <row r="5574" spans="1:4">
      <c r="A5574" s="302">
        <v>87908</v>
      </c>
      <c r="B5574" s="301" t="s">
        <v>5963</v>
      </c>
      <c r="C5574" s="301" t="s">
        <v>117</v>
      </c>
      <c r="D5574" s="303">
        <v>5.66</v>
      </c>
    </row>
    <row r="5575" spans="1:4">
      <c r="A5575" s="302">
        <v>87910</v>
      </c>
      <c r="B5575" s="301" t="s">
        <v>5964</v>
      </c>
      <c r="C5575" s="301" t="s">
        <v>117</v>
      </c>
      <c r="D5575" s="303">
        <v>21.86</v>
      </c>
    </row>
    <row r="5576" spans="1:4">
      <c r="A5576" s="302">
        <v>87911</v>
      </c>
      <c r="B5576" s="301" t="s">
        <v>5965</v>
      </c>
      <c r="C5576" s="301" t="s">
        <v>117</v>
      </c>
      <c r="D5576" s="303">
        <v>21.2</v>
      </c>
    </row>
    <row r="5577" spans="1:4">
      <c r="A5577" s="302">
        <v>5991</v>
      </c>
      <c r="B5577" s="301" t="s">
        <v>12603</v>
      </c>
      <c r="C5577" s="301" t="s">
        <v>117</v>
      </c>
      <c r="D5577" s="303">
        <v>40.83</v>
      </c>
    </row>
    <row r="5578" spans="1:4">
      <c r="A5578" s="302">
        <v>84023</v>
      </c>
      <c r="B5578" s="301" t="s">
        <v>12604</v>
      </c>
      <c r="C5578" s="301" t="s">
        <v>117</v>
      </c>
      <c r="D5578" s="303">
        <v>39.21</v>
      </c>
    </row>
    <row r="5579" spans="1:4">
      <c r="A5579" s="302">
        <v>84024</v>
      </c>
      <c r="B5579" s="301" t="s">
        <v>12605</v>
      </c>
      <c r="C5579" s="301" t="s">
        <v>117</v>
      </c>
      <c r="D5579" s="303">
        <v>37.01</v>
      </c>
    </row>
    <row r="5580" spans="1:4">
      <c r="A5580" s="302">
        <v>84026</v>
      </c>
      <c r="B5580" s="301" t="s">
        <v>12606</v>
      </c>
      <c r="C5580" s="301" t="s">
        <v>117</v>
      </c>
      <c r="D5580" s="303">
        <v>45.85</v>
      </c>
    </row>
    <row r="5581" spans="1:4">
      <c r="A5581" s="302">
        <v>84027</v>
      </c>
      <c r="B5581" s="301" t="s">
        <v>12607</v>
      </c>
      <c r="C5581" s="301" t="s">
        <v>117</v>
      </c>
      <c r="D5581" s="303">
        <v>31.24</v>
      </c>
    </row>
    <row r="5582" spans="1:4">
      <c r="A5582" s="302">
        <v>84028</v>
      </c>
      <c r="B5582" s="301" t="s">
        <v>12608</v>
      </c>
      <c r="C5582" s="301" t="s">
        <v>117</v>
      </c>
      <c r="D5582" s="303">
        <v>51.52</v>
      </c>
    </row>
    <row r="5583" spans="1:4">
      <c r="A5583" s="302">
        <v>84072</v>
      </c>
      <c r="B5583" s="301" t="s">
        <v>12609</v>
      </c>
      <c r="C5583" s="301" t="s">
        <v>117</v>
      </c>
      <c r="D5583" s="303">
        <v>31.74</v>
      </c>
    </row>
    <row r="5584" spans="1:4">
      <c r="A5584" s="302">
        <v>87411</v>
      </c>
      <c r="B5584" s="301" t="s">
        <v>5966</v>
      </c>
      <c r="C5584" s="301" t="s">
        <v>117</v>
      </c>
      <c r="D5584" s="303">
        <v>12.55</v>
      </c>
    </row>
    <row r="5585" spans="1:4">
      <c r="A5585" s="302">
        <v>87412</v>
      </c>
      <c r="B5585" s="301" t="s">
        <v>5967</v>
      </c>
      <c r="C5585" s="301" t="s">
        <v>117</v>
      </c>
      <c r="D5585" s="303">
        <v>17.88</v>
      </c>
    </row>
    <row r="5586" spans="1:4">
      <c r="A5586" s="302">
        <v>87413</v>
      </c>
      <c r="B5586" s="301" t="s">
        <v>5968</v>
      </c>
      <c r="C5586" s="301" t="s">
        <v>117</v>
      </c>
      <c r="D5586" s="303">
        <v>20.91</v>
      </c>
    </row>
    <row r="5587" spans="1:4">
      <c r="A5587" s="302">
        <v>87414</v>
      </c>
      <c r="B5587" s="301" t="s">
        <v>5969</v>
      </c>
      <c r="C5587" s="301" t="s">
        <v>117</v>
      </c>
      <c r="D5587" s="303">
        <v>18.66</v>
      </c>
    </row>
    <row r="5588" spans="1:4">
      <c r="A5588" s="302">
        <v>87415</v>
      </c>
      <c r="B5588" s="301" t="s">
        <v>5970</v>
      </c>
      <c r="C5588" s="301" t="s">
        <v>117</v>
      </c>
      <c r="D5588" s="303">
        <v>23.82</v>
      </c>
    </row>
    <row r="5589" spans="1:4">
      <c r="A5589" s="302">
        <v>87416</v>
      </c>
      <c r="B5589" s="301" t="s">
        <v>5971</v>
      </c>
      <c r="C5589" s="301" t="s">
        <v>117</v>
      </c>
      <c r="D5589" s="303">
        <v>27.06</v>
      </c>
    </row>
    <row r="5590" spans="1:4">
      <c r="A5590" s="302">
        <v>87417</v>
      </c>
      <c r="B5590" s="301" t="s">
        <v>5972</v>
      </c>
      <c r="C5590" s="301" t="s">
        <v>117</v>
      </c>
      <c r="D5590" s="303">
        <v>13.3</v>
      </c>
    </row>
    <row r="5591" spans="1:4">
      <c r="A5591" s="302">
        <v>87418</v>
      </c>
      <c r="B5591" s="301" t="s">
        <v>5973</v>
      </c>
      <c r="C5591" s="301" t="s">
        <v>117</v>
      </c>
      <c r="D5591" s="303">
        <v>13.69</v>
      </c>
    </row>
    <row r="5592" spans="1:4">
      <c r="A5592" s="302">
        <v>87419</v>
      </c>
      <c r="B5592" s="301" t="s">
        <v>5974</v>
      </c>
      <c r="C5592" s="301" t="s">
        <v>117</v>
      </c>
      <c r="D5592" s="303">
        <v>14.84</v>
      </c>
    </row>
    <row r="5593" spans="1:4">
      <c r="A5593" s="302">
        <v>87420</v>
      </c>
      <c r="B5593" s="301" t="s">
        <v>5975</v>
      </c>
      <c r="C5593" s="301" t="s">
        <v>117</v>
      </c>
      <c r="D5593" s="303">
        <v>20</v>
      </c>
    </row>
    <row r="5594" spans="1:4">
      <c r="A5594" s="302">
        <v>87421</v>
      </c>
      <c r="B5594" s="301" t="s">
        <v>5976</v>
      </c>
      <c r="C5594" s="301" t="s">
        <v>117</v>
      </c>
      <c r="D5594" s="303">
        <v>20.39</v>
      </c>
    </row>
    <row r="5595" spans="1:4">
      <c r="A5595" s="302">
        <v>87422</v>
      </c>
      <c r="B5595" s="301" t="s">
        <v>5977</v>
      </c>
      <c r="C5595" s="301" t="s">
        <v>117</v>
      </c>
      <c r="D5595" s="303">
        <v>21.54</v>
      </c>
    </row>
    <row r="5596" spans="1:4">
      <c r="A5596" s="302">
        <v>87423</v>
      </c>
      <c r="B5596" s="301" t="s">
        <v>5978</v>
      </c>
      <c r="C5596" s="301" t="s">
        <v>117</v>
      </c>
      <c r="D5596" s="303">
        <v>26.47</v>
      </c>
    </row>
    <row r="5597" spans="1:4">
      <c r="A5597" s="302">
        <v>87424</v>
      </c>
      <c r="B5597" s="301" t="s">
        <v>5979</v>
      </c>
      <c r="C5597" s="301" t="s">
        <v>117</v>
      </c>
      <c r="D5597" s="303">
        <v>27.06</v>
      </c>
    </row>
    <row r="5598" spans="1:4">
      <c r="A5598" s="302">
        <v>87425</v>
      </c>
      <c r="B5598" s="301" t="s">
        <v>5980</v>
      </c>
      <c r="C5598" s="301" t="s">
        <v>117</v>
      </c>
      <c r="D5598" s="303">
        <v>28.01</v>
      </c>
    </row>
    <row r="5599" spans="1:4">
      <c r="A5599" s="302">
        <v>87426</v>
      </c>
      <c r="B5599" s="301" t="s">
        <v>5981</v>
      </c>
      <c r="C5599" s="301" t="s">
        <v>117</v>
      </c>
      <c r="D5599" s="303">
        <v>31.14</v>
      </c>
    </row>
    <row r="5600" spans="1:4">
      <c r="A5600" s="302">
        <v>87427</v>
      </c>
      <c r="B5600" s="301" t="s">
        <v>5982</v>
      </c>
      <c r="C5600" s="301" t="s">
        <v>117</v>
      </c>
      <c r="D5600" s="303">
        <v>31.73</v>
      </c>
    </row>
    <row r="5601" spans="1:4">
      <c r="A5601" s="302">
        <v>87428</v>
      </c>
      <c r="B5601" s="301" t="s">
        <v>5983</v>
      </c>
      <c r="C5601" s="301" t="s">
        <v>117</v>
      </c>
      <c r="D5601" s="303">
        <v>32.68</v>
      </c>
    </row>
    <row r="5602" spans="1:4">
      <c r="A5602" s="302">
        <v>87429</v>
      </c>
      <c r="B5602" s="301" t="s">
        <v>5984</v>
      </c>
      <c r="C5602" s="301" t="s">
        <v>117</v>
      </c>
      <c r="D5602" s="303">
        <v>14.99</v>
      </c>
    </row>
    <row r="5603" spans="1:4">
      <c r="A5603" s="302">
        <v>87430</v>
      </c>
      <c r="B5603" s="301" t="s">
        <v>5985</v>
      </c>
      <c r="C5603" s="301" t="s">
        <v>117</v>
      </c>
      <c r="D5603" s="303">
        <v>15.38</v>
      </c>
    </row>
    <row r="5604" spans="1:4">
      <c r="A5604" s="302">
        <v>87431</v>
      </c>
      <c r="B5604" s="301" t="s">
        <v>5986</v>
      </c>
      <c r="C5604" s="301" t="s">
        <v>117</v>
      </c>
      <c r="D5604" s="303">
        <v>15.58</v>
      </c>
    </row>
    <row r="5605" spans="1:4">
      <c r="A5605" s="302">
        <v>87432</v>
      </c>
      <c r="B5605" s="301" t="s">
        <v>5987</v>
      </c>
      <c r="C5605" s="301" t="s">
        <v>117</v>
      </c>
      <c r="D5605" s="303">
        <v>21.66</v>
      </c>
    </row>
    <row r="5606" spans="1:4">
      <c r="A5606" s="302">
        <v>87433</v>
      </c>
      <c r="B5606" s="301" t="s">
        <v>5988</v>
      </c>
      <c r="C5606" s="301" t="s">
        <v>117</v>
      </c>
      <c r="D5606" s="303">
        <v>22.45</v>
      </c>
    </row>
    <row r="5607" spans="1:4">
      <c r="A5607" s="302">
        <v>87434</v>
      </c>
      <c r="B5607" s="301" t="s">
        <v>5989</v>
      </c>
      <c r="C5607" s="301" t="s">
        <v>117</v>
      </c>
      <c r="D5607" s="303">
        <v>23</v>
      </c>
    </row>
    <row r="5608" spans="1:4">
      <c r="A5608" s="302">
        <v>87435</v>
      </c>
      <c r="B5608" s="301" t="s">
        <v>5990</v>
      </c>
      <c r="C5608" s="301" t="s">
        <v>117</v>
      </c>
      <c r="D5608" s="303">
        <v>24.15</v>
      </c>
    </row>
    <row r="5609" spans="1:4">
      <c r="A5609" s="302">
        <v>87436</v>
      </c>
      <c r="B5609" s="301" t="s">
        <v>5991</v>
      </c>
      <c r="C5609" s="301" t="s">
        <v>117</v>
      </c>
      <c r="D5609" s="303">
        <v>25.49</v>
      </c>
    </row>
    <row r="5610" spans="1:4">
      <c r="A5610" s="302">
        <v>87437</v>
      </c>
      <c r="B5610" s="301" t="s">
        <v>5992</v>
      </c>
      <c r="C5610" s="301" t="s">
        <v>117</v>
      </c>
      <c r="D5610" s="303">
        <v>26.43</v>
      </c>
    </row>
    <row r="5611" spans="1:4">
      <c r="A5611" s="302">
        <v>87438</v>
      </c>
      <c r="B5611" s="301" t="s">
        <v>5993</v>
      </c>
      <c r="C5611" s="301" t="s">
        <v>117</v>
      </c>
      <c r="D5611" s="303">
        <v>29.8</v>
      </c>
    </row>
    <row r="5612" spans="1:4">
      <c r="A5612" s="302">
        <v>87439</v>
      </c>
      <c r="B5612" s="301" t="s">
        <v>5994</v>
      </c>
      <c r="C5612" s="301" t="s">
        <v>117</v>
      </c>
      <c r="D5612" s="303">
        <v>31.49</v>
      </c>
    </row>
    <row r="5613" spans="1:4">
      <c r="A5613" s="302">
        <v>87440</v>
      </c>
      <c r="B5613" s="301" t="s">
        <v>5995</v>
      </c>
      <c r="C5613" s="301" t="s">
        <v>117</v>
      </c>
      <c r="D5613" s="303">
        <v>32.270000000000003</v>
      </c>
    </row>
    <row r="5614" spans="1:4">
      <c r="A5614" s="302">
        <v>87527</v>
      </c>
      <c r="B5614" s="301" t="s">
        <v>5996</v>
      </c>
      <c r="C5614" s="301" t="s">
        <v>117</v>
      </c>
      <c r="D5614" s="303">
        <v>27.45</v>
      </c>
    </row>
    <row r="5615" spans="1:4">
      <c r="A5615" s="302">
        <v>87528</v>
      </c>
      <c r="B5615" s="301" t="s">
        <v>896</v>
      </c>
      <c r="C5615" s="301" t="s">
        <v>117</v>
      </c>
      <c r="D5615" s="303">
        <v>31.42</v>
      </c>
    </row>
    <row r="5616" spans="1:4">
      <c r="A5616" s="302">
        <v>87529</v>
      </c>
      <c r="B5616" s="301" t="s">
        <v>327</v>
      </c>
      <c r="C5616" s="301" t="s">
        <v>117</v>
      </c>
      <c r="D5616" s="303">
        <v>24.65</v>
      </c>
    </row>
    <row r="5617" spans="1:4">
      <c r="A5617" s="302">
        <v>87530</v>
      </c>
      <c r="B5617" s="301" t="s">
        <v>5997</v>
      </c>
      <c r="C5617" s="301" t="s">
        <v>117</v>
      </c>
      <c r="D5617" s="303">
        <v>28.62</v>
      </c>
    </row>
    <row r="5618" spans="1:4">
      <c r="A5618" s="302">
        <v>87531</v>
      </c>
      <c r="B5618" s="301" t="s">
        <v>5998</v>
      </c>
      <c r="C5618" s="301" t="s">
        <v>117</v>
      </c>
      <c r="D5618" s="303">
        <v>23.64</v>
      </c>
    </row>
    <row r="5619" spans="1:4">
      <c r="A5619" s="302">
        <v>87532</v>
      </c>
      <c r="B5619" s="301" t="s">
        <v>5999</v>
      </c>
      <c r="C5619" s="301" t="s">
        <v>117</v>
      </c>
      <c r="D5619" s="303">
        <v>27.61</v>
      </c>
    </row>
    <row r="5620" spans="1:4">
      <c r="A5620" s="302">
        <v>87535</v>
      </c>
      <c r="B5620" s="301" t="s">
        <v>6000</v>
      </c>
      <c r="C5620" s="301" t="s">
        <v>117</v>
      </c>
      <c r="D5620" s="303">
        <v>20.82</v>
      </c>
    </row>
    <row r="5621" spans="1:4">
      <c r="A5621" s="302">
        <v>87536</v>
      </c>
      <c r="B5621" s="301" t="s">
        <v>857</v>
      </c>
      <c r="C5621" s="301" t="s">
        <v>117</v>
      </c>
      <c r="D5621" s="303">
        <v>24.79</v>
      </c>
    </row>
    <row r="5622" spans="1:4">
      <c r="A5622" s="302">
        <v>87537</v>
      </c>
      <c r="B5622" s="301" t="s">
        <v>6001</v>
      </c>
      <c r="C5622" s="301" t="s">
        <v>117</v>
      </c>
      <c r="D5622" s="303">
        <v>52.63</v>
      </c>
    </row>
    <row r="5623" spans="1:4">
      <c r="A5623" s="302">
        <v>87538</v>
      </c>
      <c r="B5623" s="301" t="s">
        <v>6002</v>
      </c>
      <c r="C5623" s="301" t="s">
        <v>117</v>
      </c>
      <c r="D5623" s="303">
        <v>50.23</v>
      </c>
    </row>
    <row r="5624" spans="1:4">
      <c r="A5624" s="302">
        <v>87539</v>
      </c>
      <c r="B5624" s="301" t="s">
        <v>6003</v>
      </c>
      <c r="C5624" s="301" t="s">
        <v>117</v>
      </c>
      <c r="D5624" s="303">
        <v>49.37</v>
      </c>
    </row>
    <row r="5625" spans="1:4">
      <c r="A5625" s="302">
        <v>87541</v>
      </c>
      <c r="B5625" s="301" t="s">
        <v>6004</v>
      </c>
      <c r="C5625" s="301" t="s">
        <v>117</v>
      </c>
      <c r="D5625" s="303">
        <v>46.97</v>
      </c>
    </row>
    <row r="5626" spans="1:4">
      <c r="A5626" s="302">
        <v>87543</v>
      </c>
      <c r="B5626" s="301" t="s">
        <v>6005</v>
      </c>
      <c r="C5626" s="301" t="s">
        <v>117</v>
      </c>
      <c r="D5626" s="303">
        <v>16.63</v>
      </c>
    </row>
    <row r="5627" spans="1:4">
      <c r="A5627" s="302">
        <v>87545</v>
      </c>
      <c r="B5627" s="301" t="s">
        <v>6006</v>
      </c>
      <c r="C5627" s="301" t="s">
        <v>117</v>
      </c>
      <c r="D5627" s="303">
        <v>18.91</v>
      </c>
    </row>
    <row r="5628" spans="1:4">
      <c r="A5628" s="302">
        <v>87546</v>
      </c>
      <c r="B5628" s="301" t="s">
        <v>6007</v>
      </c>
      <c r="C5628" s="301" t="s">
        <v>117</v>
      </c>
      <c r="D5628" s="303">
        <v>21.16</v>
      </c>
    </row>
    <row r="5629" spans="1:4">
      <c r="A5629" s="302">
        <v>87547</v>
      </c>
      <c r="B5629" s="301" t="s">
        <v>6008</v>
      </c>
      <c r="C5629" s="301" t="s">
        <v>117</v>
      </c>
      <c r="D5629" s="303">
        <v>16.11</v>
      </c>
    </row>
    <row r="5630" spans="1:4">
      <c r="A5630" s="302">
        <v>87548</v>
      </c>
      <c r="B5630" s="301" t="s">
        <v>6009</v>
      </c>
      <c r="C5630" s="301" t="s">
        <v>117</v>
      </c>
      <c r="D5630" s="303">
        <v>18.36</v>
      </c>
    </row>
    <row r="5631" spans="1:4">
      <c r="A5631" s="302">
        <v>87549</v>
      </c>
      <c r="B5631" s="301" t="s">
        <v>6010</v>
      </c>
      <c r="C5631" s="301" t="s">
        <v>117</v>
      </c>
      <c r="D5631" s="303">
        <v>15.1</v>
      </c>
    </row>
    <row r="5632" spans="1:4">
      <c r="A5632" s="302">
        <v>87550</v>
      </c>
      <c r="B5632" s="301" t="s">
        <v>6011</v>
      </c>
      <c r="C5632" s="301" t="s">
        <v>117</v>
      </c>
      <c r="D5632" s="303">
        <v>17.350000000000001</v>
      </c>
    </row>
    <row r="5633" spans="1:4">
      <c r="A5633" s="302">
        <v>87553</v>
      </c>
      <c r="B5633" s="301" t="s">
        <v>328</v>
      </c>
      <c r="C5633" s="301" t="s">
        <v>117</v>
      </c>
      <c r="D5633" s="303">
        <v>12.28</v>
      </c>
    </row>
    <row r="5634" spans="1:4">
      <c r="A5634" s="302">
        <v>87554</v>
      </c>
      <c r="B5634" s="301" t="s">
        <v>6012</v>
      </c>
      <c r="C5634" s="301" t="s">
        <v>117</v>
      </c>
      <c r="D5634" s="303">
        <v>14.53</v>
      </c>
    </row>
    <row r="5635" spans="1:4">
      <c r="A5635" s="302">
        <v>87555</v>
      </c>
      <c r="B5635" s="301" t="s">
        <v>6013</v>
      </c>
      <c r="C5635" s="301" t="s">
        <v>117</v>
      </c>
      <c r="D5635" s="303">
        <v>32.29</v>
      </c>
    </row>
    <row r="5636" spans="1:4">
      <c r="A5636" s="302">
        <v>87556</v>
      </c>
      <c r="B5636" s="301" t="s">
        <v>6014</v>
      </c>
      <c r="C5636" s="301" t="s">
        <v>117</v>
      </c>
      <c r="D5636" s="303">
        <v>29.91</v>
      </c>
    </row>
    <row r="5637" spans="1:4">
      <c r="A5637" s="302">
        <v>87557</v>
      </c>
      <c r="B5637" s="301" t="s">
        <v>6015</v>
      </c>
      <c r="C5637" s="301" t="s">
        <v>117</v>
      </c>
      <c r="D5637" s="303">
        <v>29.03</v>
      </c>
    </row>
    <row r="5638" spans="1:4">
      <c r="A5638" s="302">
        <v>87559</v>
      </c>
      <c r="B5638" s="301" t="s">
        <v>6016</v>
      </c>
      <c r="C5638" s="301" t="s">
        <v>117</v>
      </c>
      <c r="D5638" s="303">
        <v>26.62</v>
      </c>
    </row>
    <row r="5639" spans="1:4">
      <c r="A5639" s="302">
        <v>87561</v>
      </c>
      <c r="B5639" s="301" t="s">
        <v>6017</v>
      </c>
      <c r="C5639" s="301" t="s">
        <v>117</v>
      </c>
      <c r="D5639" s="303">
        <v>29.24</v>
      </c>
    </row>
    <row r="5640" spans="1:4">
      <c r="A5640" s="302">
        <v>87775</v>
      </c>
      <c r="B5640" s="301" t="s">
        <v>6018</v>
      </c>
      <c r="C5640" s="301" t="s">
        <v>117</v>
      </c>
      <c r="D5640" s="303">
        <v>40.130000000000003</v>
      </c>
    </row>
    <row r="5641" spans="1:4">
      <c r="A5641" s="302">
        <v>87777</v>
      </c>
      <c r="B5641" s="301" t="s">
        <v>6019</v>
      </c>
      <c r="C5641" s="301" t="s">
        <v>117</v>
      </c>
      <c r="D5641" s="303">
        <v>43.45</v>
      </c>
    </row>
    <row r="5642" spans="1:4">
      <c r="A5642" s="302">
        <v>87778</v>
      </c>
      <c r="B5642" s="301" t="s">
        <v>6020</v>
      </c>
      <c r="C5642" s="301" t="s">
        <v>117</v>
      </c>
      <c r="D5642" s="303">
        <v>59.09</v>
      </c>
    </row>
    <row r="5643" spans="1:4">
      <c r="A5643" s="302">
        <v>87779</v>
      </c>
      <c r="B5643" s="301" t="s">
        <v>6021</v>
      </c>
      <c r="C5643" s="301" t="s">
        <v>117</v>
      </c>
      <c r="D5643" s="303">
        <v>46.59</v>
      </c>
    </row>
    <row r="5644" spans="1:4">
      <c r="A5644" s="302">
        <v>87781</v>
      </c>
      <c r="B5644" s="301" t="s">
        <v>6022</v>
      </c>
      <c r="C5644" s="301" t="s">
        <v>117</v>
      </c>
      <c r="D5644" s="303">
        <v>51.03</v>
      </c>
    </row>
    <row r="5645" spans="1:4">
      <c r="A5645" s="302">
        <v>87783</v>
      </c>
      <c r="B5645" s="301" t="s">
        <v>6023</v>
      </c>
      <c r="C5645" s="301" t="s">
        <v>117</v>
      </c>
      <c r="D5645" s="303">
        <v>73.58</v>
      </c>
    </row>
    <row r="5646" spans="1:4">
      <c r="A5646" s="302">
        <v>87784</v>
      </c>
      <c r="B5646" s="301" t="s">
        <v>6024</v>
      </c>
      <c r="C5646" s="301" t="s">
        <v>117</v>
      </c>
      <c r="D5646" s="303">
        <v>53.04</v>
      </c>
    </row>
    <row r="5647" spans="1:4">
      <c r="A5647" s="302">
        <v>87786</v>
      </c>
      <c r="B5647" s="301" t="s">
        <v>6025</v>
      </c>
      <c r="C5647" s="301" t="s">
        <v>117</v>
      </c>
      <c r="D5647" s="303">
        <v>58.61</v>
      </c>
    </row>
    <row r="5648" spans="1:4">
      <c r="A5648" s="302">
        <v>87787</v>
      </c>
      <c r="B5648" s="301" t="s">
        <v>6026</v>
      </c>
      <c r="C5648" s="301" t="s">
        <v>117</v>
      </c>
      <c r="D5648" s="303">
        <v>88.06</v>
      </c>
    </row>
    <row r="5649" spans="1:4">
      <c r="A5649" s="302">
        <v>87788</v>
      </c>
      <c r="B5649" s="301" t="s">
        <v>6027</v>
      </c>
      <c r="C5649" s="301" t="s">
        <v>117</v>
      </c>
      <c r="D5649" s="303">
        <v>68.75</v>
      </c>
    </row>
    <row r="5650" spans="1:4">
      <c r="A5650" s="302">
        <v>87790</v>
      </c>
      <c r="B5650" s="301" t="s">
        <v>6028</v>
      </c>
      <c r="C5650" s="301" t="s">
        <v>117</v>
      </c>
      <c r="D5650" s="303">
        <v>74.88</v>
      </c>
    </row>
    <row r="5651" spans="1:4">
      <c r="A5651" s="302">
        <v>87791</v>
      </c>
      <c r="B5651" s="301" t="s">
        <v>6029</v>
      </c>
      <c r="C5651" s="301" t="s">
        <v>117</v>
      </c>
      <c r="D5651" s="303">
        <v>104.55</v>
      </c>
    </row>
    <row r="5652" spans="1:4">
      <c r="A5652" s="302">
        <v>87792</v>
      </c>
      <c r="B5652" s="301" t="s">
        <v>6030</v>
      </c>
      <c r="C5652" s="301" t="s">
        <v>117</v>
      </c>
      <c r="D5652" s="303">
        <v>26.11</v>
      </c>
    </row>
    <row r="5653" spans="1:4">
      <c r="A5653" s="302">
        <v>87794</v>
      </c>
      <c r="B5653" s="301" t="s">
        <v>6031</v>
      </c>
      <c r="C5653" s="301" t="s">
        <v>117</v>
      </c>
      <c r="D5653" s="303">
        <v>29.2</v>
      </c>
    </row>
    <row r="5654" spans="1:4">
      <c r="A5654" s="302">
        <v>87795</v>
      </c>
      <c r="B5654" s="301" t="s">
        <v>6032</v>
      </c>
      <c r="C5654" s="301" t="s">
        <v>117</v>
      </c>
      <c r="D5654" s="303">
        <v>43.47</v>
      </c>
    </row>
    <row r="5655" spans="1:4">
      <c r="A5655" s="302">
        <v>87797</v>
      </c>
      <c r="B5655" s="301" t="s">
        <v>6033</v>
      </c>
      <c r="C5655" s="301" t="s">
        <v>117</v>
      </c>
      <c r="D5655" s="303">
        <v>32.31</v>
      </c>
    </row>
    <row r="5656" spans="1:4">
      <c r="A5656" s="302">
        <v>87799</v>
      </c>
      <c r="B5656" s="301" t="s">
        <v>6034</v>
      </c>
      <c r="C5656" s="301" t="s">
        <v>117</v>
      </c>
      <c r="D5656" s="303">
        <v>36.46</v>
      </c>
    </row>
    <row r="5657" spans="1:4">
      <c r="A5657" s="302">
        <v>87800</v>
      </c>
      <c r="B5657" s="301" t="s">
        <v>6035</v>
      </c>
      <c r="C5657" s="301" t="s">
        <v>117</v>
      </c>
      <c r="D5657" s="303">
        <v>57.21</v>
      </c>
    </row>
    <row r="5658" spans="1:4">
      <c r="A5658" s="302">
        <v>87801</v>
      </c>
      <c r="B5658" s="301" t="s">
        <v>6036</v>
      </c>
      <c r="C5658" s="301" t="s">
        <v>117</v>
      </c>
      <c r="D5658" s="303">
        <v>38.53</v>
      </c>
    </row>
    <row r="5659" spans="1:4">
      <c r="A5659" s="302">
        <v>87803</v>
      </c>
      <c r="B5659" s="301" t="s">
        <v>6037</v>
      </c>
      <c r="C5659" s="301" t="s">
        <v>117</v>
      </c>
      <c r="D5659" s="303">
        <v>43.74</v>
      </c>
    </row>
    <row r="5660" spans="1:4">
      <c r="A5660" s="302">
        <v>87804</v>
      </c>
      <c r="B5660" s="301" t="s">
        <v>6038</v>
      </c>
      <c r="C5660" s="301" t="s">
        <v>117</v>
      </c>
      <c r="D5660" s="303">
        <v>70.94</v>
      </c>
    </row>
    <row r="5661" spans="1:4">
      <c r="A5661" s="302">
        <v>87805</v>
      </c>
      <c r="B5661" s="301" t="s">
        <v>6039</v>
      </c>
      <c r="C5661" s="301" t="s">
        <v>117</v>
      </c>
      <c r="D5661" s="303">
        <v>44.5</v>
      </c>
    </row>
    <row r="5662" spans="1:4">
      <c r="A5662" s="302">
        <v>87807</v>
      </c>
      <c r="B5662" s="301" t="s">
        <v>6040</v>
      </c>
      <c r="C5662" s="301" t="s">
        <v>117</v>
      </c>
      <c r="D5662" s="303">
        <v>50.23</v>
      </c>
    </row>
    <row r="5663" spans="1:4">
      <c r="A5663" s="302">
        <v>87808</v>
      </c>
      <c r="B5663" s="301" t="s">
        <v>6041</v>
      </c>
      <c r="C5663" s="301" t="s">
        <v>117</v>
      </c>
      <c r="D5663" s="303">
        <v>77.45</v>
      </c>
    </row>
    <row r="5664" spans="1:4">
      <c r="A5664" s="302">
        <v>87809</v>
      </c>
      <c r="B5664" s="301" t="s">
        <v>6042</v>
      </c>
      <c r="C5664" s="301" t="s">
        <v>117</v>
      </c>
      <c r="D5664" s="303">
        <v>65.2</v>
      </c>
    </row>
    <row r="5665" spans="1:4">
      <c r="A5665" s="302">
        <v>87811</v>
      </c>
      <c r="B5665" s="301" t="s">
        <v>6043</v>
      </c>
      <c r="C5665" s="301" t="s">
        <v>117</v>
      </c>
      <c r="D5665" s="303">
        <v>68.290000000000006</v>
      </c>
    </row>
    <row r="5666" spans="1:4">
      <c r="A5666" s="302">
        <v>87812</v>
      </c>
      <c r="B5666" s="301" t="s">
        <v>6044</v>
      </c>
      <c r="C5666" s="301" t="s">
        <v>117</v>
      </c>
      <c r="D5666" s="303">
        <v>82.21</v>
      </c>
    </row>
    <row r="5667" spans="1:4">
      <c r="A5667" s="302">
        <v>87813</v>
      </c>
      <c r="B5667" s="301" t="s">
        <v>6045</v>
      </c>
      <c r="C5667" s="301" t="s">
        <v>117</v>
      </c>
      <c r="D5667" s="303">
        <v>71.41</v>
      </c>
    </row>
    <row r="5668" spans="1:4">
      <c r="A5668" s="302">
        <v>87815</v>
      </c>
      <c r="B5668" s="301" t="s">
        <v>6046</v>
      </c>
      <c r="C5668" s="301" t="s">
        <v>117</v>
      </c>
      <c r="D5668" s="303">
        <v>75.56</v>
      </c>
    </row>
    <row r="5669" spans="1:4">
      <c r="A5669" s="302">
        <v>87816</v>
      </c>
      <c r="B5669" s="301" t="s">
        <v>6047</v>
      </c>
      <c r="C5669" s="301" t="s">
        <v>117</v>
      </c>
      <c r="D5669" s="303">
        <v>95.94</v>
      </c>
    </row>
    <row r="5670" spans="1:4">
      <c r="A5670" s="302">
        <v>87817</v>
      </c>
      <c r="B5670" s="301" t="s">
        <v>6048</v>
      </c>
      <c r="C5670" s="301" t="s">
        <v>117</v>
      </c>
      <c r="D5670" s="303">
        <v>77.260000000000005</v>
      </c>
    </row>
    <row r="5671" spans="1:4">
      <c r="A5671" s="302">
        <v>87819</v>
      </c>
      <c r="B5671" s="301" t="s">
        <v>6049</v>
      </c>
      <c r="C5671" s="301" t="s">
        <v>117</v>
      </c>
      <c r="D5671" s="303">
        <v>82.47</v>
      </c>
    </row>
    <row r="5672" spans="1:4">
      <c r="A5672" s="302">
        <v>87820</v>
      </c>
      <c r="B5672" s="301" t="s">
        <v>6050</v>
      </c>
      <c r="C5672" s="301" t="s">
        <v>117</v>
      </c>
      <c r="D5672" s="303">
        <v>109.67</v>
      </c>
    </row>
    <row r="5673" spans="1:4">
      <c r="A5673" s="302">
        <v>87821</v>
      </c>
      <c r="B5673" s="301" t="s">
        <v>6051</v>
      </c>
      <c r="C5673" s="301" t="s">
        <v>117</v>
      </c>
      <c r="D5673" s="303">
        <v>112.17</v>
      </c>
    </row>
    <row r="5674" spans="1:4">
      <c r="A5674" s="302">
        <v>87823</v>
      </c>
      <c r="B5674" s="301" t="s">
        <v>6052</v>
      </c>
      <c r="C5674" s="301" t="s">
        <v>117</v>
      </c>
      <c r="D5674" s="303">
        <v>117.9</v>
      </c>
    </row>
    <row r="5675" spans="1:4">
      <c r="A5675" s="302">
        <v>87824</v>
      </c>
      <c r="B5675" s="301" t="s">
        <v>6053</v>
      </c>
      <c r="C5675" s="301" t="s">
        <v>117</v>
      </c>
      <c r="D5675" s="303">
        <v>144.76</v>
      </c>
    </row>
    <row r="5676" spans="1:4">
      <c r="A5676" s="302">
        <v>87825</v>
      </c>
      <c r="B5676" s="301" t="s">
        <v>6054</v>
      </c>
      <c r="C5676" s="301" t="s">
        <v>117</v>
      </c>
      <c r="D5676" s="303">
        <v>50.98</v>
      </c>
    </row>
    <row r="5677" spans="1:4">
      <c r="A5677" s="302">
        <v>87827</v>
      </c>
      <c r="B5677" s="301" t="s">
        <v>6055</v>
      </c>
      <c r="C5677" s="301" t="s">
        <v>117</v>
      </c>
      <c r="D5677" s="303">
        <v>54.77</v>
      </c>
    </row>
    <row r="5678" spans="1:4">
      <c r="A5678" s="302">
        <v>87828</v>
      </c>
      <c r="B5678" s="301" t="s">
        <v>6056</v>
      </c>
      <c r="C5678" s="301" t="s">
        <v>117</v>
      </c>
      <c r="D5678" s="303">
        <v>73.31</v>
      </c>
    </row>
    <row r="5679" spans="1:4">
      <c r="A5679" s="302">
        <v>87829</v>
      </c>
      <c r="B5679" s="301" t="s">
        <v>6057</v>
      </c>
      <c r="C5679" s="301" t="s">
        <v>117</v>
      </c>
      <c r="D5679" s="303">
        <v>57.93</v>
      </c>
    </row>
    <row r="5680" spans="1:4">
      <c r="A5680" s="302">
        <v>87831</v>
      </c>
      <c r="B5680" s="301" t="s">
        <v>6058</v>
      </c>
      <c r="C5680" s="301" t="s">
        <v>117</v>
      </c>
      <c r="D5680" s="303">
        <v>63.01</v>
      </c>
    </row>
    <row r="5681" spans="1:4">
      <c r="A5681" s="302">
        <v>87832</v>
      </c>
      <c r="B5681" s="301" t="s">
        <v>6059</v>
      </c>
      <c r="C5681" s="301" t="s">
        <v>117</v>
      </c>
      <c r="D5681" s="303">
        <v>89.43</v>
      </c>
    </row>
    <row r="5682" spans="1:4">
      <c r="A5682" s="302">
        <v>87834</v>
      </c>
      <c r="B5682" s="301" t="s">
        <v>6060</v>
      </c>
      <c r="C5682" s="301" t="s">
        <v>117</v>
      </c>
      <c r="D5682" s="303">
        <v>149.16999999999999</v>
      </c>
    </row>
    <row r="5683" spans="1:4">
      <c r="A5683" s="302">
        <v>87835</v>
      </c>
      <c r="B5683" s="301" t="s">
        <v>6061</v>
      </c>
      <c r="C5683" s="301" t="s">
        <v>117</v>
      </c>
      <c r="D5683" s="303">
        <v>102.15</v>
      </c>
    </row>
    <row r="5684" spans="1:4">
      <c r="A5684" s="302">
        <v>87836</v>
      </c>
      <c r="B5684" s="301" t="s">
        <v>6062</v>
      </c>
      <c r="C5684" s="301" t="s">
        <v>117</v>
      </c>
      <c r="D5684" s="303">
        <v>142.85</v>
      </c>
    </row>
    <row r="5685" spans="1:4">
      <c r="A5685" s="302">
        <v>87837</v>
      </c>
      <c r="B5685" s="301" t="s">
        <v>6063</v>
      </c>
      <c r="C5685" s="301" t="s">
        <v>117</v>
      </c>
      <c r="D5685" s="303">
        <v>96.6</v>
      </c>
    </row>
    <row r="5686" spans="1:4">
      <c r="A5686" s="302">
        <v>87838</v>
      </c>
      <c r="B5686" s="301" t="s">
        <v>6064</v>
      </c>
      <c r="C5686" s="301" t="s">
        <v>117</v>
      </c>
      <c r="D5686" s="303">
        <v>155.79</v>
      </c>
    </row>
    <row r="5687" spans="1:4">
      <c r="A5687" s="302">
        <v>87839</v>
      </c>
      <c r="B5687" s="301" t="s">
        <v>6065</v>
      </c>
      <c r="C5687" s="301" t="s">
        <v>117</v>
      </c>
      <c r="D5687" s="303">
        <v>106.67</v>
      </c>
    </row>
    <row r="5688" spans="1:4">
      <c r="A5688" s="302">
        <v>87840</v>
      </c>
      <c r="B5688" s="301" t="s">
        <v>6066</v>
      </c>
      <c r="C5688" s="301" t="s">
        <v>117</v>
      </c>
      <c r="D5688" s="303">
        <v>148.01</v>
      </c>
    </row>
    <row r="5689" spans="1:4">
      <c r="A5689" s="302">
        <v>87841</v>
      </c>
      <c r="B5689" s="301" t="s">
        <v>6067</v>
      </c>
      <c r="C5689" s="301" t="s">
        <v>117</v>
      </c>
      <c r="D5689" s="303">
        <v>99.63</v>
      </c>
    </row>
    <row r="5690" spans="1:4">
      <c r="A5690" s="302">
        <v>87842</v>
      </c>
      <c r="B5690" s="301" t="s">
        <v>6068</v>
      </c>
      <c r="C5690" s="301" t="s">
        <v>117</v>
      </c>
      <c r="D5690" s="303">
        <v>153.91999999999999</v>
      </c>
    </row>
    <row r="5691" spans="1:4">
      <c r="A5691" s="302">
        <v>87843</v>
      </c>
      <c r="B5691" s="301" t="s">
        <v>6069</v>
      </c>
      <c r="C5691" s="301" t="s">
        <v>117</v>
      </c>
      <c r="D5691" s="303">
        <v>113.65</v>
      </c>
    </row>
    <row r="5692" spans="1:4">
      <c r="A5692" s="302">
        <v>87844</v>
      </c>
      <c r="B5692" s="301" t="s">
        <v>6070</v>
      </c>
      <c r="C5692" s="301" t="s">
        <v>117</v>
      </c>
      <c r="D5692" s="303">
        <v>142.27000000000001</v>
      </c>
    </row>
    <row r="5693" spans="1:4">
      <c r="A5693" s="302">
        <v>87845</v>
      </c>
      <c r="B5693" s="301" t="s">
        <v>6071</v>
      </c>
      <c r="C5693" s="301" t="s">
        <v>117</v>
      </c>
      <c r="D5693" s="303">
        <v>102.78</v>
      </c>
    </row>
    <row r="5694" spans="1:4">
      <c r="A5694" s="302">
        <v>87846</v>
      </c>
      <c r="B5694" s="301" t="s">
        <v>6072</v>
      </c>
      <c r="C5694" s="301" t="s">
        <v>117</v>
      </c>
      <c r="D5694" s="303">
        <v>161.51</v>
      </c>
    </row>
    <row r="5695" spans="1:4">
      <c r="A5695" s="302">
        <v>87847</v>
      </c>
      <c r="B5695" s="301" t="s">
        <v>6073</v>
      </c>
      <c r="C5695" s="301" t="s">
        <v>117</v>
      </c>
      <c r="D5695" s="303">
        <v>114.49</v>
      </c>
    </row>
    <row r="5696" spans="1:4">
      <c r="A5696" s="302">
        <v>87848</v>
      </c>
      <c r="B5696" s="301" t="s">
        <v>6074</v>
      </c>
      <c r="C5696" s="301" t="s">
        <v>117</v>
      </c>
      <c r="D5696" s="303">
        <v>154.12</v>
      </c>
    </row>
    <row r="5697" spans="1:4">
      <c r="A5697" s="302">
        <v>87849</v>
      </c>
      <c r="B5697" s="301" t="s">
        <v>6075</v>
      </c>
      <c r="C5697" s="301" t="s">
        <v>117</v>
      </c>
      <c r="D5697" s="303">
        <v>107.85</v>
      </c>
    </row>
    <row r="5698" spans="1:4">
      <c r="A5698" s="302">
        <v>87850</v>
      </c>
      <c r="B5698" s="301" t="s">
        <v>6076</v>
      </c>
      <c r="C5698" s="301" t="s">
        <v>117</v>
      </c>
      <c r="D5698" s="303">
        <v>168.15</v>
      </c>
    </row>
    <row r="5699" spans="1:4">
      <c r="A5699" s="302">
        <v>87851</v>
      </c>
      <c r="B5699" s="301" t="s">
        <v>6077</v>
      </c>
      <c r="C5699" s="301" t="s">
        <v>117</v>
      </c>
      <c r="D5699" s="303">
        <v>119.02</v>
      </c>
    </row>
    <row r="5700" spans="1:4">
      <c r="A5700" s="302">
        <v>87852</v>
      </c>
      <c r="B5700" s="301" t="s">
        <v>6078</v>
      </c>
      <c r="C5700" s="301" t="s">
        <v>117</v>
      </c>
      <c r="D5700" s="303">
        <v>159.25</v>
      </c>
    </row>
    <row r="5701" spans="1:4">
      <c r="A5701" s="302">
        <v>87853</v>
      </c>
      <c r="B5701" s="301" t="s">
        <v>6079</v>
      </c>
      <c r="C5701" s="301" t="s">
        <v>117</v>
      </c>
      <c r="D5701" s="303">
        <v>110.87</v>
      </c>
    </row>
    <row r="5702" spans="1:4">
      <c r="A5702" s="302">
        <v>87854</v>
      </c>
      <c r="B5702" s="301" t="s">
        <v>6080</v>
      </c>
      <c r="C5702" s="301" t="s">
        <v>117</v>
      </c>
      <c r="D5702" s="303">
        <v>166.26</v>
      </c>
    </row>
    <row r="5703" spans="1:4">
      <c r="A5703" s="302">
        <v>87855</v>
      </c>
      <c r="B5703" s="301" t="s">
        <v>6081</v>
      </c>
      <c r="C5703" s="301" t="s">
        <v>117</v>
      </c>
      <c r="D5703" s="303">
        <v>126</v>
      </c>
    </row>
    <row r="5704" spans="1:4">
      <c r="A5704" s="302">
        <v>87856</v>
      </c>
      <c r="B5704" s="301" t="s">
        <v>6082</v>
      </c>
      <c r="C5704" s="301" t="s">
        <v>117</v>
      </c>
      <c r="D5704" s="303">
        <v>153.53</v>
      </c>
    </row>
    <row r="5705" spans="1:4">
      <c r="A5705" s="302">
        <v>87857</v>
      </c>
      <c r="B5705" s="301" t="s">
        <v>6083</v>
      </c>
      <c r="C5705" s="301" t="s">
        <v>117</v>
      </c>
      <c r="D5705" s="303">
        <v>114.02</v>
      </c>
    </row>
    <row r="5706" spans="1:4">
      <c r="A5706" s="302">
        <v>87858</v>
      </c>
      <c r="B5706" s="301" t="s">
        <v>6084</v>
      </c>
      <c r="C5706" s="301" t="s">
        <v>117</v>
      </c>
      <c r="D5706" s="303">
        <v>109.74</v>
      </c>
    </row>
    <row r="5707" spans="1:4">
      <c r="A5707" s="302">
        <v>87859</v>
      </c>
      <c r="B5707" s="301" t="s">
        <v>6085</v>
      </c>
      <c r="C5707" s="301" t="s">
        <v>117</v>
      </c>
      <c r="D5707" s="303">
        <v>126.74</v>
      </c>
    </row>
    <row r="5708" spans="1:4">
      <c r="A5708" s="302">
        <v>89048</v>
      </c>
      <c r="B5708" s="301" t="s">
        <v>6086</v>
      </c>
      <c r="C5708" s="301" t="s">
        <v>117</v>
      </c>
      <c r="D5708" s="303">
        <v>25.24</v>
      </c>
    </row>
    <row r="5709" spans="1:4">
      <c r="A5709" s="302">
        <v>89049</v>
      </c>
      <c r="B5709" s="301" t="s">
        <v>6087</v>
      </c>
      <c r="C5709" s="301" t="s">
        <v>117</v>
      </c>
      <c r="D5709" s="303">
        <v>17.420000000000002</v>
      </c>
    </row>
    <row r="5710" spans="1:4">
      <c r="A5710" s="302">
        <v>89173</v>
      </c>
      <c r="B5710" s="301" t="s">
        <v>814</v>
      </c>
      <c r="C5710" s="301" t="s">
        <v>117</v>
      </c>
      <c r="D5710" s="303">
        <v>24.8</v>
      </c>
    </row>
    <row r="5711" spans="1:4">
      <c r="A5711" s="302">
        <v>90406</v>
      </c>
      <c r="B5711" s="301" t="s">
        <v>6088</v>
      </c>
      <c r="C5711" s="301" t="s">
        <v>117</v>
      </c>
      <c r="D5711" s="303">
        <v>32.85</v>
      </c>
    </row>
    <row r="5712" spans="1:4">
      <c r="A5712" s="302">
        <v>90407</v>
      </c>
      <c r="B5712" s="301" t="s">
        <v>6089</v>
      </c>
      <c r="C5712" s="301" t="s">
        <v>117</v>
      </c>
      <c r="D5712" s="303">
        <v>36.82</v>
      </c>
    </row>
    <row r="5713" spans="1:4">
      <c r="A5713" s="302">
        <v>90408</v>
      </c>
      <c r="B5713" s="301" t="s">
        <v>6090</v>
      </c>
      <c r="C5713" s="301" t="s">
        <v>117</v>
      </c>
      <c r="D5713" s="303">
        <v>24.08</v>
      </c>
    </row>
    <row r="5714" spans="1:4">
      <c r="A5714" s="302">
        <v>90409</v>
      </c>
      <c r="B5714" s="301" t="s">
        <v>6091</v>
      </c>
      <c r="C5714" s="301" t="s">
        <v>117</v>
      </c>
      <c r="D5714" s="303">
        <v>26.33</v>
      </c>
    </row>
    <row r="5715" spans="1:4">
      <c r="A5715" s="302">
        <v>84084</v>
      </c>
      <c r="B5715" s="301" t="s">
        <v>12610</v>
      </c>
      <c r="C5715" s="301" t="s">
        <v>117</v>
      </c>
      <c r="D5715" s="303">
        <v>6.36</v>
      </c>
    </row>
    <row r="5716" spans="1:4">
      <c r="A5716" s="302">
        <v>87242</v>
      </c>
      <c r="B5716" s="301" t="s">
        <v>71</v>
      </c>
      <c r="C5716" s="301" t="s">
        <v>117</v>
      </c>
      <c r="D5716" s="303">
        <v>199.7</v>
      </c>
    </row>
    <row r="5717" spans="1:4">
      <c r="A5717" s="302">
        <v>87243</v>
      </c>
      <c r="B5717" s="301" t="s">
        <v>6092</v>
      </c>
      <c r="C5717" s="301" t="s">
        <v>117</v>
      </c>
      <c r="D5717" s="303">
        <v>183.71</v>
      </c>
    </row>
    <row r="5718" spans="1:4">
      <c r="A5718" s="302">
        <v>87244</v>
      </c>
      <c r="B5718" s="301" t="s">
        <v>6093</v>
      </c>
      <c r="C5718" s="301" t="s">
        <v>117</v>
      </c>
      <c r="D5718" s="303">
        <v>193.48</v>
      </c>
    </row>
    <row r="5719" spans="1:4">
      <c r="A5719" s="302">
        <v>87245</v>
      </c>
      <c r="B5719" s="301" t="s">
        <v>6094</v>
      </c>
      <c r="C5719" s="301" t="s">
        <v>117</v>
      </c>
      <c r="D5719" s="303">
        <v>231.93</v>
      </c>
    </row>
    <row r="5720" spans="1:4">
      <c r="A5720" s="302">
        <v>87264</v>
      </c>
      <c r="B5720" s="301" t="s">
        <v>897</v>
      </c>
      <c r="C5720" s="301" t="s">
        <v>117</v>
      </c>
      <c r="D5720" s="303">
        <v>43.83</v>
      </c>
    </row>
    <row r="5721" spans="1:4">
      <c r="A5721" s="302">
        <v>87265</v>
      </c>
      <c r="B5721" s="301" t="s">
        <v>6095</v>
      </c>
      <c r="C5721" s="301" t="s">
        <v>117</v>
      </c>
      <c r="D5721" s="303">
        <v>37.67</v>
      </c>
    </row>
    <row r="5722" spans="1:4">
      <c r="A5722" s="302">
        <v>87266</v>
      </c>
      <c r="B5722" s="301" t="s">
        <v>6096</v>
      </c>
      <c r="C5722" s="301" t="s">
        <v>117</v>
      </c>
      <c r="D5722" s="303">
        <v>46.05</v>
      </c>
    </row>
    <row r="5723" spans="1:4">
      <c r="A5723" s="302">
        <v>87267</v>
      </c>
      <c r="B5723" s="301" t="s">
        <v>6097</v>
      </c>
      <c r="C5723" s="301" t="s">
        <v>117</v>
      </c>
      <c r="D5723" s="303">
        <v>43.27</v>
      </c>
    </row>
    <row r="5724" spans="1:4">
      <c r="A5724" s="302">
        <v>87268</v>
      </c>
      <c r="B5724" s="301" t="s">
        <v>6098</v>
      </c>
      <c r="C5724" s="301" t="s">
        <v>117</v>
      </c>
      <c r="D5724" s="303">
        <v>47.41</v>
      </c>
    </row>
    <row r="5725" spans="1:4">
      <c r="A5725" s="302">
        <v>87269</v>
      </c>
      <c r="B5725" s="301" t="s">
        <v>6099</v>
      </c>
      <c r="C5725" s="301" t="s">
        <v>117</v>
      </c>
      <c r="D5725" s="303">
        <v>40.69</v>
      </c>
    </row>
    <row r="5726" spans="1:4">
      <c r="A5726" s="302">
        <v>87270</v>
      </c>
      <c r="B5726" s="301" t="s">
        <v>6100</v>
      </c>
      <c r="C5726" s="301" t="s">
        <v>117</v>
      </c>
      <c r="D5726" s="303">
        <v>49.26</v>
      </c>
    </row>
    <row r="5727" spans="1:4">
      <c r="A5727" s="302">
        <v>87271</v>
      </c>
      <c r="B5727" s="301" t="s">
        <v>6101</v>
      </c>
      <c r="C5727" s="301" t="s">
        <v>117</v>
      </c>
      <c r="D5727" s="303">
        <v>46.12</v>
      </c>
    </row>
    <row r="5728" spans="1:4">
      <c r="A5728" s="302">
        <v>87272</v>
      </c>
      <c r="B5728" s="301" t="s">
        <v>6102</v>
      </c>
      <c r="C5728" s="301" t="s">
        <v>117</v>
      </c>
      <c r="D5728" s="303">
        <v>50.9</v>
      </c>
    </row>
    <row r="5729" spans="1:4">
      <c r="A5729" s="302">
        <v>87273</v>
      </c>
      <c r="B5729" s="301" t="s">
        <v>6103</v>
      </c>
      <c r="C5729" s="301" t="s">
        <v>117</v>
      </c>
      <c r="D5729" s="303">
        <v>42.69</v>
      </c>
    </row>
    <row r="5730" spans="1:4">
      <c r="A5730" s="302">
        <v>87274</v>
      </c>
      <c r="B5730" s="301" t="s">
        <v>6104</v>
      </c>
      <c r="C5730" s="301" t="s">
        <v>117</v>
      </c>
      <c r="D5730" s="303">
        <v>52.21</v>
      </c>
    </row>
    <row r="5731" spans="1:4">
      <c r="A5731" s="302">
        <v>87275</v>
      </c>
      <c r="B5731" s="301" t="s">
        <v>6105</v>
      </c>
      <c r="C5731" s="301" t="s">
        <v>117</v>
      </c>
      <c r="D5731" s="303">
        <v>49.4</v>
      </c>
    </row>
    <row r="5732" spans="1:4">
      <c r="A5732" s="302">
        <v>88786</v>
      </c>
      <c r="B5732" s="301" t="s">
        <v>6106</v>
      </c>
      <c r="C5732" s="301" t="s">
        <v>117</v>
      </c>
      <c r="D5732" s="303">
        <v>222.58</v>
      </c>
    </row>
    <row r="5733" spans="1:4">
      <c r="A5733" s="302">
        <v>88787</v>
      </c>
      <c r="B5733" s="301" t="s">
        <v>6107</v>
      </c>
      <c r="C5733" s="301" t="s">
        <v>117</v>
      </c>
      <c r="D5733" s="303">
        <v>205.56</v>
      </c>
    </row>
    <row r="5734" spans="1:4">
      <c r="A5734" s="302">
        <v>88788</v>
      </c>
      <c r="B5734" s="301" t="s">
        <v>6108</v>
      </c>
      <c r="C5734" s="301" t="s">
        <v>117</v>
      </c>
      <c r="D5734" s="303">
        <v>215.33</v>
      </c>
    </row>
    <row r="5735" spans="1:4">
      <c r="A5735" s="302">
        <v>88789</v>
      </c>
      <c r="B5735" s="301" t="s">
        <v>6109</v>
      </c>
      <c r="C5735" s="301" t="s">
        <v>117</v>
      </c>
      <c r="D5735" s="303">
        <v>257.31</v>
      </c>
    </row>
    <row r="5736" spans="1:4">
      <c r="A5736" s="302">
        <v>89045</v>
      </c>
      <c r="B5736" s="301" t="s">
        <v>6110</v>
      </c>
      <c r="C5736" s="301" t="s">
        <v>117</v>
      </c>
      <c r="D5736" s="303">
        <v>43.67</v>
      </c>
    </row>
    <row r="5737" spans="1:4">
      <c r="A5737" s="302">
        <v>89170</v>
      </c>
      <c r="B5737" s="301" t="s">
        <v>308</v>
      </c>
      <c r="C5737" s="301" t="s">
        <v>117</v>
      </c>
      <c r="D5737" s="303">
        <v>42.12</v>
      </c>
    </row>
    <row r="5738" spans="1:4">
      <c r="A5738" s="302">
        <v>93392</v>
      </c>
      <c r="B5738" s="301" t="s">
        <v>6111</v>
      </c>
      <c r="C5738" s="301" t="s">
        <v>117</v>
      </c>
      <c r="D5738" s="303">
        <v>36.01</v>
      </c>
    </row>
    <row r="5739" spans="1:4">
      <c r="A5739" s="302">
        <v>93393</v>
      </c>
      <c r="B5739" s="301" t="s">
        <v>6112</v>
      </c>
      <c r="C5739" s="301" t="s">
        <v>117</v>
      </c>
      <c r="D5739" s="303">
        <v>29.93</v>
      </c>
    </row>
    <row r="5740" spans="1:4">
      <c r="A5740" s="302">
        <v>93394</v>
      </c>
      <c r="B5740" s="301" t="s">
        <v>6113</v>
      </c>
      <c r="C5740" s="301" t="s">
        <v>117</v>
      </c>
      <c r="D5740" s="303">
        <v>38.229999999999997</v>
      </c>
    </row>
    <row r="5741" spans="1:4">
      <c r="A5741" s="302">
        <v>93395</v>
      </c>
      <c r="B5741" s="301" t="s">
        <v>6114</v>
      </c>
      <c r="C5741" s="301" t="s">
        <v>117</v>
      </c>
      <c r="D5741" s="303">
        <v>35.450000000000003</v>
      </c>
    </row>
    <row r="5742" spans="1:4">
      <c r="A5742" s="302">
        <v>99194</v>
      </c>
      <c r="B5742" s="301" t="s">
        <v>6115</v>
      </c>
      <c r="C5742" s="301" t="s">
        <v>117</v>
      </c>
      <c r="D5742" s="303">
        <v>41.99</v>
      </c>
    </row>
    <row r="5743" spans="1:4">
      <c r="A5743" s="302">
        <v>99195</v>
      </c>
      <c r="B5743" s="301" t="s">
        <v>6116</v>
      </c>
      <c r="C5743" s="301" t="s">
        <v>117</v>
      </c>
      <c r="D5743" s="303">
        <v>35.909999999999997</v>
      </c>
    </row>
    <row r="5744" spans="1:4">
      <c r="A5744" s="302">
        <v>99196</v>
      </c>
      <c r="B5744" s="301" t="s">
        <v>6117</v>
      </c>
      <c r="C5744" s="301" t="s">
        <v>117</v>
      </c>
      <c r="D5744" s="303">
        <v>44.21</v>
      </c>
    </row>
    <row r="5745" spans="1:4">
      <c r="A5745" s="302">
        <v>99198</v>
      </c>
      <c r="B5745" s="301" t="s">
        <v>6118</v>
      </c>
      <c r="C5745" s="301" t="s">
        <v>117</v>
      </c>
      <c r="D5745" s="303">
        <v>41.43</v>
      </c>
    </row>
    <row r="5746" spans="1:4">
      <c r="A5746" s="302">
        <v>84088</v>
      </c>
      <c r="B5746" s="301" t="s">
        <v>6119</v>
      </c>
      <c r="C5746" s="301" t="s">
        <v>35</v>
      </c>
      <c r="D5746" s="303">
        <v>86.02</v>
      </c>
    </row>
    <row r="5747" spans="1:4">
      <c r="A5747" s="302">
        <v>84089</v>
      </c>
      <c r="B5747" s="301" t="s">
        <v>6120</v>
      </c>
      <c r="C5747" s="301" t="s">
        <v>35</v>
      </c>
      <c r="D5747" s="303">
        <v>121.52</v>
      </c>
    </row>
    <row r="5748" spans="1:4">
      <c r="A5748" s="302">
        <v>40675</v>
      </c>
      <c r="B5748" s="301" t="s">
        <v>6121</v>
      </c>
      <c r="C5748" s="301" t="s">
        <v>35</v>
      </c>
      <c r="D5748" s="303">
        <v>4.21</v>
      </c>
    </row>
    <row r="5749" spans="1:4">
      <c r="A5749" s="302">
        <v>84093</v>
      </c>
      <c r="B5749" s="301" t="s">
        <v>12611</v>
      </c>
      <c r="C5749" s="301" t="s">
        <v>35</v>
      </c>
      <c r="D5749" s="303">
        <v>26.19</v>
      </c>
    </row>
    <row r="5750" spans="1:4">
      <c r="A5750" s="302">
        <v>96112</v>
      </c>
      <c r="B5750" s="301" t="s">
        <v>6122</v>
      </c>
      <c r="C5750" s="301" t="s">
        <v>117</v>
      </c>
      <c r="D5750" s="303">
        <v>89.98</v>
      </c>
    </row>
    <row r="5751" spans="1:4">
      <c r="A5751" s="302">
        <v>96117</v>
      </c>
      <c r="B5751" s="301" t="s">
        <v>6123</v>
      </c>
      <c r="C5751" s="301" t="s">
        <v>117</v>
      </c>
      <c r="D5751" s="303">
        <v>100.58</v>
      </c>
    </row>
    <row r="5752" spans="1:4">
      <c r="A5752" s="302">
        <v>96122</v>
      </c>
      <c r="B5752" s="301" t="s">
        <v>6124</v>
      </c>
      <c r="C5752" s="301" t="s">
        <v>35</v>
      </c>
      <c r="D5752" s="303">
        <v>22.59</v>
      </c>
    </row>
    <row r="5753" spans="1:4">
      <c r="A5753" s="302">
        <v>96109</v>
      </c>
      <c r="B5753" s="301" t="s">
        <v>6125</v>
      </c>
      <c r="C5753" s="301" t="s">
        <v>117</v>
      </c>
      <c r="D5753" s="303">
        <v>37.53</v>
      </c>
    </row>
    <row r="5754" spans="1:4">
      <c r="A5754" s="302">
        <v>96110</v>
      </c>
      <c r="B5754" s="301" t="s">
        <v>6126</v>
      </c>
      <c r="C5754" s="301" t="s">
        <v>117</v>
      </c>
      <c r="D5754" s="303">
        <v>55.85</v>
      </c>
    </row>
    <row r="5755" spans="1:4">
      <c r="A5755" s="302">
        <v>96113</v>
      </c>
      <c r="B5755" s="301" t="s">
        <v>6127</v>
      </c>
      <c r="C5755" s="301" t="s">
        <v>117</v>
      </c>
      <c r="D5755" s="303">
        <v>33.54</v>
      </c>
    </row>
    <row r="5756" spans="1:4">
      <c r="A5756" s="302">
        <v>96114</v>
      </c>
      <c r="B5756" s="301" t="s">
        <v>6128</v>
      </c>
      <c r="C5756" s="301" t="s">
        <v>117</v>
      </c>
      <c r="D5756" s="303">
        <v>57.47</v>
      </c>
    </row>
    <row r="5757" spans="1:4">
      <c r="A5757" s="302">
        <v>96120</v>
      </c>
      <c r="B5757" s="301" t="s">
        <v>6129</v>
      </c>
      <c r="C5757" s="301" t="s">
        <v>35</v>
      </c>
      <c r="D5757" s="303">
        <v>2.6</v>
      </c>
    </row>
    <row r="5758" spans="1:4">
      <c r="A5758" s="302">
        <v>96123</v>
      </c>
      <c r="B5758" s="301" t="s">
        <v>6130</v>
      </c>
      <c r="C5758" s="301" t="s">
        <v>35</v>
      </c>
      <c r="D5758" s="303">
        <v>23.34</v>
      </c>
    </row>
    <row r="5759" spans="1:4">
      <c r="A5759" s="302">
        <v>99054</v>
      </c>
      <c r="B5759" s="301" t="s">
        <v>6131</v>
      </c>
      <c r="C5759" s="301" t="s">
        <v>117</v>
      </c>
      <c r="D5759" s="303">
        <v>45.84</v>
      </c>
    </row>
    <row r="5760" spans="1:4">
      <c r="A5760" s="302">
        <v>72200</v>
      </c>
      <c r="B5760" s="301" t="s">
        <v>12612</v>
      </c>
      <c r="C5760" s="301" t="s">
        <v>117</v>
      </c>
      <c r="D5760" s="303">
        <v>92.96</v>
      </c>
    </row>
    <row r="5761" spans="1:4">
      <c r="A5761" s="301" t="s">
        <v>6132</v>
      </c>
      <c r="B5761" s="301" t="s">
        <v>6133</v>
      </c>
      <c r="C5761" s="301" t="s">
        <v>35</v>
      </c>
      <c r="D5761" s="303">
        <v>92.61</v>
      </c>
    </row>
    <row r="5762" spans="1:4">
      <c r="A5762" s="302">
        <v>72201</v>
      </c>
      <c r="B5762" s="301" t="s">
        <v>12613</v>
      </c>
      <c r="C5762" s="301" t="s">
        <v>117</v>
      </c>
      <c r="D5762" s="303">
        <v>11.08</v>
      </c>
    </row>
    <row r="5763" spans="1:4">
      <c r="A5763" s="302">
        <v>96111</v>
      </c>
      <c r="B5763" s="301" t="s">
        <v>6134</v>
      </c>
      <c r="C5763" s="301" t="s">
        <v>117</v>
      </c>
      <c r="D5763" s="303">
        <v>35.869999999999997</v>
      </c>
    </row>
    <row r="5764" spans="1:4">
      <c r="A5764" s="302">
        <v>96116</v>
      </c>
      <c r="B5764" s="301" t="s">
        <v>330</v>
      </c>
      <c r="C5764" s="301" t="s">
        <v>117</v>
      </c>
      <c r="D5764" s="303">
        <v>39.56</v>
      </c>
    </row>
    <row r="5765" spans="1:4">
      <c r="A5765" s="302">
        <v>96121</v>
      </c>
      <c r="B5765" s="301" t="s">
        <v>331</v>
      </c>
      <c r="C5765" s="301" t="s">
        <v>35</v>
      </c>
      <c r="D5765" s="303">
        <v>7.13</v>
      </c>
    </row>
    <row r="5766" spans="1:4">
      <c r="A5766" s="302">
        <v>96485</v>
      </c>
      <c r="B5766" s="301" t="s">
        <v>6135</v>
      </c>
      <c r="C5766" s="301" t="s">
        <v>117</v>
      </c>
      <c r="D5766" s="303">
        <v>41.19</v>
      </c>
    </row>
    <row r="5767" spans="1:4">
      <c r="A5767" s="302">
        <v>96486</v>
      </c>
      <c r="B5767" s="301" t="s">
        <v>6136</v>
      </c>
      <c r="C5767" s="301" t="s">
        <v>117</v>
      </c>
      <c r="D5767" s="303">
        <v>45.2</v>
      </c>
    </row>
    <row r="5768" spans="1:4">
      <c r="A5768" s="302">
        <v>72198</v>
      </c>
      <c r="B5768" s="301" t="s">
        <v>12614</v>
      </c>
      <c r="C5768" s="301" t="s">
        <v>117</v>
      </c>
      <c r="D5768" s="303">
        <v>104.18</v>
      </c>
    </row>
    <row r="5769" spans="1:4">
      <c r="A5769" s="301" t="s">
        <v>12615</v>
      </c>
      <c r="B5769" s="301" t="s">
        <v>12616</v>
      </c>
      <c r="C5769" s="301" t="s">
        <v>117</v>
      </c>
      <c r="D5769" s="303">
        <v>64.05</v>
      </c>
    </row>
    <row r="5770" spans="1:4">
      <c r="A5770" s="302">
        <v>83730</v>
      </c>
      <c r="B5770" s="301" t="s">
        <v>12617</v>
      </c>
      <c r="C5770" s="301" t="s">
        <v>117</v>
      </c>
      <c r="D5770" s="303">
        <v>144.52000000000001</v>
      </c>
    </row>
    <row r="5771" spans="1:4">
      <c r="A5771" s="302">
        <v>83736</v>
      </c>
      <c r="B5771" s="301" t="s">
        <v>12618</v>
      </c>
      <c r="C5771" s="301" t="s">
        <v>117</v>
      </c>
      <c r="D5771" s="303">
        <v>153.63999999999999</v>
      </c>
    </row>
    <row r="5772" spans="1:4">
      <c r="A5772" s="302">
        <v>91514</v>
      </c>
      <c r="B5772" s="301" t="s">
        <v>6137</v>
      </c>
      <c r="C5772" s="301" t="s">
        <v>117</v>
      </c>
      <c r="D5772" s="303">
        <v>5.2</v>
      </c>
    </row>
    <row r="5773" spans="1:4">
      <c r="A5773" s="302">
        <v>91515</v>
      </c>
      <c r="B5773" s="301" t="s">
        <v>6138</v>
      </c>
      <c r="C5773" s="301" t="s">
        <v>117</v>
      </c>
      <c r="D5773" s="303">
        <v>6.89</v>
      </c>
    </row>
    <row r="5774" spans="1:4">
      <c r="A5774" s="302">
        <v>91516</v>
      </c>
      <c r="B5774" s="301" t="s">
        <v>6139</v>
      </c>
      <c r="C5774" s="301" t="s">
        <v>117</v>
      </c>
      <c r="D5774" s="303">
        <v>10.06</v>
      </c>
    </row>
    <row r="5775" spans="1:4">
      <c r="A5775" s="302">
        <v>91517</v>
      </c>
      <c r="B5775" s="301" t="s">
        <v>6140</v>
      </c>
      <c r="C5775" s="301" t="s">
        <v>117</v>
      </c>
      <c r="D5775" s="303">
        <v>11.2</v>
      </c>
    </row>
    <row r="5776" spans="1:4">
      <c r="A5776" s="302">
        <v>91519</v>
      </c>
      <c r="B5776" s="301" t="s">
        <v>6141</v>
      </c>
      <c r="C5776" s="301" t="s">
        <v>117</v>
      </c>
      <c r="D5776" s="303">
        <v>12.87</v>
      </c>
    </row>
    <row r="5777" spans="1:4">
      <c r="A5777" s="302">
        <v>91520</v>
      </c>
      <c r="B5777" s="301" t="s">
        <v>6142</v>
      </c>
      <c r="C5777" s="301" t="s">
        <v>117</v>
      </c>
      <c r="D5777" s="303">
        <v>1.89</v>
      </c>
    </row>
    <row r="5778" spans="1:4">
      <c r="A5778" s="302">
        <v>91522</v>
      </c>
      <c r="B5778" s="301" t="s">
        <v>6143</v>
      </c>
      <c r="C5778" s="301" t="s">
        <v>117</v>
      </c>
      <c r="D5778" s="303">
        <v>2.27</v>
      </c>
    </row>
    <row r="5779" spans="1:4">
      <c r="A5779" s="302">
        <v>91525</v>
      </c>
      <c r="B5779" s="301" t="s">
        <v>6144</v>
      </c>
      <c r="C5779" s="301" t="s">
        <v>117</v>
      </c>
      <c r="D5779" s="303">
        <v>4.22</v>
      </c>
    </row>
    <row r="5780" spans="1:4">
      <c r="A5780" s="302">
        <v>87280</v>
      </c>
      <c r="B5780" s="301" t="s">
        <v>11534</v>
      </c>
      <c r="C5780" s="301" t="s">
        <v>60</v>
      </c>
      <c r="D5780" s="303">
        <v>273.64</v>
      </c>
    </row>
    <row r="5781" spans="1:4">
      <c r="A5781" s="302">
        <v>87281</v>
      </c>
      <c r="B5781" s="301" t="s">
        <v>11535</v>
      </c>
      <c r="C5781" s="301" t="s">
        <v>60</v>
      </c>
      <c r="D5781" s="303">
        <v>270.95999999999998</v>
      </c>
    </row>
    <row r="5782" spans="1:4">
      <c r="A5782" s="302">
        <v>87283</v>
      </c>
      <c r="B5782" s="301" t="s">
        <v>11536</v>
      </c>
      <c r="C5782" s="301" t="s">
        <v>60</v>
      </c>
      <c r="D5782" s="303">
        <v>283.79000000000002</v>
      </c>
    </row>
    <row r="5783" spans="1:4">
      <c r="A5783" s="302">
        <v>87284</v>
      </c>
      <c r="B5783" s="301" t="s">
        <v>11537</v>
      </c>
      <c r="C5783" s="301" t="s">
        <v>60</v>
      </c>
      <c r="D5783" s="303">
        <v>280.14999999999998</v>
      </c>
    </row>
    <row r="5784" spans="1:4">
      <c r="A5784" s="302">
        <v>87286</v>
      </c>
      <c r="B5784" s="301" t="s">
        <v>11538</v>
      </c>
      <c r="C5784" s="301" t="s">
        <v>60</v>
      </c>
      <c r="D5784" s="303">
        <v>346.49</v>
      </c>
    </row>
    <row r="5785" spans="1:4">
      <c r="A5785" s="302">
        <v>87287</v>
      </c>
      <c r="B5785" s="301" t="s">
        <v>11539</v>
      </c>
      <c r="C5785" s="301" t="s">
        <v>60</v>
      </c>
      <c r="D5785" s="303">
        <v>336.05</v>
      </c>
    </row>
    <row r="5786" spans="1:4">
      <c r="A5786" s="302">
        <v>87289</v>
      </c>
      <c r="B5786" s="301" t="s">
        <v>11540</v>
      </c>
      <c r="C5786" s="301" t="s">
        <v>60</v>
      </c>
      <c r="D5786" s="303">
        <v>331.13</v>
      </c>
    </row>
    <row r="5787" spans="1:4">
      <c r="A5787" s="302">
        <v>87290</v>
      </c>
      <c r="B5787" s="301" t="s">
        <v>11541</v>
      </c>
      <c r="C5787" s="301" t="s">
        <v>60</v>
      </c>
      <c r="D5787" s="303">
        <v>326.39</v>
      </c>
    </row>
    <row r="5788" spans="1:4">
      <c r="A5788" s="302">
        <v>87292</v>
      </c>
      <c r="B5788" s="301" t="s">
        <v>11542</v>
      </c>
      <c r="C5788" s="301" t="s">
        <v>60</v>
      </c>
      <c r="D5788" s="303">
        <v>335.87</v>
      </c>
    </row>
    <row r="5789" spans="1:4">
      <c r="A5789" s="302">
        <v>87294</v>
      </c>
      <c r="B5789" s="301" t="s">
        <v>11543</v>
      </c>
      <c r="C5789" s="301" t="s">
        <v>60</v>
      </c>
      <c r="D5789" s="303">
        <v>322.61</v>
      </c>
    </row>
    <row r="5790" spans="1:4">
      <c r="A5790" s="302">
        <v>87295</v>
      </c>
      <c r="B5790" s="301" t="s">
        <v>11544</v>
      </c>
      <c r="C5790" s="301" t="s">
        <v>60</v>
      </c>
      <c r="D5790" s="303">
        <v>326.88</v>
      </c>
    </row>
    <row r="5791" spans="1:4">
      <c r="A5791" s="302">
        <v>87296</v>
      </c>
      <c r="B5791" s="301" t="s">
        <v>11545</v>
      </c>
      <c r="C5791" s="301" t="s">
        <v>60</v>
      </c>
      <c r="D5791" s="303">
        <v>309.93</v>
      </c>
    </row>
    <row r="5792" spans="1:4">
      <c r="A5792" s="302">
        <v>87298</v>
      </c>
      <c r="B5792" s="301" t="s">
        <v>11546</v>
      </c>
      <c r="C5792" s="301" t="s">
        <v>60</v>
      </c>
      <c r="D5792" s="303">
        <v>425.67</v>
      </c>
    </row>
    <row r="5793" spans="1:4">
      <c r="A5793" s="302">
        <v>87299</v>
      </c>
      <c r="B5793" s="301" t="s">
        <v>11547</v>
      </c>
      <c r="C5793" s="301" t="s">
        <v>60</v>
      </c>
      <c r="D5793" s="303">
        <v>278.54000000000002</v>
      </c>
    </row>
    <row r="5794" spans="1:4">
      <c r="A5794" s="302">
        <v>87301</v>
      </c>
      <c r="B5794" s="301" t="s">
        <v>11548</v>
      </c>
      <c r="C5794" s="301" t="s">
        <v>60</v>
      </c>
      <c r="D5794" s="303">
        <v>381.9</v>
      </c>
    </row>
    <row r="5795" spans="1:4">
      <c r="A5795" s="302">
        <v>87302</v>
      </c>
      <c r="B5795" s="301" t="s">
        <v>11549</v>
      </c>
      <c r="C5795" s="301" t="s">
        <v>60</v>
      </c>
      <c r="D5795" s="303">
        <v>377.3</v>
      </c>
    </row>
    <row r="5796" spans="1:4">
      <c r="A5796" s="302">
        <v>87304</v>
      </c>
      <c r="B5796" s="301" t="s">
        <v>11550</v>
      </c>
      <c r="C5796" s="301" t="s">
        <v>60</v>
      </c>
      <c r="D5796" s="303">
        <v>344.04</v>
      </c>
    </row>
    <row r="5797" spans="1:4">
      <c r="A5797" s="302">
        <v>87305</v>
      </c>
      <c r="B5797" s="301" t="s">
        <v>11551</v>
      </c>
      <c r="C5797" s="301" t="s">
        <v>60</v>
      </c>
      <c r="D5797" s="303">
        <v>347.17</v>
      </c>
    </row>
    <row r="5798" spans="1:4">
      <c r="A5798" s="302">
        <v>87307</v>
      </c>
      <c r="B5798" s="301" t="s">
        <v>11552</v>
      </c>
      <c r="C5798" s="301" t="s">
        <v>60</v>
      </c>
      <c r="D5798" s="303">
        <v>326.95</v>
      </c>
    </row>
    <row r="5799" spans="1:4">
      <c r="A5799" s="302">
        <v>87308</v>
      </c>
      <c r="B5799" s="301" t="s">
        <v>11553</v>
      </c>
      <c r="C5799" s="301" t="s">
        <v>60</v>
      </c>
      <c r="D5799" s="303">
        <v>322.05</v>
      </c>
    </row>
    <row r="5800" spans="1:4">
      <c r="A5800" s="302">
        <v>87310</v>
      </c>
      <c r="B5800" s="301" t="s">
        <v>11554</v>
      </c>
      <c r="C5800" s="301" t="s">
        <v>60</v>
      </c>
      <c r="D5800" s="303">
        <v>271.04000000000002</v>
      </c>
    </row>
    <row r="5801" spans="1:4">
      <c r="A5801" s="302">
        <v>87311</v>
      </c>
      <c r="B5801" s="301" t="s">
        <v>11555</v>
      </c>
      <c r="C5801" s="301" t="s">
        <v>60</v>
      </c>
      <c r="D5801" s="303">
        <v>265.83</v>
      </c>
    </row>
    <row r="5802" spans="1:4">
      <c r="A5802" s="302">
        <v>87313</v>
      </c>
      <c r="B5802" s="301" t="s">
        <v>11556</v>
      </c>
      <c r="C5802" s="301" t="s">
        <v>60</v>
      </c>
      <c r="D5802" s="303">
        <v>331.17</v>
      </c>
    </row>
    <row r="5803" spans="1:4">
      <c r="A5803" s="302">
        <v>87314</v>
      </c>
      <c r="B5803" s="301" t="s">
        <v>11557</v>
      </c>
      <c r="C5803" s="301" t="s">
        <v>60</v>
      </c>
      <c r="D5803" s="303">
        <v>327.16000000000003</v>
      </c>
    </row>
    <row r="5804" spans="1:4">
      <c r="A5804" s="302">
        <v>87316</v>
      </c>
      <c r="B5804" s="301" t="s">
        <v>11558</v>
      </c>
      <c r="C5804" s="301" t="s">
        <v>60</v>
      </c>
      <c r="D5804" s="303">
        <v>299.52999999999997</v>
      </c>
    </row>
    <row r="5805" spans="1:4">
      <c r="A5805" s="302">
        <v>87317</v>
      </c>
      <c r="B5805" s="301" t="s">
        <v>11559</v>
      </c>
      <c r="C5805" s="301" t="s">
        <v>60</v>
      </c>
      <c r="D5805" s="303">
        <v>290.97000000000003</v>
      </c>
    </row>
    <row r="5806" spans="1:4">
      <c r="A5806" s="302">
        <v>87319</v>
      </c>
      <c r="B5806" s="301" t="s">
        <v>11560</v>
      </c>
      <c r="C5806" s="301" t="s">
        <v>60</v>
      </c>
      <c r="D5806" s="304">
        <v>2357.67</v>
      </c>
    </row>
    <row r="5807" spans="1:4">
      <c r="A5807" s="302">
        <v>87320</v>
      </c>
      <c r="B5807" s="301" t="s">
        <v>11561</v>
      </c>
      <c r="C5807" s="301" t="s">
        <v>60</v>
      </c>
      <c r="D5807" s="304">
        <v>2362.69</v>
      </c>
    </row>
    <row r="5808" spans="1:4">
      <c r="A5808" s="302">
        <v>87322</v>
      </c>
      <c r="B5808" s="301" t="s">
        <v>11562</v>
      </c>
      <c r="C5808" s="301" t="s">
        <v>60</v>
      </c>
      <c r="D5808" s="304">
        <v>2429.54</v>
      </c>
    </row>
    <row r="5809" spans="1:4">
      <c r="A5809" s="302">
        <v>87323</v>
      </c>
      <c r="B5809" s="301" t="s">
        <v>11563</v>
      </c>
      <c r="C5809" s="301" t="s">
        <v>60</v>
      </c>
      <c r="D5809" s="304">
        <v>2430.35</v>
      </c>
    </row>
    <row r="5810" spans="1:4">
      <c r="A5810" s="302">
        <v>87325</v>
      </c>
      <c r="B5810" s="301" t="s">
        <v>11564</v>
      </c>
      <c r="C5810" s="301" t="s">
        <v>60</v>
      </c>
      <c r="D5810" s="304">
        <v>2375.6</v>
      </c>
    </row>
    <row r="5811" spans="1:4">
      <c r="A5811" s="302">
        <v>87326</v>
      </c>
      <c r="B5811" s="301" t="s">
        <v>11565</v>
      </c>
      <c r="C5811" s="301" t="s">
        <v>60</v>
      </c>
      <c r="D5811" s="304">
        <v>2383.08</v>
      </c>
    </row>
    <row r="5812" spans="1:4">
      <c r="A5812" s="302">
        <v>87327</v>
      </c>
      <c r="B5812" s="301" t="s">
        <v>11566</v>
      </c>
      <c r="C5812" s="301" t="s">
        <v>60</v>
      </c>
      <c r="D5812" s="303">
        <v>289.24</v>
      </c>
    </row>
    <row r="5813" spans="1:4">
      <c r="A5813" s="302">
        <v>87328</v>
      </c>
      <c r="B5813" s="301" t="s">
        <v>11567</v>
      </c>
      <c r="C5813" s="301" t="s">
        <v>60</v>
      </c>
      <c r="D5813" s="303">
        <v>251.92</v>
      </c>
    </row>
    <row r="5814" spans="1:4">
      <c r="A5814" s="302">
        <v>87329</v>
      </c>
      <c r="B5814" s="301" t="s">
        <v>11568</v>
      </c>
      <c r="C5814" s="301" t="s">
        <v>60</v>
      </c>
      <c r="D5814" s="303">
        <v>311.26</v>
      </c>
    </row>
    <row r="5815" spans="1:4">
      <c r="A5815" s="302">
        <v>87330</v>
      </c>
      <c r="B5815" s="301" t="s">
        <v>11569</v>
      </c>
      <c r="C5815" s="301" t="s">
        <v>60</v>
      </c>
      <c r="D5815" s="303">
        <v>268.82</v>
      </c>
    </row>
    <row r="5816" spans="1:4">
      <c r="A5816" s="302">
        <v>87331</v>
      </c>
      <c r="B5816" s="301" t="s">
        <v>11570</v>
      </c>
      <c r="C5816" s="301" t="s">
        <v>60</v>
      </c>
      <c r="D5816" s="303">
        <v>361.66</v>
      </c>
    </row>
    <row r="5817" spans="1:4">
      <c r="A5817" s="302">
        <v>87332</v>
      </c>
      <c r="B5817" s="301" t="s">
        <v>11571</v>
      </c>
      <c r="C5817" s="301" t="s">
        <v>60</v>
      </c>
      <c r="D5817" s="303">
        <v>322.8</v>
      </c>
    </row>
    <row r="5818" spans="1:4">
      <c r="A5818" s="302">
        <v>87333</v>
      </c>
      <c r="B5818" s="301" t="s">
        <v>11572</v>
      </c>
      <c r="C5818" s="301" t="s">
        <v>60</v>
      </c>
      <c r="D5818" s="303">
        <v>335.14</v>
      </c>
    </row>
    <row r="5819" spans="1:4">
      <c r="A5819" s="302">
        <v>87334</v>
      </c>
      <c r="B5819" s="301" t="s">
        <v>11573</v>
      </c>
      <c r="C5819" s="301" t="s">
        <v>60</v>
      </c>
      <c r="D5819" s="303">
        <v>311.99</v>
      </c>
    </row>
    <row r="5820" spans="1:4">
      <c r="A5820" s="302">
        <v>87335</v>
      </c>
      <c r="B5820" s="301" t="s">
        <v>11574</v>
      </c>
      <c r="C5820" s="301" t="s">
        <v>60</v>
      </c>
      <c r="D5820" s="303">
        <v>330.29</v>
      </c>
    </row>
    <row r="5821" spans="1:4">
      <c r="A5821" s="302">
        <v>87336</v>
      </c>
      <c r="B5821" s="301" t="s">
        <v>11575</v>
      </c>
      <c r="C5821" s="301" t="s">
        <v>60</v>
      </c>
      <c r="D5821" s="303">
        <v>319.74</v>
      </c>
    </row>
    <row r="5822" spans="1:4">
      <c r="A5822" s="302">
        <v>87337</v>
      </c>
      <c r="B5822" s="301" t="s">
        <v>11576</v>
      </c>
      <c r="C5822" s="301" t="s">
        <v>60</v>
      </c>
      <c r="D5822" s="303">
        <v>323.44</v>
      </c>
    </row>
    <row r="5823" spans="1:4">
      <c r="A5823" s="302">
        <v>87338</v>
      </c>
      <c r="B5823" s="301" t="s">
        <v>11577</v>
      </c>
      <c r="C5823" s="301" t="s">
        <v>60</v>
      </c>
      <c r="D5823" s="303">
        <v>309.64999999999998</v>
      </c>
    </row>
    <row r="5824" spans="1:4">
      <c r="A5824" s="302">
        <v>87339</v>
      </c>
      <c r="B5824" s="301" t="s">
        <v>11578</v>
      </c>
      <c r="C5824" s="301" t="s">
        <v>60</v>
      </c>
      <c r="D5824" s="303">
        <v>505.71</v>
      </c>
    </row>
    <row r="5825" spans="1:4">
      <c r="A5825" s="302">
        <v>87340</v>
      </c>
      <c r="B5825" s="301" t="s">
        <v>11579</v>
      </c>
      <c r="C5825" s="301" t="s">
        <v>60</v>
      </c>
      <c r="D5825" s="303">
        <v>424.93</v>
      </c>
    </row>
    <row r="5826" spans="1:4">
      <c r="A5826" s="302">
        <v>87341</v>
      </c>
      <c r="B5826" s="301" t="s">
        <v>11580</v>
      </c>
      <c r="C5826" s="301" t="s">
        <v>60</v>
      </c>
      <c r="D5826" s="303">
        <v>405.79</v>
      </c>
    </row>
    <row r="5827" spans="1:4">
      <c r="A5827" s="302">
        <v>87342</v>
      </c>
      <c r="B5827" s="301" t="s">
        <v>11581</v>
      </c>
      <c r="C5827" s="301" t="s">
        <v>60</v>
      </c>
      <c r="D5827" s="303">
        <v>428.94</v>
      </c>
    </row>
    <row r="5828" spans="1:4">
      <c r="A5828" s="302">
        <v>87343</v>
      </c>
      <c r="B5828" s="301" t="s">
        <v>11582</v>
      </c>
      <c r="C5828" s="301" t="s">
        <v>60</v>
      </c>
      <c r="D5828" s="303">
        <v>383.21</v>
      </c>
    </row>
    <row r="5829" spans="1:4">
      <c r="A5829" s="302">
        <v>87344</v>
      </c>
      <c r="B5829" s="301" t="s">
        <v>11583</v>
      </c>
      <c r="C5829" s="301" t="s">
        <v>60</v>
      </c>
      <c r="D5829" s="303">
        <v>359.08</v>
      </c>
    </row>
    <row r="5830" spans="1:4">
      <c r="A5830" s="302">
        <v>87345</v>
      </c>
      <c r="B5830" s="301" t="s">
        <v>11584</v>
      </c>
      <c r="C5830" s="301" t="s">
        <v>60</v>
      </c>
      <c r="D5830" s="303">
        <v>383.68</v>
      </c>
    </row>
    <row r="5831" spans="1:4">
      <c r="A5831" s="302">
        <v>87346</v>
      </c>
      <c r="B5831" s="301" t="s">
        <v>11585</v>
      </c>
      <c r="C5831" s="301" t="s">
        <v>60</v>
      </c>
      <c r="D5831" s="303">
        <v>345.96</v>
      </c>
    </row>
    <row r="5832" spans="1:4">
      <c r="A5832" s="302">
        <v>87347</v>
      </c>
      <c r="B5832" s="301" t="s">
        <v>11586</v>
      </c>
      <c r="C5832" s="301" t="s">
        <v>60</v>
      </c>
      <c r="D5832" s="303">
        <v>326.94</v>
      </c>
    </row>
    <row r="5833" spans="1:4">
      <c r="A5833" s="302">
        <v>87348</v>
      </c>
      <c r="B5833" s="301" t="s">
        <v>11587</v>
      </c>
      <c r="C5833" s="301" t="s">
        <v>60</v>
      </c>
      <c r="D5833" s="303">
        <v>349.89</v>
      </c>
    </row>
    <row r="5834" spans="1:4">
      <c r="A5834" s="302">
        <v>87349</v>
      </c>
      <c r="B5834" s="301" t="s">
        <v>11588</v>
      </c>
      <c r="C5834" s="301" t="s">
        <v>60</v>
      </c>
      <c r="D5834" s="303">
        <v>301.52999999999997</v>
      </c>
    </row>
    <row r="5835" spans="1:4">
      <c r="A5835" s="302">
        <v>87350</v>
      </c>
      <c r="B5835" s="301" t="s">
        <v>11589</v>
      </c>
      <c r="C5835" s="301" t="s">
        <v>60</v>
      </c>
      <c r="D5835" s="303">
        <v>301.44</v>
      </c>
    </row>
    <row r="5836" spans="1:4">
      <c r="A5836" s="302">
        <v>87351</v>
      </c>
      <c r="B5836" s="301" t="s">
        <v>11590</v>
      </c>
      <c r="C5836" s="301" t="s">
        <v>60</v>
      </c>
      <c r="D5836" s="303">
        <v>255.63</v>
      </c>
    </row>
    <row r="5837" spans="1:4">
      <c r="A5837" s="302">
        <v>87352</v>
      </c>
      <c r="B5837" s="301" t="s">
        <v>11591</v>
      </c>
      <c r="C5837" s="301" t="s">
        <v>60</v>
      </c>
      <c r="D5837" s="303">
        <v>384.58</v>
      </c>
    </row>
    <row r="5838" spans="1:4">
      <c r="A5838" s="302">
        <v>87353</v>
      </c>
      <c r="B5838" s="301" t="s">
        <v>11592</v>
      </c>
      <c r="C5838" s="301" t="s">
        <v>60</v>
      </c>
      <c r="D5838" s="303">
        <v>334.61</v>
      </c>
    </row>
    <row r="5839" spans="1:4">
      <c r="A5839" s="302">
        <v>87354</v>
      </c>
      <c r="B5839" s="301" t="s">
        <v>11593</v>
      </c>
      <c r="C5839" s="301" t="s">
        <v>60</v>
      </c>
      <c r="D5839" s="303">
        <v>313.26</v>
      </c>
    </row>
    <row r="5840" spans="1:4">
      <c r="A5840" s="302">
        <v>87355</v>
      </c>
      <c r="B5840" s="301" t="s">
        <v>11594</v>
      </c>
      <c r="C5840" s="301" t="s">
        <v>60</v>
      </c>
      <c r="D5840" s="303">
        <v>325.08999999999997</v>
      </c>
    </row>
    <row r="5841" spans="1:4">
      <c r="A5841" s="302">
        <v>87356</v>
      </c>
      <c r="B5841" s="301" t="s">
        <v>11595</v>
      </c>
      <c r="C5841" s="301" t="s">
        <v>60</v>
      </c>
      <c r="D5841" s="303">
        <v>291.35000000000002</v>
      </c>
    </row>
    <row r="5842" spans="1:4">
      <c r="A5842" s="302">
        <v>87357</v>
      </c>
      <c r="B5842" s="301" t="s">
        <v>11596</v>
      </c>
      <c r="C5842" s="301" t="s">
        <v>60</v>
      </c>
      <c r="D5842" s="303">
        <v>276.01</v>
      </c>
    </row>
    <row r="5843" spans="1:4">
      <c r="A5843" s="302">
        <v>87358</v>
      </c>
      <c r="B5843" s="301" t="s">
        <v>11597</v>
      </c>
      <c r="C5843" s="301" t="s">
        <v>60</v>
      </c>
      <c r="D5843" s="304">
        <v>2331.3000000000002</v>
      </c>
    </row>
    <row r="5844" spans="1:4">
      <c r="A5844" s="302">
        <v>87359</v>
      </c>
      <c r="B5844" s="301" t="s">
        <v>11598</v>
      </c>
      <c r="C5844" s="301" t="s">
        <v>60</v>
      </c>
      <c r="D5844" s="304">
        <v>2314.46</v>
      </c>
    </row>
    <row r="5845" spans="1:4">
      <c r="A5845" s="302">
        <v>87360</v>
      </c>
      <c r="B5845" s="301" t="s">
        <v>11599</v>
      </c>
      <c r="C5845" s="301" t="s">
        <v>60</v>
      </c>
      <c r="D5845" s="304">
        <v>2400.5300000000002</v>
      </c>
    </row>
    <row r="5846" spans="1:4">
      <c r="A5846" s="302">
        <v>87361</v>
      </c>
      <c r="B5846" s="301" t="s">
        <v>11600</v>
      </c>
      <c r="C5846" s="301" t="s">
        <v>60</v>
      </c>
      <c r="D5846" s="304">
        <v>2372.52</v>
      </c>
    </row>
    <row r="5847" spans="1:4">
      <c r="A5847" s="302">
        <v>87362</v>
      </c>
      <c r="B5847" s="301" t="s">
        <v>11601</v>
      </c>
      <c r="C5847" s="301" t="s">
        <v>60</v>
      </c>
      <c r="D5847" s="304">
        <v>2373.58</v>
      </c>
    </row>
    <row r="5848" spans="1:4">
      <c r="A5848" s="302">
        <v>87363</v>
      </c>
      <c r="B5848" s="301" t="s">
        <v>11602</v>
      </c>
      <c r="C5848" s="301" t="s">
        <v>60</v>
      </c>
      <c r="D5848" s="304">
        <v>2355.5700000000002</v>
      </c>
    </row>
    <row r="5849" spans="1:4">
      <c r="A5849" s="302">
        <v>87364</v>
      </c>
      <c r="B5849" s="301" t="s">
        <v>11603</v>
      </c>
      <c r="C5849" s="301" t="s">
        <v>60</v>
      </c>
      <c r="D5849" s="304">
        <v>2339.4699999999998</v>
      </c>
    </row>
    <row r="5850" spans="1:4">
      <c r="A5850" s="302">
        <v>87365</v>
      </c>
      <c r="B5850" s="301" t="s">
        <v>11604</v>
      </c>
      <c r="C5850" s="301" t="s">
        <v>60</v>
      </c>
      <c r="D5850" s="303">
        <v>372.89</v>
      </c>
    </row>
    <row r="5851" spans="1:4">
      <c r="A5851" s="302">
        <v>87366</v>
      </c>
      <c r="B5851" s="301" t="s">
        <v>11605</v>
      </c>
      <c r="C5851" s="301" t="s">
        <v>60</v>
      </c>
      <c r="D5851" s="303">
        <v>393.3</v>
      </c>
    </row>
    <row r="5852" spans="1:4">
      <c r="A5852" s="302">
        <v>87367</v>
      </c>
      <c r="B5852" s="301" t="s">
        <v>11606</v>
      </c>
      <c r="C5852" s="301" t="s">
        <v>60</v>
      </c>
      <c r="D5852" s="303">
        <v>446.99</v>
      </c>
    </row>
    <row r="5853" spans="1:4">
      <c r="A5853" s="302">
        <v>87368</v>
      </c>
      <c r="B5853" s="301" t="s">
        <v>11607</v>
      </c>
      <c r="C5853" s="301" t="s">
        <v>60</v>
      </c>
      <c r="D5853" s="303">
        <v>434.94</v>
      </c>
    </row>
    <row r="5854" spans="1:4">
      <c r="A5854" s="302">
        <v>87369</v>
      </c>
      <c r="B5854" s="301" t="s">
        <v>11608</v>
      </c>
      <c r="C5854" s="301" t="s">
        <v>60</v>
      </c>
      <c r="D5854" s="303">
        <v>441.43</v>
      </c>
    </row>
    <row r="5855" spans="1:4">
      <c r="A5855" s="302">
        <v>87370</v>
      </c>
      <c r="B5855" s="301" t="s">
        <v>11609</v>
      </c>
      <c r="C5855" s="301" t="s">
        <v>60</v>
      </c>
      <c r="D5855" s="303">
        <v>427.13</v>
      </c>
    </row>
    <row r="5856" spans="1:4">
      <c r="A5856" s="302">
        <v>87371</v>
      </c>
      <c r="B5856" s="301" t="s">
        <v>11610</v>
      </c>
      <c r="C5856" s="301" t="s">
        <v>60</v>
      </c>
      <c r="D5856" s="303">
        <v>416.04</v>
      </c>
    </row>
    <row r="5857" spans="1:4">
      <c r="A5857" s="302">
        <v>87372</v>
      </c>
      <c r="B5857" s="301" t="s">
        <v>11611</v>
      </c>
      <c r="C5857" s="301" t="s">
        <v>60</v>
      </c>
      <c r="D5857" s="303">
        <v>539.62</v>
      </c>
    </row>
    <row r="5858" spans="1:4">
      <c r="A5858" s="302">
        <v>87373</v>
      </c>
      <c r="B5858" s="301" t="s">
        <v>11612</v>
      </c>
      <c r="C5858" s="301" t="s">
        <v>60</v>
      </c>
      <c r="D5858" s="303">
        <v>482.43</v>
      </c>
    </row>
    <row r="5859" spans="1:4">
      <c r="A5859" s="302">
        <v>87374</v>
      </c>
      <c r="B5859" s="301" t="s">
        <v>11613</v>
      </c>
      <c r="C5859" s="301" t="s">
        <v>60</v>
      </c>
      <c r="D5859" s="303">
        <v>451.36</v>
      </c>
    </row>
    <row r="5860" spans="1:4">
      <c r="A5860" s="302">
        <v>87375</v>
      </c>
      <c r="B5860" s="301" t="s">
        <v>11614</v>
      </c>
      <c r="C5860" s="301" t="s">
        <v>60</v>
      </c>
      <c r="D5860" s="303">
        <v>431.8</v>
      </c>
    </row>
    <row r="5861" spans="1:4">
      <c r="A5861" s="302">
        <v>87376</v>
      </c>
      <c r="B5861" s="301" t="s">
        <v>11615</v>
      </c>
      <c r="C5861" s="301" t="s">
        <v>60</v>
      </c>
      <c r="D5861" s="303">
        <v>376.64</v>
      </c>
    </row>
    <row r="5862" spans="1:4">
      <c r="A5862" s="302">
        <v>87377</v>
      </c>
      <c r="B5862" s="301" t="s">
        <v>11616</v>
      </c>
      <c r="C5862" s="301" t="s">
        <v>60</v>
      </c>
      <c r="D5862" s="303">
        <v>440.21</v>
      </c>
    </row>
    <row r="5863" spans="1:4">
      <c r="A5863" s="302">
        <v>87378</v>
      </c>
      <c r="B5863" s="301" t="s">
        <v>11617</v>
      </c>
      <c r="C5863" s="301" t="s">
        <v>60</v>
      </c>
      <c r="D5863" s="303">
        <v>398.51</v>
      </c>
    </row>
    <row r="5864" spans="1:4">
      <c r="A5864" s="302">
        <v>87379</v>
      </c>
      <c r="B5864" s="301" t="s">
        <v>11618</v>
      </c>
      <c r="C5864" s="301" t="s">
        <v>60</v>
      </c>
      <c r="D5864" s="304">
        <v>2448.46</v>
      </c>
    </row>
    <row r="5865" spans="1:4">
      <c r="A5865" s="302">
        <v>87380</v>
      </c>
      <c r="B5865" s="301" t="s">
        <v>11619</v>
      </c>
      <c r="C5865" s="301" t="s">
        <v>60</v>
      </c>
      <c r="D5865" s="304">
        <v>2510.75</v>
      </c>
    </row>
    <row r="5866" spans="1:4">
      <c r="A5866" s="302">
        <v>87381</v>
      </c>
      <c r="B5866" s="301" t="s">
        <v>11620</v>
      </c>
      <c r="C5866" s="301" t="s">
        <v>60</v>
      </c>
      <c r="D5866" s="304">
        <v>2469.66</v>
      </c>
    </row>
    <row r="5867" spans="1:4">
      <c r="A5867" s="302">
        <v>87382</v>
      </c>
      <c r="B5867" s="301" t="s">
        <v>11621</v>
      </c>
      <c r="C5867" s="301" t="s">
        <v>60</v>
      </c>
      <c r="D5867" s="304">
        <v>1062.0899999999999</v>
      </c>
    </row>
    <row r="5868" spans="1:4">
      <c r="A5868" s="302">
        <v>87383</v>
      </c>
      <c r="B5868" s="301" t="s">
        <v>11622</v>
      </c>
      <c r="C5868" s="301" t="s">
        <v>60</v>
      </c>
      <c r="D5868" s="304">
        <v>1058.1500000000001</v>
      </c>
    </row>
    <row r="5869" spans="1:4">
      <c r="A5869" s="302">
        <v>87384</v>
      </c>
      <c r="B5869" s="301" t="s">
        <v>11623</v>
      </c>
      <c r="C5869" s="301" t="s">
        <v>60</v>
      </c>
      <c r="D5869" s="304">
        <v>1053.03</v>
      </c>
    </row>
    <row r="5870" spans="1:4">
      <c r="A5870" s="302">
        <v>87385</v>
      </c>
      <c r="B5870" s="301" t="s">
        <v>11624</v>
      </c>
      <c r="C5870" s="301" t="s">
        <v>60</v>
      </c>
      <c r="D5870" s="304">
        <v>1523.98</v>
      </c>
    </row>
    <row r="5871" spans="1:4">
      <c r="A5871" s="302">
        <v>87386</v>
      </c>
      <c r="B5871" s="301" t="s">
        <v>11625</v>
      </c>
      <c r="C5871" s="301" t="s">
        <v>60</v>
      </c>
      <c r="D5871" s="304">
        <v>1519.42</v>
      </c>
    </row>
    <row r="5872" spans="1:4">
      <c r="A5872" s="302">
        <v>87387</v>
      </c>
      <c r="B5872" s="301" t="s">
        <v>11626</v>
      </c>
      <c r="C5872" s="301" t="s">
        <v>60</v>
      </c>
      <c r="D5872" s="304">
        <v>1517.99</v>
      </c>
    </row>
    <row r="5873" spans="1:4">
      <c r="A5873" s="302">
        <v>87388</v>
      </c>
      <c r="B5873" s="301" t="s">
        <v>11627</v>
      </c>
      <c r="C5873" s="301" t="s">
        <v>60</v>
      </c>
      <c r="D5873" s="304">
        <v>3578.78</v>
      </c>
    </row>
    <row r="5874" spans="1:4">
      <c r="A5874" s="302">
        <v>87389</v>
      </c>
      <c r="B5874" s="301" t="s">
        <v>11628</v>
      </c>
      <c r="C5874" s="301" t="s">
        <v>60</v>
      </c>
      <c r="D5874" s="304">
        <v>3593.47</v>
      </c>
    </row>
    <row r="5875" spans="1:4">
      <c r="A5875" s="302">
        <v>87390</v>
      </c>
      <c r="B5875" s="301" t="s">
        <v>11629</v>
      </c>
      <c r="C5875" s="301" t="s">
        <v>60</v>
      </c>
      <c r="D5875" s="304">
        <v>3613.59</v>
      </c>
    </row>
    <row r="5876" spans="1:4">
      <c r="A5876" s="302">
        <v>87391</v>
      </c>
      <c r="B5876" s="301" t="s">
        <v>11630</v>
      </c>
      <c r="C5876" s="301" t="s">
        <v>60</v>
      </c>
      <c r="D5876" s="304">
        <v>5172.57</v>
      </c>
    </row>
    <row r="5877" spans="1:4">
      <c r="A5877" s="302">
        <v>87393</v>
      </c>
      <c r="B5877" s="301" t="s">
        <v>11631</v>
      </c>
      <c r="C5877" s="301" t="s">
        <v>60</v>
      </c>
      <c r="D5877" s="304">
        <v>5224.8999999999996</v>
      </c>
    </row>
    <row r="5878" spans="1:4">
      <c r="A5878" s="302">
        <v>87394</v>
      </c>
      <c r="B5878" s="301" t="s">
        <v>11632</v>
      </c>
      <c r="C5878" s="301" t="s">
        <v>60</v>
      </c>
      <c r="D5878" s="304">
        <v>5277.98</v>
      </c>
    </row>
    <row r="5879" spans="1:4">
      <c r="A5879" s="302">
        <v>87395</v>
      </c>
      <c r="B5879" s="301" t="s">
        <v>11633</v>
      </c>
      <c r="C5879" s="301" t="s">
        <v>60</v>
      </c>
      <c r="D5879" s="304">
        <v>4058.23</v>
      </c>
    </row>
    <row r="5880" spans="1:4">
      <c r="A5880" s="302">
        <v>87396</v>
      </c>
      <c r="B5880" s="301" t="s">
        <v>11634</v>
      </c>
      <c r="C5880" s="301" t="s">
        <v>60</v>
      </c>
      <c r="D5880" s="304">
        <v>4095.6</v>
      </c>
    </row>
    <row r="5881" spans="1:4">
      <c r="A5881" s="302">
        <v>87397</v>
      </c>
      <c r="B5881" s="301" t="s">
        <v>11635</v>
      </c>
      <c r="C5881" s="301" t="s">
        <v>60</v>
      </c>
      <c r="D5881" s="304">
        <v>4134.38</v>
      </c>
    </row>
    <row r="5882" spans="1:4">
      <c r="A5882" s="302">
        <v>87398</v>
      </c>
      <c r="B5882" s="301" t="s">
        <v>11636</v>
      </c>
      <c r="C5882" s="301" t="s">
        <v>60</v>
      </c>
      <c r="D5882" s="304">
        <v>1220.9000000000001</v>
      </c>
    </row>
    <row r="5883" spans="1:4">
      <c r="A5883" s="302">
        <v>87399</v>
      </c>
      <c r="B5883" s="301" t="s">
        <v>11637</v>
      </c>
      <c r="C5883" s="301" t="s">
        <v>60</v>
      </c>
      <c r="D5883" s="304">
        <v>1693.66</v>
      </c>
    </row>
    <row r="5884" spans="1:4">
      <c r="A5884" s="302">
        <v>87401</v>
      </c>
      <c r="B5884" s="301" t="s">
        <v>11638</v>
      </c>
      <c r="C5884" s="301" t="s">
        <v>60</v>
      </c>
      <c r="D5884" s="304">
        <v>5438.05</v>
      </c>
    </row>
    <row r="5885" spans="1:4">
      <c r="A5885" s="302">
        <v>87402</v>
      </c>
      <c r="B5885" s="301" t="s">
        <v>11639</v>
      </c>
      <c r="C5885" s="301" t="s">
        <v>60</v>
      </c>
      <c r="D5885" s="304">
        <v>4300.8999999999996</v>
      </c>
    </row>
    <row r="5886" spans="1:4">
      <c r="A5886" s="302">
        <v>87404</v>
      </c>
      <c r="B5886" s="301" t="s">
        <v>11640</v>
      </c>
      <c r="C5886" s="301" t="s">
        <v>60</v>
      </c>
      <c r="D5886" s="304">
        <v>3718.33</v>
      </c>
    </row>
    <row r="5887" spans="1:4">
      <c r="A5887" s="302">
        <v>87405</v>
      </c>
      <c r="B5887" s="301" t="s">
        <v>6145</v>
      </c>
      <c r="C5887" s="301" t="s">
        <v>60</v>
      </c>
      <c r="D5887" s="304">
        <v>3728.21</v>
      </c>
    </row>
    <row r="5888" spans="1:4">
      <c r="A5888" s="302">
        <v>87407</v>
      </c>
      <c r="B5888" s="301" t="s">
        <v>11641</v>
      </c>
      <c r="C5888" s="301" t="s">
        <v>60</v>
      </c>
      <c r="D5888" s="304">
        <v>1087.3</v>
      </c>
    </row>
    <row r="5889" spans="1:4">
      <c r="A5889" s="302">
        <v>87408</v>
      </c>
      <c r="B5889" s="301" t="s">
        <v>6146</v>
      </c>
      <c r="C5889" s="301" t="s">
        <v>60</v>
      </c>
      <c r="D5889" s="304">
        <v>1077.8399999999999</v>
      </c>
    </row>
    <row r="5890" spans="1:4">
      <c r="A5890" s="302">
        <v>87410</v>
      </c>
      <c r="B5890" s="301" t="s">
        <v>11642</v>
      </c>
      <c r="C5890" s="301" t="s">
        <v>60</v>
      </c>
      <c r="D5890" s="303">
        <v>761.65</v>
      </c>
    </row>
    <row r="5891" spans="1:4">
      <c r="A5891" s="302">
        <v>88626</v>
      </c>
      <c r="B5891" s="301" t="s">
        <v>11643</v>
      </c>
      <c r="C5891" s="301" t="s">
        <v>60</v>
      </c>
      <c r="D5891" s="303">
        <v>338.05</v>
      </c>
    </row>
    <row r="5892" spans="1:4">
      <c r="A5892" s="302">
        <v>88627</v>
      </c>
      <c r="B5892" s="301" t="s">
        <v>11644</v>
      </c>
      <c r="C5892" s="301" t="s">
        <v>60</v>
      </c>
      <c r="D5892" s="303">
        <v>420.48</v>
      </c>
    </row>
    <row r="5893" spans="1:4">
      <c r="A5893" s="302">
        <v>88628</v>
      </c>
      <c r="B5893" s="301" t="s">
        <v>11645</v>
      </c>
      <c r="C5893" s="301" t="s">
        <v>60</v>
      </c>
      <c r="D5893" s="303">
        <v>354.36</v>
      </c>
    </row>
    <row r="5894" spans="1:4">
      <c r="A5894" s="302">
        <v>88629</v>
      </c>
      <c r="B5894" s="301" t="s">
        <v>11646</v>
      </c>
      <c r="C5894" s="301" t="s">
        <v>60</v>
      </c>
      <c r="D5894" s="303">
        <v>439.86</v>
      </c>
    </row>
    <row r="5895" spans="1:4">
      <c r="A5895" s="302">
        <v>88630</v>
      </c>
      <c r="B5895" s="301" t="s">
        <v>6147</v>
      </c>
      <c r="C5895" s="301" t="s">
        <v>60</v>
      </c>
      <c r="D5895" s="303">
        <v>300.43</v>
      </c>
    </row>
    <row r="5896" spans="1:4">
      <c r="A5896" s="302">
        <v>88631</v>
      </c>
      <c r="B5896" s="301" t="s">
        <v>11647</v>
      </c>
      <c r="C5896" s="301" t="s">
        <v>60</v>
      </c>
      <c r="D5896" s="303">
        <v>394.63</v>
      </c>
    </row>
    <row r="5897" spans="1:4">
      <c r="A5897" s="302">
        <v>88715</v>
      </c>
      <c r="B5897" s="301" t="s">
        <v>11648</v>
      </c>
      <c r="C5897" s="301" t="s">
        <v>60</v>
      </c>
      <c r="D5897" s="303">
        <v>317.06</v>
      </c>
    </row>
    <row r="5898" spans="1:4">
      <c r="A5898" s="302">
        <v>95563</v>
      </c>
      <c r="B5898" s="301" t="s">
        <v>6148</v>
      </c>
      <c r="C5898" s="301" t="s">
        <v>60</v>
      </c>
      <c r="D5898" s="303">
        <v>543.44000000000005</v>
      </c>
    </row>
    <row r="5899" spans="1:4">
      <c r="A5899" s="302">
        <v>100464</v>
      </c>
      <c r="B5899" s="301" t="s">
        <v>11649</v>
      </c>
      <c r="C5899" s="301" t="s">
        <v>60</v>
      </c>
      <c r="D5899" s="303">
        <v>355.43</v>
      </c>
    </row>
    <row r="5900" spans="1:4">
      <c r="A5900" s="302">
        <v>100465</v>
      </c>
      <c r="B5900" s="301" t="s">
        <v>11650</v>
      </c>
      <c r="C5900" s="301" t="s">
        <v>60</v>
      </c>
      <c r="D5900" s="303">
        <v>330.38</v>
      </c>
    </row>
    <row r="5901" spans="1:4">
      <c r="A5901" s="302">
        <v>100466</v>
      </c>
      <c r="B5901" s="301" t="s">
        <v>11651</v>
      </c>
      <c r="C5901" s="301" t="s">
        <v>60</v>
      </c>
      <c r="D5901" s="303">
        <v>319.07</v>
      </c>
    </row>
    <row r="5902" spans="1:4">
      <c r="A5902" s="302">
        <v>100468</v>
      </c>
      <c r="B5902" s="301" t="s">
        <v>11652</v>
      </c>
      <c r="C5902" s="301" t="s">
        <v>60</v>
      </c>
      <c r="D5902" s="303">
        <v>431.94</v>
      </c>
    </row>
    <row r="5903" spans="1:4">
      <c r="A5903" s="302">
        <v>100469</v>
      </c>
      <c r="B5903" s="301" t="s">
        <v>11653</v>
      </c>
      <c r="C5903" s="301" t="s">
        <v>60</v>
      </c>
      <c r="D5903" s="303">
        <v>348.39</v>
      </c>
    </row>
    <row r="5904" spans="1:4">
      <c r="A5904" s="302">
        <v>100470</v>
      </c>
      <c r="B5904" s="301" t="s">
        <v>11654</v>
      </c>
      <c r="C5904" s="301" t="s">
        <v>60</v>
      </c>
      <c r="D5904" s="303">
        <v>310.45999999999998</v>
      </c>
    </row>
    <row r="5905" spans="1:4">
      <c r="A5905" s="302">
        <v>100472</v>
      </c>
      <c r="B5905" s="301" t="s">
        <v>11655</v>
      </c>
      <c r="C5905" s="301" t="s">
        <v>60</v>
      </c>
      <c r="D5905" s="303">
        <v>344.11</v>
      </c>
    </row>
    <row r="5906" spans="1:4">
      <c r="A5906" s="302">
        <v>100473</v>
      </c>
      <c r="B5906" s="301" t="s">
        <v>11656</v>
      </c>
      <c r="C5906" s="301" t="s">
        <v>60</v>
      </c>
      <c r="D5906" s="303">
        <v>312.33</v>
      </c>
    </row>
    <row r="5907" spans="1:4">
      <c r="A5907" s="302">
        <v>100474</v>
      </c>
      <c r="B5907" s="301" t="s">
        <v>11657</v>
      </c>
      <c r="C5907" s="301" t="s">
        <v>60</v>
      </c>
      <c r="D5907" s="303">
        <v>299.58</v>
      </c>
    </row>
    <row r="5908" spans="1:4">
      <c r="A5908" s="302">
        <v>100475</v>
      </c>
      <c r="B5908" s="301" t="s">
        <v>11658</v>
      </c>
      <c r="C5908" s="301" t="s">
        <v>60</v>
      </c>
      <c r="D5908" s="303">
        <v>454.3</v>
      </c>
    </row>
    <row r="5909" spans="1:4">
      <c r="A5909" s="302">
        <v>100477</v>
      </c>
      <c r="B5909" s="301" t="s">
        <v>11659</v>
      </c>
      <c r="C5909" s="301" t="s">
        <v>60</v>
      </c>
      <c r="D5909" s="303">
        <v>495.08</v>
      </c>
    </row>
    <row r="5910" spans="1:4">
      <c r="A5910" s="302">
        <v>100478</v>
      </c>
      <c r="B5910" s="301" t="s">
        <v>11660</v>
      </c>
      <c r="C5910" s="301" t="s">
        <v>60</v>
      </c>
      <c r="D5910" s="303">
        <v>445.98</v>
      </c>
    </row>
    <row r="5911" spans="1:4">
      <c r="A5911" s="302">
        <v>100479</v>
      </c>
      <c r="B5911" s="301" t="s">
        <v>11661</v>
      </c>
      <c r="C5911" s="301" t="s">
        <v>60</v>
      </c>
      <c r="D5911" s="303">
        <v>436.86</v>
      </c>
    </row>
    <row r="5912" spans="1:4">
      <c r="A5912" s="302">
        <v>100480</v>
      </c>
      <c r="B5912" s="301" t="s">
        <v>11662</v>
      </c>
      <c r="C5912" s="301" t="s">
        <v>60</v>
      </c>
      <c r="D5912" s="303">
        <v>539.64</v>
      </c>
    </row>
    <row r="5913" spans="1:4">
      <c r="A5913" s="302">
        <v>100481</v>
      </c>
      <c r="B5913" s="301" t="s">
        <v>11663</v>
      </c>
      <c r="C5913" s="301" t="s">
        <v>60</v>
      </c>
      <c r="D5913" s="303">
        <v>390.62</v>
      </c>
    </row>
    <row r="5914" spans="1:4">
      <c r="A5914" s="302">
        <v>100483</v>
      </c>
      <c r="B5914" s="301" t="s">
        <v>11664</v>
      </c>
      <c r="C5914" s="301" t="s">
        <v>60</v>
      </c>
      <c r="D5914" s="303">
        <v>421.26</v>
      </c>
    </row>
    <row r="5915" spans="1:4">
      <c r="A5915" s="302">
        <v>100484</v>
      </c>
      <c r="B5915" s="301" t="s">
        <v>11665</v>
      </c>
      <c r="C5915" s="301" t="s">
        <v>60</v>
      </c>
      <c r="D5915" s="303">
        <v>390.16</v>
      </c>
    </row>
    <row r="5916" spans="1:4">
      <c r="A5916" s="302">
        <v>100485</v>
      </c>
      <c r="B5916" s="301" t="s">
        <v>11666</v>
      </c>
      <c r="C5916" s="301" t="s">
        <v>60</v>
      </c>
      <c r="D5916" s="303">
        <v>378.94</v>
      </c>
    </row>
    <row r="5917" spans="1:4">
      <c r="A5917" s="302">
        <v>100486</v>
      </c>
      <c r="B5917" s="301" t="s">
        <v>11667</v>
      </c>
      <c r="C5917" s="301" t="s">
        <v>60</v>
      </c>
      <c r="D5917" s="303">
        <v>478.36</v>
      </c>
    </row>
    <row r="5918" spans="1:4">
      <c r="A5918" s="302">
        <v>100487</v>
      </c>
      <c r="B5918" s="301" t="s">
        <v>11668</v>
      </c>
      <c r="C5918" s="301" t="s">
        <v>60</v>
      </c>
      <c r="D5918" s="303">
        <v>302.74</v>
      </c>
    </row>
    <row r="5919" spans="1:4">
      <c r="A5919" s="302">
        <v>100488</v>
      </c>
      <c r="B5919" s="301" t="s">
        <v>11669</v>
      </c>
      <c r="C5919" s="301" t="s">
        <v>60</v>
      </c>
      <c r="D5919" s="303">
        <v>334.04</v>
      </c>
    </row>
    <row r="5920" spans="1:4">
      <c r="A5920" s="302">
        <v>100489</v>
      </c>
      <c r="B5920" s="301" t="s">
        <v>11670</v>
      </c>
      <c r="C5920" s="301" t="s">
        <v>60</v>
      </c>
      <c r="D5920" s="303">
        <v>354.73</v>
      </c>
    </row>
    <row r="5921" spans="1:4">
      <c r="A5921" s="302">
        <v>100490</v>
      </c>
      <c r="B5921" s="301" t="s">
        <v>11671</v>
      </c>
      <c r="C5921" s="301" t="s">
        <v>60</v>
      </c>
      <c r="D5921" s="303">
        <v>311.64999999999998</v>
      </c>
    </row>
    <row r="5922" spans="1:4">
      <c r="A5922" s="302">
        <v>100491</v>
      </c>
      <c r="B5922" s="301" t="s">
        <v>11672</v>
      </c>
      <c r="C5922" s="301" t="s">
        <v>60</v>
      </c>
      <c r="D5922" s="303">
        <v>455.68</v>
      </c>
    </row>
    <row r="5923" spans="1:4">
      <c r="A5923" s="302">
        <v>100492</v>
      </c>
      <c r="B5923" s="301" t="s">
        <v>11673</v>
      </c>
      <c r="C5923" s="301" t="s">
        <v>60</v>
      </c>
      <c r="D5923" s="303">
        <v>392.19</v>
      </c>
    </row>
    <row r="5924" spans="1:4">
      <c r="A5924" s="302">
        <v>92121</v>
      </c>
      <c r="B5924" s="301" t="s">
        <v>6149</v>
      </c>
      <c r="C5924" s="301" t="s">
        <v>60</v>
      </c>
      <c r="D5924" s="303">
        <v>22.59</v>
      </c>
    </row>
    <row r="5925" spans="1:4">
      <c r="A5925" s="302">
        <v>92122</v>
      </c>
      <c r="B5925" s="301" t="s">
        <v>6150</v>
      </c>
      <c r="C5925" s="301" t="s">
        <v>60</v>
      </c>
      <c r="D5925" s="303">
        <v>38.15</v>
      </c>
    </row>
    <row r="5926" spans="1:4">
      <c r="A5926" s="302">
        <v>92123</v>
      </c>
      <c r="B5926" s="301" t="s">
        <v>6151</v>
      </c>
      <c r="C5926" s="301" t="s">
        <v>60</v>
      </c>
      <c r="D5926" s="303">
        <v>36.68</v>
      </c>
    </row>
    <row r="5927" spans="1:4">
      <c r="A5927" s="302">
        <v>100195</v>
      </c>
      <c r="B5927" s="301" t="s">
        <v>6152</v>
      </c>
      <c r="C5927" s="301" t="s">
        <v>6153</v>
      </c>
      <c r="D5927" s="303">
        <v>0.57999999999999996</v>
      </c>
    </row>
    <row r="5928" spans="1:4">
      <c r="A5928" s="302">
        <v>100196</v>
      </c>
      <c r="B5928" s="301" t="s">
        <v>6154</v>
      </c>
      <c r="C5928" s="301" t="s">
        <v>6153</v>
      </c>
      <c r="D5928" s="303">
        <v>0.97</v>
      </c>
    </row>
    <row r="5929" spans="1:4">
      <c r="A5929" s="302">
        <v>100197</v>
      </c>
      <c r="B5929" s="301" t="s">
        <v>6155</v>
      </c>
      <c r="C5929" s="301" t="s">
        <v>6153</v>
      </c>
      <c r="D5929" s="303">
        <v>1.46</v>
      </c>
    </row>
    <row r="5930" spans="1:4">
      <c r="A5930" s="302">
        <v>100198</v>
      </c>
      <c r="B5930" s="301" t="s">
        <v>6156</v>
      </c>
      <c r="C5930" s="301" t="s">
        <v>6153</v>
      </c>
      <c r="D5930" s="303">
        <v>0.2</v>
      </c>
    </row>
    <row r="5931" spans="1:4">
      <c r="A5931" s="302">
        <v>100199</v>
      </c>
      <c r="B5931" s="301" t="s">
        <v>6157</v>
      </c>
      <c r="C5931" s="301" t="s">
        <v>6153</v>
      </c>
      <c r="D5931" s="303">
        <v>0.24</v>
      </c>
    </row>
    <row r="5932" spans="1:4">
      <c r="A5932" s="302">
        <v>100200</v>
      </c>
      <c r="B5932" s="301" t="s">
        <v>6158</v>
      </c>
      <c r="C5932" s="301" t="s">
        <v>6153</v>
      </c>
      <c r="D5932" s="303">
        <v>0.28999999999999998</v>
      </c>
    </row>
    <row r="5933" spans="1:4">
      <c r="A5933" s="302">
        <v>100201</v>
      </c>
      <c r="B5933" s="301" t="s">
        <v>6159</v>
      </c>
      <c r="C5933" s="301" t="s">
        <v>6153</v>
      </c>
      <c r="D5933" s="303">
        <v>0.59</v>
      </c>
    </row>
    <row r="5934" spans="1:4">
      <c r="A5934" s="302">
        <v>100202</v>
      </c>
      <c r="B5934" s="301" t="s">
        <v>6160</v>
      </c>
      <c r="C5934" s="301" t="s">
        <v>6153</v>
      </c>
      <c r="D5934" s="303">
        <v>0.69</v>
      </c>
    </row>
    <row r="5935" spans="1:4">
      <c r="A5935" s="302">
        <v>100203</v>
      </c>
      <c r="B5935" s="301" t="s">
        <v>6161</v>
      </c>
      <c r="C5935" s="301" t="s">
        <v>6153</v>
      </c>
      <c r="D5935" s="303">
        <v>0.82</v>
      </c>
    </row>
    <row r="5936" spans="1:4">
      <c r="A5936" s="302">
        <v>100204</v>
      </c>
      <c r="B5936" s="301" t="s">
        <v>6162</v>
      </c>
      <c r="C5936" s="301" t="s">
        <v>6153</v>
      </c>
      <c r="D5936" s="303">
        <v>7.0000000000000007E-2</v>
      </c>
    </row>
    <row r="5937" spans="1:4">
      <c r="A5937" s="302">
        <v>100205</v>
      </c>
      <c r="B5937" s="301" t="s">
        <v>6163</v>
      </c>
      <c r="C5937" s="301" t="s">
        <v>171</v>
      </c>
      <c r="D5937" s="304">
        <v>1086.75</v>
      </c>
    </row>
    <row r="5938" spans="1:4">
      <c r="A5938" s="302">
        <v>100206</v>
      </c>
      <c r="B5938" s="301" t="s">
        <v>6164</v>
      </c>
      <c r="C5938" s="301" t="s">
        <v>171</v>
      </c>
      <c r="D5938" s="303">
        <v>785.54</v>
      </c>
    </row>
    <row r="5939" spans="1:4">
      <c r="A5939" s="302">
        <v>100207</v>
      </c>
      <c r="B5939" s="301" t="s">
        <v>6165</v>
      </c>
      <c r="C5939" s="301" t="s">
        <v>171</v>
      </c>
      <c r="D5939" s="303">
        <v>277.95999999999998</v>
      </c>
    </row>
    <row r="5940" spans="1:4">
      <c r="A5940" s="302">
        <v>100208</v>
      </c>
      <c r="B5940" s="301" t="s">
        <v>6166</v>
      </c>
      <c r="C5940" s="301" t="s">
        <v>6167</v>
      </c>
      <c r="D5940" s="303">
        <v>14.37</v>
      </c>
    </row>
    <row r="5941" spans="1:4">
      <c r="A5941" s="302">
        <v>100209</v>
      </c>
      <c r="B5941" s="301" t="s">
        <v>6168</v>
      </c>
      <c r="C5941" s="301" t="s">
        <v>6167</v>
      </c>
      <c r="D5941" s="303">
        <v>7.18</v>
      </c>
    </row>
    <row r="5942" spans="1:4">
      <c r="A5942" s="302">
        <v>100210</v>
      </c>
      <c r="B5942" s="301" t="s">
        <v>6169</v>
      </c>
      <c r="C5942" s="301" t="s">
        <v>6167</v>
      </c>
      <c r="D5942" s="303">
        <v>13.24</v>
      </c>
    </row>
    <row r="5943" spans="1:4">
      <c r="A5943" s="302">
        <v>100211</v>
      </c>
      <c r="B5943" s="301" t="s">
        <v>6170</v>
      </c>
      <c r="C5943" s="301" t="s">
        <v>6167</v>
      </c>
      <c r="D5943" s="303">
        <v>5.1100000000000003</v>
      </c>
    </row>
    <row r="5944" spans="1:4">
      <c r="A5944" s="302">
        <v>100212</v>
      </c>
      <c r="B5944" s="301" t="s">
        <v>6171</v>
      </c>
      <c r="C5944" s="301" t="s">
        <v>6167</v>
      </c>
      <c r="D5944" s="303">
        <v>5.64</v>
      </c>
    </row>
    <row r="5945" spans="1:4">
      <c r="A5945" s="302">
        <v>100213</v>
      </c>
      <c r="B5945" s="301" t="s">
        <v>6172</v>
      </c>
      <c r="C5945" s="301" t="s">
        <v>6167</v>
      </c>
      <c r="D5945" s="303">
        <v>2.02</v>
      </c>
    </row>
    <row r="5946" spans="1:4">
      <c r="A5946" s="302">
        <v>100214</v>
      </c>
      <c r="B5946" s="301" t="s">
        <v>6173</v>
      </c>
      <c r="C5946" s="301" t="s">
        <v>6167</v>
      </c>
      <c r="D5946" s="303">
        <v>3.11</v>
      </c>
    </row>
    <row r="5947" spans="1:4">
      <c r="A5947" s="302">
        <v>100215</v>
      </c>
      <c r="B5947" s="301" t="s">
        <v>6174</v>
      </c>
      <c r="C5947" s="301" t="s">
        <v>6167</v>
      </c>
      <c r="D5947" s="303">
        <v>2.66</v>
      </c>
    </row>
    <row r="5948" spans="1:4">
      <c r="A5948" s="302">
        <v>100216</v>
      </c>
      <c r="B5948" s="301" t="s">
        <v>6175</v>
      </c>
      <c r="C5948" s="301" t="s">
        <v>6167</v>
      </c>
      <c r="D5948" s="303">
        <v>0.71</v>
      </c>
    </row>
    <row r="5949" spans="1:4">
      <c r="A5949" s="302">
        <v>100217</v>
      </c>
      <c r="B5949" s="301" t="s">
        <v>6176</v>
      </c>
      <c r="C5949" s="301" t="s">
        <v>6167</v>
      </c>
      <c r="D5949" s="303">
        <v>1.9</v>
      </c>
    </row>
    <row r="5950" spans="1:4">
      <c r="A5950" s="302">
        <v>100218</v>
      </c>
      <c r="B5950" s="301" t="s">
        <v>6177</v>
      </c>
      <c r="C5950" s="301" t="s">
        <v>6167</v>
      </c>
      <c r="D5950" s="303">
        <v>1.3</v>
      </c>
    </row>
    <row r="5951" spans="1:4">
      <c r="A5951" s="302">
        <v>100219</v>
      </c>
      <c r="B5951" s="301" t="s">
        <v>6178</v>
      </c>
      <c r="C5951" s="301" t="s">
        <v>6167</v>
      </c>
      <c r="D5951" s="303">
        <v>0.28999999999999998</v>
      </c>
    </row>
    <row r="5952" spans="1:4">
      <c r="A5952" s="302">
        <v>100220</v>
      </c>
      <c r="B5952" s="301" t="s">
        <v>6179</v>
      </c>
      <c r="C5952" s="301" t="s">
        <v>6180</v>
      </c>
      <c r="D5952" s="303">
        <v>20.65</v>
      </c>
    </row>
    <row r="5953" spans="1:4">
      <c r="A5953" s="302">
        <v>100221</v>
      </c>
      <c r="B5953" s="301" t="s">
        <v>6181</v>
      </c>
      <c r="C5953" s="301" t="s">
        <v>6180</v>
      </c>
      <c r="D5953" s="303">
        <v>23.41</v>
      </c>
    </row>
    <row r="5954" spans="1:4">
      <c r="A5954" s="302">
        <v>100222</v>
      </c>
      <c r="B5954" s="301" t="s">
        <v>6182</v>
      </c>
      <c r="C5954" s="301" t="s">
        <v>6180</v>
      </c>
      <c r="D5954" s="303">
        <v>8.86</v>
      </c>
    </row>
    <row r="5955" spans="1:4">
      <c r="A5955" s="302">
        <v>100223</v>
      </c>
      <c r="B5955" s="301" t="s">
        <v>6183</v>
      </c>
      <c r="C5955" s="301" t="s">
        <v>6180</v>
      </c>
      <c r="D5955" s="303">
        <v>4.1500000000000004</v>
      </c>
    </row>
    <row r="5956" spans="1:4">
      <c r="A5956" s="302">
        <v>100224</v>
      </c>
      <c r="B5956" s="301" t="s">
        <v>6184</v>
      </c>
      <c r="C5956" s="301" t="s">
        <v>6180</v>
      </c>
      <c r="D5956" s="303">
        <v>1.9</v>
      </c>
    </row>
    <row r="5957" spans="1:4">
      <c r="A5957" s="302">
        <v>100225</v>
      </c>
      <c r="B5957" s="301" t="s">
        <v>6185</v>
      </c>
      <c r="C5957" s="301" t="s">
        <v>6186</v>
      </c>
      <c r="D5957" s="303">
        <v>1.62</v>
      </c>
    </row>
    <row r="5958" spans="1:4">
      <c r="A5958" s="302">
        <v>100226</v>
      </c>
      <c r="B5958" s="301" t="s">
        <v>6187</v>
      </c>
      <c r="C5958" s="301" t="s">
        <v>6186</v>
      </c>
      <c r="D5958" s="303">
        <v>0.51</v>
      </c>
    </row>
    <row r="5959" spans="1:4">
      <c r="A5959" s="302">
        <v>100227</v>
      </c>
      <c r="B5959" s="301" t="s">
        <v>6188</v>
      </c>
      <c r="C5959" s="301" t="s">
        <v>6186</v>
      </c>
      <c r="D5959" s="303">
        <v>0.75</v>
      </c>
    </row>
    <row r="5960" spans="1:4">
      <c r="A5960" s="302">
        <v>100228</v>
      </c>
      <c r="B5960" s="301" t="s">
        <v>6189</v>
      </c>
      <c r="C5960" s="301" t="s">
        <v>6186</v>
      </c>
      <c r="D5960" s="303">
        <v>0.18</v>
      </c>
    </row>
    <row r="5961" spans="1:4">
      <c r="A5961" s="302">
        <v>100229</v>
      </c>
      <c r="B5961" s="301" t="s">
        <v>6190</v>
      </c>
      <c r="C5961" s="301" t="s">
        <v>34</v>
      </c>
      <c r="D5961" s="303">
        <v>0.01</v>
      </c>
    </row>
    <row r="5962" spans="1:4">
      <c r="A5962" s="302">
        <v>100230</v>
      </c>
      <c r="B5962" s="301" t="s">
        <v>6191</v>
      </c>
      <c r="C5962" s="301" t="s">
        <v>34</v>
      </c>
      <c r="D5962" s="303">
        <v>0.01</v>
      </c>
    </row>
    <row r="5963" spans="1:4">
      <c r="A5963" s="302">
        <v>100231</v>
      </c>
      <c r="B5963" s="301" t="s">
        <v>6192</v>
      </c>
      <c r="C5963" s="301" t="s">
        <v>34</v>
      </c>
      <c r="D5963" s="303">
        <v>0.02</v>
      </c>
    </row>
    <row r="5964" spans="1:4">
      <c r="A5964" s="302">
        <v>100232</v>
      </c>
      <c r="B5964" s="301" t="s">
        <v>6193</v>
      </c>
      <c r="C5964" s="301" t="s">
        <v>28</v>
      </c>
      <c r="D5964" s="303">
        <v>0.27</v>
      </c>
    </row>
    <row r="5965" spans="1:4">
      <c r="A5965" s="302">
        <v>100233</v>
      </c>
      <c r="B5965" s="301" t="s">
        <v>6194</v>
      </c>
      <c r="C5965" s="301" t="s">
        <v>28</v>
      </c>
      <c r="D5965" s="303">
        <v>0.13</v>
      </c>
    </row>
    <row r="5966" spans="1:4">
      <c r="A5966" s="302">
        <v>100234</v>
      </c>
      <c r="B5966" s="301" t="s">
        <v>6195</v>
      </c>
      <c r="C5966" s="301" t="s">
        <v>117</v>
      </c>
      <c r="D5966" s="303">
        <v>0.4</v>
      </c>
    </row>
    <row r="5967" spans="1:4">
      <c r="A5967" s="302">
        <v>100235</v>
      </c>
      <c r="B5967" s="301" t="s">
        <v>6196</v>
      </c>
      <c r="C5967" s="301" t="s">
        <v>806</v>
      </c>
      <c r="D5967" s="303">
        <v>0.03</v>
      </c>
    </row>
    <row r="5968" spans="1:4">
      <c r="A5968" s="302">
        <v>100236</v>
      </c>
      <c r="B5968" s="301" t="s">
        <v>6197</v>
      </c>
      <c r="C5968" s="301" t="s">
        <v>6198</v>
      </c>
      <c r="D5968" s="303">
        <v>2.06</v>
      </c>
    </row>
    <row r="5969" spans="1:4">
      <c r="A5969" s="302">
        <v>100237</v>
      </c>
      <c r="B5969" s="301" t="s">
        <v>6199</v>
      </c>
      <c r="C5969" s="301" t="s">
        <v>6198</v>
      </c>
      <c r="D5969" s="303">
        <v>2.4700000000000002</v>
      </c>
    </row>
    <row r="5970" spans="1:4">
      <c r="A5970" s="302">
        <v>100238</v>
      </c>
      <c r="B5970" s="301" t="s">
        <v>6200</v>
      </c>
      <c r="C5970" s="301" t="s">
        <v>6198</v>
      </c>
      <c r="D5970" s="303">
        <v>3.95</v>
      </c>
    </row>
    <row r="5971" spans="1:4">
      <c r="A5971" s="302">
        <v>100239</v>
      </c>
      <c r="B5971" s="301" t="s">
        <v>6201</v>
      </c>
      <c r="C5971" s="301" t="s">
        <v>6198</v>
      </c>
      <c r="D5971" s="303">
        <v>4.9400000000000004</v>
      </c>
    </row>
    <row r="5972" spans="1:4">
      <c r="A5972" s="302">
        <v>100240</v>
      </c>
      <c r="B5972" s="301" t="s">
        <v>6202</v>
      </c>
      <c r="C5972" s="301" t="s">
        <v>6198</v>
      </c>
      <c r="D5972" s="303">
        <v>2.96</v>
      </c>
    </row>
    <row r="5973" spans="1:4">
      <c r="A5973" s="302">
        <v>100241</v>
      </c>
      <c r="B5973" s="301" t="s">
        <v>6203</v>
      </c>
      <c r="C5973" s="301" t="s">
        <v>6198</v>
      </c>
      <c r="D5973" s="303">
        <v>4.9400000000000004</v>
      </c>
    </row>
    <row r="5974" spans="1:4">
      <c r="A5974" s="302">
        <v>100242</v>
      </c>
      <c r="B5974" s="301" t="s">
        <v>6204</v>
      </c>
      <c r="C5974" s="301" t="s">
        <v>6198</v>
      </c>
      <c r="D5974" s="303">
        <v>14.6</v>
      </c>
    </row>
    <row r="5975" spans="1:4">
      <c r="A5975" s="302">
        <v>100243</v>
      </c>
      <c r="B5975" s="301" t="s">
        <v>6205</v>
      </c>
      <c r="C5975" s="301" t="s">
        <v>6198</v>
      </c>
      <c r="D5975" s="303">
        <v>2.37</v>
      </c>
    </row>
    <row r="5976" spans="1:4">
      <c r="A5976" s="302">
        <v>100244</v>
      </c>
      <c r="B5976" s="301" t="s">
        <v>6206</v>
      </c>
      <c r="C5976" s="301" t="s">
        <v>6198</v>
      </c>
      <c r="D5976" s="303">
        <v>2.96</v>
      </c>
    </row>
    <row r="5977" spans="1:4">
      <c r="A5977" s="302">
        <v>100245</v>
      </c>
      <c r="B5977" s="301" t="s">
        <v>6207</v>
      </c>
      <c r="C5977" s="301" t="s">
        <v>6198</v>
      </c>
      <c r="D5977" s="303">
        <v>5.92</v>
      </c>
    </row>
    <row r="5978" spans="1:4">
      <c r="A5978" s="302">
        <v>100246</v>
      </c>
      <c r="B5978" s="301" t="s">
        <v>6208</v>
      </c>
      <c r="C5978" s="301" t="s">
        <v>6198</v>
      </c>
      <c r="D5978" s="303">
        <v>1.97</v>
      </c>
    </row>
    <row r="5979" spans="1:4">
      <c r="A5979" s="302">
        <v>100247</v>
      </c>
      <c r="B5979" s="301" t="s">
        <v>6209</v>
      </c>
      <c r="C5979" s="301" t="s">
        <v>6198</v>
      </c>
      <c r="D5979" s="303">
        <v>2.4700000000000002</v>
      </c>
    </row>
    <row r="5980" spans="1:4">
      <c r="A5980" s="302">
        <v>100248</v>
      </c>
      <c r="B5980" s="301" t="s">
        <v>6210</v>
      </c>
      <c r="C5980" s="301" t="s">
        <v>6198</v>
      </c>
      <c r="D5980" s="303">
        <v>9.73</v>
      </c>
    </row>
    <row r="5981" spans="1:4">
      <c r="A5981" s="302">
        <v>100249</v>
      </c>
      <c r="B5981" s="301" t="s">
        <v>6211</v>
      </c>
      <c r="C5981" s="301" t="s">
        <v>6198</v>
      </c>
      <c r="D5981" s="303">
        <v>1.97</v>
      </c>
    </row>
    <row r="5982" spans="1:4">
      <c r="A5982" s="302">
        <v>100250</v>
      </c>
      <c r="B5982" s="301" t="s">
        <v>6212</v>
      </c>
      <c r="C5982" s="301" t="s">
        <v>6198</v>
      </c>
      <c r="D5982" s="303">
        <v>3.29</v>
      </c>
    </row>
    <row r="5983" spans="1:4">
      <c r="A5983" s="302">
        <v>100251</v>
      </c>
      <c r="B5983" s="301" t="s">
        <v>6213</v>
      </c>
      <c r="C5983" s="301" t="s">
        <v>6198</v>
      </c>
      <c r="D5983" s="303">
        <v>9.73</v>
      </c>
    </row>
    <row r="5984" spans="1:4">
      <c r="A5984" s="302">
        <v>100252</v>
      </c>
      <c r="B5984" s="301" t="s">
        <v>6214</v>
      </c>
      <c r="C5984" s="301" t="s">
        <v>6198</v>
      </c>
      <c r="D5984" s="303">
        <v>14.6</v>
      </c>
    </row>
    <row r="5985" spans="1:4">
      <c r="A5985" s="302">
        <v>100253</v>
      </c>
      <c r="B5985" s="301" t="s">
        <v>6215</v>
      </c>
      <c r="C5985" s="301" t="s">
        <v>6198</v>
      </c>
      <c r="D5985" s="303">
        <v>19.46</v>
      </c>
    </row>
    <row r="5986" spans="1:4">
      <c r="A5986" s="302">
        <v>100254</v>
      </c>
      <c r="B5986" s="301" t="s">
        <v>6216</v>
      </c>
      <c r="C5986" s="301" t="s">
        <v>6198</v>
      </c>
      <c r="D5986" s="303">
        <v>29.2</v>
      </c>
    </row>
    <row r="5987" spans="1:4">
      <c r="A5987" s="302">
        <v>100255</v>
      </c>
      <c r="B5987" s="301" t="s">
        <v>6217</v>
      </c>
      <c r="C5987" s="301" t="s">
        <v>6198</v>
      </c>
      <c r="D5987" s="303">
        <v>9.8800000000000008</v>
      </c>
    </row>
    <row r="5988" spans="1:4">
      <c r="A5988" s="302">
        <v>100256</v>
      </c>
      <c r="B5988" s="301" t="s">
        <v>6218</v>
      </c>
      <c r="C5988" s="301" t="s">
        <v>6198</v>
      </c>
      <c r="D5988" s="303">
        <v>6.58</v>
      </c>
    </row>
    <row r="5989" spans="1:4">
      <c r="A5989" s="302">
        <v>100257</v>
      </c>
      <c r="B5989" s="301" t="s">
        <v>6219</v>
      </c>
      <c r="C5989" s="301" t="s">
        <v>6198</v>
      </c>
      <c r="D5989" s="303">
        <v>3.95</v>
      </c>
    </row>
    <row r="5990" spans="1:4">
      <c r="A5990" s="302">
        <v>100258</v>
      </c>
      <c r="B5990" s="301" t="s">
        <v>6220</v>
      </c>
      <c r="C5990" s="301" t="s">
        <v>6198</v>
      </c>
      <c r="D5990" s="303">
        <v>9.8800000000000008</v>
      </c>
    </row>
    <row r="5991" spans="1:4">
      <c r="A5991" s="302">
        <v>100259</v>
      </c>
      <c r="B5991" s="301" t="s">
        <v>6221</v>
      </c>
      <c r="C5991" s="301" t="s">
        <v>6198</v>
      </c>
      <c r="D5991" s="303">
        <v>19.46</v>
      </c>
    </row>
    <row r="5992" spans="1:4">
      <c r="A5992" s="302">
        <v>100260</v>
      </c>
      <c r="B5992" s="301" t="s">
        <v>6222</v>
      </c>
      <c r="C5992" s="301" t="s">
        <v>6153</v>
      </c>
      <c r="D5992" s="303">
        <v>6.41</v>
      </c>
    </row>
    <row r="5993" spans="1:4">
      <c r="A5993" s="302">
        <v>100261</v>
      </c>
      <c r="B5993" s="301" t="s">
        <v>6223</v>
      </c>
      <c r="C5993" s="301" t="s">
        <v>6153</v>
      </c>
      <c r="D5993" s="303">
        <v>4.03</v>
      </c>
    </row>
    <row r="5994" spans="1:4">
      <c r="A5994" s="302">
        <v>100262</v>
      </c>
      <c r="B5994" s="301" t="s">
        <v>6224</v>
      </c>
      <c r="C5994" s="301" t="s">
        <v>6153</v>
      </c>
      <c r="D5994" s="303">
        <v>2.5</v>
      </c>
    </row>
    <row r="5995" spans="1:4">
      <c r="A5995" s="302">
        <v>100263</v>
      </c>
      <c r="B5995" s="301" t="s">
        <v>6225</v>
      </c>
      <c r="C5995" s="301" t="s">
        <v>6153</v>
      </c>
      <c r="D5995" s="303">
        <v>1.6</v>
      </c>
    </row>
    <row r="5996" spans="1:4">
      <c r="A5996" s="302">
        <v>100264</v>
      </c>
      <c r="B5996" s="301" t="s">
        <v>6226</v>
      </c>
      <c r="C5996" s="301" t="s">
        <v>6180</v>
      </c>
      <c r="D5996" s="303">
        <v>29.15</v>
      </c>
    </row>
    <row r="5997" spans="1:4">
      <c r="A5997" s="302">
        <v>100265</v>
      </c>
      <c r="B5997" s="301" t="s">
        <v>6227</v>
      </c>
      <c r="C5997" s="301" t="s">
        <v>117</v>
      </c>
      <c r="D5997" s="303">
        <v>0.61</v>
      </c>
    </row>
    <row r="5998" spans="1:4">
      <c r="A5998" s="302">
        <v>100266</v>
      </c>
      <c r="B5998" s="301" t="s">
        <v>6228</v>
      </c>
      <c r="C5998" s="301" t="s">
        <v>6167</v>
      </c>
      <c r="D5998" s="303">
        <v>61.96</v>
      </c>
    </row>
    <row r="5999" spans="1:4">
      <c r="A5999" s="302">
        <v>100267</v>
      </c>
      <c r="B5999" s="301" t="s">
        <v>6229</v>
      </c>
      <c r="C5999" s="301" t="s">
        <v>28</v>
      </c>
      <c r="D5999" s="303">
        <v>1.22</v>
      </c>
    </row>
    <row r="6000" spans="1:4">
      <c r="A6000" s="302">
        <v>100268</v>
      </c>
      <c r="B6000" s="301" t="s">
        <v>6230</v>
      </c>
      <c r="C6000" s="301" t="s">
        <v>6167</v>
      </c>
      <c r="D6000" s="303">
        <v>61.96</v>
      </c>
    </row>
    <row r="6001" spans="1:4">
      <c r="A6001" s="302">
        <v>100269</v>
      </c>
      <c r="B6001" s="301" t="s">
        <v>6231</v>
      </c>
      <c r="C6001" s="301" t="s">
        <v>28</v>
      </c>
      <c r="D6001" s="303">
        <v>1.22</v>
      </c>
    </row>
    <row r="6002" spans="1:4">
      <c r="A6002" s="302">
        <v>100270</v>
      </c>
      <c r="B6002" s="301" t="s">
        <v>6232</v>
      </c>
      <c r="C6002" s="301" t="s">
        <v>6167</v>
      </c>
      <c r="D6002" s="303">
        <v>46.44</v>
      </c>
    </row>
    <row r="6003" spans="1:4">
      <c r="A6003" s="302">
        <v>100271</v>
      </c>
      <c r="B6003" s="301" t="s">
        <v>6233</v>
      </c>
      <c r="C6003" s="301" t="s">
        <v>6180</v>
      </c>
      <c r="D6003" s="303">
        <v>46.47</v>
      </c>
    </row>
    <row r="6004" spans="1:4">
      <c r="A6004" s="302">
        <v>100272</v>
      </c>
      <c r="B6004" s="301" t="s">
        <v>6234</v>
      </c>
      <c r="C6004" s="301" t="s">
        <v>117</v>
      </c>
      <c r="D6004" s="303">
        <v>0.92</v>
      </c>
    </row>
    <row r="6005" spans="1:4">
      <c r="A6005" s="302">
        <v>100273</v>
      </c>
      <c r="B6005" s="301" t="s">
        <v>6235</v>
      </c>
      <c r="C6005" s="301" t="s">
        <v>6153</v>
      </c>
      <c r="D6005" s="303">
        <v>2.42</v>
      </c>
    </row>
    <row r="6006" spans="1:4">
      <c r="A6006" s="302">
        <v>100274</v>
      </c>
      <c r="B6006" s="301" t="s">
        <v>6236</v>
      </c>
      <c r="C6006" s="301" t="s">
        <v>6180</v>
      </c>
      <c r="D6006" s="303">
        <v>20.66</v>
      </c>
    </row>
    <row r="6007" spans="1:4">
      <c r="A6007" s="302">
        <v>100275</v>
      </c>
      <c r="B6007" s="301" t="s">
        <v>6237</v>
      </c>
      <c r="C6007" s="301" t="s">
        <v>6180</v>
      </c>
      <c r="D6007" s="303">
        <v>13.36</v>
      </c>
    </row>
    <row r="6008" spans="1:4">
      <c r="A6008" s="302">
        <v>100276</v>
      </c>
      <c r="B6008" s="301" t="s">
        <v>6238</v>
      </c>
      <c r="C6008" s="301" t="s">
        <v>6180</v>
      </c>
      <c r="D6008" s="303">
        <v>24.38</v>
      </c>
    </row>
    <row r="6009" spans="1:4">
      <c r="A6009" s="302">
        <v>100277</v>
      </c>
      <c r="B6009" s="301" t="s">
        <v>6239</v>
      </c>
      <c r="C6009" s="301" t="s">
        <v>6180</v>
      </c>
      <c r="D6009" s="303">
        <v>1.22</v>
      </c>
    </row>
    <row r="6010" spans="1:4">
      <c r="A6010" s="302">
        <v>100278</v>
      </c>
      <c r="B6010" s="301" t="s">
        <v>6240</v>
      </c>
      <c r="C6010" s="301" t="s">
        <v>6167</v>
      </c>
      <c r="D6010" s="303">
        <v>29.64</v>
      </c>
    </row>
    <row r="6011" spans="1:4">
      <c r="A6011" s="302">
        <v>100279</v>
      </c>
      <c r="B6011" s="301" t="s">
        <v>6241</v>
      </c>
      <c r="C6011" s="301" t="s">
        <v>28</v>
      </c>
      <c r="D6011" s="303">
        <v>0.56999999999999995</v>
      </c>
    </row>
    <row r="6012" spans="1:4">
      <c r="A6012" s="302">
        <v>100280</v>
      </c>
      <c r="B6012" s="301" t="s">
        <v>6242</v>
      </c>
      <c r="C6012" s="301" t="s">
        <v>6167</v>
      </c>
      <c r="D6012" s="303">
        <v>13.61</v>
      </c>
    </row>
    <row r="6013" spans="1:4">
      <c r="A6013" s="302">
        <v>100281</v>
      </c>
      <c r="B6013" s="301" t="s">
        <v>6243</v>
      </c>
      <c r="C6013" s="301" t="s">
        <v>6167</v>
      </c>
      <c r="D6013" s="303">
        <v>2.35</v>
      </c>
    </row>
    <row r="6014" spans="1:4">
      <c r="A6014" s="302">
        <v>100282</v>
      </c>
      <c r="B6014" s="301" t="s">
        <v>6244</v>
      </c>
      <c r="C6014" s="301" t="s">
        <v>6180</v>
      </c>
      <c r="D6014" s="303">
        <v>116.09</v>
      </c>
    </row>
    <row r="6015" spans="1:4">
      <c r="A6015" s="302">
        <v>100283</v>
      </c>
      <c r="B6015" s="301" t="s">
        <v>6245</v>
      </c>
      <c r="C6015" s="301" t="s">
        <v>6180</v>
      </c>
      <c r="D6015" s="303">
        <v>18.75</v>
      </c>
    </row>
    <row r="6016" spans="1:4">
      <c r="A6016" s="302">
        <v>100284</v>
      </c>
      <c r="B6016" s="301" t="s">
        <v>6246</v>
      </c>
      <c r="C6016" s="301" t="s">
        <v>6180</v>
      </c>
      <c r="D6016" s="303">
        <v>6.85</v>
      </c>
    </row>
    <row r="6017" spans="1:4">
      <c r="A6017" s="302">
        <v>100285</v>
      </c>
      <c r="B6017" s="301" t="s">
        <v>6247</v>
      </c>
      <c r="C6017" s="301" t="s">
        <v>6198</v>
      </c>
      <c r="D6017" s="303">
        <v>31.19</v>
      </c>
    </row>
    <row r="6018" spans="1:4">
      <c r="A6018" s="302">
        <v>100286</v>
      </c>
      <c r="B6018" s="301" t="s">
        <v>6248</v>
      </c>
      <c r="C6018" s="301" t="s">
        <v>6198</v>
      </c>
      <c r="D6018" s="303">
        <v>10.16</v>
      </c>
    </row>
    <row r="6019" spans="1:4">
      <c r="A6019" s="302">
        <v>100287</v>
      </c>
      <c r="B6019" s="301" t="s">
        <v>6249</v>
      </c>
      <c r="C6019" s="301" t="s">
        <v>6198</v>
      </c>
      <c r="D6019" s="303">
        <v>9.73</v>
      </c>
    </row>
    <row r="6020" spans="1:4">
      <c r="A6020" s="302">
        <v>84117</v>
      </c>
      <c r="B6020" s="301" t="s">
        <v>6250</v>
      </c>
      <c r="C6020" s="301" t="s">
        <v>117</v>
      </c>
      <c r="D6020" s="303">
        <v>19.350000000000001</v>
      </c>
    </row>
    <row r="6021" spans="1:4">
      <c r="A6021" s="302">
        <v>84120</v>
      </c>
      <c r="B6021" s="301" t="s">
        <v>6251</v>
      </c>
      <c r="C6021" s="301" t="s">
        <v>117</v>
      </c>
      <c r="D6021" s="303">
        <v>13.22</v>
      </c>
    </row>
    <row r="6022" spans="1:4">
      <c r="A6022" s="302">
        <v>99802</v>
      </c>
      <c r="B6022" s="301" t="s">
        <v>6252</v>
      </c>
      <c r="C6022" s="301" t="s">
        <v>117</v>
      </c>
      <c r="D6022" s="303">
        <v>0.39</v>
      </c>
    </row>
    <row r="6023" spans="1:4">
      <c r="A6023" s="302">
        <v>99803</v>
      </c>
      <c r="B6023" s="301" t="s">
        <v>6253</v>
      </c>
      <c r="C6023" s="301" t="s">
        <v>117</v>
      </c>
      <c r="D6023" s="303">
        <v>1.54</v>
      </c>
    </row>
    <row r="6024" spans="1:4">
      <c r="A6024" s="302">
        <v>99805</v>
      </c>
      <c r="B6024" s="301" t="s">
        <v>6254</v>
      </c>
      <c r="C6024" s="301" t="s">
        <v>117</v>
      </c>
      <c r="D6024" s="303">
        <v>8.0399999999999991</v>
      </c>
    </row>
    <row r="6025" spans="1:4">
      <c r="A6025" s="302">
        <v>99806</v>
      </c>
      <c r="B6025" s="301" t="s">
        <v>6255</v>
      </c>
      <c r="C6025" s="301" t="s">
        <v>117</v>
      </c>
      <c r="D6025" s="303">
        <v>0.63</v>
      </c>
    </row>
    <row r="6026" spans="1:4">
      <c r="A6026" s="302">
        <v>99808</v>
      </c>
      <c r="B6026" s="301" t="s">
        <v>6256</v>
      </c>
      <c r="C6026" s="301" t="s">
        <v>117</v>
      </c>
      <c r="D6026" s="303">
        <v>2.63</v>
      </c>
    </row>
    <row r="6027" spans="1:4">
      <c r="A6027" s="302">
        <v>99809</v>
      </c>
      <c r="B6027" s="301" t="s">
        <v>6257</v>
      </c>
      <c r="C6027" s="301" t="s">
        <v>117</v>
      </c>
      <c r="D6027" s="303">
        <v>4.3899999999999997</v>
      </c>
    </row>
    <row r="6028" spans="1:4">
      <c r="A6028" s="302">
        <v>99811</v>
      </c>
      <c r="B6028" s="301" t="s">
        <v>6258</v>
      </c>
      <c r="C6028" s="301" t="s">
        <v>117</v>
      </c>
      <c r="D6028" s="303">
        <v>2.62</v>
      </c>
    </row>
    <row r="6029" spans="1:4">
      <c r="A6029" s="302">
        <v>99812</v>
      </c>
      <c r="B6029" s="301" t="s">
        <v>6259</v>
      </c>
      <c r="C6029" s="301" t="s">
        <v>117</v>
      </c>
      <c r="D6029" s="303">
        <v>0.84</v>
      </c>
    </row>
    <row r="6030" spans="1:4">
      <c r="A6030" s="302">
        <v>99814</v>
      </c>
      <c r="B6030" s="301" t="s">
        <v>6260</v>
      </c>
      <c r="C6030" s="301" t="s">
        <v>117</v>
      </c>
      <c r="D6030" s="303">
        <v>1.43</v>
      </c>
    </row>
    <row r="6031" spans="1:4">
      <c r="A6031" s="302">
        <v>99822</v>
      </c>
      <c r="B6031" s="301" t="s">
        <v>6261</v>
      </c>
      <c r="C6031" s="301" t="s">
        <v>117</v>
      </c>
      <c r="D6031" s="303">
        <v>0.74</v>
      </c>
    </row>
    <row r="6032" spans="1:4">
      <c r="A6032" s="302">
        <v>99826</v>
      </c>
      <c r="B6032" s="301" t="s">
        <v>6262</v>
      </c>
      <c r="C6032" s="301" t="s">
        <v>117</v>
      </c>
      <c r="D6032" s="303">
        <v>1.1399999999999999</v>
      </c>
    </row>
    <row r="6033" spans="1:4">
      <c r="A6033" s="301" t="s">
        <v>12619</v>
      </c>
      <c r="B6033" s="301" t="s">
        <v>12620</v>
      </c>
      <c r="C6033" s="301" t="s">
        <v>35</v>
      </c>
      <c r="D6033" s="303">
        <v>40.67</v>
      </c>
    </row>
    <row r="6034" spans="1:4">
      <c r="A6034" s="301" t="s">
        <v>12621</v>
      </c>
      <c r="B6034" s="301" t="s">
        <v>12622</v>
      </c>
      <c r="C6034" s="301" t="s">
        <v>35</v>
      </c>
      <c r="D6034" s="303">
        <v>68.3</v>
      </c>
    </row>
    <row r="6035" spans="1:4">
      <c r="A6035" s="302">
        <v>84127</v>
      </c>
      <c r="B6035" s="301" t="s">
        <v>12623</v>
      </c>
      <c r="C6035" s="301" t="s">
        <v>35</v>
      </c>
      <c r="D6035" s="303">
        <v>372.53</v>
      </c>
    </row>
    <row r="6036" spans="1:4">
      <c r="A6036" s="302">
        <v>40841</v>
      </c>
      <c r="B6036" s="301" t="s">
        <v>12624</v>
      </c>
      <c r="C6036" s="301" t="s">
        <v>28</v>
      </c>
      <c r="D6036" s="303">
        <v>109.43</v>
      </c>
    </row>
    <row r="6037" spans="1:4">
      <c r="A6037" s="302">
        <v>71516</v>
      </c>
      <c r="B6037" s="301" t="s">
        <v>6263</v>
      </c>
      <c r="C6037" s="301" t="s">
        <v>28</v>
      </c>
      <c r="D6037" s="303">
        <v>515.5</v>
      </c>
    </row>
    <row r="6038" spans="1:4">
      <c r="A6038" s="302">
        <v>73361</v>
      </c>
      <c r="B6038" s="301" t="s">
        <v>6264</v>
      </c>
      <c r="C6038" s="301" t="s">
        <v>60</v>
      </c>
      <c r="D6038" s="303">
        <v>380.84</v>
      </c>
    </row>
    <row r="6039" spans="1:4">
      <c r="A6039" s="302">
        <v>73714</v>
      </c>
      <c r="B6039" s="301" t="s">
        <v>6265</v>
      </c>
      <c r="C6039" s="301" t="s">
        <v>28</v>
      </c>
      <c r="D6039" s="304">
        <v>1368.39</v>
      </c>
    </row>
    <row r="6040" spans="1:4">
      <c r="A6040" s="302">
        <v>97010</v>
      </c>
      <c r="B6040" s="301" t="s">
        <v>6266</v>
      </c>
      <c r="C6040" s="301" t="s">
        <v>35</v>
      </c>
      <c r="D6040" s="303">
        <v>34.67</v>
      </c>
    </row>
    <row r="6041" spans="1:4">
      <c r="A6041" s="302">
        <v>97011</v>
      </c>
      <c r="B6041" s="301" t="s">
        <v>6267</v>
      </c>
      <c r="C6041" s="301" t="s">
        <v>35</v>
      </c>
      <c r="D6041" s="303">
        <v>27.82</v>
      </c>
    </row>
    <row r="6042" spans="1:4">
      <c r="A6042" s="302">
        <v>97012</v>
      </c>
      <c r="B6042" s="301" t="s">
        <v>6268</v>
      </c>
      <c r="C6042" s="301" t="s">
        <v>35</v>
      </c>
      <c r="D6042" s="303">
        <v>24.39</v>
      </c>
    </row>
    <row r="6043" spans="1:4">
      <c r="A6043" s="302">
        <v>97013</v>
      </c>
      <c r="B6043" s="301" t="s">
        <v>6269</v>
      </c>
      <c r="C6043" s="301" t="s">
        <v>35</v>
      </c>
      <c r="D6043" s="303">
        <v>49.17</v>
      </c>
    </row>
    <row r="6044" spans="1:4">
      <c r="A6044" s="302">
        <v>97014</v>
      </c>
      <c r="B6044" s="301" t="s">
        <v>6270</v>
      </c>
      <c r="C6044" s="301" t="s">
        <v>35</v>
      </c>
      <c r="D6044" s="303">
        <v>37.67</v>
      </c>
    </row>
    <row r="6045" spans="1:4">
      <c r="A6045" s="302">
        <v>97015</v>
      </c>
      <c r="B6045" s="301" t="s">
        <v>6271</v>
      </c>
      <c r="C6045" s="301" t="s">
        <v>35</v>
      </c>
      <c r="D6045" s="303">
        <v>31.88</v>
      </c>
    </row>
    <row r="6046" spans="1:4">
      <c r="A6046" s="302">
        <v>97016</v>
      </c>
      <c r="B6046" s="301" t="s">
        <v>6272</v>
      </c>
      <c r="C6046" s="301" t="s">
        <v>35</v>
      </c>
      <c r="D6046" s="303">
        <v>29.38</v>
      </c>
    </row>
    <row r="6047" spans="1:4">
      <c r="A6047" s="302">
        <v>97017</v>
      </c>
      <c r="B6047" s="301" t="s">
        <v>6273</v>
      </c>
      <c r="C6047" s="301" t="s">
        <v>35</v>
      </c>
      <c r="D6047" s="303">
        <v>22.87</v>
      </c>
    </row>
    <row r="6048" spans="1:4">
      <c r="A6048" s="302">
        <v>97018</v>
      </c>
      <c r="B6048" s="301" t="s">
        <v>6274</v>
      </c>
      <c r="C6048" s="301" t="s">
        <v>35</v>
      </c>
      <c r="D6048" s="303">
        <v>19.48</v>
      </c>
    </row>
    <row r="6049" spans="1:4">
      <c r="A6049" s="302">
        <v>97031</v>
      </c>
      <c r="B6049" s="301" t="s">
        <v>6275</v>
      </c>
      <c r="C6049" s="301" t="s">
        <v>35</v>
      </c>
      <c r="D6049" s="303">
        <v>53.83</v>
      </c>
    </row>
    <row r="6050" spans="1:4">
      <c r="A6050" s="302">
        <v>97032</v>
      </c>
      <c r="B6050" s="301" t="s">
        <v>6276</v>
      </c>
      <c r="C6050" s="301" t="s">
        <v>35</v>
      </c>
      <c r="D6050" s="303">
        <v>34.43</v>
      </c>
    </row>
    <row r="6051" spans="1:4">
      <c r="A6051" s="302">
        <v>97033</v>
      </c>
      <c r="B6051" s="301" t="s">
        <v>6277</v>
      </c>
      <c r="C6051" s="301" t="s">
        <v>35</v>
      </c>
      <c r="D6051" s="303">
        <v>58.86</v>
      </c>
    </row>
    <row r="6052" spans="1:4">
      <c r="A6052" s="302">
        <v>97034</v>
      </c>
      <c r="B6052" s="301" t="s">
        <v>6278</v>
      </c>
      <c r="C6052" s="301" t="s">
        <v>35</v>
      </c>
      <c r="D6052" s="303">
        <v>36.22</v>
      </c>
    </row>
    <row r="6053" spans="1:4">
      <c r="A6053" s="302">
        <v>97039</v>
      </c>
      <c r="B6053" s="301" t="s">
        <v>6279</v>
      </c>
      <c r="C6053" s="301" t="s">
        <v>117</v>
      </c>
      <c r="D6053" s="303">
        <v>30.91</v>
      </c>
    </row>
    <row r="6054" spans="1:4">
      <c r="A6054" s="302">
        <v>97040</v>
      </c>
      <c r="B6054" s="301" t="s">
        <v>6280</v>
      </c>
      <c r="C6054" s="301" t="s">
        <v>117</v>
      </c>
      <c r="D6054" s="303">
        <v>11.82</v>
      </c>
    </row>
    <row r="6055" spans="1:4">
      <c r="A6055" s="302">
        <v>97041</v>
      </c>
      <c r="B6055" s="301" t="s">
        <v>6281</v>
      </c>
      <c r="C6055" s="301" t="s">
        <v>117</v>
      </c>
      <c r="D6055" s="303">
        <v>100.92</v>
      </c>
    </row>
    <row r="6056" spans="1:4">
      <c r="A6056" s="302">
        <v>97046</v>
      </c>
      <c r="B6056" s="301" t="s">
        <v>6282</v>
      </c>
      <c r="C6056" s="301" t="s">
        <v>117</v>
      </c>
      <c r="D6056" s="303">
        <v>0.25</v>
      </c>
    </row>
    <row r="6057" spans="1:4">
      <c r="A6057" s="302">
        <v>97047</v>
      </c>
      <c r="B6057" s="301" t="s">
        <v>6283</v>
      </c>
      <c r="C6057" s="301" t="s">
        <v>117</v>
      </c>
      <c r="D6057" s="303">
        <v>0.09</v>
      </c>
    </row>
    <row r="6058" spans="1:4">
      <c r="A6058" s="302">
        <v>97048</v>
      </c>
      <c r="B6058" s="301" t="s">
        <v>6284</v>
      </c>
      <c r="C6058" s="301" t="s">
        <v>117</v>
      </c>
      <c r="D6058" s="303">
        <v>0.06</v>
      </c>
    </row>
    <row r="6059" spans="1:4">
      <c r="A6059" s="302">
        <v>97051</v>
      </c>
      <c r="B6059" s="301" t="s">
        <v>6285</v>
      </c>
      <c r="C6059" s="301" t="s">
        <v>35</v>
      </c>
      <c r="D6059" s="303">
        <v>0.5</v>
      </c>
    </row>
    <row r="6060" spans="1:4">
      <c r="A6060" s="302">
        <v>97053</v>
      </c>
      <c r="B6060" s="301" t="s">
        <v>6286</v>
      </c>
      <c r="C6060" s="301" t="s">
        <v>35</v>
      </c>
      <c r="D6060" s="303">
        <v>17.510000000000002</v>
      </c>
    </row>
    <row r="6061" spans="1:4">
      <c r="A6061" s="302">
        <v>97062</v>
      </c>
      <c r="B6061" s="301" t="s">
        <v>6287</v>
      </c>
      <c r="C6061" s="301" t="s">
        <v>117</v>
      </c>
      <c r="D6061" s="303">
        <v>5.1100000000000003</v>
      </c>
    </row>
    <row r="6062" spans="1:4">
      <c r="A6062" s="302">
        <v>97063</v>
      </c>
      <c r="B6062" s="301" t="s">
        <v>6288</v>
      </c>
      <c r="C6062" s="301" t="s">
        <v>117</v>
      </c>
      <c r="D6062" s="303">
        <v>6.74</v>
      </c>
    </row>
    <row r="6063" spans="1:4">
      <c r="A6063" s="302">
        <v>97064</v>
      </c>
      <c r="B6063" s="301" t="s">
        <v>6289</v>
      </c>
      <c r="C6063" s="301" t="s">
        <v>35</v>
      </c>
      <c r="D6063" s="303">
        <v>12.61</v>
      </c>
    </row>
    <row r="6064" spans="1:4">
      <c r="A6064" s="302">
        <v>97065</v>
      </c>
      <c r="B6064" s="301" t="s">
        <v>6290</v>
      </c>
      <c r="C6064" s="301" t="s">
        <v>60</v>
      </c>
      <c r="D6064" s="303">
        <v>4.5</v>
      </c>
    </row>
    <row r="6065" spans="1:4">
      <c r="A6065" s="302">
        <v>97066</v>
      </c>
      <c r="B6065" s="301" t="s">
        <v>6291</v>
      </c>
      <c r="C6065" s="301" t="s">
        <v>117</v>
      </c>
      <c r="D6065" s="303">
        <v>54.41</v>
      </c>
    </row>
    <row r="6066" spans="1:4">
      <c r="A6066" s="302">
        <v>97067</v>
      </c>
      <c r="B6066" s="301" t="s">
        <v>6292</v>
      </c>
      <c r="C6066" s="301" t="s">
        <v>35</v>
      </c>
      <c r="D6066" s="303">
        <v>428.75</v>
      </c>
    </row>
    <row r="6067" spans="1:4">
      <c r="A6067" s="301" t="s">
        <v>12625</v>
      </c>
      <c r="B6067" s="301" t="s">
        <v>12626</v>
      </c>
      <c r="C6067" s="301" t="s">
        <v>28</v>
      </c>
      <c r="D6067" s="303">
        <v>115.66</v>
      </c>
    </row>
    <row r="6068" spans="1:4">
      <c r="A6068" s="302">
        <v>73672</v>
      </c>
      <c r="B6068" s="301" t="s">
        <v>12627</v>
      </c>
      <c r="C6068" s="301" t="s">
        <v>117</v>
      </c>
      <c r="D6068" s="303">
        <v>0.31</v>
      </c>
    </row>
    <row r="6069" spans="1:4">
      <c r="A6069" s="301" t="s">
        <v>12628</v>
      </c>
      <c r="B6069" s="301" t="s">
        <v>12629</v>
      </c>
      <c r="C6069" s="301" t="s">
        <v>117</v>
      </c>
      <c r="D6069" s="303">
        <v>0.45</v>
      </c>
    </row>
    <row r="6070" spans="1:4">
      <c r="A6070" s="301" t="s">
        <v>12630</v>
      </c>
      <c r="B6070" s="301" t="s">
        <v>12631</v>
      </c>
      <c r="C6070" s="301" t="s">
        <v>117</v>
      </c>
      <c r="D6070" s="303">
        <v>0.12</v>
      </c>
    </row>
    <row r="6071" spans="1:4">
      <c r="A6071" s="301" t="s">
        <v>12632</v>
      </c>
      <c r="B6071" s="301" t="s">
        <v>12633</v>
      </c>
      <c r="C6071" s="301" t="s">
        <v>117</v>
      </c>
      <c r="D6071" s="303">
        <v>1.27</v>
      </c>
    </row>
    <row r="6072" spans="1:4">
      <c r="A6072" s="302">
        <v>85331</v>
      </c>
      <c r="B6072" s="301" t="s">
        <v>12634</v>
      </c>
      <c r="C6072" s="301" t="s">
        <v>117</v>
      </c>
      <c r="D6072" s="303">
        <v>1.23</v>
      </c>
    </row>
    <row r="6073" spans="1:4">
      <c r="A6073" s="302">
        <v>85422</v>
      </c>
      <c r="B6073" s="301" t="s">
        <v>12635</v>
      </c>
      <c r="C6073" s="301" t="s">
        <v>117</v>
      </c>
      <c r="D6073" s="303">
        <v>6.36</v>
      </c>
    </row>
    <row r="6074" spans="1:4">
      <c r="A6074" s="301" t="s">
        <v>12636</v>
      </c>
      <c r="B6074" s="301" t="s">
        <v>57</v>
      </c>
      <c r="C6074" s="301" t="s">
        <v>117</v>
      </c>
      <c r="D6074" s="303">
        <v>53.8</v>
      </c>
    </row>
    <row r="6075" spans="1:4">
      <c r="A6075" s="301" t="s">
        <v>12637</v>
      </c>
      <c r="B6075" s="301" t="s">
        <v>12638</v>
      </c>
      <c r="C6075" s="301" t="s">
        <v>35</v>
      </c>
      <c r="D6075" s="303">
        <v>2.5099999999999998</v>
      </c>
    </row>
    <row r="6076" spans="1:4">
      <c r="A6076" s="301" t="s">
        <v>12639</v>
      </c>
      <c r="B6076" s="301" t="s">
        <v>12640</v>
      </c>
      <c r="C6076" s="301" t="s">
        <v>117</v>
      </c>
      <c r="D6076" s="303">
        <v>51.64</v>
      </c>
    </row>
    <row r="6077" spans="1:4">
      <c r="A6077" s="301" t="s">
        <v>12641</v>
      </c>
      <c r="B6077" s="301" t="s">
        <v>12642</v>
      </c>
      <c r="C6077" s="301" t="s">
        <v>117</v>
      </c>
      <c r="D6077" s="303">
        <v>48.76</v>
      </c>
    </row>
    <row r="6078" spans="1:4">
      <c r="A6078" s="302">
        <v>84126</v>
      </c>
      <c r="B6078" s="301" t="s">
        <v>12643</v>
      </c>
      <c r="C6078" s="301" t="s">
        <v>117</v>
      </c>
      <c r="D6078" s="303">
        <v>36.799999999999997</v>
      </c>
    </row>
    <row r="6079" spans="1:4">
      <c r="A6079" s="302">
        <v>85421</v>
      </c>
      <c r="B6079" s="301" t="s">
        <v>6293</v>
      </c>
      <c r="C6079" s="301" t="s">
        <v>117</v>
      </c>
      <c r="D6079" s="303">
        <v>12.73</v>
      </c>
    </row>
    <row r="6080" spans="1:4">
      <c r="A6080" s="302">
        <v>97621</v>
      </c>
      <c r="B6080" s="301" t="s">
        <v>6294</v>
      </c>
      <c r="C6080" s="301" t="s">
        <v>60</v>
      </c>
      <c r="D6080" s="303">
        <v>85.02</v>
      </c>
    </row>
    <row r="6081" spans="1:4">
      <c r="A6081" s="302">
        <v>97622</v>
      </c>
      <c r="B6081" s="301" t="s">
        <v>309</v>
      </c>
      <c r="C6081" s="301" t="s">
        <v>60</v>
      </c>
      <c r="D6081" s="303">
        <v>41.43</v>
      </c>
    </row>
    <row r="6082" spans="1:4">
      <c r="A6082" s="302">
        <v>97623</v>
      </c>
      <c r="B6082" s="301" t="s">
        <v>6295</v>
      </c>
      <c r="C6082" s="301" t="s">
        <v>60</v>
      </c>
      <c r="D6082" s="303">
        <v>126.94</v>
      </c>
    </row>
    <row r="6083" spans="1:4">
      <c r="A6083" s="302">
        <v>97624</v>
      </c>
      <c r="B6083" s="301" t="s">
        <v>6296</v>
      </c>
      <c r="C6083" s="301" t="s">
        <v>60</v>
      </c>
      <c r="D6083" s="303">
        <v>77.900000000000006</v>
      </c>
    </row>
    <row r="6084" spans="1:4">
      <c r="A6084" s="302">
        <v>97625</v>
      </c>
      <c r="B6084" s="301" t="s">
        <v>6297</v>
      </c>
      <c r="C6084" s="301" t="s">
        <v>60</v>
      </c>
      <c r="D6084" s="303">
        <v>34.14</v>
      </c>
    </row>
    <row r="6085" spans="1:4">
      <c r="A6085" s="302">
        <v>97626</v>
      </c>
      <c r="B6085" s="301" t="s">
        <v>6298</v>
      </c>
      <c r="C6085" s="301" t="s">
        <v>60</v>
      </c>
      <c r="D6085" s="303">
        <v>429.93</v>
      </c>
    </row>
    <row r="6086" spans="1:4">
      <c r="A6086" s="302">
        <v>97627</v>
      </c>
      <c r="B6086" s="301" t="s">
        <v>6299</v>
      </c>
      <c r="C6086" s="301" t="s">
        <v>60</v>
      </c>
      <c r="D6086" s="303">
        <v>183.2</v>
      </c>
    </row>
    <row r="6087" spans="1:4">
      <c r="A6087" s="302">
        <v>97628</v>
      </c>
      <c r="B6087" s="301" t="s">
        <v>6300</v>
      </c>
      <c r="C6087" s="301" t="s">
        <v>60</v>
      </c>
      <c r="D6087" s="303">
        <v>204.79</v>
      </c>
    </row>
    <row r="6088" spans="1:4">
      <c r="A6088" s="302">
        <v>97629</v>
      </c>
      <c r="B6088" s="301" t="s">
        <v>6301</v>
      </c>
      <c r="C6088" s="301" t="s">
        <v>60</v>
      </c>
      <c r="D6088" s="303">
        <v>86.53</v>
      </c>
    </row>
    <row r="6089" spans="1:4">
      <c r="A6089" s="302">
        <v>97631</v>
      </c>
      <c r="B6089" s="301" t="s">
        <v>6302</v>
      </c>
      <c r="C6089" s="301" t="s">
        <v>117</v>
      </c>
      <c r="D6089" s="303">
        <v>2.41</v>
      </c>
    </row>
    <row r="6090" spans="1:4">
      <c r="A6090" s="302">
        <v>97632</v>
      </c>
      <c r="B6090" s="301" t="s">
        <v>6303</v>
      </c>
      <c r="C6090" s="301" t="s">
        <v>35</v>
      </c>
      <c r="D6090" s="303">
        <v>1.88</v>
      </c>
    </row>
    <row r="6091" spans="1:4">
      <c r="A6091" s="302">
        <v>97633</v>
      </c>
      <c r="B6091" s="301" t="s">
        <v>6304</v>
      </c>
      <c r="C6091" s="301" t="s">
        <v>117</v>
      </c>
      <c r="D6091" s="303">
        <v>16.48</v>
      </c>
    </row>
    <row r="6092" spans="1:4">
      <c r="A6092" s="302">
        <v>97634</v>
      </c>
      <c r="B6092" s="301" t="s">
        <v>6305</v>
      </c>
      <c r="C6092" s="301" t="s">
        <v>117</v>
      </c>
      <c r="D6092" s="303">
        <v>8.5500000000000007</v>
      </c>
    </row>
    <row r="6093" spans="1:4">
      <c r="A6093" s="302">
        <v>97635</v>
      </c>
      <c r="B6093" s="301" t="s">
        <v>6306</v>
      </c>
      <c r="C6093" s="301" t="s">
        <v>117</v>
      </c>
      <c r="D6093" s="303">
        <v>11.48</v>
      </c>
    </row>
    <row r="6094" spans="1:4">
      <c r="A6094" s="302">
        <v>97636</v>
      </c>
      <c r="B6094" s="301" t="s">
        <v>6307</v>
      </c>
      <c r="C6094" s="301" t="s">
        <v>117</v>
      </c>
      <c r="D6094" s="303">
        <v>8.94</v>
      </c>
    </row>
    <row r="6095" spans="1:4">
      <c r="A6095" s="302">
        <v>97637</v>
      </c>
      <c r="B6095" s="301" t="s">
        <v>6308</v>
      </c>
      <c r="C6095" s="301" t="s">
        <v>117</v>
      </c>
      <c r="D6095" s="303">
        <v>1.85</v>
      </c>
    </row>
    <row r="6096" spans="1:4">
      <c r="A6096" s="302">
        <v>97638</v>
      </c>
      <c r="B6096" s="301" t="s">
        <v>6309</v>
      </c>
      <c r="C6096" s="301" t="s">
        <v>117</v>
      </c>
      <c r="D6096" s="303">
        <v>5.38</v>
      </c>
    </row>
    <row r="6097" spans="1:4">
      <c r="A6097" s="302">
        <v>97639</v>
      </c>
      <c r="B6097" s="301" t="s">
        <v>6310</v>
      </c>
      <c r="C6097" s="301" t="s">
        <v>117</v>
      </c>
      <c r="D6097" s="303">
        <v>14.51</v>
      </c>
    </row>
    <row r="6098" spans="1:4">
      <c r="A6098" s="302">
        <v>97640</v>
      </c>
      <c r="B6098" s="301" t="s">
        <v>6311</v>
      </c>
      <c r="C6098" s="301" t="s">
        <v>117</v>
      </c>
      <c r="D6098" s="303">
        <v>1.1599999999999999</v>
      </c>
    </row>
    <row r="6099" spans="1:4">
      <c r="A6099" s="302">
        <v>97641</v>
      </c>
      <c r="B6099" s="301" t="s">
        <v>6312</v>
      </c>
      <c r="C6099" s="301" t="s">
        <v>117</v>
      </c>
      <c r="D6099" s="303">
        <v>3.62</v>
      </c>
    </row>
    <row r="6100" spans="1:4">
      <c r="A6100" s="302">
        <v>97642</v>
      </c>
      <c r="B6100" s="301" t="s">
        <v>6313</v>
      </c>
      <c r="C6100" s="301" t="s">
        <v>117</v>
      </c>
      <c r="D6100" s="303">
        <v>2.08</v>
      </c>
    </row>
    <row r="6101" spans="1:4">
      <c r="A6101" s="302">
        <v>97643</v>
      </c>
      <c r="B6101" s="301" t="s">
        <v>6314</v>
      </c>
      <c r="C6101" s="301" t="s">
        <v>117</v>
      </c>
      <c r="D6101" s="303">
        <v>17.829999999999998</v>
      </c>
    </row>
    <row r="6102" spans="1:4">
      <c r="A6102" s="302">
        <v>97644</v>
      </c>
      <c r="B6102" s="301" t="s">
        <v>6315</v>
      </c>
      <c r="C6102" s="301" t="s">
        <v>117</v>
      </c>
      <c r="D6102" s="303">
        <v>6.7</v>
      </c>
    </row>
    <row r="6103" spans="1:4">
      <c r="A6103" s="302">
        <v>97645</v>
      </c>
      <c r="B6103" s="301" t="s">
        <v>6316</v>
      </c>
      <c r="C6103" s="301" t="s">
        <v>117</v>
      </c>
      <c r="D6103" s="303">
        <v>19.5</v>
      </c>
    </row>
    <row r="6104" spans="1:4">
      <c r="A6104" s="302">
        <v>97647</v>
      </c>
      <c r="B6104" s="301" t="s">
        <v>6317</v>
      </c>
      <c r="C6104" s="301" t="s">
        <v>117</v>
      </c>
      <c r="D6104" s="303">
        <v>2.57</v>
      </c>
    </row>
    <row r="6105" spans="1:4">
      <c r="A6105" s="302">
        <v>97648</v>
      </c>
      <c r="B6105" s="301" t="s">
        <v>6318</v>
      </c>
      <c r="C6105" s="301" t="s">
        <v>117</v>
      </c>
      <c r="D6105" s="303">
        <v>1.47</v>
      </c>
    </row>
    <row r="6106" spans="1:4">
      <c r="A6106" s="302">
        <v>97649</v>
      </c>
      <c r="B6106" s="301" t="s">
        <v>6319</v>
      </c>
      <c r="C6106" s="301" t="s">
        <v>117</v>
      </c>
      <c r="D6106" s="303">
        <v>3.14</v>
      </c>
    </row>
    <row r="6107" spans="1:4">
      <c r="A6107" s="302">
        <v>97650</v>
      </c>
      <c r="B6107" s="301" t="s">
        <v>6320</v>
      </c>
      <c r="C6107" s="301" t="s">
        <v>117</v>
      </c>
      <c r="D6107" s="303">
        <v>5.54</v>
      </c>
    </row>
    <row r="6108" spans="1:4">
      <c r="A6108" s="302">
        <v>97651</v>
      </c>
      <c r="B6108" s="301" t="s">
        <v>6321</v>
      </c>
      <c r="C6108" s="301" t="s">
        <v>28</v>
      </c>
      <c r="D6108" s="303">
        <v>61.38</v>
      </c>
    </row>
    <row r="6109" spans="1:4">
      <c r="A6109" s="302">
        <v>97652</v>
      </c>
      <c r="B6109" s="301" t="s">
        <v>6322</v>
      </c>
      <c r="C6109" s="301" t="s">
        <v>28</v>
      </c>
      <c r="D6109" s="303">
        <v>139.15</v>
      </c>
    </row>
    <row r="6110" spans="1:4">
      <c r="A6110" s="302">
        <v>97653</v>
      </c>
      <c r="B6110" s="301" t="s">
        <v>6323</v>
      </c>
      <c r="C6110" s="301" t="s">
        <v>28</v>
      </c>
      <c r="D6110" s="303">
        <v>79.48</v>
      </c>
    </row>
    <row r="6111" spans="1:4">
      <c r="A6111" s="302">
        <v>97654</v>
      </c>
      <c r="B6111" s="301" t="s">
        <v>6324</v>
      </c>
      <c r="C6111" s="301" t="s">
        <v>28</v>
      </c>
      <c r="D6111" s="303">
        <v>100.77</v>
      </c>
    </row>
    <row r="6112" spans="1:4">
      <c r="A6112" s="302">
        <v>97655</v>
      </c>
      <c r="B6112" s="301" t="s">
        <v>6325</v>
      </c>
      <c r="C6112" s="301" t="s">
        <v>117</v>
      </c>
      <c r="D6112" s="303">
        <v>17.510000000000002</v>
      </c>
    </row>
    <row r="6113" spans="1:4">
      <c r="A6113" s="302">
        <v>97656</v>
      </c>
      <c r="B6113" s="301" t="s">
        <v>6326</v>
      </c>
      <c r="C6113" s="301" t="s">
        <v>28</v>
      </c>
      <c r="D6113" s="303">
        <v>172.25</v>
      </c>
    </row>
    <row r="6114" spans="1:4">
      <c r="A6114" s="302">
        <v>97657</v>
      </c>
      <c r="B6114" s="301" t="s">
        <v>6327</v>
      </c>
      <c r="C6114" s="301" t="s">
        <v>28</v>
      </c>
      <c r="D6114" s="303">
        <v>341.42</v>
      </c>
    </row>
    <row r="6115" spans="1:4">
      <c r="A6115" s="302">
        <v>97658</v>
      </c>
      <c r="B6115" s="301" t="s">
        <v>6328</v>
      </c>
      <c r="C6115" s="301" t="s">
        <v>28</v>
      </c>
      <c r="D6115" s="303">
        <v>121.38</v>
      </c>
    </row>
    <row r="6116" spans="1:4">
      <c r="A6116" s="302">
        <v>97659</v>
      </c>
      <c r="B6116" s="301" t="s">
        <v>6329</v>
      </c>
      <c r="C6116" s="301" t="s">
        <v>28</v>
      </c>
      <c r="D6116" s="303">
        <v>169.01</v>
      </c>
    </row>
    <row r="6117" spans="1:4">
      <c r="A6117" s="302">
        <v>97660</v>
      </c>
      <c r="B6117" s="301" t="s">
        <v>6330</v>
      </c>
      <c r="C6117" s="301" t="s">
        <v>28</v>
      </c>
      <c r="D6117" s="303">
        <v>0.48</v>
      </c>
    </row>
    <row r="6118" spans="1:4">
      <c r="A6118" s="302">
        <v>97661</v>
      </c>
      <c r="B6118" s="301" t="s">
        <v>6331</v>
      </c>
      <c r="C6118" s="301" t="s">
        <v>35</v>
      </c>
      <c r="D6118" s="303">
        <v>0.48</v>
      </c>
    </row>
    <row r="6119" spans="1:4">
      <c r="A6119" s="302">
        <v>97662</v>
      </c>
      <c r="B6119" s="301" t="s">
        <v>6332</v>
      </c>
      <c r="C6119" s="301" t="s">
        <v>35</v>
      </c>
      <c r="D6119" s="303">
        <v>0.36</v>
      </c>
    </row>
    <row r="6120" spans="1:4">
      <c r="A6120" s="302">
        <v>97663</v>
      </c>
      <c r="B6120" s="301" t="s">
        <v>6333</v>
      </c>
      <c r="C6120" s="301" t="s">
        <v>28</v>
      </c>
      <c r="D6120" s="303">
        <v>8.9700000000000006</v>
      </c>
    </row>
    <row r="6121" spans="1:4">
      <c r="A6121" s="302">
        <v>97664</v>
      </c>
      <c r="B6121" s="301" t="s">
        <v>6334</v>
      </c>
      <c r="C6121" s="301" t="s">
        <v>28</v>
      </c>
      <c r="D6121" s="303">
        <v>1.1100000000000001</v>
      </c>
    </row>
    <row r="6122" spans="1:4">
      <c r="A6122" s="302">
        <v>97665</v>
      </c>
      <c r="B6122" s="301" t="s">
        <v>6335</v>
      </c>
      <c r="C6122" s="301" t="s">
        <v>28</v>
      </c>
      <c r="D6122" s="303">
        <v>0.94</v>
      </c>
    </row>
    <row r="6123" spans="1:4">
      <c r="A6123" s="302">
        <v>97666</v>
      </c>
      <c r="B6123" s="301" t="s">
        <v>6336</v>
      </c>
      <c r="C6123" s="301" t="s">
        <v>28</v>
      </c>
      <c r="D6123" s="303">
        <v>6.53</v>
      </c>
    </row>
    <row r="6124" spans="1:4">
      <c r="A6124" s="302">
        <v>85423</v>
      </c>
      <c r="B6124" s="301" t="s">
        <v>12644</v>
      </c>
      <c r="C6124" s="301" t="s">
        <v>117</v>
      </c>
      <c r="D6124" s="303">
        <v>6.94</v>
      </c>
    </row>
    <row r="6125" spans="1:4">
      <c r="A6125" s="302">
        <v>85424</v>
      </c>
      <c r="B6125" s="301" t="s">
        <v>12645</v>
      </c>
      <c r="C6125" s="301" t="s">
        <v>117</v>
      </c>
      <c r="D6125" s="303">
        <v>20.64</v>
      </c>
    </row>
    <row r="6126" spans="1:4">
      <c r="A6126" s="302">
        <v>95967</v>
      </c>
      <c r="B6126" s="301" t="s">
        <v>6337</v>
      </c>
      <c r="C6126" s="301" t="s">
        <v>753</v>
      </c>
      <c r="D6126" s="303">
        <v>125.64</v>
      </c>
    </row>
    <row r="6127" spans="1:4">
      <c r="A6127" s="302">
        <v>99058</v>
      </c>
      <c r="B6127" s="301" t="s">
        <v>6338</v>
      </c>
      <c r="C6127" s="301" t="s">
        <v>28</v>
      </c>
      <c r="D6127" s="303">
        <v>6.22</v>
      </c>
    </row>
    <row r="6128" spans="1:4">
      <c r="A6128" s="302">
        <v>99059</v>
      </c>
      <c r="B6128" s="301" t="s">
        <v>6339</v>
      </c>
      <c r="C6128" s="301" t="s">
        <v>35</v>
      </c>
      <c r="D6128" s="303">
        <v>35.409999999999997</v>
      </c>
    </row>
    <row r="6129" spans="1:4">
      <c r="A6129" s="302">
        <v>99060</v>
      </c>
      <c r="B6129" s="301" t="s">
        <v>6340</v>
      </c>
      <c r="C6129" s="301" t="s">
        <v>28</v>
      </c>
      <c r="D6129" s="303">
        <v>89.91</v>
      </c>
    </row>
    <row r="6130" spans="1:4">
      <c r="A6130" s="302">
        <v>99061</v>
      </c>
      <c r="B6130" s="301" t="s">
        <v>6341</v>
      </c>
      <c r="C6130" s="301" t="s">
        <v>28</v>
      </c>
      <c r="D6130" s="303">
        <v>62.2</v>
      </c>
    </row>
    <row r="6131" spans="1:4">
      <c r="A6131" s="302">
        <v>99062</v>
      </c>
      <c r="B6131" s="301" t="s">
        <v>6342</v>
      </c>
      <c r="C6131" s="301" t="s">
        <v>28</v>
      </c>
      <c r="D6131" s="303">
        <v>1.82</v>
      </c>
    </row>
    <row r="6132" spans="1:4">
      <c r="A6132" s="302">
        <v>99063</v>
      </c>
      <c r="B6132" s="301" t="s">
        <v>6343</v>
      </c>
      <c r="C6132" s="301" t="s">
        <v>35</v>
      </c>
      <c r="D6132" s="303">
        <v>3.11</v>
      </c>
    </row>
    <row r="6133" spans="1:4">
      <c r="A6133" s="302">
        <v>99064</v>
      </c>
      <c r="B6133" s="301" t="s">
        <v>6344</v>
      </c>
      <c r="C6133" s="301" t="s">
        <v>35</v>
      </c>
      <c r="D6133" s="303">
        <v>0.31</v>
      </c>
    </row>
    <row r="6134" spans="1:4">
      <c r="A6134" s="302">
        <v>78472</v>
      </c>
      <c r="B6134" s="301" t="s">
        <v>12646</v>
      </c>
      <c r="C6134" s="301" t="s">
        <v>117</v>
      </c>
      <c r="D6134" s="303">
        <v>0.26</v>
      </c>
    </row>
    <row r="6135" spans="1:4">
      <c r="A6135" s="302">
        <v>93588</v>
      </c>
      <c r="B6135" s="301" t="s">
        <v>6345</v>
      </c>
      <c r="C6135" s="301" t="s">
        <v>171</v>
      </c>
      <c r="D6135" s="303">
        <v>1.42</v>
      </c>
    </row>
    <row r="6136" spans="1:4">
      <c r="A6136" s="302">
        <v>93589</v>
      </c>
      <c r="B6136" s="301" t="s">
        <v>6346</v>
      </c>
      <c r="C6136" s="301" t="s">
        <v>171</v>
      </c>
      <c r="D6136" s="303">
        <v>1.08</v>
      </c>
    </row>
    <row r="6137" spans="1:4">
      <c r="A6137" s="302">
        <v>93590</v>
      </c>
      <c r="B6137" s="301" t="s">
        <v>6347</v>
      </c>
      <c r="C6137" s="301" t="s">
        <v>171</v>
      </c>
      <c r="D6137" s="303">
        <v>0.72</v>
      </c>
    </row>
    <row r="6138" spans="1:4">
      <c r="A6138" s="302">
        <v>93591</v>
      </c>
      <c r="B6138" s="301" t="s">
        <v>6348</v>
      </c>
      <c r="C6138" s="301" t="s">
        <v>171</v>
      </c>
      <c r="D6138" s="303">
        <v>1.27</v>
      </c>
    </row>
    <row r="6139" spans="1:4">
      <c r="A6139" s="302">
        <v>93592</v>
      </c>
      <c r="B6139" s="301" t="s">
        <v>6349</v>
      </c>
      <c r="C6139" s="301" t="s">
        <v>171</v>
      </c>
      <c r="D6139" s="303">
        <v>0.97</v>
      </c>
    </row>
    <row r="6140" spans="1:4">
      <c r="A6140" s="302">
        <v>93593</v>
      </c>
      <c r="B6140" s="301" t="s">
        <v>6350</v>
      </c>
      <c r="C6140" s="301" t="s">
        <v>171</v>
      </c>
      <c r="D6140" s="303">
        <v>0.65</v>
      </c>
    </row>
    <row r="6141" spans="1:4">
      <c r="A6141" s="302">
        <v>93594</v>
      </c>
      <c r="B6141" s="301" t="s">
        <v>6351</v>
      </c>
      <c r="C6141" s="301" t="s">
        <v>5445</v>
      </c>
      <c r="D6141" s="303">
        <v>0.94</v>
      </c>
    </row>
    <row r="6142" spans="1:4">
      <c r="A6142" s="302">
        <v>93595</v>
      </c>
      <c r="B6142" s="301" t="s">
        <v>6352</v>
      </c>
      <c r="C6142" s="301" t="s">
        <v>5445</v>
      </c>
      <c r="D6142" s="303">
        <v>0.72</v>
      </c>
    </row>
    <row r="6143" spans="1:4">
      <c r="A6143" s="302">
        <v>93596</v>
      </c>
      <c r="B6143" s="301" t="s">
        <v>6353</v>
      </c>
      <c r="C6143" s="301" t="s">
        <v>5445</v>
      </c>
      <c r="D6143" s="303">
        <v>0.48</v>
      </c>
    </row>
    <row r="6144" spans="1:4">
      <c r="A6144" s="302">
        <v>93597</v>
      </c>
      <c r="B6144" s="301" t="s">
        <v>6354</v>
      </c>
      <c r="C6144" s="301" t="s">
        <v>5445</v>
      </c>
      <c r="D6144" s="303">
        <v>0.85</v>
      </c>
    </row>
    <row r="6145" spans="1:4">
      <c r="A6145" s="302">
        <v>93598</v>
      </c>
      <c r="B6145" s="301" t="s">
        <v>6355</v>
      </c>
      <c r="C6145" s="301" t="s">
        <v>5445</v>
      </c>
      <c r="D6145" s="303">
        <v>0.65</v>
      </c>
    </row>
    <row r="6146" spans="1:4">
      <c r="A6146" s="302">
        <v>93599</v>
      </c>
      <c r="B6146" s="301" t="s">
        <v>6356</v>
      </c>
      <c r="C6146" s="301" t="s">
        <v>5445</v>
      </c>
      <c r="D6146" s="303">
        <v>0.43</v>
      </c>
    </row>
    <row r="6147" spans="1:4">
      <c r="A6147" s="302">
        <v>95425</v>
      </c>
      <c r="B6147" s="301" t="s">
        <v>6357</v>
      </c>
      <c r="C6147" s="301" t="s">
        <v>171</v>
      </c>
      <c r="D6147" s="303">
        <v>1.0900000000000001</v>
      </c>
    </row>
    <row r="6148" spans="1:4">
      <c r="A6148" s="302">
        <v>95426</v>
      </c>
      <c r="B6148" s="301" t="s">
        <v>6358</v>
      </c>
      <c r="C6148" s="301" t="s">
        <v>171</v>
      </c>
      <c r="D6148" s="303">
        <v>0.83</v>
      </c>
    </row>
    <row r="6149" spans="1:4">
      <c r="A6149" s="302">
        <v>95427</v>
      </c>
      <c r="B6149" s="301" t="s">
        <v>6359</v>
      </c>
      <c r="C6149" s="301" t="s">
        <v>171</v>
      </c>
      <c r="D6149" s="303">
        <v>0.55000000000000004</v>
      </c>
    </row>
    <row r="6150" spans="1:4">
      <c r="A6150" s="302">
        <v>95428</v>
      </c>
      <c r="B6150" s="301" t="s">
        <v>6360</v>
      </c>
      <c r="C6150" s="301" t="s">
        <v>5445</v>
      </c>
      <c r="D6150" s="303">
        <v>0.73</v>
      </c>
    </row>
    <row r="6151" spans="1:4">
      <c r="A6151" s="302">
        <v>95429</v>
      </c>
      <c r="B6151" s="301" t="s">
        <v>6361</v>
      </c>
      <c r="C6151" s="301" t="s">
        <v>5445</v>
      </c>
      <c r="D6151" s="303">
        <v>0.55000000000000004</v>
      </c>
    </row>
    <row r="6152" spans="1:4">
      <c r="A6152" s="302">
        <v>95430</v>
      </c>
      <c r="B6152" s="301" t="s">
        <v>6362</v>
      </c>
      <c r="C6152" s="301" t="s">
        <v>5445</v>
      </c>
      <c r="D6152" s="303">
        <v>0.36</v>
      </c>
    </row>
    <row r="6153" spans="1:4">
      <c r="A6153" s="302">
        <v>95875</v>
      </c>
      <c r="B6153" s="301" t="s">
        <v>6363</v>
      </c>
      <c r="C6153" s="301" t="s">
        <v>171</v>
      </c>
      <c r="D6153" s="303">
        <v>1.02</v>
      </c>
    </row>
    <row r="6154" spans="1:4">
      <c r="A6154" s="302">
        <v>95876</v>
      </c>
      <c r="B6154" s="301" t="s">
        <v>6364</v>
      </c>
      <c r="C6154" s="301" t="s">
        <v>171</v>
      </c>
      <c r="D6154" s="303">
        <v>0.91</v>
      </c>
    </row>
    <row r="6155" spans="1:4">
      <c r="A6155" s="302">
        <v>95877</v>
      </c>
      <c r="B6155" s="301" t="s">
        <v>6365</v>
      </c>
      <c r="C6155" s="301" t="s">
        <v>171</v>
      </c>
      <c r="D6155" s="303">
        <v>0.78</v>
      </c>
    </row>
    <row r="6156" spans="1:4">
      <c r="A6156" s="302">
        <v>95878</v>
      </c>
      <c r="B6156" s="301" t="s">
        <v>6366</v>
      </c>
      <c r="C6156" s="301" t="s">
        <v>5445</v>
      </c>
      <c r="D6156" s="303">
        <v>0.67</v>
      </c>
    </row>
    <row r="6157" spans="1:4">
      <c r="A6157" s="302">
        <v>95879</v>
      </c>
      <c r="B6157" s="301" t="s">
        <v>6367</v>
      </c>
      <c r="C6157" s="301" t="s">
        <v>5445</v>
      </c>
      <c r="D6157" s="303">
        <v>0.6</v>
      </c>
    </row>
    <row r="6158" spans="1:4">
      <c r="A6158" s="302">
        <v>95880</v>
      </c>
      <c r="B6158" s="301" t="s">
        <v>6368</v>
      </c>
      <c r="C6158" s="301" t="s">
        <v>5445</v>
      </c>
      <c r="D6158" s="303">
        <v>0.52</v>
      </c>
    </row>
    <row r="6159" spans="1:4">
      <c r="A6159" s="302">
        <v>93176</v>
      </c>
      <c r="B6159" s="301" t="s">
        <v>6369</v>
      </c>
      <c r="C6159" s="301" t="s">
        <v>5445</v>
      </c>
      <c r="D6159" s="303">
        <v>0.52</v>
      </c>
    </row>
    <row r="6160" spans="1:4">
      <c r="A6160" s="302">
        <v>93177</v>
      </c>
      <c r="B6160" s="301" t="s">
        <v>6370</v>
      </c>
      <c r="C6160" s="301" t="s">
        <v>5445</v>
      </c>
      <c r="D6160" s="303">
        <v>1.82</v>
      </c>
    </row>
    <row r="6161" spans="1:4">
      <c r="A6161" s="302">
        <v>93178</v>
      </c>
      <c r="B6161" s="301" t="s">
        <v>6371</v>
      </c>
      <c r="C6161" s="301" t="s">
        <v>5445</v>
      </c>
      <c r="D6161" s="303">
        <v>0.59</v>
      </c>
    </row>
    <row r="6162" spans="1:4">
      <c r="A6162" s="302">
        <v>93179</v>
      </c>
      <c r="B6162" s="301" t="s">
        <v>6372</v>
      </c>
      <c r="C6162" s="301" t="s">
        <v>5445</v>
      </c>
      <c r="D6162" s="303">
        <v>2.02</v>
      </c>
    </row>
    <row r="6163" spans="1:4">
      <c r="A6163" s="301" t="s">
        <v>6373</v>
      </c>
      <c r="B6163" s="301" t="s">
        <v>6374</v>
      </c>
      <c r="C6163" s="301" t="s">
        <v>35</v>
      </c>
      <c r="D6163" s="303">
        <v>29.06</v>
      </c>
    </row>
    <row r="6164" spans="1:4">
      <c r="A6164" s="301" t="s">
        <v>6375</v>
      </c>
      <c r="B6164" s="301" t="s">
        <v>6376</v>
      </c>
      <c r="C6164" s="301" t="s">
        <v>35</v>
      </c>
      <c r="D6164" s="303">
        <v>29.06</v>
      </c>
    </row>
    <row r="6165" spans="1:4">
      <c r="A6165" s="301" t="s">
        <v>6377</v>
      </c>
      <c r="B6165" s="301" t="s">
        <v>6378</v>
      </c>
      <c r="C6165" s="301" t="s">
        <v>35</v>
      </c>
      <c r="D6165" s="303">
        <v>46.39</v>
      </c>
    </row>
    <row r="6166" spans="1:4">
      <c r="A6166" s="301" t="s">
        <v>6379</v>
      </c>
      <c r="B6166" s="301" t="s">
        <v>6380</v>
      </c>
      <c r="C6166" s="301" t="s">
        <v>35</v>
      </c>
      <c r="D6166" s="303">
        <v>19.239999999999998</v>
      </c>
    </row>
    <row r="6167" spans="1:4">
      <c r="A6167" s="301" t="s">
        <v>6381</v>
      </c>
      <c r="B6167" s="301" t="s">
        <v>6382</v>
      </c>
      <c r="C6167" s="301" t="s">
        <v>35</v>
      </c>
      <c r="D6167" s="303">
        <v>31.32</v>
      </c>
    </row>
    <row r="6168" spans="1:4">
      <c r="A6168" s="301" t="s">
        <v>6383</v>
      </c>
      <c r="B6168" s="301" t="s">
        <v>6384</v>
      </c>
      <c r="C6168" s="301" t="s">
        <v>35</v>
      </c>
      <c r="D6168" s="303">
        <v>54.39</v>
      </c>
    </row>
    <row r="6169" spans="1:4">
      <c r="A6169" s="301" t="s">
        <v>6385</v>
      </c>
      <c r="B6169" s="301" t="s">
        <v>6386</v>
      </c>
      <c r="C6169" s="301" t="s">
        <v>35</v>
      </c>
      <c r="D6169" s="303">
        <v>56.38</v>
      </c>
    </row>
    <row r="6170" spans="1:4">
      <c r="A6170" s="301" t="s">
        <v>6387</v>
      </c>
      <c r="B6170" s="301" t="s">
        <v>6388</v>
      </c>
      <c r="C6170" s="301" t="s">
        <v>35</v>
      </c>
      <c r="D6170" s="303">
        <v>53.98</v>
      </c>
    </row>
    <row r="6171" spans="1:4">
      <c r="A6171" s="302">
        <v>85171</v>
      </c>
      <c r="B6171" s="301" t="s">
        <v>6389</v>
      </c>
      <c r="C6171" s="301" t="s">
        <v>35</v>
      </c>
      <c r="D6171" s="303">
        <v>3.88</v>
      </c>
    </row>
    <row r="6172" spans="1:4">
      <c r="A6172" s="301" t="s">
        <v>12647</v>
      </c>
      <c r="B6172" s="301" t="s">
        <v>12648</v>
      </c>
      <c r="C6172" s="301" t="s">
        <v>117</v>
      </c>
      <c r="D6172" s="303">
        <v>190.81</v>
      </c>
    </row>
    <row r="6173" spans="1:4">
      <c r="A6173" s="301" t="s">
        <v>6390</v>
      </c>
      <c r="B6173" s="301" t="s">
        <v>6391</v>
      </c>
      <c r="C6173" s="301" t="s">
        <v>117</v>
      </c>
      <c r="D6173" s="303">
        <v>121.87</v>
      </c>
    </row>
    <row r="6174" spans="1:4">
      <c r="A6174" s="301" t="s">
        <v>12649</v>
      </c>
      <c r="B6174" s="301" t="s">
        <v>12650</v>
      </c>
      <c r="C6174" s="301" t="s">
        <v>28</v>
      </c>
      <c r="D6174" s="303">
        <v>141.18</v>
      </c>
    </row>
    <row r="6175" spans="1:4">
      <c r="A6175" s="302">
        <v>98509</v>
      </c>
      <c r="B6175" s="301" t="s">
        <v>6392</v>
      </c>
      <c r="C6175" s="301" t="s">
        <v>28</v>
      </c>
      <c r="D6175" s="303">
        <v>55.53</v>
      </c>
    </row>
    <row r="6176" spans="1:4">
      <c r="A6176" s="302">
        <v>98510</v>
      </c>
      <c r="B6176" s="301" t="s">
        <v>6393</v>
      </c>
      <c r="C6176" s="301" t="s">
        <v>28</v>
      </c>
      <c r="D6176" s="303">
        <v>78.83</v>
      </c>
    </row>
    <row r="6177" spans="1:4">
      <c r="A6177" s="302">
        <v>98511</v>
      </c>
      <c r="B6177" s="301" t="s">
        <v>6394</v>
      </c>
      <c r="C6177" s="301" t="s">
        <v>28</v>
      </c>
      <c r="D6177" s="303">
        <v>152.55000000000001</v>
      </c>
    </row>
    <row r="6178" spans="1:4">
      <c r="A6178" s="302">
        <v>98516</v>
      </c>
      <c r="B6178" s="301" t="s">
        <v>6395</v>
      </c>
      <c r="C6178" s="301" t="s">
        <v>28</v>
      </c>
      <c r="D6178" s="303">
        <v>296.89999999999998</v>
      </c>
    </row>
    <row r="6179" spans="1:4">
      <c r="A6179" s="302">
        <v>98519</v>
      </c>
      <c r="B6179" s="301" t="s">
        <v>6396</v>
      </c>
      <c r="C6179" s="301" t="s">
        <v>117</v>
      </c>
      <c r="D6179" s="303">
        <v>1.56</v>
      </c>
    </row>
    <row r="6180" spans="1:4">
      <c r="A6180" s="302">
        <v>98520</v>
      </c>
      <c r="B6180" s="301" t="s">
        <v>6397</v>
      </c>
      <c r="C6180" s="301" t="s">
        <v>117</v>
      </c>
      <c r="D6180" s="303">
        <v>3.61</v>
      </c>
    </row>
    <row r="6181" spans="1:4">
      <c r="A6181" s="302">
        <v>98521</v>
      </c>
      <c r="B6181" s="301" t="s">
        <v>6398</v>
      </c>
      <c r="C6181" s="301" t="s">
        <v>117</v>
      </c>
      <c r="D6181" s="303">
        <v>0.28000000000000003</v>
      </c>
    </row>
    <row r="6182" spans="1:4">
      <c r="A6182" s="302">
        <v>98522</v>
      </c>
      <c r="B6182" s="301" t="s">
        <v>6399</v>
      </c>
      <c r="C6182" s="301" t="s">
        <v>35</v>
      </c>
      <c r="D6182" s="303">
        <v>106</v>
      </c>
    </row>
    <row r="6183" spans="1:4">
      <c r="A6183" s="302">
        <v>98524</v>
      </c>
      <c r="B6183" s="301" t="s">
        <v>6400</v>
      </c>
      <c r="C6183" s="301" t="s">
        <v>117</v>
      </c>
      <c r="D6183" s="303">
        <v>2.5099999999999998</v>
      </c>
    </row>
    <row r="6184" spans="1:4">
      <c r="A6184" s="302">
        <v>85179</v>
      </c>
      <c r="B6184" s="301" t="s">
        <v>12651</v>
      </c>
      <c r="C6184" s="301" t="s">
        <v>117</v>
      </c>
      <c r="D6184" s="303">
        <v>14.27</v>
      </c>
    </row>
    <row r="6185" spans="1:4">
      <c r="A6185" s="302">
        <v>85180</v>
      </c>
      <c r="B6185" s="301" t="s">
        <v>12652</v>
      </c>
      <c r="C6185" s="301" t="s">
        <v>117</v>
      </c>
      <c r="D6185" s="303">
        <v>14.27</v>
      </c>
    </row>
    <row r="6186" spans="1:4">
      <c r="A6186" s="302">
        <v>98503</v>
      </c>
      <c r="B6186" s="301" t="s">
        <v>6401</v>
      </c>
      <c r="C6186" s="301" t="s">
        <v>117</v>
      </c>
      <c r="D6186" s="303">
        <v>13.93</v>
      </c>
    </row>
    <row r="6187" spans="1:4">
      <c r="A6187" s="302">
        <v>98504</v>
      </c>
      <c r="B6187" s="301" t="s">
        <v>6402</v>
      </c>
      <c r="C6187" s="301" t="s">
        <v>117</v>
      </c>
      <c r="D6187" s="303">
        <v>8.93</v>
      </c>
    </row>
    <row r="6188" spans="1:4">
      <c r="A6188" s="302">
        <v>98505</v>
      </c>
      <c r="B6188" s="301" t="s">
        <v>6403</v>
      </c>
      <c r="C6188" s="301" t="s">
        <v>117</v>
      </c>
      <c r="D6188" s="303">
        <v>79.36</v>
      </c>
    </row>
    <row r="6189" spans="1:4">
      <c r="A6189" s="302">
        <v>85184</v>
      </c>
      <c r="B6189" s="301" t="s">
        <v>12653</v>
      </c>
      <c r="C6189" s="301" t="s">
        <v>117</v>
      </c>
      <c r="D6189" s="303">
        <v>3.97</v>
      </c>
    </row>
    <row r="6190" spans="1:4">
      <c r="A6190" s="302">
        <v>85185</v>
      </c>
      <c r="B6190" s="301" t="s">
        <v>12654</v>
      </c>
      <c r="C6190" s="301" t="s">
        <v>117</v>
      </c>
      <c r="D6190" s="303">
        <v>4.79</v>
      </c>
    </row>
    <row r="6191" spans="1:4">
      <c r="A6191" s="302">
        <v>98525</v>
      </c>
      <c r="B6191" s="301" t="s">
        <v>6404</v>
      </c>
      <c r="C6191" s="301" t="s">
        <v>117</v>
      </c>
      <c r="D6191" s="303">
        <v>0.23</v>
      </c>
    </row>
    <row r="6192" spans="1:4">
      <c r="A6192" s="302">
        <v>98526</v>
      </c>
      <c r="B6192" s="301" t="s">
        <v>6405</v>
      </c>
      <c r="C6192" s="301" t="s">
        <v>28</v>
      </c>
      <c r="D6192" s="303">
        <v>53.15</v>
      </c>
    </row>
    <row r="6193" spans="1:4">
      <c r="A6193" s="302">
        <v>98527</v>
      </c>
      <c r="B6193" s="301" t="s">
        <v>6406</v>
      </c>
      <c r="C6193" s="301" t="s">
        <v>28</v>
      </c>
      <c r="D6193" s="303">
        <v>114.44</v>
      </c>
    </row>
    <row r="6194" spans="1:4">
      <c r="A6194" s="302">
        <v>98528</v>
      </c>
      <c r="B6194" s="301" t="s">
        <v>6407</v>
      </c>
      <c r="C6194" s="301" t="s">
        <v>28</v>
      </c>
      <c r="D6194" s="303">
        <v>167.35</v>
      </c>
    </row>
    <row r="6195" spans="1:4">
      <c r="A6195" s="302">
        <v>98529</v>
      </c>
      <c r="B6195" s="301" t="s">
        <v>6408</v>
      </c>
      <c r="C6195" s="301" t="s">
        <v>28</v>
      </c>
      <c r="D6195" s="303">
        <v>54.16</v>
      </c>
    </row>
    <row r="6196" spans="1:4">
      <c r="A6196" s="302">
        <v>98530</v>
      </c>
      <c r="B6196" s="301" t="s">
        <v>6409</v>
      </c>
      <c r="C6196" s="301" t="s">
        <v>28</v>
      </c>
      <c r="D6196" s="303">
        <v>96.48</v>
      </c>
    </row>
    <row r="6197" spans="1:4">
      <c r="A6197" s="302">
        <v>98531</v>
      </c>
      <c r="B6197" s="301" t="s">
        <v>6410</v>
      </c>
      <c r="C6197" s="301" t="s">
        <v>28</v>
      </c>
      <c r="D6197" s="303">
        <v>187.53</v>
      </c>
    </row>
    <row r="6198" spans="1:4">
      <c r="A6198" s="302">
        <v>98532</v>
      </c>
      <c r="B6198" s="301" t="s">
        <v>6411</v>
      </c>
      <c r="C6198" s="301" t="s">
        <v>28</v>
      </c>
      <c r="D6198" s="303">
        <v>71.09</v>
      </c>
    </row>
    <row r="6199" spans="1:4">
      <c r="A6199" s="302">
        <v>98533</v>
      </c>
      <c r="B6199" s="301" t="s">
        <v>6412</v>
      </c>
      <c r="C6199" s="301" t="s">
        <v>28</v>
      </c>
      <c r="D6199" s="303">
        <v>192.97</v>
      </c>
    </row>
    <row r="6200" spans="1:4">
      <c r="A6200" s="302">
        <v>98534</v>
      </c>
      <c r="B6200" s="301" t="s">
        <v>6413</v>
      </c>
      <c r="C6200" s="301" t="s">
        <v>28</v>
      </c>
      <c r="D6200" s="303">
        <v>496.43</v>
      </c>
    </row>
    <row r="6201" spans="1:4">
      <c r="A6201" s="302">
        <v>98535</v>
      </c>
      <c r="B6201" s="301" t="s">
        <v>6414</v>
      </c>
      <c r="C6201" s="301" t="s">
        <v>28</v>
      </c>
      <c r="D6201" s="303">
        <v>782.23</v>
      </c>
    </row>
    <row r="6202" spans="1:4">
      <c r="A6202" s="302">
        <v>88238</v>
      </c>
      <c r="B6202" s="301" t="s">
        <v>845</v>
      </c>
      <c r="C6202" s="301" t="s">
        <v>753</v>
      </c>
      <c r="D6202" s="303">
        <v>15.18</v>
      </c>
    </row>
    <row r="6203" spans="1:4">
      <c r="A6203" s="302">
        <v>88239</v>
      </c>
      <c r="B6203" s="301" t="s">
        <v>843</v>
      </c>
      <c r="C6203" s="301" t="s">
        <v>753</v>
      </c>
      <c r="D6203" s="303">
        <v>16.52</v>
      </c>
    </row>
    <row r="6204" spans="1:4">
      <c r="A6204" s="302">
        <v>88240</v>
      </c>
      <c r="B6204" s="301" t="s">
        <v>802</v>
      </c>
      <c r="C6204" s="301" t="s">
        <v>753</v>
      </c>
      <c r="D6204" s="303">
        <v>11.71</v>
      </c>
    </row>
    <row r="6205" spans="1:4">
      <c r="A6205" s="302">
        <v>88241</v>
      </c>
      <c r="B6205" s="301" t="s">
        <v>6415</v>
      </c>
      <c r="C6205" s="301" t="s">
        <v>753</v>
      </c>
      <c r="D6205" s="303">
        <v>15.55</v>
      </c>
    </row>
    <row r="6206" spans="1:4">
      <c r="A6206" s="302">
        <v>88242</v>
      </c>
      <c r="B6206" s="301" t="s">
        <v>858</v>
      </c>
      <c r="C6206" s="301" t="s">
        <v>753</v>
      </c>
      <c r="D6206" s="303">
        <v>15.9</v>
      </c>
    </row>
    <row r="6207" spans="1:4">
      <c r="A6207" s="302">
        <v>88243</v>
      </c>
      <c r="B6207" s="301" t="s">
        <v>834</v>
      </c>
      <c r="C6207" s="301" t="s">
        <v>753</v>
      </c>
      <c r="D6207" s="303">
        <v>19.12</v>
      </c>
    </row>
    <row r="6208" spans="1:4">
      <c r="A6208" s="302">
        <v>88245</v>
      </c>
      <c r="B6208" s="301" t="s">
        <v>844</v>
      </c>
      <c r="C6208" s="301" t="s">
        <v>753</v>
      </c>
      <c r="D6208" s="303">
        <v>19.71</v>
      </c>
    </row>
    <row r="6209" spans="1:4">
      <c r="A6209" s="302">
        <v>88246</v>
      </c>
      <c r="B6209" s="301" t="s">
        <v>971</v>
      </c>
      <c r="C6209" s="301" t="s">
        <v>753</v>
      </c>
      <c r="D6209" s="303">
        <v>16.54</v>
      </c>
    </row>
    <row r="6210" spans="1:4">
      <c r="A6210" s="302">
        <v>88247</v>
      </c>
      <c r="B6210" s="301" t="s">
        <v>924</v>
      </c>
      <c r="C6210" s="301" t="s">
        <v>753</v>
      </c>
      <c r="D6210" s="303">
        <v>15.84</v>
      </c>
    </row>
    <row r="6211" spans="1:4">
      <c r="A6211" s="302">
        <v>88248</v>
      </c>
      <c r="B6211" s="301" t="s">
        <v>758</v>
      </c>
      <c r="C6211" s="301" t="s">
        <v>753</v>
      </c>
      <c r="D6211" s="303">
        <v>15.38</v>
      </c>
    </row>
    <row r="6212" spans="1:4">
      <c r="A6212" s="302">
        <v>88249</v>
      </c>
      <c r="B6212" s="301" t="s">
        <v>6416</v>
      </c>
      <c r="C6212" s="301" t="s">
        <v>753</v>
      </c>
      <c r="D6212" s="303">
        <v>24.4</v>
      </c>
    </row>
    <row r="6213" spans="1:4">
      <c r="A6213" s="302">
        <v>88250</v>
      </c>
      <c r="B6213" s="301" t="s">
        <v>6417</v>
      </c>
      <c r="C6213" s="301" t="s">
        <v>753</v>
      </c>
      <c r="D6213" s="303">
        <v>13.34</v>
      </c>
    </row>
    <row r="6214" spans="1:4">
      <c r="A6214" s="302">
        <v>88251</v>
      </c>
      <c r="B6214" s="301" t="s">
        <v>800</v>
      </c>
      <c r="C6214" s="301" t="s">
        <v>753</v>
      </c>
      <c r="D6214" s="303">
        <v>15.95</v>
      </c>
    </row>
    <row r="6215" spans="1:4">
      <c r="A6215" s="302">
        <v>88252</v>
      </c>
      <c r="B6215" s="301" t="s">
        <v>6418</v>
      </c>
      <c r="C6215" s="301" t="s">
        <v>753</v>
      </c>
      <c r="D6215" s="303">
        <v>16.670000000000002</v>
      </c>
    </row>
    <row r="6216" spans="1:4">
      <c r="A6216" s="302">
        <v>88253</v>
      </c>
      <c r="B6216" s="301" t="s">
        <v>6419</v>
      </c>
      <c r="C6216" s="301" t="s">
        <v>753</v>
      </c>
      <c r="D6216" s="303">
        <v>9.7899999999999991</v>
      </c>
    </row>
    <row r="6217" spans="1:4">
      <c r="A6217" s="302">
        <v>88255</v>
      </c>
      <c r="B6217" s="301" t="s">
        <v>6420</v>
      </c>
      <c r="C6217" s="301" t="s">
        <v>753</v>
      </c>
      <c r="D6217" s="303">
        <v>24.28</v>
      </c>
    </row>
    <row r="6218" spans="1:4">
      <c r="A6218" s="302">
        <v>88256</v>
      </c>
      <c r="B6218" s="301" t="s">
        <v>839</v>
      </c>
      <c r="C6218" s="301" t="s">
        <v>753</v>
      </c>
      <c r="D6218" s="303">
        <v>19.75</v>
      </c>
    </row>
    <row r="6219" spans="1:4">
      <c r="A6219" s="302">
        <v>88257</v>
      </c>
      <c r="B6219" s="301" t="s">
        <v>6421</v>
      </c>
      <c r="C6219" s="301" t="s">
        <v>753</v>
      </c>
      <c r="D6219" s="303">
        <v>14.31</v>
      </c>
    </row>
    <row r="6220" spans="1:4">
      <c r="A6220" s="302">
        <v>88258</v>
      </c>
      <c r="B6220" s="301" t="s">
        <v>6422</v>
      </c>
      <c r="C6220" s="301" t="s">
        <v>753</v>
      </c>
      <c r="D6220" s="303">
        <v>13.81</v>
      </c>
    </row>
    <row r="6221" spans="1:4">
      <c r="A6221" s="302">
        <v>88259</v>
      </c>
      <c r="B6221" s="301" t="s">
        <v>6423</v>
      </c>
      <c r="C6221" s="301" t="s">
        <v>753</v>
      </c>
      <c r="D6221" s="303">
        <v>23</v>
      </c>
    </row>
    <row r="6222" spans="1:4">
      <c r="A6222" s="302">
        <v>88260</v>
      </c>
      <c r="B6222" s="301" t="s">
        <v>6424</v>
      </c>
      <c r="C6222" s="301" t="s">
        <v>753</v>
      </c>
      <c r="D6222" s="303">
        <v>19.54</v>
      </c>
    </row>
    <row r="6223" spans="1:4">
      <c r="A6223" s="302">
        <v>88261</v>
      </c>
      <c r="B6223" s="301" t="s">
        <v>6425</v>
      </c>
      <c r="C6223" s="301" t="s">
        <v>753</v>
      </c>
      <c r="D6223" s="303">
        <v>21.06</v>
      </c>
    </row>
    <row r="6224" spans="1:4">
      <c r="A6224" s="302">
        <v>88262</v>
      </c>
      <c r="B6224" s="301" t="s">
        <v>762</v>
      </c>
      <c r="C6224" s="301" t="s">
        <v>753</v>
      </c>
      <c r="D6224" s="303">
        <v>19.670000000000002</v>
      </c>
    </row>
    <row r="6225" spans="1:4">
      <c r="A6225" s="302">
        <v>88263</v>
      </c>
      <c r="B6225" s="301" t="s">
        <v>6426</v>
      </c>
      <c r="C6225" s="301" t="s">
        <v>753</v>
      </c>
      <c r="D6225" s="303">
        <v>12.86</v>
      </c>
    </row>
    <row r="6226" spans="1:4">
      <c r="A6226" s="302">
        <v>88264</v>
      </c>
      <c r="B6226" s="301" t="s">
        <v>771</v>
      </c>
      <c r="C6226" s="301" t="s">
        <v>753</v>
      </c>
      <c r="D6226" s="303">
        <v>20.52</v>
      </c>
    </row>
    <row r="6227" spans="1:4">
      <c r="A6227" s="302">
        <v>88265</v>
      </c>
      <c r="B6227" s="301" t="s">
        <v>6427</v>
      </c>
      <c r="C6227" s="301" t="s">
        <v>753</v>
      </c>
      <c r="D6227" s="303">
        <v>20.52</v>
      </c>
    </row>
    <row r="6228" spans="1:4">
      <c r="A6228" s="302">
        <v>88266</v>
      </c>
      <c r="B6228" s="301" t="s">
        <v>6428</v>
      </c>
      <c r="C6228" s="301" t="s">
        <v>753</v>
      </c>
      <c r="D6228" s="303">
        <v>20.6</v>
      </c>
    </row>
    <row r="6229" spans="1:4">
      <c r="A6229" s="302">
        <v>88267</v>
      </c>
      <c r="B6229" s="301" t="s">
        <v>759</v>
      </c>
      <c r="C6229" s="301" t="s">
        <v>753</v>
      </c>
      <c r="D6229" s="303">
        <v>19.899999999999999</v>
      </c>
    </row>
    <row r="6230" spans="1:4">
      <c r="A6230" s="302">
        <v>88268</v>
      </c>
      <c r="B6230" s="301" t="s">
        <v>6429</v>
      </c>
      <c r="C6230" s="301" t="s">
        <v>753</v>
      </c>
      <c r="D6230" s="303">
        <v>20.45</v>
      </c>
    </row>
    <row r="6231" spans="1:4">
      <c r="A6231" s="302">
        <v>88269</v>
      </c>
      <c r="B6231" s="301" t="s">
        <v>6430</v>
      </c>
      <c r="C6231" s="301" t="s">
        <v>753</v>
      </c>
      <c r="D6231" s="303">
        <v>19.71</v>
      </c>
    </row>
    <row r="6232" spans="1:4">
      <c r="A6232" s="302">
        <v>88270</v>
      </c>
      <c r="B6232" s="301" t="s">
        <v>6431</v>
      </c>
      <c r="C6232" s="301" t="s">
        <v>753</v>
      </c>
      <c r="D6232" s="303">
        <v>20.7</v>
      </c>
    </row>
    <row r="6233" spans="1:4">
      <c r="A6233" s="302">
        <v>88272</v>
      </c>
      <c r="B6233" s="301" t="s">
        <v>6432</v>
      </c>
      <c r="C6233" s="301" t="s">
        <v>753</v>
      </c>
      <c r="D6233" s="303">
        <v>20.190000000000001</v>
      </c>
    </row>
    <row r="6234" spans="1:4">
      <c r="A6234" s="302">
        <v>88273</v>
      </c>
      <c r="B6234" s="301" t="s">
        <v>6433</v>
      </c>
      <c r="C6234" s="301" t="s">
        <v>753</v>
      </c>
      <c r="D6234" s="303">
        <v>20.03</v>
      </c>
    </row>
    <row r="6235" spans="1:4">
      <c r="A6235" s="302">
        <v>88274</v>
      </c>
      <c r="B6235" s="301" t="s">
        <v>818</v>
      </c>
      <c r="C6235" s="301" t="s">
        <v>753</v>
      </c>
      <c r="D6235" s="303">
        <v>20.07</v>
      </c>
    </row>
    <row r="6236" spans="1:4">
      <c r="A6236" s="302">
        <v>88275</v>
      </c>
      <c r="B6236" s="301" t="s">
        <v>6434</v>
      </c>
      <c r="C6236" s="301" t="s">
        <v>753</v>
      </c>
      <c r="D6236" s="303">
        <v>20.309999999999999</v>
      </c>
    </row>
    <row r="6237" spans="1:4">
      <c r="A6237" s="302">
        <v>88277</v>
      </c>
      <c r="B6237" s="301" t="s">
        <v>6435</v>
      </c>
      <c r="C6237" s="301" t="s">
        <v>753</v>
      </c>
      <c r="D6237" s="303">
        <v>15.11</v>
      </c>
    </row>
    <row r="6238" spans="1:4">
      <c r="A6238" s="302">
        <v>88278</v>
      </c>
      <c r="B6238" s="301" t="s">
        <v>809</v>
      </c>
      <c r="C6238" s="301" t="s">
        <v>753</v>
      </c>
      <c r="D6238" s="303">
        <v>14.22</v>
      </c>
    </row>
    <row r="6239" spans="1:4">
      <c r="A6239" s="302">
        <v>88279</v>
      </c>
      <c r="B6239" s="301" t="s">
        <v>934</v>
      </c>
      <c r="C6239" s="301" t="s">
        <v>753</v>
      </c>
      <c r="D6239" s="303">
        <v>21.83</v>
      </c>
    </row>
    <row r="6240" spans="1:4">
      <c r="A6240" s="302">
        <v>88281</v>
      </c>
      <c r="B6240" s="301" t="s">
        <v>6436</v>
      </c>
      <c r="C6240" s="301" t="s">
        <v>753</v>
      </c>
      <c r="D6240" s="303">
        <v>15.13</v>
      </c>
    </row>
    <row r="6241" spans="1:4">
      <c r="A6241" s="302">
        <v>88282</v>
      </c>
      <c r="B6241" s="301" t="s">
        <v>6437</v>
      </c>
      <c r="C6241" s="301" t="s">
        <v>753</v>
      </c>
      <c r="D6241" s="303">
        <v>15.8</v>
      </c>
    </row>
    <row r="6242" spans="1:4">
      <c r="A6242" s="302">
        <v>88283</v>
      </c>
      <c r="B6242" s="301" t="s">
        <v>6438</v>
      </c>
      <c r="C6242" s="301" t="s">
        <v>753</v>
      </c>
      <c r="D6242" s="303">
        <v>19.78</v>
      </c>
    </row>
    <row r="6243" spans="1:4">
      <c r="A6243" s="302">
        <v>88284</v>
      </c>
      <c r="B6243" s="301" t="s">
        <v>6439</v>
      </c>
      <c r="C6243" s="301" t="s">
        <v>753</v>
      </c>
      <c r="D6243" s="303">
        <v>14.94</v>
      </c>
    </row>
    <row r="6244" spans="1:4">
      <c r="A6244" s="302">
        <v>88285</v>
      </c>
      <c r="B6244" s="301" t="s">
        <v>6440</v>
      </c>
      <c r="C6244" s="301" t="s">
        <v>753</v>
      </c>
      <c r="D6244" s="303">
        <v>16.89</v>
      </c>
    </row>
    <row r="6245" spans="1:4">
      <c r="A6245" s="302">
        <v>88286</v>
      </c>
      <c r="B6245" s="301" t="s">
        <v>6441</v>
      </c>
      <c r="C6245" s="301" t="s">
        <v>753</v>
      </c>
      <c r="D6245" s="303">
        <v>17.940000000000001</v>
      </c>
    </row>
    <row r="6246" spans="1:4">
      <c r="A6246" s="302">
        <v>88288</v>
      </c>
      <c r="B6246" s="301" t="s">
        <v>6442</v>
      </c>
      <c r="C6246" s="301" t="s">
        <v>753</v>
      </c>
      <c r="D6246" s="303">
        <v>11.31</v>
      </c>
    </row>
    <row r="6247" spans="1:4">
      <c r="A6247" s="302">
        <v>88291</v>
      </c>
      <c r="B6247" s="301" t="s">
        <v>6443</v>
      </c>
      <c r="C6247" s="301" t="s">
        <v>753</v>
      </c>
      <c r="D6247" s="303">
        <v>14.67</v>
      </c>
    </row>
    <row r="6248" spans="1:4">
      <c r="A6248" s="302">
        <v>88292</v>
      </c>
      <c r="B6248" s="301" t="s">
        <v>6444</v>
      </c>
      <c r="C6248" s="301" t="s">
        <v>753</v>
      </c>
      <c r="D6248" s="303">
        <v>15.23</v>
      </c>
    </row>
    <row r="6249" spans="1:4">
      <c r="A6249" s="302">
        <v>88293</v>
      </c>
      <c r="B6249" s="301" t="s">
        <v>6445</v>
      </c>
      <c r="C6249" s="301" t="s">
        <v>753</v>
      </c>
      <c r="D6249" s="303">
        <v>17.13</v>
      </c>
    </row>
    <row r="6250" spans="1:4">
      <c r="A6250" s="302">
        <v>88294</v>
      </c>
      <c r="B6250" s="301" t="s">
        <v>6446</v>
      </c>
      <c r="C6250" s="301" t="s">
        <v>753</v>
      </c>
      <c r="D6250" s="303">
        <v>18.43</v>
      </c>
    </row>
    <row r="6251" spans="1:4">
      <c r="A6251" s="302">
        <v>88295</v>
      </c>
      <c r="B6251" s="301" t="s">
        <v>6447</v>
      </c>
      <c r="C6251" s="301" t="s">
        <v>753</v>
      </c>
      <c r="D6251" s="303">
        <v>14.4</v>
      </c>
    </row>
    <row r="6252" spans="1:4">
      <c r="A6252" s="302">
        <v>88296</v>
      </c>
      <c r="B6252" s="301" t="s">
        <v>6448</v>
      </c>
      <c r="C6252" s="301" t="s">
        <v>753</v>
      </c>
      <c r="D6252" s="303">
        <v>14.47</v>
      </c>
    </row>
    <row r="6253" spans="1:4">
      <c r="A6253" s="302">
        <v>88297</v>
      </c>
      <c r="B6253" s="301" t="s">
        <v>789</v>
      </c>
      <c r="C6253" s="301" t="s">
        <v>753</v>
      </c>
      <c r="D6253" s="303">
        <v>14.99</v>
      </c>
    </row>
    <row r="6254" spans="1:4">
      <c r="A6254" s="302">
        <v>88298</v>
      </c>
      <c r="B6254" s="301" t="s">
        <v>6449</v>
      </c>
      <c r="C6254" s="301" t="s">
        <v>753</v>
      </c>
      <c r="D6254" s="303">
        <v>12.63</v>
      </c>
    </row>
    <row r="6255" spans="1:4">
      <c r="A6255" s="302">
        <v>88299</v>
      </c>
      <c r="B6255" s="301" t="s">
        <v>6450</v>
      </c>
      <c r="C6255" s="301" t="s">
        <v>753</v>
      </c>
      <c r="D6255" s="303">
        <v>17.350000000000001</v>
      </c>
    </row>
    <row r="6256" spans="1:4">
      <c r="A6256" s="302">
        <v>88300</v>
      </c>
      <c r="B6256" s="301" t="s">
        <v>6451</v>
      </c>
      <c r="C6256" s="301" t="s">
        <v>753</v>
      </c>
      <c r="D6256" s="303">
        <v>20.39</v>
      </c>
    </row>
    <row r="6257" spans="1:4">
      <c r="A6257" s="302">
        <v>88301</v>
      </c>
      <c r="B6257" s="301" t="s">
        <v>6452</v>
      </c>
      <c r="C6257" s="301" t="s">
        <v>753</v>
      </c>
      <c r="D6257" s="303">
        <v>15.95</v>
      </c>
    </row>
    <row r="6258" spans="1:4">
      <c r="A6258" s="302">
        <v>88302</v>
      </c>
      <c r="B6258" s="301" t="s">
        <v>6453</v>
      </c>
      <c r="C6258" s="301" t="s">
        <v>753</v>
      </c>
      <c r="D6258" s="303">
        <v>17.79</v>
      </c>
    </row>
    <row r="6259" spans="1:4">
      <c r="A6259" s="302">
        <v>88303</v>
      </c>
      <c r="B6259" s="301" t="s">
        <v>6454</v>
      </c>
      <c r="C6259" s="301" t="s">
        <v>753</v>
      </c>
      <c r="D6259" s="303">
        <v>14.97</v>
      </c>
    </row>
    <row r="6260" spans="1:4">
      <c r="A6260" s="302">
        <v>88304</v>
      </c>
      <c r="B6260" s="301" t="s">
        <v>6455</v>
      </c>
      <c r="C6260" s="301" t="s">
        <v>753</v>
      </c>
      <c r="D6260" s="303">
        <v>15.84</v>
      </c>
    </row>
    <row r="6261" spans="1:4">
      <c r="A6261" s="302">
        <v>88306</v>
      </c>
      <c r="B6261" s="301" t="s">
        <v>6456</v>
      </c>
      <c r="C6261" s="301" t="s">
        <v>753</v>
      </c>
      <c r="D6261" s="303">
        <v>19.809999999999999</v>
      </c>
    </row>
    <row r="6262" spans="1:4">
      <c r="A6262" s="302">
        <v>88307</v>
      </c>
      <c r="B6262" s="301" t="s">
        <v>6457</v>
      </c>
      <c r="C6262" s="301" t="s">
        <v>753</v>
      </c>
      <c r="D6262" s="303">
        <v>16.45</v>
      </c>
    </row>
    <row r="6263" spans="1:4">
      <c r="A6263" s="302">
        <v>88308</v>
      </c>
      <c r="B6263" s="301" t="s">
        <v>6458</v>
      </c>
      <c r="C6263" s="301" t="s">
        <v>753</v>
      </c>
      <c r="D6263" s="303">
        <v>22.22</v>
      </c>
    </row>
    <row r="6264" spans="1:4">
      <c r="A6264" s="302">
        <v>88309</v>
      </c>
      <c r="B6264" s="301" t="s">
        <v>760</v>
      </c>
      <c r="C6264" s="301" t="s">
        <v>753</v>
      </c>
      <c r="D6264" s="303">
        <v>19.809999999999999</v>
      </c>
    </row>
    <row r="6265" spans="1:4">
      <c r="A6265" s="302">
        <v>88310</v>
      </c>
      <c r="B6265" s="301" t="s">
        <v>801</v>
      </c>
      <c r="C6265" s="301" t="s">
        <v>753</v>
      </c>
      <c r="D6265" s="303">
        <v>20.92</v>
      </c>
    </row>
    <row r="6266" spans="1:4">
      <c r="A6266" s="302">
        <v>88311</v>
      </c>
      <c r="B6266" s="301" t="s">
        <v>6459</v>
      </c>
      <c r="C6266" s="301" t="s">
        <v>753</v>
      </c>
      <c r="D6266" s="303">
        <v>23.2</v>
      </c>
    </row>
    <row r="6267" spans="1:4">
      <c r="A6267" s="302">
        <v>88312</v>
      </c>
      <c r="B6267" s="301" t="s">
        <v>6460</v>
      </c>
      <c r="C6267" s="301" t="s">
        <v>753</v>
      </c>
      <c r="D6267" s="303">
        <v>22.04</v>
      </c>
    </row>
    <row r="6268" spans="1:4">
      <c r="A6268" s="302">
        <v>88313</v>
      </c>
      <c r="B6268" s="301" t="s">
        <v>6461</v>
      </c>
      <c r="C6268" s="301" t="s">
        <v>753</v>
      </c>
      <c r="D6268" s="303">
        <v>14.44</v>
      </c>
    </row>
    <row r="6269" spans="1:4">
      <c r="A6269" s="302">
        <v>88314</v>
      </c>
      <c r="B6269" s="301" t="s">
        <v>6462</v>
      </c>
      <c r="C6269" s="301" t="s">
        <v>753</v>
      </c>
      <c r="D6269" s="303">
        <v>13.3</v>
      </c>
    </row>
    <row r="6270" spans="1:4">
      <c r="A6270" s="302">
        <v>88315</v>
      </c>
      <c r="B6270" s="301" t="s">
        <v>799</v>
      </c>
      <c r="C6270" s="301" t="s">
        <v>753</v>
      </c>
      <c r="D6270" s="303">
        <v>19.71</v>
      </c>
    </row>
    <row r="6271" spans="1:4">
      <c r="A6271" s="302">
        <v>88316</v>
      </c>
      <c r="B6271" s="301" t="s">
        <v>761</v>
      </c>
      <c r="C6271" s="301" t="s">
        <v>753</v>
      </c>
      <c r="D6271" s="303">
        <v>15.91</v>
      </c>
    </row>
    <row r="6272" spans="1:4">
      <c r="A6272" s="302">
        <v>88317</v>
      </c>
      <c r="B6272" s="301" t="s">
        <v>803</v>
      </c>
      <c r="C6272" s="301" t="s">
        <v>753</v>
      </c>
      <c r="D6272" s="303">
        <v>19.96</v>
      </c>
    </row>
    <row r="6273" spans="1:4">
      <c r="A6273" s="302">
        <v>88318</v>
      </c>
      <c r="B6273" s="301" t="s">
        <v>6463</v>
      </c>
      <c r="C6273" s="301" t="s">
        <v>753</v>
      </c>
      <c r="D6273" s="303">
        <v>24.86</v>
      </c>
    </row>
    <row r="6274" spans="1:4">
      <c r="A6274" s="302">
        <v>88320</v>
      </c>
      <c r="B6274" s="301" t="s">
        <v>6464</v>
      </c>
      <c r="C6274" s="301" t="s">
        <v>753</v>
      </c>
      <c r="D6274" s="303">
        <v>23.05</v>
      </c>
    </row>
    <row r="6275" spans="1:4">
      <c r="A6275" s="302">
        <v>88321</v>
      </c>
      <c r="B6275" s="301" t="s">
        <v>6465</v>
      </c>
      <c r="C6275" s="301" t="s">
        <v>753</v>
      </c>
      <c r="D6275" s="303">
        <v>22.5</v>
      </c>
    </row>
    <row r="6276" spans="1:4">
      <c r="A6276" s="302">
        <v>88322</v>
      </c>
      <c r="B6276" s="301" t="s">
        <v>6466</v>
      </c>
      <c r="C6276" s="301" t="s">
        <v>753</v>
      </c>
      <c r="D6276" s="303">
        <v>20.23</v>
      </c>
    </row>
    <row r="6277" spans="1:4">
      <c r="A6277" s="302">
        <v>88323</v>
      </c>
      <c r="B6277" s="301" t="s">
        <v>822</v>
      </c>
      <c r="C6277" s="301" t="s">
        <v>753</v>
      </c>
      <c r="D6277" s="303">
        <v>21.02</v>
      </c>
    </row>
    <row r="6278" spans="1:4">
      <c r="A6278" s="302">
        <v>88324</v>
      </c>
      <c r="B6278" s="301" t="s">
        <v>6467</v>
      </c>
      <c r="C6278" s="301" t="s">
        <v>753</v>
      </c>
      <c r="D6278" s="303">
        <v>15.08</v>
      </c>
    </row>
    <row r="6279" spans="1:4">
      <c r="A6279" s="302">
        <v>88325</v>
      </c>
      <c r="B6279" s="301" t="s">
        <v>6468</v>
      </c>
      <c r="C6279" s="301" t="s">
        <v>753</v>
      </c>
      <c r="D6279" s="303">
        <v>19.100000000000001</v>
      </c>
    </row>
    <row r="6280" spans="1:4">
      <c r="A6280" s="302">
        <v>88326</v>
      </c>
      <c r="B6280" s="301" t="s">
        <v>756</v>
      </c>
      <c r="C6280" s="301" t="s">
        <v>753</v>
      </c>
      <c r="D6280" s="303">
        <v>20.51</v>
      </c>
    </row>
    <row r="6281" spans="1:4">
      <c r="A6281" s="302">
        <v>88377</v>
      </c>
      <c r="B6281" s="301" t="s">
        <v>6469</v>
      </c>
      <c r="C6281" s="301" t="s">
        <v>753</v>
      </c>
      <c r="D6281" s="303">
        <v>14.28</v>
      </c>
    </row>
    <row r="6282" spans="1:4">
      <c r="A6282" s="302">
        <v>88441</v>
      </c>
      <c r="B6282" s="301" t="s">
        <v>6470</v>
      </c>
      <c r="C6282" s="301" t="s">
        <v>753</v>
      </c>
      <c r="D6282" s="303">
        <v>19.16</v>
      </c>
    </row>
    <row r="6283" spans="1:4">
      <c r="A6283" s="302">
        <v>88597</v>
      </c>
      <c r="B6283" s="301" t="s">
        <v>6471</v>
      </c>
      <c r="C6283" s="301" t="s">
        <v>753</v>
      </c>
      <c r="D6283" s="303">
        <v>23.35</v>
      </c>
    </row>
    <row r="6284" spans="1:4">
      <c r="A6284" s="302">
        <v>90766</v>
      </c>
      <c r="B6284" s="301" t="s">
        <v>6472</v>
      </c>
      <c r="C6284" s="301" t="s">
        <v>753</v>
      </c>
      <c r="D6284" s="303">
        <v>15.93</v>
      </c>
    </row>
    <row r="6285" spans="1:4">
      <c r="A6285" s="302">
        <v>90767</v>
      </c>
      <c r="B6285" s="301" t="s">
        <v>6473</v>
      </c>
      <c r="C6285" s="301" t="s">
        <v>753</v>
      </c>
      <c r="D6285" s="303">
        <v>15.51</v>
      </c>
    </row>
    <row r="6286" spans="1:4">
      <c r="A6286" s="302">
        <v>90768</v>
      </c>
      <c r="B6286" s="301" t="s">
        <v>6474</v>
      </c>
      <c r="C6286" s="301" t="s">
        <v>753</v>
      </c>
      <c r="D6286" s="303">
        <v>67.430000000000007</v>
      </c>
    </row>
    <row r="6287" spans="1:4">
      <c r="A6287" s="302">
        <v>90769</v>
      </c>
      <c r="B6287" s="301" t="s">
        <v>6475</v>
      </c>
      <c r="C6287" s="301" t="s">
        <v>753</v>
      </c>
      <c r="D6287" s="303">
        <v>95.37</v>
      </c>
    </row>
    <row r="6288" spans="1:4">
      <c r="A6288" s="302">
        <v>90770</v>
      </c>
      <c r="B6288" s="301" t="s">
        <v>6476</v>
      </c>
      <c r="C6288" s="301" t="s">
        <v>753</v>
      </c>
      <c r="D6288" s="303">
        <v>125.77</v>
      </c>
    </row>
    <row r="6289" spans="1:4">
      <c r="A6289" s="302">
        <v>90771</v>
      </c>
      <c r="B6289" s="301" t="s">
        <v>6477</v>
      </c>
      <c r="C6289" s="301" t="s">
        <v>753</v>
      </c>
      <c r="D6289" s="303">
        <v>18.87</v>
      </c>
    </row>
    <row r="6290" spans="1:4">
      <c r="A6290" s="302">
        <v>90772</v>
      </c>
      <c r="B6290" s="301" t="s">
        <v>6478</v>
      </c>
      <c r="C6290" s="301" t="s">
        <v>753</v>
      </c>
      <c r="D6290" s="303">
        <v>13.04</v>
      </c>
    </row>
    <row r="6291" spans="1:4">
      <c r="A6291" s="302">
        <v>90773</v>
      </c>
      <c r="B6291" s="301" t="s">
        <v>6479</v>
      </c>
      <c r="C6291" s="301" t="s">
        <v>753</v>
      </c>
      <c r="D6291" s="303">
        <v>17.850000000000001</v>
      </c>
    </row>
    <row r="6292" spans="1:4">
      <c r="A6292" s="302">
        <v>90775</v>
      </c>
      <c r="B6292" s="301" t="s">
        <v>6480</v>
      </c>
      <c r="C6292" s="301" t="s">
        <v>753</v>
      </c>
      <c r="D6292" s="303">
        <v>18.87</v>
      </c>
    </row>
    <row r="6293" spans="1:4">
      <c r="A6293" s="302">
        <v>90776</v>
      </c>
      <c r="B6293" s="301" t="s">
        <v>6481</v>
      </c>
      <c r="C6293" s="301" t="s">
        <v>753</v>
      </c>
      <c r="D6293" s="303">
        <v>21.57</v>
      </c>
    </row>
    <row r="6294" spans="1:4">
      <c r="A6294" s="302">
        <v>90777</v>
      </c>
      <c r="B6294" s="301" t="s">
        <v>752</v>
      </c>
      <c r="C6294" s="301" t="s">
        <v>753</v>
      </c>
      <c r="D6294" s="303">
        <v>91.55</v>
      </c>
    </row>
    <row r="6295" spans="1:4">
      <c r="A6295" s="302">
        <v>90778</v>
      </c>
      <c r="B6295" s="301" t="s">
        <v>6482</v>
      </c>
      <c r="C6295" s="301" t="s">
        <v>753</v>
      </c>
      <c r="D6295" s="303">
        <v>104.07</v>
      </c>
    </row>
    <row r="6296" spans="1:4">
      <c r="A6296" s="302">
        <v>90779</v>
      </c>
      <c r="B6296" s="301" t="s">
        <v>6483</v>
      </c>
      <c r="C6296" s="301" t="s">
        <v>753</v>
      </c>
      <c r="D6296" s="303">
        <v>141.88</v>
      </c>
    </row>
    <row r="6297" spans="1:4">
      <c r="A6297" s="302">
        <v>90780</v>
      </c>
      <c r="B6297" s="301" t="s">
        <v>754</v>
      </c>
      <c r="C6297" s="301" t="s">
        <v>753</v>
      </c>
      <c r="D6297" s="303">
        <v>32</v>
      </c>
    </row>
    <row r="6298" spans="1:4">
      <c r="A6298" s="302">
        <v>90781</v>
      </c>
      <c r="B6298" s="301" t="s">
        <v>6484</v>
      </c>
      <c r="C6298" s="301" t="s">
        <v>753</v>
      </c>
      <c r="D6298" s="303">
        <v>18.32</v>
      </c>
    </row>
    <row r="6299" spans="1:4">
      <c r="A6299" s="302">
        <v>91677</v>
      </c>
      <c r="B6299" s="301" t="s">
        <v>6485</v>
      </c>
      <c r="C6299" s="301" t="s">
        <v>753</v>
      </c>
      <c r="D6299" s="303">
        <v>88.48</v>
      </c>
    </row>
    <row r="6300" spans="1:4">
      <c r="A6300" s="302">
        <v>91678</v>
      </c>
      <c r="B6300" s="301" t="s">
        <v>6486</v>
      </c>
      <c r="C6300" s="301" t="s">
        <v>753</v>
      </c>
      <c r="D6300" s="303">
        <v>85.65</v>
      </c>
    </row>
    <row r="6301" spans="1:4">
      <c r="A6301" s="302">
        <v>93558</v>
      </c>
      <c r="B6301" s="301" t="s">
        <v>6487</v>
      </c>
      <c r="C6301" s="301" t="s">
        <v>755</v>
      </c>
      <c r="D6301" s="304">
        <v>3299.6</v>
      </c>
    </row>
    <row r="6302" spans="1:4">
      <c r="A6302" s="302">
        <v>93559</v>
      </c>
      <c r="B6302" s="301" t="s">
        <v>6471</v>
      </c>
      <c r="C6302" s="301" t="s">
        <v>755</v>
      </c>
      <c r="D6302" s="304">
        <v>3305.67</v>
      </c>
    </row>
    <row r="6303" spans="1:4">
      <c r="A6303" s="302">
        <v>93560</v>
      </c>
      <c r="B6303" s="301" t="s">
        <v>6479</v>
      </c>
      <c r="C6303" s="301" t="s">
        <v>755</v>
      </c>
      <c r="D6303" s="304">
        <v>2540.58</v>
      </c>
    </row>
    <row r="6304" spans="1:4">
      <c r="A6304" s="302">
        <v>93561</v>
      </c>
      <c r="B6304" s="301" t="s">
        <v>6480</v>
      </c>
      <c r="C6304" s="301" t="s">
        <v>755</v>
      </c>
      <c r="D6304" s="304">
        <v>2680.81</v>
      </c>
    </row>
    <row r="6305" spans="1:4">
      <c r="A6305" s="302">
        <v>93562</v>
      </c>
      <c r="B6305" s="301" t="s">
        <v>6477</v>
      </c>
      <c r="C6305" s="301" t="s">
        <v>755</v>
      </c>
      <c r="D6305" s="304">
        <v>2680.12</v>
      </c>
    </row>
    <row r="6306" spans="1:4">
      <c r="A6306" s="302">
        <v>93563</v>
      </c>
      <c r="B6306" s="301" t="s">
        <v>6472</v>
      </c>
      <c r="C6306" s="301" t="s">
        <v>755</v>
      </c>
      <c r="D6306" s="304">
        <v>2834.1</v>
      </c>
    </row>
    <row r="6307" spans="1:4">
      <c r="A6307" s="302">
        <v>93564</v>
      </c>
      <c r="B6307" s="301" t="s">
        <v>6473</v>
      </c>
      <c r="C6307" s="301" t="s">
        <v>755</v>
      </c>
      <c r="D6307" s="304">
        <v>2755.94</v>
      </c>
    </row>
    <row r="6308" spans="1:4">
      <c r="A6308" s="302">
        <v>93565</v>
      </c>
      <c r="B6308" s="301" t="s">
        <v>752</v>
      </c>
      <c r="C6308" s="301" t="s">
        <v>755</v>
      </c>
      <c r="D6308" s="304">
        <v>16204.01</v>
      </c>
    </row>
    <row r="6309" spans="1:4">
      <c r="A6309" s="302">
        <v>93566</v>
      </c>
      <c r="B6309" s="301" t="s">
        <v>6478</v>
      </c>
      <c r="C6309" s="301" t="s">
        <v>755</v>
      </c>
      <c r="D6309" s="304">
        <v>2323.87</v>
      </c>
    </row>
    <row r="6310" spans="1:4">
      <c r="A6310" s="302">
        <v>93567</v>
      </c>
      <c r="B6310" s="301" t="s">
        <v>6482</v>
      </c>
      <c r="C6310" s="301" t="s">
        <v>755</v>
      </c>
      <c r="D6310" s="304">
        <v>18417.419999999998</v>
      </c>
    </row>
    <row r="6311" spans="1:4">
      <c r="A6311" s="302">
        <v>93568</v>
      </c>
      <c r="B6311" s="301" t="s">
        <v>6483</v>
      </c>
      <c r="C6311" s="301" t="s">
        <v>755</v>
      </c>
      <c r="D6311" s="304">
        <v>25106.87</v>
      </c>
    </row>
    <row r="6312" spans="1:4">
      <c r="A6312" s="302">
        <v>93569</v>
      </c>
      <c r="B6312" s="301" t="s">
        <v>6488</v>
      </c>
      <c r="C6312" s="301" t="s">
        <v>755</v>
      </c>
      <c r="D6312" s="304">
        <v>11953.75</v>
      </c>
    </row>
    <row r="6313" spans="1:4">
      <c r="A6313" s="302">
        <v>93570</v>
      </c>
      <c r="B6313" s="301" t="s">
        <v>6489</v>
      </c>
      <c r="C6313" s="301" t="s">
        <v>755</v>
      </c>
      <c r="D6313" s="304">
        <v>16899.990000000002</v>
      </c>
    </row>
    <row r="6314" spans="1:4">
      <c r="A6314" s="302">
        <v>93571</v>
      </c>
      <c r="B6314" s="301" t="s">
        <v>6490</v>
      </c>
      <c r="C6314" s="301" t="s">
        <v>755</v>
      </c>
      <c r="D6314" s="304">
        <v>22282.52</v>
      </c>
    </row>
    <row r="6315" spans="1:4">
      <c r="A6315" s="302">
        <v>93572</v>
      </c>
      <c r="B6315" s="301" t="s">
        <v>6491</v>
      </c>
      <c r="C6315" s="301" t="s">
        <v>755</v>
      </c>
      <c r="D6315" s="304">
        <v>3830.5</v>
      </c>
    </row>
    <row r="6316" spans="1:4">
      <c r="A6316" s="302">
        <v>94295</v>
      </c>
      <c r="B6316" s="301" t="s">
        <v>754</v>
      </c>
      <c r="C6316" s="301" t="s">
        <v>755</v>
      </c>
      <c r="D6316" s="304">
        <v>5672.54</v>
      </c>
    </row>
    <row r="6317" spans="1:4">
      <c r="A6317" s="302">
        <v>94296</v>
      </c>
      <c r="B6317" s="301" t="s">
        <v>6484</v>
      </c>
      <c r="C6317" s="301" t="s">
        <v>755</v>
      </c>
      <c r="D6317" s="304">
        <v>3414.54</v>
      </c>
    </row>
    <row r="6318" spans="1:4">
      <c r="A6318" s="302">
        <v>95308</v>
      </c>
      <c r="B6318" s="301" t="s">
        <v>6492</v>
      </c>
      <c r="C6318" s="301" t="s">
        <v>753</v>
      </c>
      <c r="D6318" s="303">
        <v>0.08</v>
      </c>
    </row>
    <row r="6319" spans="1:4">
      <c r="A6319" s="302">
        <v>95309</v>
      </c>
      <c r="B6319" s="301" t="s">
        <v>6493</v>
      </c>
      <c r="C6319" s="301" t="s">
        <v>753</v>
      </c>
      <c r="D6319" s="303">
        <v>0.11</v>
      </c>
    </row>
    <row r="6320" spans="1:4">
      <c r="A6320" s="302">
        <v>95310</v>
      </c>
      <c r="B6320" s="301" t="s">
        <v>6494</v>
      </c>
      <c r="C6320" s="301" t="s">
        <v>753</v>
      </c>
      <c r="D6320" s="303">
        <v>0.06</v>
      </c>
    </row>
    <row r="6321" spans="1:4">
      <c r="A6321" s="302">
        <v>95311</v>
      </c>
      <c r="B6321" s="301" t="s">
        <v>6495</v>
      </c>
      <c r="C6321" s="301" t="s">
        <v>753</v>
      </c>
      <c r="D6321" s="303">
        <v>0.08</v>
      </c>
    </row>
    <row r="6322" spans="1:4">
      <c r="A6322" s="302">
        <v>95312</v>
      </c>
      <c r="B6322" s="301" t="s">
        <v>6496</v>
      </c>
      <c r="C6322" s="301" t="s">
        <v>753</v>
      </c>
      <c r="D6322" s="303">
        <v>0.11</v>
      </c>
    </row>
    <row r="6323" spans="1:4">
      <c r="A6323" s="302">
        <v>95313</v>
      </c>
      <c r="B6323" s="301" t="s">
        <v>6497</v>
      </c>
      <c r="C6323" s="301" t="s">
        <v>753</v>
      </c>
      <c r="D6323" s="303">
        <v>0.11</v>
      </c>
    </row>
    <row r="6324" spans="1:4">
      <c r="A6324" s="302">
        <v>95314</v>
      </c>
      <c r="B6324" s="301" t="s">
        <v>6498</v>
      </c>
      <c r="C6324" s="301" t="s">
        <v>753</v>
      </c>
      <c r="D6324" s="303">
        <v>0.11</v>
      </c>
    </row>
    <row r="6325" spans="1:4">
      <c r="A6325" s="302">
        <v>95315</v>
      </c>
      <c r="B6325" s="301" t="s">
        <v>6499</v>
      </c>
      <c r="C6325" s="301" t="s">
        <v>753</v>
      </c>
      <c r="D6325" s="303">
        <v>0.12</v>
      </c>
    </row>
    <row r="6326" spans="1:4">
      <c r="A6326" s="302">
        <v>95316</v>
      </c>
      <c r="B6326" s="301" t="s">
        <v>6500</v>
      </c>
      <c r="C6326" s="301" t="s">
        <v>753</v>
      </c>
      <c r="D6326" s="303">
        <v>0.27</v>
      </c>
    </row>
    <row r="6327" spans="1:4">
      <c r="A6327" s="302">
        <v>95317</v>
      </c>
      <c r="B6327" s="301" t="s">
        <v>6501</v>
      </c>
      <c r="C6327" s="301" t="s">
        <v>753</v>
      </c>
      <c r="D6327" s="303">
        <v>0.13</v>
      </c>
    </row>
    <row r="6328" spans="1:4">
      <c r="A6328" s="302">
        <v>95318</v>
      </c>
      <c r="B6328" s="301" t="s">
        <v>6502</v>
      </c>
      <c r="C6328" s="301" t="s">
        <v>753</v>
      </c>
      <c r="D6328" s="303">
        <v>0.11</v>
      </c>
    </row>
    <row r="6329" spans="1:4">
      <c r="A6329" s="302">
        <v>95319</v>
      </c>
      <c r="B6329" s="301" t="s">
        <v>6503</v>
      </c>
      <c r="C6329" s="301" t="s">
        <v>753</v>
      </c>
      <c r="D6329" s="303">
        <v>7.0000000000000007E-2</v>
      </c>
    </row>
    <row r="6330" spans="1:4">
      <c r="A6330" s="302">
        <v>95320</v>
      </c>
      <c r="B6330" s="301" t="s">
        <v>6504</v>
      </c>
      <c r="C6330" s="301" t="s">
        <v>753</v>
      </c>
      <c r="D6330" s="303">
        <v>0.08</v>
      </c>
    </row>
    <row r="6331" spans="1:4">
      <c r="A6331" s="302">
        <v>95321</v>
      </c>
      <c r="B6331" s="301" t="s">
        <v>6505</v>
      </c>
      <c r="C6331" s="301" t="s">
        <v>753</v>
      </c>
      <c r="D6331" s="303">
        <v>0.09</v>
      </c>
    </row>
    <row r="6332" spans="1:4">
      <c r="A6332" s="302">
        <v>95322</v>
      </c>
      <c r="B6332" s="301" t="s">
        <v>6506</v>
      </c>
      <c r="C6332" s="301" t="s">
        <v>753</v>
      </c>
      <c r="D6332" s="303">
        <v>0.03</v>
      </c>
    </row>
    <row r="6333" spans="1:4">
      <c r="A6333" s="302">
        <v>95323</v>
      </c>
      <c r="B6333" s="301" t="s">
        <v>6507</v>
      </c>
      <c r="C6333" s="301" t="s">
        <v>753</v>
      </c>
      <c r="D6333" s="303">
        <v>0.13</v>
      </c>
    </row>
    <row r="6334" spans="1:4">
      <c r="A6334" s="302">
        <v>95324</v>
      </c>
      <c r="B6334" s="301" t="s">
        <v>6508</v>
      </c>
      <c r="C6334" s="301" t="s">
        <v>753</v>
      </c>
      <c r="D6334" s="303">
        <v>0.15</v>
      </c>
    </row>
    <row r="6335" spans="1:4">
      <c r="A6335" s="302">
        <v>95325</v>
      </c>
      <c r="B6335" s="301" t="s">
        <v>6509</v>
      </c>
      <c r="C6335" s="301" t="s">
        <v>753</v>
      </c>
      <c r="D6335" s="303">
        <v>0.12</v>
      </c>
    </row>
    <row r="6336" spans="1:4">
      <c r="A6336" s="302">
        <v>95326</v>
      </c>
      <c r="B6336" s="301" t="s">
        <v>6510</v>
      </c>
      <c r="C6336" s="301" t="s">
        <v>753</v>
      </c>
      <c r="D6336" s="303">
        <v>0.03</v>
      </c>
    </row>
    <row r="6337" spans="1:4">
      <c r="A6337" s="302">
        <v>95327</v>
      </c>
      <c r="B6337" s="301" t="s">
        <v>6511</v>
      </c>
      <c r="C6337" s="301" t="s">
        <v>753</v>
      </c>
      <c r="D6337" s="303">
        <v>0.18</v>
      </c>
    </row>
    <row r="6338" spans="1:4">
      <c r="A6338" s="302">
        <v>95328</v>
      </c>
      <c r="B6338" s="301" t="s">
        <v>6512</v>
      </c>
      <c r="C6338" s="301" t="s">
        <v>753</v>
      </c>
      <c r="D6338" s="303">
        <v>0.11</v>
      </c>
    </row>
    <row r="6339" spans="1:4">
      <c r="A6339" s="302">
        <v>95329</v>
      </c>
      <c r="B6339" s="301" t="s">
        <v>6513</v>
      </c>
      <c r="C6339" s="301" t="s">
        <v>753</v>
      </c>
      <c r="D6339" s="303">
        <v>0.16</v>
      </c>
    </row>
    <row r="6340" spans="1:4">
      <c r="A6340" s="302">
        <v>95330</v>
      </c>
      <c r="B6340" s="301" t="s">
        <v>6514</v>
      </c>
      <c r="C6340" s="301" t="s">
        <v>753</v>
      </c>
      <c r="D6340" s="303">
        <v>0.11</v>
      </c>
    </row>
    <row r="6341" spans="1:4">
      <c r="A6341" s="302">
        <v>95331</v>
      </c>
      <c r="B6341" s="301" t="s">
        <v>6515</v>
      </c>
      <c r="C6341" s="301" t="s">
        <v>753</v>
      </c>
      <c r="D6341" s="303">
        <v>0.06</v>
      </c>
    </row>
    <row r="6342" spans="1:4">
      <c r="A6342" s="302">
        <v>95332</v>
      </c>
      <c r="B6342" s="301" t="s">
        <v>6516</v>
      </c>
      <c r="C6342" s="301" t="s">
        <v>753</v>
      </c>
      <c r="D6342" s="303">
        <v>0.39</v>
      </c>
    </row>
    <row r="6343" spans="1:4">
      <c r="A6343" s="302">
        <v>95333</v>
      </c>
      <c r="B6343" s="301" t="s">
        <v>6517</v>
      </c>
      <c r="C6343" s="301" t="s">
        <v>753</v>
      </c>
      <c r="D6343" s="303">
        <v>0.39</v>
      </c>
    </row>
    <row r="6344" spans="1:4">
      <c r="A6344" s="302">
        <v>95334</v>
      </c>
      <c r="B6344" s="301" t="s">
        <v>6518</v>
      </c>
      <c r="C6344" s="301" t="s">
        <v>753</v>
      </c>
      <c r="D6344" s="303">
        <v>0.32</v>
      </c>
    </row>
    <row r="6345" spans="1:4">
      <c r="A6345" s="302">
        <v>95335</v>
      </c>
      <c r="B6345" s="301" t="s">
        <v>6519</v>
      </c>
      <c r="C6345" s="301" t="s">
        <v>753</v>
      </c>
      <c r="D6345" s="303">
        <v>0.18</v>
      </c>
    </row>
    <row r="6346" spans="1:4">
      <c r="A6346" s="302">
        <v>95336</v>
      </c>
      <c r="B6346" s="301" t="s">
        <v>6520</v>
      </c>
      <c r="C6346" s="301" t="s">
        <v>753</v>
      </c>
      <c r="D6346" s="303">
        <v>0.12</v>
      </c>
    </row>
    <row r="6347" spans="1:4">
      <c r="A6347" s="302">
        <v>95337</v>
      </c>
      <c r="B6347" s="301" t="s">
        <v>6521</v>
      </c>
      <c r="C6347" s="301" t="s">
        <v>753</v>
      </c>
      <c r="D6347" s="303">
        <v>0.11</v>
      </c>
    </row>
    <row r="6348" spans="1:4">
      <c r="A6348" s="302">
        <v>95338</v>
      </c>
      <c r="B6348" s="301" t="s">
        <v>6522</v>
      </c>
      <c r="C6348" s="301" t="s">
        <v>753</v>
      </c>
      <c r="D6348" s="303">
        <v>0.22</v>
      </c>
    </row>
    <row r="6349" spans="1:4">
      <c r="A6349" s="302">
        <v>95339</v>
      </c>
      <c r="B6349" s="301" t="s">
        <v>6523</v>
      </c>
      <c r="C6349" s="301" t="s">
        <v>753</v>
      </c>
      <c r="D6349" s="303">
        <v>0.17</v>
      </c>
    </row>
    <row r="6350" spans="1:4">
      <c r="A6350" s="302">
        <v>95340</v>
      </c>
      <c r="B6350" s="301" t="s">
        <v>6524</v>
      </c>
      <c r="C6350" s="301" t="s">
        <v>753</v>
      </c>
      <c r="D6350" s="303">
        <v>0.15</v>
      </c>
    </row>
    <row r="6351" spans="1:4">
      <c r="A6351" s="302">
        <v>95341</v>
      </c>
      <c r="B6351" s="301" t="s">
        <v>6525</v>
      </c>
      <c r="C6351" s="301" t="s">
        <v>753</v>
      </c>
      <c r="D6351" s="303">
        <v>0.15</v>
      </c>
    </row>
    <row r="6352" spans="1:4">
      <c r="A6352" s="302">
        <v>95342</v>
      </c>
      <c r="B6352" s="301" t="s">
        <v>6526</v>
      </c>
      <c r="C6352" s="301" t="s">
        <v>753</v>
      </c>
      <c r="D6352" s="303">
        <v>0.09</v>
      </c>
    </row>
    <row r="6353" spans="1:4">
      <c r="A6353" s="302">
        <v>95343</v>
      </c>
      <c r="B6353" s="301" t="s">
        <v>6527</v>
      </c>
      <c r="C6353" s="301" t="s">
        <v>753</v>
      </c>
      <c r="D6353" s="303">
        <v>0.11</v>
      </c>
    </row>
    <row r="6354" spans="1:4">
      <c r="A6354" s="302">
        <v>95344</v>
      </c>
      <c r="B6354" s="301" t="s">
        <v>6528</v>
      </c>
      <c r="C6354" s="301" t="s">
        <v>753</v>
      </c>
      <c r="D6354" s="303">
        <v>0.08</v>
      </c>
    </row>
    <row r="6355" spans="1:4">
      <c r="A6355" s="302">
        <v>95345</v>
      </c>
      <c r="B6355" s="301" t="s">
        <v>6529</v>
      </c>
      <c r="C6355" s="301" t="s">
        <v>753</v>
      </c>
      <c r="D6355" s="303">
        <v>0.35</v>
      </c>
    </row>
    <row r="6356" spans="1:4">
      <c r="A6356" s="302">
        <v>95346</v>
      </c>
      <c r="B6356" s="301" t="s">
        <v>6530</v>
      </c>
      <c r="C6356" s="301" t="s">
        <v>753</v>
      </c>
      <c r="D6356" s="303">
        <v>0.03</v>
      </c>
    </row>
    <row r="6357" spans="1:4">
      <c r="A6357" s="302">
        <v>95347</v>
      </c>
      <c r="B6357" s="301" t="s">
        <v>6531</v>
      </c>
      <c r="C6357" s="301" t="s">
        <v>753</v>
      </c>
      <c r="D6357" s="303">
        <v>0.04</v>
      </c>
    </row>
    <row r="6358" spans="1:4">
      <c r="A6358" s="302">
        <v>95348</v>
      </c>
      <c r="B6358" s="301" t="s">
        <v>6532</v>
      </c>
      <c r="C6358" s="301" t="s">
        <v>753</v>
      </c>
      <c r="D6358" s="303">
        <v>0.05</v>
      </c>
    </row>
    <row r="6359" spans="1:4">
      <c r="A6359" s="302">
        <v>95349</v>
      </c>
      <c r="B6359" s="301" t="s">
        <v>6533</v>
      </c>
      <c r="C6359" s="301" t="s">
        <v>753</v>
      </c>
      <c r="D6359" s="303">
        <v>0.03</v>
      </c>
    </row>
    <row r="6360" spans="1:4">
      <c r="A6360" s="302">
        <v>95350</v>
      </c>
      <c r="B6360" s="301" t="s">
        <v>6534</v>
      </c>
      <c r="C6360" s="301" t="s">
        <v>753</v>
      </c>
      <c r="D6360" s="303">
        <v>0.04</v>
      </c>
    </row>
    <row r="6361" spans="1:4">
      <c r="A6361" s="302">
        <v>95351</v>
      </c>
      <c r="B6361" s="301" t="s">
        <v>6535</v>
      </c>
      <c r="C6361" s="301" t="s">
        <v>753</v>
      </c>
      <c r="D6361" s="303">
        <v>0.15</v>
      </c>
    </row>
    <row r="6362" spans="1:4">
      <c r="A6362" s="302">
        <v>95352</v>
      </c>
      <c r="B6362" s="301" t="s">
        <v>6536</v>
      </c>
      <c r="C6362" s="301" t="s">
        <v>753</v>
      </c>
      <c r="D6362" s="303">
        <v>0.04</v>
      </c>
    </row>
    <row r="6363" spans="1:4">
      <c r="A6363" s="302">
        <v>95354</v>
      </c>
      <c r="B6363" s="301" t="s">
        <v>6537</v>
      </c>
      <c r="C6363" s="301" t="s">
        <v>753</v>
      </c>
      <c r="D6363" s="303">
        <v>0.06</v>
      </c>
    </row>
    <row r="6364" spans="1:4">
      <c r="A6364" s="302">
        <v>95355</v>
      </c>
      <c r="B6364" s="301" t="s">
        <v>6538</v>
      </c>
      <c r="C6364" s="301" t="s">
        <v>753</v>
      </c>
      <c r="D6364" s="303">
        <v>0.06</v>
      </c>
    </row>
    <row r="6365" spans="1:4">
      <c r="A6365" s="302">
        <v>95356</v>
      </c>
      <c r="B6365" s="301" t="s">
        <v>6539</v>
      </c>
      <c r="C6365" s="301" t="s">
        <v>753</v>
      </c>
      <c r="D6365" s="303">
        <v>7.0000000000000007E-2</v>
      </c>
    </row>
    <row r="6366" spans="1:4">
      <c r="A6366" s="302">
        <v>95357</v>
      </c>
      <c r="B6366" s="301" t="s">
        <v>6540</v>
      </c>
      <c r="C6366" s="301" t="s">
        <v>753</v>
      </c>
      <c r="D6366" s="303">
        <v>0.11</v>
      </c>
    </row>
    <row r="6367" spans="1:4">
      <c r="A6367" s="302">
        <v>95358</v>
      </c>
      <c r="B6367" s="301" t="s">
        <v>6541</v>
      </c>
      <c r="C6367" s="301" t="s">
        <v>753</v>
      </c>
      <c r="D6367" s="303">
        <v>0.11</v>
      </c>
    </row>
    <row r="6368" spans="1:4">
      <c r="A6368" s="302">
        <v>95359</v>
      </c>
      <c r="B6368" s="301" t="s">
        <v>6542</v>
      </c>
      <c r="C6368" s="301" t="s">
        <v>753</v>
      </c>
      <c r="D6368" s="303">
        <v>0.11</v>
      </c>
    </row>
    <row r="6369" spans="1:4">
      <c r="A6369" s="302">
        <v>95360</v>
      </c>
      <c r="B6369" s="301" t="s">
        <v>6543</v>
      </c>
      <c r="C6369" s="301" t="s">
        <v>753</v>
      </c>
      <c r="D6369" s="303">
        <v>0.08</v>
      </c>
    </row>
    <row r="6370" spans="1:4">
      <c r="A6370" s="302">
        <v>95361</v>
      </c>
      <c r="B6370" s="301" t="s">
        <v>6544</v>
      </c>
      <c r="C6370" s="301" t="s">
        <v>753</v>
      </c>
      <c r="D6370" s="303">
        <v>0.04</v>
      </c>
    </row>
    <row r="6371" spans="1:4">
      <c r="A6371" s="302">
        <v>95362</v>
      </c>
      <c r="B6371" s="301" t="s">
        <v>6545</v>
      </c>
      <c r="C6371" s="301" t="s">
        <v>753</v>
      </c>
      <c r="D6371" s="303">
        <v>7.0000000000000007E-2</v>
      </c>
    </row>
    <row r="6372" spans="1:4">
      <c r="A6372" s="302">
        <v>95363</v>
      </c>
      <c r="B6372" s="301" t="s">
        <v>6546</v>
      </c>
      <c r="C6372" s="301" t="s">
        <v>753</v>
      </c>
      <c r="D6372" s="303">
        <v>0.09</v>
      </c>
    </row>
    <row r="6373" spans="1:4">
      <c r="A6373" s="302">
        <v>95364</v>
      </c>
      <c r="B6373" s="301" t="s">
        <v>6547</v>
      </c>
      <c r="C6373" s="301" t="s">
        <v>753</v>
      </c>
      <c r="D6373" s="303">
        <v>0.06</v>
      </c>
    </row>
    <row r="6374" spans="1:4">
      <c r="A6374" s="302">
        <v>95365</v>
      </c>
      <c r="B6374" s="301" t="s">
        <v>6548</v>
      </c>
      <c r="C6374" s="301" t="s">
        <v>753</v>
      </c>
      <c r="D6374" s="303">
        <v>7.0000000000000007E-2</v>
      </c>
    </row>
    <row r="6375" spans="1:4">
      <c r="A6375" s="302">
        <v>95366</v>
      </c>
      <c r="B6375" s="301" t="s">
        <v>6549</v>
      </c>
      <c r="C6375" s="301" t="s">
        <v>753</v>
      </c>
      <c r="D6375" s="303">
        <v>0.06</v>
      </c>
    </row>
    <row r="6376" spans="1:4">
      <c r="A6376" s="302">
        <v>95367</v>
      </c>
      <c r="B6376" s="301" t="s">
        <v>6550</v>
      </c>
      <c r="C6376" s="301" t="s">
        <v>753</v>
      </c>
      <c r="D6376" s="303">
        <v>0.06</v>
      </c>
    </row>
    <row r="6377" spans="1:4">
      <c r="A6377" s="302">
        <v>95368</v>
      </c>
      <c r="B6377" s="301" t="s">
        <v>6551</v>
      </c>
      <c r="C6377" s="301" t="s">
        <v>753</v>
      </c>
      <c r="D6377" s="303">
        <v>0.12</v>
      </c>
    </row>
    <row r="6378" spans="1:4">
      <c r="A6378" s="302">
        <v>95369</v>
      </c>
      <c r="B6378" s="301" t="s">
        <v>6552</v>
      </c>
      <c r="C6378" s="301" t="s">
        <v>753</v>
      </c>
      <c r="D6378" s="303">
        <v>7.0000000000000007E-2</v>
      </c>
    </row>
    <row r="6379" spans="1:4">
      <c r="A6379" s="302">
        <v>95370</v>
      </c>
      <c r="B6379" s="301" t="s">
        <v>6553</v>
      </c>
      <c r="C6379" s="301" t="s">
        <v>753</v>
      </c>
      <c r="D6379" s="303">
        <v>0.17</v>
      </c>
    </row>
    <row r="6380" spans="1:4">
      <c r="A6380" s="302">
        <v>95371</v>
      </c>
      <c r="B6380" s="301" t="s">
        <v>6554</v>
      </c>
      <c r="C6380" s="301" t="s">
        <v>753</v>
      </c>
      <c r="D6380" s="303">
        <v>0.21</v>
      </c>
    </row>
    <row r="6381" spans="1:4">
      <c r="A6381" s="302">
        <v>95372</v>
      </c>
      <c r="B6381" s="301" t="s">
        <v>6555</v>
      </c>
      <c r="C6381" s="301" t="s">
        <v>753</v>
      </c>
      <c r="D6381" s="303">
        <v>0.15</v>
      </c>
    </row>
    <row r="6382" spans="1:4">
      <c r="A6382" s="302">
        <v>95373</v>
      </c>
      <c r="B6382" s="301" t="s">
        <v>6556</v>
      </c>
      <c r="C6382" s="301" t="s">
        <v>753</v>
      </c>
      <c r="D6382" s="303">
        <v>0.17</v>
      </c>
    </row>
    <row r="6383" spans="1:4">
      <c r="A6383" s="302">
        <v>95374</v>
      </c>
      <c r="B6383" s="301" t="s">
        <v>6557</v>
      </c>
      <c r="C6383" s="301" t="s">
        <v>753</v>
      </c>
      <c r="D6383" s="303">
        <v>0.16</v>
      </c>
    </row>
    <row r="6384" spans="1:4">
      <c r="A6384" s="302">
        <v>95375</v>
      </c>
      <c r="B6384" s="301" t="s">
        <v>6558</v>
      </c>
      <c r="C6384" s="301" t="s">
        <v>753</v>
      </c>
      <c r="D6384" s="303">
        <v>0.15</v>
      </c>
    </row>
    <row r="6385" spans="1:4">
      <c r="A6385" s="302">
        <v>95376</v>
      </c>
      <c r="B6385" s="301" t="s">
        <v>6559</v>
      </c>
      <c r="C6385" s="301" t="s">
        <v>753</v>
      </c>
      <c r="D6385" s="303">
        <v>0.03</v>
      </c>
    </row>
    <row r="6386" spans="1:4">
      <c r="A6386" s="302">
        <v>95377</v>
      </c>
      <c r="B6386" s="301" t="s">
        <v>6560</v>
      </c>
      <c r="C6386" s="301" t="s">
        <v>753</v>
      </c>
      <c r="D6386" s="303">
        <v>0.11</v>
      </c>
    </row>
    <row r="6387" spans="1:4">
      <c r="A6387" s="302">
        <v>95378</v>
      </c>
      <c r="B6387" s="301" t="s">
        <v>6561</v>
      </c>
      <c r="C6387" s="301" t="s">
        <v>753</v>
      </c>
      <c r="D6387" s="303">
        <v>0.16</v>
      </c>
    </row>
    <row r="6388" spans="1:4">
      <c r="A6388" s="302">
        <v>95379</v>
      </c>
      <c r="B6388" s="301" t="s">
        <v>6562</v>
      </c>
      <c r="C6388" s="301" t="s">
        <v>753</v>
      </c>
      <c r="D6388" s="303">
        <v>0.11</v>
      </c>
    </row>
    <row r="6389" spans="1:4">
      <c r="A6389" s="302">
        <v>95380</v>
      </c>
      <c r="B6389" s="301" t="s">
        <v>6563</v>
      </c>
      <c r="C6389" s="301" t="s">
        <v>753</v>
      </c>
      <c r="D6389" s="303">
        <v>0.15</v>
      </c>
    </row>
    <row r="6390" spans="1:4">
      <c r="A6390" s="302">
        <v>95382</v>
      </c>
      <c r="B6390" s="301" t="s">
        <v>6564</v>
      </c>
      <c r="C6390" s="301" t="s">
        <v>753</v>
      </c>
      <c r="D6390" s="303">
        <v>0.14000000000000001</v>
      </c>
    </row>
    <row r="6391" spans="1:4">
      <c r="A6391" s="302">
        <v>95383</v>
      </c>
      <c r="B6391" s="301" t="s">
        <v>6565</v>
      </c>
      <c r="C6391" s="301" t="s">
        <v>753</v>
      </c>
      <c r="D6391" s="303">
        <v>0.12</v>
      </c>
    </row>
    <row r="6392" spans="1:4">
      <c r="A6392" s="302">
        <v>95384</v>
      </c>
      <c r="B6392" s="301" t="s">
        <v>6566</v>
      </c>
      <c r="C6392" s="301" t="s">
        <v>753</v>
      </c>
      <c r="D6392" s="303">
        <v>0.15</v>
      </c>
    </row>
    <row r="6393" spans="1:4">
      <c r="A6393" s="302">
        <v>95385</v>
      </c>
      <c r="B6393" s="301" t="s">
        <v>6567</v>
      </c>
      <c r="C6393" s="301" t="s">
        <v>753</v>
      </c>
      <c r="D6393" s="303">
        <v>0.12</v>
      </c>
    </row>
    <row r="6394" spans="1:4">
      <c r="A6394" s="302">
        <v>95386</v>
      </c>
      <c r="B6394" s="301" t="s">
        <v>6568</v>
      </c>
      <c r="C6394" s="301" t="s">
        <v>753</v>
      </c>
      <c r="D6394" s="303">
        <v>0.08</v>
      </c>
    </row>
    <row r="6395" spans="1:4">
      <c r="A6395" s="302">
        <v>95387</v>
      </c>
      <c r="B6395" s="301" t="s">
        <v>6569</v>
      </c>
      <c r="C6395" s="301" t="s">
        <v>753</v>
      </c>
      <c r="D6395" s="303">
        <v>0.14000000000000001</v>
      </c>
    </row>
    <row r="6396" spans="1:4">
      <c r="A6396" s="302">
        <v>95388</v>
      </c>
      <c r="B6396" s="301" t="s">
        <v>6570</v>
      </c>
      <c r="C6396" s="301" t="s">
        <v>753</v>
      </c>
      <c r="D6396" s="303">
        <v>0.05</v>
      </c>
    </row>
    <row r="6397" spans="1:4">
      <c r="A6397" s="302">
        <v>95389</v>
      </c>
      <c r="B6397" s="301" t="s">
        <v>6571</v>
      </c>
      <c r="C6397" s="301" t="s">
        <v>753</v>
      </c>
      <c r="D6397" s="303">
        <v>0.05</v>
      </c>
    </row>
    <row r="6398" spans="1:4">
      <c r="A6398" s="302">
        <v>95390</v>
      </c>
      <c r="B6398" s="301" t="s">
        <v>6572</v>
      </c>
      <c r="C6398" s="301" t="s">
        <v>753</v>
      </c>
      <c r="D6398" s="303">
        <v>0.05</v>
      </c>
    </row>
    <row r="6399" spans="1:4">
      <c r="A6399" s="302">
        <v>95391</v>
      </c>
      <c r="B6399" s="301" t="s">
        <v>6573</v>
      </c>
      <c r="C6399" s="301" t="s">
        <v>753</v>
      </c>
      <c r="D6399" s="303">
        <v>7.0000000000000007E-2</v>
      </c>
    </row>
    <row r="6400" spans="1:4">
      <c r="A6400" s="302">
        <v>95392</v>
      </c>
      <c r="B6400" s="301" t="s">
        <v>6574</v>
      </c>
      <c r="C6400" s="301" t="s">
        <v>753</v>
      </c>
      <c r="D6400" s="303">
        <v>0.05</v>
      </c>
    </row>
    <row r="6401" spans="1:4">
      <c r="A6401" s="302">
        <v>95393</v>
      </c>
      <c r="B6401" s="301" t="s">
        <v>6575</v>
      </c>
      <c r="C6401" s="301" t="s">
        <v>753</v>
      </c>
      <c r="D6401" s="303">
        <v>0.2</v>
      </c>
    </row>
    <row r="6402" spans="1:4">
      <c r="A6402" s="302">
        <v>95394</v>
      </c>
      <c r="B6402" s="301" t="s">
        <v>6576</v>
      </c>
      <c r="C6402" s="301" t="s">
        <v>753</v>
      </c>
      <c r="D6402" s="303">
        <v>0.37</v>
      </c>
    </row>
    <row r="6403" spans="1:4">
      <c r="A6403" s="302">
        <v>95395</v>
      </c>
      <c r="B6403" s="301" t="s">
        <v>6577</v>
      </c>
      <c r="C6403" s="301" t="s">
        <v>753</v>
      </c>
      <c r="D6403" s="303">
        <v>0.53</v>
      </c>
    </row>
    <row r="6404" spans="1:4">
      <c r="A6404" s="302">
        <v>95396</v>
      </c>
      <c r="B6404" s="301" t="s">
        <v>6578</v>
      </c>
      <c r="C6404" s="301" t="s">
        <v>753</v>
      </c>
      <c r="D6404" s="303">
        <v>0.7</v>
      </c>
    </row>
    <row r="6405" spans="1:4">
      <c r="A6405" s="302">
        <v>95397</v>
      </c>
      <c r="B6405" s="301" t="s">
        <v>6579</v>
      </c>
      <c r="C6405" s="301" t="s">
        <v>753</v>
      </c>
      <c r="D6405" s="303">
        <v>0.06</v>
      </c>
    </row>
    <row r="6406" spans="1:4">
      <c r="A6406" s="302">
        <v>95398</v>
      </c>
      <c r="B6406" s="301" t="s">
        <v>6580</v>
      </c>
      <c r="C6406" s="301" t="s">
        <v>753</v>
      </c>
      <c r="D6406" s="303">
        <v>0.04</v>
      </c>
    </row>
    <row r="6407" spans="1:4">
      <c r="A6407" s="302">
        <v>95399</v>
      </c>
      <c r="B6407" s="301" t="s">
        <v>6581</v>
      </c>
      <c r="C6407" s="301" t="s">
        <v>753</v>
      </c>
      <c r="D6407" s="303">
        <v>0.05</v>
      </c>
    </row>
    <row r="6408" spans="1:4">
      <c r="A6408" s="302">
        <v>95400</v>
      </c>
      <c r="B6408" s="301" t="s">
        <v>6582</v>
      </c>
      <c r="C6408" s="301" t="s">
        <v>753</v>
      </c>
      <c r="D6408" s="303">
        <v>0.06</v>
      </c>
    </row>
    <row r="6409" spans="1:4">
      <c r="A6409" s="302">
        <v>95401</v>
      </c>
      <c r="B6409" s="301" t="s">
        <v>6583</v>
      </c>
      <c r="C6409" s="301" t="s">
        <v>753</v>
      </c>
      <c r="D6409" s="303">
        <v>0.28000000000000003</v>
      </c>
    </row>
    <row r="6410" spans="1:4">
      <c r="A6410" s="302">
        <v>95402</v>
      </c>
      <c r="B6410" s="301" t="s">
        <v>6584</v>
      </c>
      <c r="C6410" s="301" t="s">
        <v>753</v>
      </c>
      <c r="D6410" s="303">
        <v>0.91</v>
      </c>
    </row>
    <row r="6411" spans="1:4">
      <c r="A6411" s="302">
        <v>95403</v>
      </c>
      <c r="B6411" s="301" t="s">
        <v>6585</v>
      </c>
      <c r="C6411" s="301" t="s">
        <v>753</v>
      </c>
      <c r="D6411" s="303">
        <v>1.04</v>
      </c>
    </row>
    <row r="6412" spans="1:4">
      <c r="A6412" s="302">
        <v>95404</v>
      </c>
      <c r="B6412" s="301" t="s">
        <v>6586</v>
      </c>
      <c r="C6412" s="301" t="s">
        <v>753</v>
      </c>
      <c r="D6412" s="303">
        <v>1.42</v>
      </c>
    </row>
    <row r="6413" spans="1:4">
      <c r="A6413" s="302">
        <v>95405</v>
      </c>
      <c r="B6413" s="301" t="s">
        <v>6587</v>
      </c>
      <c r="C6413" s="301" t="s">
        <v>753</v>
      </c>
      <c r="D6413" s="303">
        <v>0.43</v>
      </c>
    </row>
    <row r="6414" spans="1:4">
      <c r="A6414" s="302">
        <v>95406</v>
      </c>
      <c r="B6414" s="301" t="s">
        <v>6588</v>
      </c>
      <c r="C6414" s="301" t="s">
        <v>753</v>
      </c>
      <c r="D6414" s="303">
        <v>0.08</v>
      </c>
    </row>
    <row r="6415" spans="1:4">
      <c r="A6415" s="302">
        <v>95407</v>
      </c>
      <c r="B6415" s="301" t="s">
        <v>6589</v>
      </c>
      <c r="C6415" s="301" t="s">
        <v>753</v>
      </c>
      <c r="D6415" s="303">
        <v>2</v>
      </c>
    </row>
    <row r="6416" spans="1:4">
      <c r="A6416" s="302">
        <v>95408</v>
      </c>
      <c r="B6416" s="301" t="s">
        <v>6590</v>
      </c>
      <c r="C6416" s="301" t="s">
        <v>755</v>
      </c>
      <c r="D6416" s="303">
        <v>6.85</v>
      </c>
    </row>
    <row r="6417" spans="1:4">
      <c r="A6417" s="302">
        <v>95409</v>
      </c>
      <c r="B6417" s="301" t="s">
        <v>6591</v>
      </c>
      <c r="C6417" s="301" t="s">
        <v>755</v>
      </c>
      <c r="D6417" s="303">
        <v>8.3800000000000008</v>
      </c>
    </row>
    <row r="6418" spans="1:4">
      <c r="A6418" s="302">
        <v>95410</v>
      </c>
      <c r="B6418" s="301" t="s">
        <v>6592</v>
      </c>
      <c r="C6418" s="301" t="s">
        <v>755</v>
      </c>
      <c r="D6418" s="303">
        <v>6.32</v>
      </c>
    </row>
    <row r="6419" spans="1:4">
      <c r="A6419" s="302">
        <v>95411</v>
      </c>
      <c r="B6419" s="301" t="s">
        <v>6593</v>
      </c>
      <c r="C6419" s="301" t="s">
        <v>755</v>
      </c>
      <c r="D6419" s="303">
        <v>6.7</v>
      </c>
    </row>
    <row r="6420" spans="1:4">
      <c r="A6420" s="302">
        <v>95412</v>
      </c>
      <c r="B6420" s="301" t="s">
        <v>6594</v>
      </c>
      <c r="C6420" s="301" t="s">
        <v>755</v>
      </c>
      <c r="D6420" s="303">
        <v>6.7</v>
      </c>
    </row>
    <row r="6421" spans="1:4">
      <c r="A6421" s="302">
        <v>95413</v>
      </c>
      <c r="B6421" s="301" t="s">
        <v>6595</v>
      </c>
      <c r="C6421" s="301" t="s">
        <v>755</v>
      </c>
      <c r="D6421" s="303">
        <v>7.09</v>
      </c>
    </row>
    <row r="6422" spans="1:4">
      <c r="A6422" s="302">
        <v>95414</v>
      </c>
      <c r="B6422" s="301" t="s">
        <v>6596</v>
      </c>
      <c r="C6422" s="301" t="s">
        <v>755</v>
      </c>
      <c r="D6422" s="303">
        <v>28.3</v>
      </c>
    </row>
    <row r="6423" spans="1:4">
      <c r="A6423" s="302">
        <v>95415</v>
      </c>
      <c r="B6423" s="301" t="s">
        <v>6597</v>
      </c>
      <c r="C6423" s="301" t="s">
        <v>755</v>
      </c>
      <c r="D6423" s="303">
        <v>123.95</v>
      </c>
    </row>
    <row r="6424" spans="1:4">
      <c r="A6424" s="302">
        <v>95416</v>
      </c>
      <c r="B6424" s="301" t="s">
        <v>6598</v>
      </c>
      <c r="C6424" s="301" t="s">
        <v>755</v>
      </c>
      <c r="D6424" s="303">
        <v>5.71</v>
      </c>
    </row>
    <row r="6425" spans="1:4">
      <c r="A6425" s="302">
        <v>95417</v>
      </c>
      <c r="B6425" s="301" t="s">
        <v>6599</v>
      </c>
      <c r="C6425" s="301" t="s">
        <v>755</v>
      </c>
      <c r="D6425" s="303">
        <v>141.08000000000001</v>
      </c>
    </row>
    <row r="6426" spans="1:4">
      <c r="A6426" s="302">
        <v>95418</v>
      </c>
      <c r="B6426" s="301" t="s">
        <v>6600</v>
      </c>
      <c r="C6426" s="301" t="s">
        <v>755</v>
      </c>
      <c r="D6426" s="303">
        <v>192.85</v>
      </c>
    </row>
    <row r="6427" spans="1:4">
      <c r="A6427" s="302">
        <v>95419</v>
      </c>
      <c r="B6427" s="301" t="s">
        <v>6601</v>
      </c>
      <c r="C6427" s="301" t="s">
        <v>755</v>
      </c>
      <c r="D6427" s="303">
        <v>51.53</v>
      </c>
    </row>
    <row r="6428" spans="1:4">
      <c r="A6428" s="302">
        <v>95420</v>
      </c>
      <c r="B6428" s="301" t="s">
        <v>6602</v>
      </c>
      <c r="C6428" s="301" t="s">
        <v>755</v>
      </c>
      <c r="D6428" s="303">
        <v>73.2</v>
      </c>
    </row>
    <row r="6429" spans="1:4">
      <c r="A6429" s="302">
        <v>95421</v>
      </c>
      <c r="B6429" s="301" t="s">
        <v>6603</v>
      </c>
      <c r="C6429" s="301" t="s">
        <v>755</v>
      </c>
      <c r="D6429" s="303">
        <v>96.78</v>
      </c>
    </row>
    <row r="6430" spans="1:4">
      <c r="A6430" s="302">
        <v>95422</v>
      </c>
      <c r="B6430" s="301" t="s">
        <v>6604</v>
      </c>
      <c r="C6430" s="301" t="s">
        <v>755</v>
      </c>
      <c r="D6430" s="303">
        <v>39.4</v>
      </c>
    </row>
    <row r="6431" spans="1:4">
      <c r="A6431" s="302">
        <v>95423</v>
      </c>
      <c r="B6431" s="301" t="s">
        <v>6605</v>
      </c>
      <c r="C6431" s="301" t="s">
        <v>755</v>
      </c>
      <c r="D6431" s="303">
        <v>59.8</v>
      </c>
    </row>
    <row r="6432" spans="1:4">
      <c r="A6432" s="302">
        <v>95424</v>
      </c>
      <c r="B6432" s="301" t="s">
        <v>6606</v>
      </c>
      <c r="C6432" s="301" t="s">
        <v>755</v>
      </c>
      <c r="D6432" s="303">
        <v>11.71</v>
      </c>
    </row>
    <row r="6433" spans="1:4">
      <c r="A6433" s="302">
        <v>100288</v>
      </c>
      <c r="B6433" s="301" t="s">
        <v>6607</v>
      </c>
      <c r="C6433" s="301" t="s">
        <v>753</v>
      </c>
      <c r="D6433" s="303">
        <v>0.04</v>
      </c>
    </row>
    <row r="6434" spans="1:4">
      <c r="A6434" s="302">
        <v>100289</v>
      </c>
      <c r="B6434" s="301" t="s">
        <v>757</v>
      </c>
      <c r="C6434" s="301" t="s">
        <v>753</v>
      </c>
      <c r="D6434" s="303">
        <v>16.23</v>
      </c>
    </row>
    <row r="6435" spans="1:4">
      <c r="A6435" s="302">
        <v>100290</v>
      </c>
      <c r="B6435" s="301" t="s">
        <v>6608</v>
      </c>
      <c r="C6435" s="301" t="s">
        <v>753</v>
      </c>
      <c r="D6435" s="303">
        <v>0.03</v>
      </c>
    </row>
    <row r="6436" spans="1:4">
      <c r="A6436" s="302">
        <v>100291</v>
      </c>
      <c r="B6436" s="301" t="s">
        <v>6609</v>
      </c>
      <c r="C6436" s="301" t="s">
        <v>753</v>
      </c>
      <c r="D6436" s="303">
        <v>0.1</v>
      </c>
    </row>
    <row r="6437" spans="1:4">
      <c r="A6437" s="302">
        <v>100292</v>
      </c>
      <c r="B6437" s="301" t="s">
        <v>6610</v>
      </c>
      <c r="C6437" s="301" t="s">
        <v>753</v>
      </c>
      <c r="D6437" s="303">
        <v>0.45</v>
      </c>
    </row>
    <row r="6438" spans="1:4">
      <c r="A6438" s="302">
        <v>100293</v>
      </c>
      <c r="B6438" s="301" t="s">
        <v>6611</v>
      </c>
      <c r="C6438" s="301" t="s">
        <v>753</v>
      </c>
      <c r="D6438" s="303">
        <v>0.1</v>
      </c>
    </row>
    <row r="6439" spans="1:4">
      <c r="A6439" s="302">
        <v>100294</v>
      </c>
      <c r="B6439" s="301" t="s">
        <v>6612</v>
      </c>
      <c r="C6439" s="301" t="s">
        <v>753</v>
      </c>
      <c r="D6439" s="303">
        <v>0.21</v>
      </c>
    </row>
    <row r="6440" spans="1:4">
      <c r="A6440" s="302">
        <v>100295</v>
      </c>
      <c r="B6440" s="301" t="s">
        <v>6613</v>
      </c>
      <c r="C6440" s="301" t="s">
        <v>753</v>
      </c>
      <c r="D6440" s="303">
        <v>0.31</v>
      </c>
    </row>
    <row r="6441" spans="1:4">
      <c r="A6441" s="302">
        <v>100296</v>
      </c>
      <c r="B6441" s="301" t="s">
        <v>6614</v>
      </c>
      <c r="C6441" s="301" t="s">
        <v>753</v>
      </c>
      <c r="D6441" s="303">
        <v>0.71</v>
      </c>
    </row>
    <row r="6442" spans="1:4">
      <c r="A6442" s="302">
        <v>100297</v>
      </c>
      <c r="B6442" s="301" t="s">
        <v>6615</v>
      </c>
      <c r="C6442" s="301" t="s">
        <v>753</v>
      </c>
      <c r="D6442" s="303">
        <v>0.81</v>
      </c>
    </row>
    <row r="6443" spans="1:4">
      <c r="A6443" s="302">
        <v>100298</v>
      </c>
      <c r="B6443" s="301" t="s">
        <v>6616</v>
      </c>
      <c r="C6443" s="301" t="s">
        <v>753</v>
      </c>
      <c r="D6443" s="303">
        <v>0.39</v>
      </c>
    </row>
    <row r="6444" spans="1:4">
      <c r="A6444" s="302">
        <v>100299</v>
      </c>
      <c r="B6444" s="301" t="s">
        <v>6617</v>
      </c>
      <c r="C6444" s="301" t="s">
        <v>753</v>
      </c>
      <c r="D6444" s="303">
        <v>0.27</v>
      </c>
    </row>
    <row r="6445" spans="1:4">
      <c r="A6445" s="302">
        <v>100300</v>
      </c>
      <c r="B6445" s="301" t="s">
        <v>6618</v>
      </c>
      <c r="C6445" s="301" t="s">
        <v>753</v>
      </c>
      <c r="D6445" s="303">
        <v>12.44</v>
      </c>
    </row>
    <row r="6446" spans="1:4">
      <c r="A6446" s="302">
        <v>100301</v>
      </c>
      <c r="B6446" s="301" t="s">
        <v>6619</v>
      </c>
      <c r="C6446" s="301" t="s">
        <v>753</v>
      </c>
      <c r="D6446" s="303">
        <v>16.739999999999998</v>
      </c>
    </row>
    <row r="6447" spans="1:4">
      <c r="A6447" s="302">
        <v>100302</v>
      </c>
      <c r="B6447" s="301" t="s">
        <v>6620</v>
      </c>
      <c r="C6447" s="301" t="s">
        <v>753</v>
      </c>
      <c r="D6447" s="303">
        <v>132.86000000000001</v>
      </c>
    </row>
    <row r="6448" spans="1:4">
      <c r="A6448" s="302">
        <v>100303</v>
      </c>
      <c r="B6448" s="301" t="s">
        <v>6621</v>
      </c>
      <c r="C6448" s="301" t="s">
        <v>753</v>
      </c>
      <c r="D6448" s="303">
        <v>15.67</v>
      </c>
    </row>
    <row r="6449" spans="1:4">
      <c r="A6449" s="302">
        <v>100304</v>
      </c>
      <c r="B6449" s="301" t="s">
        <v>6622</v>
      </c>
      <c r="C6449" s="301" t="s">
        <v>753</v>
      </c>
      <c r="D6449" s="303">
        <v>63.58</v>
      </c>
    </row>
    <row r="6450" spans="1:4">
      <c r="A6450" s="302">
        <v>100305</v>
      </c>
      <c r="B6450" s="301" t="s">
        <v>6623</v>
      </c>
      <c r="C6450" s="301" t="s">
        <v>753</v>
      </c>
      <c r="D6450" s="303">
        <v>92.65</v>
      </c>
    </row>
    <row r="6451" spans="1:4">
      <c r="A6451" s="302">
        <v>100306</v>
      </c>
      <c r="B6451" s="301" t="s">
        <v>6624</v>
      </c>
      <c r="C6451" s="301" t="s">
        <v>753</v>
      </c>
      <c r="D6451" s="303">
        <v>104.41</v>
      </c>
    </row>
    <row r="6452" spans="1:4">
      <c r="A6452" s="302">
        <v>100307</v>
      </c>
      <c r="B6452" s="301" t="s">
        <v>6625</v>
      </c>
      <c r="C6452" s="301" t="s">
        <v>753</v>
      </c>
      <c r="D6452" s="303">
        <v>20.079999999999998</v>
      </c>
    </row>
    <row r="6453" spans="1:4">
      <c r="A6453" s="302">
        <v>100308</v>
      </c>
      <c r="B6453" s="301" t="s">
        <v>6626</v>
      </c>
      <c r="C6453" s="301" t="s">
        <v>753</v>
      </c>
      <c r="D6453" s="303">
        <v>22.06</v>
      </c>
    </row>
    <row r="6454" spans="1:4">
      <c r="A6454" s="302">
        <v>100309</v>
      </c>
      <c r="B6454" s="301" t="s">
        <v>6627</v>
      </c>
      <c r="C6454" s="301" t="s">
        <v>753</v>
      </c>
      <c r="D6454" s="303">
        <v>23.78</v>
      </c>
    </row>
    <row r="6455" spans="1:4">
      <c r="A6455" s="302">
        <v>100310</v>
      </c>
      <c r="B6455" s="301" t="s">
        <v>6628</v>
      </c>
      <c r="C6455" s="301" t="s">
        <v>755</v>
      </c>
      <c r="D6455" s="303">
        <v>5.43</v>
      </c>
    </row>
    <row r="6456" spans="1:4">
      <c r="A6456" s="302">
        <v>100311</v>
      </c>
      <c r="B6456" s="301" t="s">
        <v>6629</v>
      </c>
      <c r="C6456" s="301" t="s">
        <v>755</v>
      </c>
      <c r="D6456" s="303">
        <v>62.89</v>
      </c>
    </row>
    <row r="6457" spans="1:4">
      <c r="A6457" s="302">
        <v>100312</v>
      </c>
      <c r="B6457" s="301" t="s">
        <v>6630</v>
      </c>
      <c r="C6457" s="301" t="s">
        <v>755</v>
      </c>
      <c r="D6457" s="303">
        <v>29.86</v>
      </c>
    </row>
    <row r="6458" spans="1:4">
      <c r="A6458" s="302">
        <v>100313</v>
      </c>
      <c r="B6458" s="301" t="s">
        <v>6631</v>
      </c>
      <c r="C6458" s="301" t="s">
        <v>755</v>
      </c>
      <c r="D6458" s="303">
        <v>98.35</v>
      </c>
    </row>
    <row r="6459" spans="1:4">
      <c r="A6459" s="302">
        <v>100314</v>
      </c>
      <c r="B6459" s="301" t="s">
        <v>6632</v>
      </c>
      <c r="C6459" s="301" t="s">
        <v>755</v>
      </c>
      <c r="D6459" s="303">
        <v>110.95</v>
      </c>
    </row>
    <row r="6460" spans="1:4">
      <c r="A6460" s="302">
        <v>100315</v>
      </c>
      <c r="B6460" s="301" t="s">
        <v>6633</v>
      </c>
      <c r="C6460" s="301" t="s">
        <v>755</v>
      </c>
      <c r="D6460" s="303">
        <v>37.83</v>
      </c>
    </row>
    <row r="6461" spans="1:4">
      <c r="A6461" s="302">
        <v>100316</v>
      </c>
      <c r="B6461" s="301" t="s">
        <v>6618</v>
      </c>
      <c r="C6461" s="301" t="s">
        <v>755</v>
      </c>
      <c r="D6461" s="304">
        <v>2218.48</v>
      </c>
    </row>
    <row r="6462" spans="1:4">
      <c r="A6462" s="302">
        <v>100317</v>
      </c>
      <c r="B6462" s="301" t="s">
        <v>6634</v>
      </c>
      <c r="C6462" s="301" t="s">
        <v>755</v>
      </c>
      <c r="D6462" s="304">
        <v>23546.880000000001</v>
      </c>
    </row>
    <row r="6463" spans="1:4">
      <c r="A6463" s="302">
        <v>100318</v>
      </c>
      <c r="B6463" s="301" t="s">
        <v>6622</v>
      </c>
      <c r="C6463" s="301" t="s">
        <v>755</v>
      </c>
      <c r="D6463" s="304">
        <v>11278.97</v>
      </c>
    </row>
    <row r="6464" spans="1:4">
      <c r="A6464" s="302">
        <v>100319</v>
      </c>
      <c r="B6464" s="301" t="s">
        <v>6623</v>
      </c>
      <c r="C6464" s="301" t="s">
        <v>755</v>
      </c>
      <c r="D6464" s="304">
        <v>16410.23</v>
      </c>
    </row>
    <row r="6465" spans="1:4">
      <c r="A6465" s="302">
        <v>100320</v>
      </c>
      <c r="B6465" s="301" t="s">
        <v>6624</v>
      </c>
      <c r="C6465" s="301" t="s">
        <v>755</v>
      </c>
      <c r="D6465" s="304">
        <v>18489.79</v>
      </c>
    </row>
    <row r="6466" spans="1:4">
      <c r="A6466" s="302">
        <v>100321</v>
      </c>
      <c r="B6466" s="301" t="s">
        <v>6635</v>
      </c>
      <c r="C6466" s="301" t="s">
        <v>755</v>
      </c>
      <c r="D6466" s="304">
        <v>4220.68</v>
      </c>
    </row>
    <row r="6467" spans="1:4">
      <c r="A6467" s="302">
        <v>100533</v>
      </c>
      <c r="B6467" s="301" t="s">
        <v>12196</v>
      </c>
      <c r="C6467" s="301" t="s">
        <v>753</v>
      </c>
      <c r="D6467" s="303">
        <v>19.45</v>
      </c>
    </row>
    <row r="6468" spans="1:4">
      <c r="A6468" s="302">
        <v>100534</v>
      </c>
      <c r="B6468" s="301" t="s">
        <v>12196</v>
      </c>
      <c r="C6468" s="301" t="s">
        <v>755</v>
      </c>
      <c r="D6468" s="304">
        <v>2764.21</v>
      </c>
    </row>
    <row r="6469" spans="1:4">
      <c r="A6469" s="302">
        <v>100535</v>
      </c>
      <c r="B6469" s="301" t="s">
        <v>12197</v>
      </c>
      <c r="C6469" s="301" t="s">
        <v>753</v>
      </c>
      <c r="D6469" s="303">
        <v>0.22</v>
      </c>
    </row>
    <row r="6470" spans="1:4">
      <c r="A6470" s="302">
        <v>100536</v>
      </c>
      <c r="B6470" s="301" t="s">
        <v>12198</v>
      </c>
      <c r="C6470" s="301" t="s">
        <v>755</v>
      </c>
      <c r="D6470" s="303">
        <v>24.12</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sheetPr codeName="Plan2">
    <tabColor theme="8" tint="0.59999389629810485"/>
  </sheetPr>
  <dimension ref="A1:Q559"/>
  <sheetViews>
    <sheetView showGridLines="0" view="pageBreakPreview" topLeftCell="A541" zoomScale="85" zoomScaleSheetLayoutView="85" zoomScalePageLayoutView="85" workbookViewId="0">
      <selection activeCell="C6" sqref="C6"/>
    </sheetView>
  </sheetViews>
  <sheetFormatPr defaultColWidth="9.140625" defaultRowHeight="15" outlineLevelRow="2"/>
  <cols>
    <col min="1" max="1" width="12.85546875" style="13" bestFit="1" customWidth="1"/>
    <col min="2" max="2" width="21.28515625" style="13" customWidth="1"/>
    <col min="3" max="3" width="70.28515625" style="445" customWidth="1"/>
    <col min="4" max="4" width="8.7109375" style="13" bestFit="1" customWidth="1"/>
    <col min="5" max="5" width="14" style="105" bestFit="1" customWidth="1"/>
    <col min="6" max="6" width="16.28515625" style="14" hidden="1" customWidth="1"/>
    <col min="7" max="7" width="16.28515625" style="15" customWidth="1"/>
    <col min="8" max="8" width="16" style="16" bestFit="1" customWidth="1"/>
    <col min="9" max="9" width="10.5703125" style="6" hidden="1" customWidth="1"/>
    <col min="10" max="10" width="12" style="6" hidden="1" customWidth="1"/>
    <col min="11" max="11" width="44.28515625" style="6" hidden="1" customWidth="1"/>
    <col min="12" max="12" width="17.42578125" style="6" hidden="1" customWidth="1"/>
    <col min="13" max="13" width="24.5703125" style="6" hidden="1" customWidth="1"/>
    <col min="14" max="14" width="0" style="6" hidden="1" customWidth="1"/>
    <col min="15" max="15" width="13.140625" style="6" bestFit="1" customWidth="1"/>
    <col min="16" max="16" width="13.5703125" style="6" bestFit="1" customWidth="1"/>
    <col min="17" max="17" width="13.140625" style="6" bestFit="1" customWidth="1"/>
    <col min="18" max="16384" width="9.140625" style="6"/>
  </cols>
  <sheetData>
    <row r="1" spans="1:16" s="1" customFormat="1" ht="15.75">
      <c r="A1" s="1083" t="s">
        <v>13451</v>
      </c>
      <c r="B1" s="408" t="s">
        <v>13450</v>
      </c>
      <c r="C1" s="1084"/>
      <c r="D1" s="1085"/>
      <c r="E1" s="1085"/>
      <c r="F1" s="1085"/>
      <c r="G1" s="1085"/>
      <c r="H1" s="1085"/>
    </row>
    <row r="2" spans="1:16" ht="15.75">
      <c r="A2" s="1083" t="s">
        <v>14270</v>
      </c>
      <c r="B2" s="408" t="s">
        <v>14272</v>
      </c>
      <c r="C2" s="1086"/>
      <c r="D2" s="415"/>
      <c r="E2" s="1087" t="s">
        <v>18</v>
      </c>
      <c r="F2" s="415"/>
      <c r="G2" s="1088">
        <v>0.25</v>
      </c>
      <c r="H2" s="415"/>
    </row>
    <row r="3" spans="1:16" ht="15.75">
      <c r="A3" s="1083" t="s">
        <v>13452</v>
      </c>
      <c r="B3" s="408" t="s">
        <v>11718</v>
      </c>
      <c r="C3" s="1086"/>
      <c r="D3" s="415"/>
      <c r="E3" s="1087" t="s">
        <v>25</v>
      </c>
      <c r="F3" s="409"/>
      <c r="G3" s="413" t="s">
        <v>14243</v>
      </c>
      <c r="H3" s="1089"/>
    </row>
    <row r="4" spans="1:16" ht="15.75">
      <c r="A4" s="1083" t="s">
        <v>13453</v>
      </c>
      <c r="B4" s="1090">
        <v>43952</v>
      </c>
      <c r="C4" s="1086"/>
      <c r="D4" s="415"/>
      <c r="E4" s="1087" t="s">
        <v>13454</v>
      </c>
      <c r="F4" s="409"/>
      <c r="G4" s="413" t="s">
        <v>14245</v>
      </c>
      <c r="H4" s="1089"/>
    </row>
    <row r="5" spans="1:16" ht="15.75">
      <c r="A5" s="1083"/>
      <c r="B5" s="408"/>
      <c r="C5" s="1086"/>
      <c r="D5" s="1091"/>
      <c r="E5" s="409"/>
      <c r="F5" s="409"/>
      <c r="G5" s="1092"/>
      <c r="H5" s="409"/>
    </row>
    <row r="6" spans="1:16" ht="15.75">
      <c r="A6" s="1083"/>
      <c r="B6" s="408"/>
      <c r="C6" s="1184" t="s">
        <v>14277</v>
      </c>
      <c r="D6" s="1091"/>
      <c r="E6" s="409"/>
      <c r="F6" s="409"/>
      <c r="G6" s="1092"/>
      <c r="H6" s="409"/>
    </row>
    <row r="7" spans="1:16" ht="16.5" thickBot="1">
      <c r="A7" s="1083"/>
      <c r="B7" s="408"/>
      <c r="C7" s="1086"/>
      <c r="D7" s="1091"/>
      <c r="E7" s="409"/>
      <c r="F7" s="409"/>
      <c r="G7" s="1092"/>
      <c r="H7" s="409"/>
    </row>
    <row r="8" spans="1:16" s="7" customFormat="1" ht="15.75">
      <c r="A8" s="446" t="s">
        <v>0</v>
      </c>
      <c r="B8" s="447" t="s">
        <v>4</v>
      </c>
      <c r="C8" s="448" t="s">
        <v>1</v>
      </c>
      <c r="D8" s="447" t="s">
        <v>5</v>
      </c>
      <c r="E8" s="447" t="s">
        <v>6</v>
      </c>
      <c r="F8" s="449" t="s">
        <v>27</v>
      </c>
      <c r="G8" s="450" t="s">
        <v>7</v>
      </c>
      <c r="H8" s="451" t="s">
        <v>8</v>
      </c>
    </row>
    <row r="9" spans="1:16" s="7" customFormat="1" ht="15.75" outlineLevel="1">
      <c r="A9" s="417">
        <v>1</v>
      </c>
      <c r="B9" s="418"/>
      <c r="C9" s="438" t="s">
        <v>11682</v>
      </c>
      <c r="D9" s="419"/>
      <c r="E9" s="420"/>
      <c r="F9" s="421"/>
      <c r="G9" s="422"/>
      <c r="H9" s="423"/>
    </row>
    <row r="10" spans="1:16" ht="15.75" outlineLevel="2">
      <c r="A10" s="296" t="s">
        <v>13</v>
      </c>
      <c r="B10" s="294"/>
      <c r="C10" s="441" t="s">
        <v>14271</v>
      </c>
      <c r="D10" s="294"/>
      <c r="E10" s="426"/>
      <c r="F10" s="426"/>
      <c r="G10" s="426"/>
      <c r="H10" s="427"/>
    </row>
    <row r="11" spans="1:16" s="13" customFormat="1" outlineLevel="2">
      <c r="A11" s="297" t="s">
        <v>13</v>
      </c>
      <c r="B11" s="294" t="s">
        <v>11717</v>
      </c>
      <c r="C11" s="439" t="s">
        <v>11682</v>
      </c>
      <c r="D11" s="294"/>
      <c r="E11" s="426">
        <v>1</v>
      </c>
      <c r="F11" s="426">
        <f>'CPU-ARQ'!H11</f>
        <v>38230.5</v>
      </c>
      <c r="G11" s="426">
        <f>TRUNC(F11*(1+$G$2),2)</f>
        <v>47788.12</v>
      </c>
      <c r="H11" s="427">
        <f>TRUNC((G11*E11),2)</f>
        <v>47788.12</v>
      </c>
      <c r="J11" s="235">
        <f>TRUNC((F11*1.2068),2)</f>
        <v>46136.56</v>
      </c>
    </row>
    <row r="12" spans="1:16" s="13" customFormat="1" outlineLevel="2">
      <c r="A12" s="297" t="s">
        <v>565</v>
      </c>
      <c r="B12" s="247" t="s">
        <v>1422</v>
      </c>
      <c r="C12" s="439" t="str">
        <f t="shared" ref="C12:C13" si="0">IFERROR(VLOOKUP(B12,comp_nãodes,2,FALSE),VLOOKUP(B12,insnãodes,2,FALSE))</f>
        <v>PLACA DE OBRA EM CHAPA DE ACO GALVANIZADO</v>
      </c>
      <c r="D12" s="294" t="str">
        <f t="shared" ref="D12:D13" si="1">IFERROR(VLOOKUP(B12,comp_nãodes,3,FALSE),VLOOKUP(B12,insnãodes,3,FALSE))</f>
        <v>M2</v>
      </c>
      <c r="E12" s="426">
        <v>12.5</v>
      </c>
      <c r="F12" s="426">
        <f t="shared" ref="F12:F13" si="2">IFERROR(VLOOKUP(B12,comp_nãodes,4,FALSE),VLOOKUP(B12,insnãodes,4,FALSE))</f>
        <v>410.76</v>
      </c>
      <c r="G12" s="426">
        <f>TRUNC(F12*(1+$G$2),2)</f>
        <v>513.45000000000005</v>
      </c>
      <c r="H12" s="427">
        <f>TRUNC((G12*E12),2)</f>
        <v>6418.12</v>
      </c>
      <c r="J12" s="235"/>
    </row>
    <row r="13" spans="1:16" s="13" customFormat="1" ht="45" outlineLevel="2">
      <c r="A13" s="297" t="s">
        <v>566</v>
      </c>
      <c r="B13" s="294">
        <v>93584</v>
      </c>
      <c r="C13" s="439" t="str">
        <f t="shared" si="0"/>
        <v>EXECUÇÃO DE DEPÓSITO EM CANTEIRO DE OBRA EM CHAPA DE MADEIRA COMPENSADA, NÃO INCLUSO MOBILIÁRIO. AF_04/2016</v>
      </c>
      <c r="D13" s="294" t="str">
        <f t="shared" si="1"/>
        <v>M2</v>
      </c>
      <c r="E13" s="426">
        <v>16</v>
      </c>
      <c r="F13" s="426">
        <f t="shared" si="2"/>
        <v>527.67999999999995</v>
      </c>
      <c r="G13" s="426">
        <f>TRUNC(F13*(1+$G$2),2)</f>
        <v>659.6</v>
      </c>
      <c r="H13" s="427">
        <f>TRUNC((G13*E13),2)</f>
        <v>10553.6</v>
      </c>
      <c r="J13" s="235"/>
      <c r="P13" s="1128"/>
    </row>
    <row r="14" spans="1:16" s="7" customFormat="1" ht="15.75" outlineLevel="1">
      <c r="A14" s="298"/>
      <c r="B14" s="292"/>
      <c r="C14" s="440"/>
      <c r="D14" s="305"/>
      <c r="E14" s="428"/>
      <c r="F14" s="428"/>
      <c r="G14" s="428" t="s">
        <v>11684</v>
      </c>
      <c r="H14" s="429">
        <f>SUM(H11:H13)</f>
        <v>64759.840000000004</v>
      </c>
    </row>
    <row r="15" spans="1:16" s="7" customFormat="1" ht="15.75" outlineLevel="1">
      <c r="A15" s="298"/>
      <c r="B15" s="292"/>
      <c r="C15" s="1101" t="s">
        <v>13457</v>
      </c>
      <c r="D15" s="305"/>
      <c r="E15" s="428"/>
      <c r="F15" s="428"/>
      <c r="G15" s="428"/>
      <c r="H15" s="429">
        <f>H14</f>
        <v>64759.840000000004</v>
      </c>
      <c r="P15" s="1129"/>
    </row>
    <row r="16" spans="1:16" s="7" customFormat="1" ht="15.75" outlineLevel="1">
      <c r="A16" s="417">
        <v>2</v>
      </c>
      <c r="B16" s="424"/>
      <c r="C16" s="438" t="s">
        <v>13000</v>
      </c>
      <c r="D16" s="425"/>
      <c r="E16" s="434"/>
      <c r="F16" s="434"/>
      <c r="G16" s="434"/>
      <c r="H16" s="435"/>
    </row>
    <row r="17" spans="1:13" ht="15.75" outlineLevel="2">
      <c r="A17" s="296" t="s">
        <v>14</v>
      </c>
      <c r="B17" s="294"/>
      <c r="C17" s="441" t="s">
        <v>29</v>
      </c>
      <c r="D17" s="294"/>
      <c r="E17" s="426"/>
      <c r="F17" s="426"/>
      <c r="G17" s="426"/>
      <c r="H17" s="427"/>
    </row>
    <row r="18" spans="1:13" ht="30" outlineLevel="2">
      <c r="A18" s="297" t="s">
        <v>13001</v>
      </c>
      <c r="B18" s="294" t="s">
        <v>12632</v>
      </c>
      <c r="C18" s="439" t="str">
        <f t="shared" ref="C18:C21" si="3">IFERROR(VLOOKUP(B18,comp_nãodes,2,FALSE),VLOOKUP(B18,insnãodes,2,FALSE))</f>
        <v>CAPINA E LIMPEZA MANUAL DE TERRENO</v>
      </c>
      <c r="D18" s="294" t="str">
        <f t="shared" ref="D18:D21" si="4">IFERROR(VLOOKUP(B18,comp_nãodes,3,FALSE),VLOOKUP(B18,insnãodes,3,FALSE))</f>
        <v>M2</v>
      </c>
      <c r="E18" s="426">
        <v>296.18</v>
      </c>
      <c r="F18" s="426">
        <f t="shared" ref="F18:F78" si="5">IFERROR(VLOOKUP(B18,comp_nãodes,4,FALSE),VLOOKUP(B18,insnãodes,4,FALSE))</f>
        <v>1.27</v>
      </c>
      <c r="G18" s="426">
        <f>TRUNC(F18*(1+$G$2),2)</f>
        <v>1.58</v>
      </c>
      <c r="H18" s="427">
        <f>TRUNC((G18*E18),2)</f>
        <v>467.96</v>
      </c>
      <c r="I18" s="6">
        <f>J18+L18</f>
        <v>356.08</v>
      </c>
      <c r="J18" s="6">
        <f>15.15*19.55</f>
        <v>296.1825</v>
      </c>
      <c r="K18" s="6" t="s">
        <v>12739</v>
      </c>
      <c r="L18" s="6">
        <f>12.35*4.85</f>
        <v>59.897499999999994</v>
      </c>
      <c r="M18" s="6" t="s">
        <v>12770</v>
      </c>
    </row>
    <row r="19" spans="1:13" ht="45" outlineLevel="2">
      <c r="A19" s="297" t="s">
        <v>13002</v>
      </c>
      <c r="B19" s="247">
        <v>99059</v>
      </c>
      <c r="C19" s="439" t="str">
        <f t="shared" si="3"/>
        <v>LOCACAO CONVENCIONAL DE OBRA, UTILIZANDO GABARITO DE TÁBUAS CORRIDAS PONTALETADAS A CADA 2,00M -  2 UTILIZAÇÕES. AF_10/2018</v>
      </c>
      <c r="D19" s="294" t="str">
        <f t="shared" si="4"/>
        <v>M</v>
      </c>
      <c r="E19" s="426">
        <v>73.400000000000006</v>
      </c>
      <c r="F19" s="426">
        <f t="shared" si="5"/>
        <v>35.409999999999997</v>
      </c>
      <c r="G19" s="426">
        <f>TRUNC(F19*(1+$G$2),2)</f>
        <v>44.26</v>
      </c>
      <c r="H19" s="427">
        <f t="shared" ref="H19:H21" si="6">TRUNC((G19*E19),2)</f>
        <v>3248.68</v>
      </c>
      <c r="I19" s="6">
        <f>J19+L19</f>
        <v>116.00000000000001</v>
      </c>
      <c r="J19" s="6">
        <f>(15.15+2)*2+(17.55+2)*2</f>
        <v>73.400000000000006</v>
      </c>
      <c r="K19" s="6" t="s">
        <v>12740</v>
      </c>
      <c r="L19" s="6">
        <f>(7.7*2+4.65*2+4.6*2+4.35*2)</f>
        <v>42.600000000000009</v>
      </c>
      <c r="M19" s="6" t="s">
        <v>12770</v>
      </c>
    </row>
    <row r="20" spans="1:13" ht="30" outlineLevel="2">
      <c r="A20" s="297" t="s">
        <v>13003</v>
      </c>
      <c r="B20" s="307">
        <v>72898</v>
      </c>
      <c r="C20" s="439" t="str">
        <f t="shared" si="3"/>
        <v>CARGA E DESCARGA MECANIZADAS DE ENTULHO EM CAMINHAO BASCULANTE 6 M3</v>
      </c>
      <c r="D20" s="294" t="str">
        <f t="shared" si="4"/>
        <v>M3</v>
      </c>
      <c r="E20" s="426">
        <v>106.82</v>
      </c>
      <c r="F20" s="426">
        <f t="shared" si="5"/>
        <v>3.28</v>
      </c>
      <c r="G20" s="426">
        <f>TRUNC(F20*(1+$G$2),2)</f>
        <v>4.0999999999999996</v>
      </c>
      <c r="H20" s="427">
        <f t="shared" si="6"/>
        <v>437.96</v>
      </c>
      <c r="J20" s="6">
        <f>356.08*0.3</f>
        <v>106.824</v>
      </c>
    </row>
    <row r="21" spans="1:13" ht="45" outlineLevel="2">
      <c r="A21" s="297" t="s">
        <v>13004</v>
      </c>
      <c r="B21" s="307">
        <v>97912</v>
      </c>
      <c r="C21" s="439" t="str">
        <f t="shared" si="3"/>
        <v>TRANSPORTE COM CAMINHÃO BASCULANTE DE 6 M3, EM VIA URBANA EM LEITO NATURAL (UNIDADE: M3XKM). AF_01/2018</v>
      </c>
      <c r="D21" s="294" t="str">
        <f t="shared" si="4"/>
        <v>M3XKM</v>
      </c>
      <c r="E21" s="426">
        <v>534.12</v>
      </c>
      <c r="F21" s="426">
        <f t="shared" si="5"/>
        <v>1.65</v>
      </c>
      <c r="G21" s="426">
        <f>TRUNC(F21*(1+$G$2),2)</f>
        <v>2.06</v>
      </c>
      <c r="H21" s="427">
        <f t="shared" si="6"/>
        <v>1100.28</v>
      </c>
      <c r="J21" s="6">
        <f>356.08*0.3*5</f>
        <v>534.12</v>
      </c>
      <c r="K21" s="6" t="s">
        <v>12741</v>
      </c>
    </row>
    <row r="22" spans="1:13" ht="15.75" outlineLevel="2">
      <c r="A22" s="297"/>
      <c r="B22" s="294"/>
      <c r="C22" s="439"/>
      <c r="D22" s="294"/>
      <c r="E22" s="426"/>
      <c r="F22" s="426"/>
      <c r="G22" s="428" t="s">
        <v>11684</v>
      </c>
      <c r="H22" s="429">
        <f>SUM(H18:H21)</f>
        <v>5254.8799999999992</v>
      </c>
    </row>
    <row r="23" spans="1:13" ht="15.75" outlineLevel="2">
      <c r="A23" s="296" t="s">
        <v>46</v>
      </c>
      <c r="B23" s="294"/>
      <c r="C23" s="441" t="s">
        <v>12734</v>
      </c>
      <c r="D23" s="294"/>
      <c r="E23" s="426"/>
      <c r="F23" s="426"/>
      <c r="G23" s="426"/>
      <c r="H23" s="427"/>
    </row>
    <row r="24" spans="1:13" ht="45" outlineLevel="2">
      <c r="A24" s="297" t="s">
        <v>13005</v>
      </c>
      <c r="B24" s="247">
        <v>96521</v>
      </c>
      <c r="C24" s="439" t="str">
        <f>IFERROR(VLOOKUP(B24,comp_nãodes,2,FALSE),VLOOKUP(B24,insnãodes,2,FALSE))</f>
        <v>ESCAVAÇÃO MECANIZADA PARA BLOCO DE COROAMENTO OU SAPATA, COM PREVISÃO DE FÔRMA, COM RETROESCAVADEIRA. AF_06/2017</v>
      </c>
      <c r="D24" s="294" t="str">
        <f>IFERROR(VLOOKUP(B24,comp_nãodes,3,FALSE),VLOOKUP(B24,insnãodes,3,FALSE))</f>
        <v>M3</v>
      </c>
      <c r="E24" s="430">
        <v>48.08</v>
      </c>
      <c r="F24" s="426">
        <f t="shared" si="5"/>
        <v>28.14</v>
      </c>
      <c r="G24" s="426">
        <f>TRUNC(F24*(1+$G$2),2)</f>
        <v>35.17</v>
      </c>
      <c r="H24" s="431">
        <f t="shared" ref="H24:H25" si="7">TRUNC(E24*G24,2)</f>
        <v>1690.97</v>
      </c>
      <c r="I24" s="6">
        <f>J24+L24</f>
        <v>48.085999999999999</v>
      </c>
      <c r="J24" s="6">
        <f>(4*1.1*1.25+4*1.15*1.35*4*1.15*1+6*0.9*1.05+1*1.4*1.2+2*1.05*1.15+1*1.35*1.2+1.7*1.55)*1</f>
        <v>48.085999999999999</v>
      </c>
      <c r="K24" s="6" t="s">
        <v>12738</v>
      </c>
    </row>
    <row r="25" spans="1:13" ht="30" outlineLevel="2">
      <c r="A25" s="297" t="s">
        <v>13006</v>
      </c>
      <c r="B25" s="247">
        <v>96527</v>
      </c>
      <c r="C25" s="439" t="str">
        <f>IFERROR(VLOOKUP(B25,comp_nãodes,2,FALSE),VLOOKUP(B25,insnãodes,2,FALSE))</f>
        <v>ESCAVAÇÃO MANUAL DE VALA PARA VIGA BALDRAME, COM PREVISÃO DE FÔRMA. AF_06/2017</v>
      </c>
      <c r="D25" s="294" t="str">
        <f>IFERROR(VLOOKUP(B25,comp_nãodes,3,FALSE),VLOOKUP(B25,insnãodes,3,FALSE))</f>
        <v>M3</v>
      </c>
      <c r="E25" s="432">
        <v>25.46</v>
      </c>
      <c r="F25" s="426">
        <f t="shared" si="5"/>
        <v>94.73</v>
      </c>
      <c r="G25" s="426">
        <f>TRUNC(F25*(1+$G$2),2)</f>
        <v>118.41</v>
      </c>
      <c r="H25" s="431">
        <f t="shared" si="7"/>
        <v>3014.71</v>
      </c>
      <c r="I25" s="6">
        <f>J25+L25</f>
        <v>25.465439999999994</v>
      </c>
      <c r="J25" s="6">
        <f>((6.51+6.51+7.51+7.51+4+4.16+4.16+3.83*3+8.2+1.51+1.71*2+2.62+4.21+17.55+4.21*2+3.81*4+1.91*2+3.97+5.71+2.31*3+5.47)*0.44*0.3)</f>
        <v>18.337439999999994</v>
      </c>
      <c r="K25" s="6" t="s">
        <v>12737</v>
      </c>
      <c r="L25" s="6">
        <f>(1.7*6+2.35*6+2.3*2+2.05*2)*(0.72*0.3)</f>
        <v>7.1280000000000001</v>
      </c>
      <c r="M25" s="6" t="s">
        <v>12782</v>
      </c>
    </row>
    <row r="26" spans="1:13" ht="45" outlineLevel="2">
      <c r="A26" s="297" t="s">
        <v>13007</v>
      </c>
      <c r="B26" s="247">
        <v>94097</v>
      </c>
      <c r="C26" s="439" t="str">
        <f>IFERROR(VLOOKUP(B26,comp_nãodes,2,FALSE),VLOOKUP(B26,insnãodes,2,FALSE))</f>
        <v>PREPARO DE FUNDO DE VALA COM LARGURA MENOR QUE 1,5 M, EM LOCAL COM NÍVEL BAIXO DE INTERFERÊNCIA. AF_06/2016</v>
      </c>
      <c r="D26" s="294" t="str">
        <f>IFERROR(VLOOKUP(B26,comp_nãodes,3,FALSE),VLOOKUP(B26,insnãodes,3,FALSE))</f>
        <v>M2</v>
      </c>
      <c r="E26" s="432">
        <v>109.2</v>
      </c>
      <c r="F26" s="426">
        <f t="shared" si="5"/>
        <v>4.6399999999999997</v>
      </c>
      <c r="G26" s="426">
        <f>TRUNC(F26*(1+$G$2),2)</f>
        <v>5.8</v>
      </c>
      <c r="H26" s="431">
        <f t="shared" ref="H26:H28" si="8">TRUNC(E26*G26,2)</f>
        <v>633.36</v>
      </c>
      <c r="I26" s="6">
        <f>48.08+61.12</f>
        <v>109.19999999999999</v>
      </c>
      <c r="J26" s="6">
        <f>(4*1.1*1.25+4*1.15*1.35*4*1.15*1+6*0.9*1.05+1*1.4*1.2+2*1.05*1.15+1*1.35*1.2+1.7*1.55)</f>
        <v>48.085999999999999</v>
      </c>
      <c r="K26" s="6">
        <f>((6.51+6.51+7.51+7.51+4+4.16+4.16+3.83*3+8.2+1.51+1.71*2+2.62+4.21+17.55+4.21*2+3.81*4+1.91*2+3.97+5.71+2.31*3+5.47)*0.44)</f>
        <v>61.124799999999979</v>
      </c>
      <c r="L26" s="6">
        <f>(1.7*6+2.35*6+2.3*2+2.05*2)*(0.72)</f>
        <v>23.759999999999998</v>
      </c>
      <c r="M26" s="6" t="s">
        <v>12782</v>
      </c>
    </row>
    <row r="27" spans="1:13" ht="45" outlineLevel="2">
      <c r="A27" s="297" t="s">
        <v>13008</v>
      </c>
      <c r="B27" s="247">
        <v>94962</v>
      </c>
      <c r="C27" s="439" t="str">
        <f>IFERROR(VLOOKUP(B27,comp_nãodes,2,FALSE),VLOOKUP(B27,insnãodes,2,FALSE))</f>
        <v>CONCRETO MAGRO PARA LASTRO, TRAÇO 1:4,5:4,5 (CIMENTO/ AREIA MÉDIA/ BRITA 1)  - PREPARO MECÂNICO COM BETONEIRA 400 L. AF_07/2016</v>
      </c>
      <c r="D27" s="294" t="str">
        <f>IFERROR(VLOOKUP(B27,comp_nãodes,3,FALSE),VLOOKUP(B27,insnãodes,3,FALSE))</f>
        <v>M3</v>
      </c>
      <c r="E27" s="432">
        <v>5.45</v>
      </c>
      <c r="F27" s="426">
        <f t="shared" si="5"/>
        <v>261.25</v>
      </c>
      <c r="G27" s="426">
        <f>TRUNC(F27*(1+$G$2),2)</f>
        <v>326.56</v>
      </c>
      <c r="H27" s="431">
        <f t="shared" si="8"/>
        <v>1779.75</v>
      </c>
      <c r="I27" s="6">
        <f>2.4+3.05</f>
        <v>5.4499999999999993</v>
      </c>
      <c r="J27" s="6">
        <f>(4*1.1*1.25+4*1.15*1.35*4*1.15*1+6*0.9*1.05+1*1.4*1.2+2*1.05*1.15+1*1.35*1.2+1.7*1.55)*0.05</f>
        <v>2.4043000000000001</v>
      </c>
      <c r="K27" s="6">
        <f>((6.51+6.51+7.51+7.51+4+4.16+4.16+3.83*3+8.2+1.51+1.71*2+2.62+4.21+17.55+4.21*2+3.81*4+1.91*2+3.97+5.71+2.31*3+5.47)*0.44*0.05)</f>
        <v>3.056239999999999</v>
      </c>
    </row>
    <row r="28" spans="1:13" ht="30" outlineLevel="2">
      <c r="A28" s="297" t="s">
        <v>13009</v>
      </c>
      <c r="B28" s="247">
        <v>93382</v>
      </c>
      <c r="C28" s="439" t="str">
        <f>IFERROR(VLOOKUP(B28,comp_nãodes,2,FALSE),VLOOKUP(B28,insnãodes,2,FALSE))</f>
        <v>REATERRO MANUAL DE VALAS COM COMPACTAÇÃO MECANIZADA. AF_04/2016</v>
      </c>
      <c r="D28" s="294" t="str">
        <f>IFERROR(VLOOKUP(B28,comp_nãodes,3,FALSE),VLOOKUP(B28,insnãodes,3,FALSE))</f>
        <v>M3</v>
      </c>
      <c r="E28" s="432">
        <v>62.28</v>
      </c>
      <c r="F28" s="426">
        <f t="shared" si="5"/>
        <v>21.52</v>
      </c>
      <c r="G28" s="426">
        <f>TRUNC(F28*(1+$G$2),2)</f>
        <v>26.9</v>
      </c>
      <c r="H28" s="431">
        <f t="shared" si="8"/>
        <v>1675.33</v>
      </c>
      <c r="J28" s="6">
        <f>(48.08+25.46)-(5.45+5.81)</f>
        <v>62.279999999999994</v>
      </c>
    </row>
    <row r="29" spans="1:13" ht="15.75" outlineLevel="2">
      <c r="A29" s="297"/>
      <c r="B29" s="294"/>
      <c r="C29" s="439"/>
      <c r="D29" s="294"/>
      <c r="E29" s="432"/>
      <c r="F29" s="426"/>
      <c r="G29" s="428" t="s">
        <v>11684</v>
      </c>
      <c r="H29" s="429">
        <f>SUM(H24:H28)</f>
        <v>8794.119999999999</v>
      </c>
    </row>
    <row r="30" spans="1:13" ht="15.75" outlineLevel="2">
      <c r="A30" s="296" t="s">
        <v>12854</v>
      </c>
      <c r="B30" s="294"/>
      <c r="C30" s="441" t="s">
        <v>12735</v>
      </c>
      <c r="D30" s="294"/>
      <c r="E30" s="426"/>
      <c r="F30" s="426"/>
      <c r="G30" s="426"/>
      <c r="H30" s="427"/>
    </row>
    <row r="31" spans="1:13" ht="45" outlineLevel="2">
      <c r="A31" s="297" t="s">
        <v>13010</v>
      </c>
      <c r="B31" s="308">
        <v>96535</v>
      </c>
      <c r="C31" s="439" t="str">
        <f>IFERROR(VLOOKUP(B31,comp_nãodes,2,FALSE),VLOOKUP(B31,insnãodes,2,FALSE))</f>
        <v>FABRICAÇÃO, MONTAGEM E DESMONTAGEM DE FÔRMA PARA SAPATA, EM MADEIRA SERRADA, E=25 MM, 4 UTILIZAÇÕES. AF_06/2017</v>
      </c>
      <c r="D31" s="294" t="str">
        <f>IFERROR(VLOOKUP(B31,comp_nãodes,3,FALSE),VLOOKUP(B31,insnãodes,3,FALSE))</f>
        <v>M2</v>
      </c>
      <c r="E31" s="426">
        <v>28.63</v>
      </c>
      <c r="F31" s="426">
        <f t="shared" si="5"/>
        <v>96.01</v>
      </c>
      <c r="G31" s="426">
        <f>TRUNC(F31*(1+$G$2),2)</f>
        <v>120.01</v>
      </c>
      <c r="H31" s="431">
        <f t="shared" ref="H31:H34" si="9">TRUNC(E31*G31,2)</f>
        <v>3435.88</v>
      </c>
      <c r="I31" s="310">
        <f>J31+K31</f>
        <v>28.630000000000003</v>
      </c>
      <c r="J31" s="295">
        <v>20.71</v>
      </c>
      <c r="K31" s="6">
        <f>(1.7*6+2.35*6+2.3*2+2.05*2)*(0.12*2)</f>
        <v>7.92</v>
      </c>
      <c r="L31" s="6" t="s">
        <v>12782</v>
      </c>
    </row>
    <row r="32" spans="1:13" ht="45" outlineLevel="2">
      <c r="A32" s="297" t="s">
        <v>13011</v>
      </c>
      <c r="B32" s="247">
        <v>94971</v>
      </c>
      <c r="C32" s="439" t="str">
        <f>IFERROR(VLOOKUP(B32,comp_nãodes,2,FALSE),VLOOKUP(B32,insnãodes,2,FALSE))</f>
        <v>CONCRETO FCK = 25MPA, TRAÇO 1:2,3:2,7 (CIMENTO/ AREIA MÉDIA/ BRITA 1)  - PREPARO MECÂNICO COM BETONEIRA 600 L. AF_07/2016</v>
      </c>
      <c r="D32" s="294" t="str">
        <f>IFERROR(VLOOKUP(B32,comp_nãodes,3,FALSE),VLOOKUP(B32,insnãodes,3,FALSE))</f>
        <v>M3</v>
      </c>
      <c r="E32" s="426">
        <v>5.81</v>
      </c>
      <c r="F32" s="426">
        <f t="shared" si="5"/>
        <v>324.27999999999997</v>
      </c>
      <c r="G32" s="426">
        <f>TRUNC(F32*(1+$G$2),2)</f>
        <v>405.35</v>
      </c>
      <c r="H32" s="431">
        <f t="shared" si="9"/>
        <v>2355.08</v>
      </c>
      <c r="I32" s="310">
        <f>J32+K32</f>
        <v>5.8079999999999998</v>
      </c>
      <c r="J32" s="295">
        <v>4.62</v>
      </c>
      <c r="K32" s="6">
        <f>(1.7*6+2.35*6+2.3*2+2.05*2)*(0.12*0.3)</f>
        <v>1.1879999999999999</v>
      </c>
      <c r="L32" s="6" t="s">
        <v>12782</v>
      </c>
    </row>
    <row r="33" spans="1:12" ht="30" outlineLevel="2">
      <c r="A33" s="297" t="s">
        <v>13012</v>
      </c>
      <c r="B33" s="247" t="s">
        <v>3188</v>
      </c>
      <c r="C33" s="439" t="str">
        <f>IFERROR(VLOOKUP(B33,comp_nãodes,2,FALSE),VLOOKUP(B33,insnãodes,2,FALSE))</f>
        <v>LANCAMENTO/APLICACAO MANUAL DE CONCRETO EM FUNDACOES</v>
      </c>
      <c r="D33" s="294" t="str">
        <f>IFERROR(VLOOKUP(B33,comp_nãodes,3,FALSE),VLOOKUP(B33,insnãodes,3,FALSE))</f>
        <v>M3</v>
      </c>
      <c r="E33" s="426">
        <f>E32</f>
        <v>5.81</v>
      </c>
      <c r="F33" s="426">
        <f t="shared" si="5"/>
        <v>104.64</v>
      </c>
      <c r="G33" s="426">
        <f>TRUNC(F33*(1+$G$2),2)</f>
        <v>130.80000000000001</v>
      </c>
      <c r="H33" s="431">
        <f t="shared" si="9"/>
        <v>759.94</v>
      </c>
    </row>
    <row r="34" spans="1:12" ht="30" outlineLevel="2">
      <c r="A34" s="297" t="s">
        <v>13013</v>
      </c>
      <c r="B34" s="247">
        <v>96545</v>
      </c>
      <c r="C34" s="439" t="str">
        <f>IFERROR(VLOOKUP(B34,comp_nãodes,2,FALSE),VLOOKUP(B34,insnãodes,2,FALSE))</f>
        <v>ARMAÇÃO DE BLOCO, VIGA BALDRAME OU SAPATA UTILIZANDO AÇO CA-50 DE 8 MM - MONTAGEM. AF_06/2017</v>
      </c>
      <c r="D34" s="294" t="str">
        <f>IFERROR(VLOOKUP(B34,comp_nãodes,3,FALSE),VLOOKUP(B34,insnãodes,3,FALSE))</f>
        <v>KG</v>
      </c>
      <c r="E34" s="426">
        <v>232.02</v>
      </c>
      <c r="F34" s="426">
        <f t="shared" si="5"/>
        <v>9.6199999999999992</v>
      </c>
      <c r="G34" s="426">
        <f>TRUNC(F34*(1+$G$2),2)</f>
        <v>12.02</v>
      </c>
      <c r="H34" s="431">
        <f t="shared" si="9"/>
        <v>2788.88</v>
      </c>
      <c r="I34" s="6">
        <f>J34+K34</f>
        <v>232.01999999999998</v>
      </c>
      <c r="J34" s="6">
        <f>152.2*0.9</f>
        <v>136.97999999999999</v>
      </c>
      <c r="K34" s="6">
        <f>K32*80</f>
        <v>95.039999999999992</v>
      </c>
      <c r="L34" s="6" t="s">
        <v>12783</v>
      </c>
    </row>
    <row r="35" spans="1:12" ht="15.75" outlineLevel="2">
      <c r="A35" s="297"/>
      <c r="B35" s="294"/>
      <c r="C35" s="441"/>
      <c r="D35" s="294"/>
      <c r="E35" s="426"/>
      <c r="F35" s="426"/>
      <c r="G35" s="428" t="s">
        <v>11684</v>
      </c>
      <c r="H35" s="429">
        <f>SUM(H31:H34)</f>
        <v>9339.7799999999988</v>
      </c>
    </row>
    <row r="36" spans="1:12" ht="15.75" outlineLevel="2">
      <c r="A36" s="296" t="s">
        <v>12855</v>
      </c>
      <c r="B36" s="294"/>
      <c r="C36" s="441" t="s">
        <v>12736</v>
      </c>
      <c r="D36" s="294"/>
      <c r="E36" s="426"/>
      <c r="F36" s="426"/>
      <c r="G36" s="426"/>
      <c r="H36" s="427"/>
    </row>
    <row r="37" spans="1:12" ht="15.75" outlineLevel="2">
      <c r="A37" s="296"/>
      <c r="B37" s="294"/>
      <c r="C37" s="441" t="s">
        <v>65</v>
      </c>
      <c r="D37" s="294"/>
      <c r="E37" s="426"/>
      <c r="F37" s="426"/>
      <c r="G37" s="426"/>
      <c r="H37" s="427"/>
    </row>
    <row r="38" spans="1:12" ht="75" outlineLevel="2">
      <c r="A38" s="297" t="s">
        <v>13014</v>
      </c>
      <c r="B38" s="247">
        <v>92426</v>
      </c>
      <c r="C38" s="439" t="str">
        <f t="shared" ref="C38:C43" si="10">IFERROR(VLOOKUP(B38,comp_nãodes,2,FALSE),VLOOKUP(B38,insnãodes,2,FALSE))</f>
        <v>MONTAGEM E DESMONTAGEM DE FÔRMA DE PILARES RETANGULARES E ESTRUTURAS SIMILARES COM ÁREA MÉDIA DAS SEÇÕES MENOR OU IGUAL A 0,25 M², PÉ-DIREITO SIMPLES, EM CHAPA DE MADEIRA COMPENSADA RESINADA, 8 UTILIZAÇÕES. AF_12/2015</v>
      </c>
      <c r="D38" s="294" t="str">
        <f t="shared" ref="D38:D43" si="11">IFERROR(VLOOKUP(B38,comp_nãodes,3,FALSE),VLOOKUP(B38,insnãodes,3,FALSE))</f>
        <v>M2</v>
      </c>
      <c r="E38" s="426">
        <v>110.45</v>
      </c>
      <c r="F38" s="426">
        <f t="shared" si="5"/>
        <v>46.74</v>
      </c>
      <c r="G38" s="426">
        <f t="shared" ref="G38:G43" si="12">TRUNC(F38*(1+$G$2),2)</f>
        <v>58.42</v>
      </c>
      <c r="H38" s="431">
        <f t="shared" ref="H38:H51" si="13">TRUNC(E38*G38,2)</f>
        <v>6452.48</v>
      </c>
      <c r="I38" s="6">
        <f>J38+K38</f>
        <v>110.452</v>
      </c>
      <c r="J38" s="6">
        <v>91.3</v>
      </c>
      <c r="K38" s="6">
        <f>8*(0.12*2+0.3*2)*2.85</f>
        <v>19.152000000000001</v>
      </c>
      <c r="L38" s="6" t="s">
        <v>12782</v>
      </c>
    </row>
    <row r="39" spans="1:12" ht="45" outlineLevel="2">
      <c r="A39" s="297" t="s">
        <v>13015</v>
      </c>
      <c r="B39" s="247">
        <v>94971</v>
      </c>
      <c r="C39" s="439" t="str">
        <f t="shared" si="10"/>
        <v>CONCRETO FCK = 25MPA, TRAÇO 1:2,3:2,7 (CIMENTO/ AREIA MÉDIA/ BRITA 1)  - PREPARO MECÂNICO COM BETONEIRA 600 L. AF_07/2016</v>
      </c>
      <c r="D39" s="294" t="str">
        <f t="shared" si="11"/>
        <v>M3</v>
      </c>
      <c r="E39" s="426">
        <v>5.18</v>
      </c>
      <c r="F39" s="426">
        <f t="shared" si="5"/>
        <v>324.27999999999997</v>
      </c>
      <c r="G39" s="426">
        <f t="shared" si="12"/>
        <v>405.35</v>
      </c>
      <c r="H39" s="431">
        <f t="shared" si="13"/>
        <v>2099.71</v>
      </c>
      <c r="I39" s="6">
        <f>J39+K39</f>
        <v>5.1808000000000005</v>
      </c>
      <c r="J39" s="6">
        <v>4.3600000000000003</v>
      </c>
      <c r="K39" s="6">
        <f>8*(0.12*0.3)*2.85</f>
        <v>0.82079999999999997</v>
      </c>
    </row>
    <row r="40" spans="1:12" ht="30" outlineLevel="2">
      <c r="A40" s="297" t="s">
        <v>13016</v>
      </c>
      <c r="B40" s="254">
        <v>92873</v>
      </c>
      <c r="C40" s="439" t="str">
        <f t="shared" si="10"/>
        <v>LANÇAMENTO COM USO DE BALDES, ADENSAMENTO E ACABAMENTO DE CONCRETO EM ESTRUTURAS. AF_12/2015</v>
      </c>
      <c r="D40" s="294" t="str">
        <f t="shared" si="11"/>
        <v>M3</v>
      </c>
      <c r="E40" s="426">
        <f>E39</f>
        <v>5.18</v>
      </c>
      <c r="F40" s="426">
        <f t="shared" si="5"/>
        <v>162.15</v>
      </c>
      <c r="G40" s="426">
        <f t="shared" si="12"/>
        <v>202.68</v>
      </c>
      <c r="H40" s="431">
        <f t="shared" si="13"/>
        <v>1049.8800000000001</v>
      </c>
    </row>
    <row r="41" spans="1:12" ht="60" outlineLevel="2">
      <c r="A41" s="297" t="s">
        <v>13017</v>
      </c>
      <c r="B41" s="247">
        <v>92775</v>
      </c>
      <c r="C41" s="439" t="str">
        <f t="shared" si="10"/>
        <v>ARMAÇÃO DE PILAR OU VIGA DE UMA ESTRUTURA CONVENCIONAL DE CONCRETO ARMADO EM UMA EDIFICAÇÃO TÉRREA OU SOBRADO UTILIZANDO AÇO CA-60 DE 5,0 MM - MONTAGEM. AF_12/2015</v>
      </c>
      <c r="D41" s="294" t="str">
        <f t="shared" si="11"/>
        <v>KG</v>
      </c>
      <c r="E41" s="426">
        <v>115.38</v>
      </c>
      <c r="F41" s="426">
        <f t="shared" si="5"/>
        <v>12.18</v>
      </c>
      <c r="G41" s="426">
        <f t="shared" si="12"/>
        <v>15.22</v>
      </c>
      <c r="H41" s="431">
        <f t="shared" si="13"/>
        <v>1756.08</v>
      </c>
      <c r="J41" s="6">
        <f>128.2*0.9</f>
        <v>115.38</v>
      </c>
    </row>
    <row r="42" spans="1:12" ht="60" outlineLevel="2">
      <c r="A42" s="297" t="s">
        <v>13018</v>
      </c>
      <c r="B42" s="247">
        <v>92778</v>
      </c>
      <c r="C42" s="439" t="str">
        <f t="shared" si="10"/>
        <v>ARMAÇÃO DE PILAR OU VIGA DE UMA ESTRUTURA CONVENCIONAL DE CONCRETO ARMADO EM UMA EDIFICAÇÃO TÉRREA OU SOBRADO UTILIZANDO AÇO CA-50 DE 10,0 MM - MONTAGEM. AF_12/2015</v>
      </c>
      <c r="D42" s="294" t="str">
        <f t="shared" si="11"/>
        <v>KG</v>
      </c>
      <c r="E42" s="426">
        <v>339.98</v>
      </c>
      <c r="F42" s="426">
        <f t="shared" si="5"/>
        <v>8.31</v>
      </c>
      <c r="G42" s="426">
        <f t="shared" si="12"/>
        <v>10.38</v>
      </c>
      <c r="H42" s="431">
        <f t="shared" si="13"/>
        <v>3528.99</v>
      </c>
      <c r="I42" s="6">
        <f>J42+K42</f>
        <v>339.98399999999998</v>
      </c>
      <c r="J42" s="6">
        <f>304.8*0.9</f>
        <v>274.32</v>
      </c>
      <c r="K42" s="6">
        <f>K39*80</f>
        <v>65.664000000000001</v>
      </c>
      <c r="L42" s="6" t="s">
        <v>12781</v>
      </c>
    </row>
    <row r="43" spans="1:12" ht="60" outlineLevel="2">
      <c r="A43" s="297" t="s">
        <v>13019</v>
      </c>
      <c r="B43" s="247">
        <v>92779</v>
      </c>
      <c r="C43" s="439" t="str">
        <f t="shared" si="10"/>
        <v>ARMAÇÃO DE PILAR OU VIGA DE UMA ESTRUTURA CONVENCIONAL DE CONCRETO ARMADO EM UMA EDIFICAÇÃO TÉRREA OU SOBRADO UTILIZANDO AÇO CA-50 DE 12,5 MM - MONTAGEM. AF_12/2015</v>
      </c>
      <c r="D43" s="294" t="str">
        <f t="shared" si="11"/>
        <v>KG</v>
      </c>
      <c r="E43" s="426">
        <v>46.98</v>
      </c>
      <c r="F43" s="426">
        <f t="shared" si="5"/>
        <v>6.85</v>
      </c>
      <c r="G43" s="426">
        <f t="shared" si="12"/>
        <v>8.56</v>
      </c>
      <c r="H43" s="431">
        <f t="shared" si="13"/>
        <v>402.14</v>
      </c>
      <c r="J43" s="6">
        <f>52.2*0.9</f>
        <v>46.980000000000004</v>
      </c>
    </row>
    <row r="44" spans="1:12" ht="15.75" outlineLevel="2">
      <c r="A44" s="297"/>
      <c r="B44" s="294"/>
      <c r="C44" s="441" t="s">
        <v>66</v>
      </c>
      <c r="D44" s="294"/>
      <c r="E44" s="426"/>
      <c r="F44" s="426"/>
      <c r="G44" s="426"/>
      <c r="H44" s="431"/>
    </row>
    <row r="45" spans="1:12" ht="60" outlineLevel="2">
      <c r="A45" s="297" t="s">
        <v>13020</v>
      </c>
      <c r="B45" s="247">
        <v>92463</v>
      </c>
      <c r="C45" s="439" t="str">
        <f t="shared" ref="C45:C51" si="14">IFERROR(VLOOKUP(B45,comp_nãodes,2,FALSE),VLOOKUP(B45,insnãodes,2,FALSE))</f>
        <v>MONTAGEM E DESMONTAGEM DE FÔRMA DE VIGA, ESCORAMENTO COM GARFO DE MADEIRA, PÉ-DIREITO SIMPLES, EM CHAPA DE MADEIRA RESINADA, 8 UTILIZAÇÕES. AF_12/2015</v>
      </c>
      <c r="D45" s="294" t="str">
        <f t="shared" ref="D45:D51" si="15">IFERROR(VLOOKUP(B45,comp_nãodes,3,FALSE),VLOOKUP(B45,insnãodes,3,FALSE))</f>
        <v>M2</v>
      </c>
      <c r="E45" s="426">
        <v>250.14</v>
      </c>
      <c r="F45" s="426">
        <f t="shared" si="5"/>
        <v>74.819999999999993</v>
      </c>
      <c r="G45" s="426">
        <f t="shared" ref="G45:G51" si="16">TRUNC(F45*(1+$G$2),2)</f>
        <v>93.52</v>
      </c>
      <c r="H45" s="431">
        <f t="shared" si="13"/>
        <v>23393.09</v>
      </c>
      <c r="I45" s="310">
        <f>J45+K45</f>
        <v>250.14</v>
      </c>
      <c r="J45" s="295">
        <v>232.32</v>
      </c>
      <c r="K45" s="6">
        <f>(1.7*6+2.35*6+2.3*2+2.05*2)*(0.12*2+0.3)</f>
        <v>17.82</v>
      </c>
      <c r="L45" s="6" t="s">
        <v>12782</v>
      </c>
    </row>
    <row r="46" spans="1:12" ht="45" outlineLevel="2">
      <c r="A46" s="297" t="s">
        <v>13021</v>
      </c>
      <c r="B46" s="247">
        <v>94971</v>
      </c>
      <c r="C46" s="439" t="str">
        <f t="shared" si="14"/>
        <v>CONCRETO FCK = 25MPA, TRAÇO 1:2,3:2,7 (CIMENTO/ AREIA MÉDIA/ BRITA 1)  - PREPARO MECÂNICO COM BETONEIRA 600 L. AF_07/2016</v>
      </c>
      <c r="D46" s="294" t="str">
        <f t="shared" si="15"/>
        <v>M3</v>
      </c>
      <c r="E46" s="426">
        <v>14.45</v>
      </c>
      <c r="F46" s="426">
        <f t="shared" si="5"/>
        <v>324.27999999999997</v>
      </c>
      <c r="G46" s="426">
        <f t="shared" si="16"/>
        <v>405.35</v>
      </c>
      <c r="H46" s="431">
        <f t="shared" si="13"/>
        <v>5857.3</v>
      </c>
      <c r="I46" s="310">
        <f>J46+K46</f>
        <v>14.448</v>
      </c>
      <c r="J46" s="295">
        <v>13.26</v>
      </c>
      <c r="K46" s="6">
        <f>(1.7*6+2.35*6+2.3*2+2.05*2)*(0.12*0.3)</f>
        <v>1.1879999999999999</v>
      </c>
      <c r="L46" s="6" t="s">
        <v>12782</v>
      </c>
    </row>
    <row r="47" spans="1:12" ht="30" outlineLevel="2">
      <c r="A47" s="297" t="s">
        <v>13022</v>
      </c>
      <c r="B47" s="254">
        <v>92873</v>
      </c>
      <c r="C47" s="439" t="str">
        <f t="shared" si="14"/>
        <v>LANÇAMENTO COM USO DE BALDES, ADENSAMENTO E ACABAMENTO DE CONCRETO EM ESTRUTURAS. AF_12/2015</v>
      </c>
      <c r="D47" s="294" t="str">
        <f t="shared" si="15"/>
        <v>M3</v>
      </c>
      <c r="E47" s="426">
        <f>E46</f>
        <v>14.45</v>
      </c>
      <c r="F47" s="426">
        <f t="shared" si="5"/>
        <v>162.15</v>
      </c>
      <c r="G47" s="426">
        <f t="shared" si="16"/>
        <v>202.68</v>
      </c>
      <c r="H47" s="431">
        <f t="shared" si="13"/>
        <v>2928.72</v>
      </c>
    </row>
    <row r="48" spans="1:12" ht="60" outlineLevel="2">
      <c r="A48" s="297" t="s">
        <v>13023</v>
      </c>
      <c r="B48" s="247">
        <v>92775</v>
      </c>
      <c r="C48" s="439" t="str">
        <f t="shared" si="14"/>
        <v>ARMAÇÃO DE PILAR OU VIGA DE UMA ESTRUTURA CONVENCIONAL DE CONCRETO ARMADO EM UMA EDIFICAÇÃO TÉRREA OU SOBRADO UTILIZANDO AÇO CA-60 DE 5,0 MM - MONTAGEM. AF_12/2015</v>
      </c>
      <c r="D48" s="294" t="str">
        <f t="shared" si="15"/>
        <v>KG</v>
      </c>
      <c r="E48" s="426">
        <v>216.72</v>
      </c>
      <c r="F48" s="426">
        <f t="shared" si="5"/>
        <v>12.18</v>
      </c>
      <c r="G48" s="426">
        <f t="shared" si="16"/>
        <v>15.22</v>
      </c>
      <c r="H48" s="431">
        <f t="shared" si="13"/>
        <v>3298.47</v>
      </c>
      <c r="J48" s="6">
        <f>240.8*0.9</f>
        <v>216.72000000000003</v>
      </c>
    </row>
    <row r="49" spans="1:12" ht="60" outlineLevel="2">
      <c r="A49" s="297" t="s">
        <v>13024</v>
      </c>
      <c r="B49" s="247">
        <v>92777</v>
      </c>
      <c r="C49" s="439" t="str">
        <f t="shared" si="14"/>
        <v>ARMAÇÃO DE PILAR OU VIGA DE UMA ESTRUTURA CONVENCIONAL DE CONCRETO ARMADO EM UMA EDIFICAÇÃO TÉRREA OU SOBRADO UTILIZANDO AÇO CA-50 DE 8,0 MM - MONTAGEM. AF_12/2015</v>
      </c>
      <c r="D49" s="294" t="str">
        <f t="shared" si="15"/>
        <v>KG</v>
      </c>
      <c r="E49" s="426">
        <v>544.14</v>
      </c>
      <c r="F49" s="426">
        <f t="shared" si="5"/>
        <v>9.61</v>
      </c>
      <c r="G49" s="426">
        <f t="shared" si="16"/>
        <v>12.01</v>
      </c>
      <c r="H49" s="431">
        <f t="shared" si="13"/>
        <v>6535.12</v>
      </c>
      <c r="I49" s="6">
        <f>J49+K49</f>
        <v>544.14</v>
      </c>
      <c r="J49" s="6">
        <f>499*0.9</f>
        <v>449.1</v>
      </c>
      <c r="K49" s="6">
        <f>K46*80</f>
        <v>95.039999999999992</v>
      </c>
      <c r="L49" s="6" t="s">
        <v>12783</v>
      </c>
    </row>
    <row r="50" spans="1:12" ht="60" outlineLevel="2">
      <c r="A50" s="297" t="s">
        <v>13025</v>
      </c>
      <c r="B50" s="247">
        <v>92778</v>
      </c>
      <c r="C50" s="439" t="str">
        <f t="shared" si="14"/>
        <v>ARMAÇÃO DE PILAR OU VIGA DE UMA ESTRUTURA CONVENCIONAL DE CONCRETO ARMADO EM UMA EDIFICAÇÃO TÉRREA OU SOBRADO UTILIZANDO AÇO CA-50 DE 10,0 MM - MONTAGEM. AF_12/2015</v>
      </c>
      <c r="D50" s="294" t="str">
        <f t="shared" si="15"/>
        <v>KG</v>
      </c>
      <c r="E50" s="426">
        <v>57.87</v>
      </c>
      <c r="F50" s="426">
        <f t="shared" si="5"/>
        <v>8.31</v>
      </c>
      <c r="G50" s="426">
        <f t="shared" si="16"/>
        <v>10.38</v>
      </c>
      <c r="H50" s="431">
        <f t="shared" si="13"/>
        <v>600.69000000000005</v>
      </c>
      <c r="J50" s="6">
        <f>64.3*0.9</f>
        <v>57.87</v>
      </c>
    </row>
    <row r="51" spans="1:12" ht="60" outlineLevel="2">
      <c r="A51" s="297" t="s">
        <v>13026</v>
      </c>
      <c r="B51" s="247">
        <v>92779</v>
      </c>
      <c r="C51" s="439" t="str">
        <f t="shared" si="14"/>
        <v>ARMAÇÃO DE PILAR OU VIGA DE UMA ESTRUTURA CONVENCIONAL DE CONCRETO ARMADO EM UMA EDIFICAÇÃO TÉRREA OU SOBRADO UTILIZANDO AÇO CA-50 DE 12,5 MM - MONTAGEM. AF_12/2015</v>
      </c>
      <c r="D51" s="294" t="str">
        <f t="shared" si="15"/>
        <v>KG</v>
      </c>
      <c r="E51" s="430">
        <v>100.35</v>
      </c>
      <c r="F51" s="426">
        <f t="shared" si="5"/>
        <v>6.85</v>
      </c>
      <c r="G51" s="426">
        <f t="shared" si="16"/>
        <v>8.56</v>
      </c>
      <c r="H51" s="431">
        <f t="shared" si="13"/>
        <v>858.99</v>
      </c>
      <c r="J51" s="6">
        <f>111.5*0.9</f>
        <v>100.35000000000001</v>
      </c>
    </row>
    <row r="52" spans="1:12" ht="15.75" outlineLevel="2">
      <c r="A52" s="297"/>
      <c r="B52" s="294"/>
      <c r="C52" s="441" t="s">
        <v>12778</v>
      </c>
      <c r="D52" s="294"/>
      <c r="E52" s="426"/>
      <c r="F52" s="426"/>
      <c r="G52" s="426"/>
      <c r="H52" s="431"/>
    </row>
    <row r="53" spans="1:12" ht="60" outlineLevel="2">
      <c r="A53" s="297" t="s">
        <v>13027</v>
      </c>
      <c r="B53" s="247" t="s">
        <v>3263</v>
      </c>
      <c r="C53" s="439" t="str">
        <f>IFERROR(VLOOKUP(B53,comp_nãodes,2,FALSE),VLOOKUP(B53,insnãodes,2,FALSE))</f>
        <v>LAJE PRE-MOLDADA P/FORRO, SOBRECARGA 100KG/M2, VAOS ATE 3,50M/E=8CM, C/LAJOTAS E CAP.C/CONC FCK=20MPA, 3CM, INTER-EIXO 38CM, C/ESCORAMENTO (REAPR.3X) E FERRAGEM NEGATIVA</v>
      </c>
      <c r="D53" s="294" t="str">
        <f>IFERROR(VLOOKUP(B53,comp_nãodes,3,FALSE),VLOOKUP(B53,insnãodes,3,FALSE))</f>
        <v>M2</v>
      </c>
      <c r="E53" s="430">
        <v>21.33</v>
      </c>
      <c r="F53" s="426">
        <f t="shared" si="5"/>
        <v>79.66</v>
      </c>
      <c r="G53" s="426">
        <f>TRUNC(F53*(1+$G$2),2)</f>
        <v>99.57</v>
      </c>
      <c r="H53" s="431">
        <f t="shared" ref="H53" si="17">TRUNC(E53*G53,2)</f>
        <v>2123.8200000000002</v>
      </c>
      <c r="J53" s="6">
        <f>5.7*2.65+2.35*2.65</f>
        <v>21.3325</v>
      </c>
      <c r="K53" s="6" t="s">
        <v>12772</v>
      </c>
    </row>
    <row r="54" spans="1:12" ht="15.75" outlineLevel="2">
      <c r="A54" s="297"/>
      <c r="B54" s="294"/>
      <c r="C54" s="439"/>
      <c r="D54" s="294"/>
      <c r="E54" s="432"/>
      <c r="F54" s="426"/>
      <c r="G54" s="428" t="s">
        <v>11684</v>
      </c>
      <c r="H54" s="429">
        <f>SUM(H38:H53)</f>
        <v>60885.48</v>
      </c>
    </row>
    <row r="55" spans="1:12" ht="15.75" outlineLevel="2">
      <c r="A55" s="296" t="s">
        <v>12856</v>
      </c>
      <c r="B55" s="294"/>
      <c r="C55" s="441" t="s">
        <v>439</v>
      </c>
      <c r="D55" s="294"/>
      <c r="E55" s="426"/>
      <c r="F55" s="426"/>
      <c r="G55" s="426"/>
      <c r="H55" s="427"/>
    </row>
    <row r="56" spans="1:12" ht="30" outlineLevel="2">
      <c r="A56" s="297" t="s">
        <v>13028</v>
      </c>
      <c r="B56" s="307" t="s">
        <v>3336</v>
      </c>
      <c r="C56" s="439" t="str">
        <f>IFERROR(VLOOKUP(B56,comp_nãodes,2,FALSE),VLOOKUP(B56,insnãodes,2,FALSE))</f>
        <v>IMPERMEABILIZACAO DE ESTRUTURAS ENTERRADAS, COM TINTA ASFALTICA, DUAS DEMAOS.</v>
      </c>
      <c r="D56" s="294" t="str">
        <f>IFERROR(VLOOKUP(B56,comp_nãodes,3,FALSE),VLOOKUP(B56,insnãodes,3,FALSE))</f>
        <v>M2</v>
      </c>
      <c r="E56" s="432">
        <v>109.2</v>
      </c>
      <c r="F56" s="426">
        <f t="shared" si="5"/>
        <v>9.89</v>
      </c>
      <c r="G56" s="426">
        <f>TRUNC(F56*(1+$G$2),2)</f>
        <v>12.36</v>
      </c>
      <c r="H56" s="431">
        <f t="shared" ref="H56" si="18">TRUNC(E56*G56,2)</f>
        <v>1349.71</v>
      </c>
      <c r="I56" s="6">
        <f>48.08+61.12</f>
        <v>109.19999999999999</v>
      </c>
      <c r="J56" s="6">
        <f>(4*1.1*1.25+4*1.15*1.35*4*1.15*1+6*0.9*1.05+1*1.4*1.2+2*1.05*1.15+1*1.35*1.2+1.7*1.55)</f>
        <v>48.085999999999999</v>
      </c>
      <c r="K56" s="6">
        <f>((6.51+6.51+7.51+7.51+4+4.16+4.16+3.83*3+8.2+1.51+1.71*2+2.62+4.21+17.55+4.21*2+3.81*4+1.91*2+3.97+5.71+2.31*3+5.47)*0.44)</f>
        <v>61.124799999999979</v>
      </c>
    </row>
    <row r="57" spans="1:12" ht="45" outlineLevel="2">
      <c r="A57" s="297" t="s">
        <v>13029</v>
      </c>
      <c r="B57" s="307">
        <v>98565</v>
      </c>
      <c r="C57" s="439" t="str">
        <f>IFERROR(VLOOKUP(B57,comp_nãodes,2,FALSE),VLOOKUP(B57,insnãodes,2,FALSE))</f>
        <v>PROTEÇÃO MECÂNICA DE SUPERFICIE HORIZONTAL COM ARGAMASSA DE CIMENTO E AREIA, TRAÇO 1:3, E=3CM. AF_06/2018</v>
      </c>
      <c r="D57" s="294" t="str">
        <f>IFERROR(VLOOKUP(B57,comp_nãodes,3,FALSE),VLOOKUP(B57,insnãodes,3,FALSE))</f>
        <v>M2</v>
      </c>
      <c r="E57" s="432">
        <f>E58</f>
        <v>21.33</v>
      </c>
      <c r="F57" s="426">
        <f t="shared" si="5"/>
        <v>35.630000000000003</v>
      </c>
      <c r="G57" s="426">
        <f>TRUNC(F57*(1+$G$2),2)</f>
        <v>44.53</v>
      </c>
      <c r="H57" s="431">
        <f t="shared" ref="H57:H58" si="19">TRUNC(E57*G57,2)</f>
        <v>949.82</v>
      </c>
    </row>
    <row r="58" spans="1:12" ht="45" outlineLevel="2">
      <c r="A58" s="297" t="s">
        <v>13030</v>
      </c>
      <c r="B58" s="307">
        <v>98547</v>
      </c>
      <c r="C58" s="439" t="str">
        <f>IFERROR(VLOOKUP(B58,comp_nãodes,2,FALSE),VLOOKUP(B58,insnãodes,2,FALSE))</f>
        <v>IMPERMEABILIZAÇÃO DE SUPERFÍCIE COM MANTA ASFÁLTICA, DUAS CAMADAS, INCLUSIVE APLICAÇÃO DE PRIMER ASFÁLTICO, E=3MM E E=4MM. AF_06/2018</v>
      </c>
      <c r="D58" s="294" t="str">
        <f>IFERROR(VLOOKUP(B58,comp_nãodes,3,FALSE),VLOOKUP(B58,insnãodes,3,FALSE))</f>
        <v>M2</v>
      </c>
      <c r="E58" s="432">
        <v>21.33</v>
      </c>
      <c r="F58" s="426">
        <f t="shared" si="5"/>
        <v>146.75</v>
      </c>
      <c r="G58" s="426">
        <f>TRUNC(F58*(1+$G$2),2)</f>
        <v>183.43</v>
      </c>
      <c r="H58" s="431">
        <f t="shared" si="19"/>
        <v>3912.56</v>
      </c>
      <c r="J58" s="6">
        <f>5.7*2.65+2.35*2.65</f>
        <v>21.3325</v>
      </c>
      <c r="K58" s="6" t="s">
        <v>12772</v>
      </c>
    </row>
    <row r="59" spans="1:12" ht="15.75" outlineLevel="2">
      <c r="A59" s="297"/>
      <c r="B59" s="294"/>
      <c r="C59" s="439"/>
      <c r="D59" s="294"/>
      <c r="E59" s="432"/>
      <c r="F59" s="426"/>
      <c r="G59" s="428" t="s">
        <v>11684</v>
      </c>
      <c r="H59" s="429">
        <f>SUM(H56:H58)</f>
        <v>6212.09</v>
      </c>
    </row>
    <row r="60" spans="1:12" ht="15.75" outlineLevel="2">
      <c r="A60" s="296" t="s">
        <v>12857</v>
      </c>
      <c r="B60" s="294"/>
      <c r="C60" s="441" t="s">
        <v>31</v>
      </c>
      <c r="D60" s="294"/>
      <c r="E60" s="426"/>
      <c r="F60" s="426"/>
      <c r="G60" s="426"/>
      <c r="H60" s="427"/>
    </row>
    <row r="61" spans="1:12" ht="60" outlineLevel="2">
      <c r="A61" s="297" t="s">
        <v>13031</v>
      </c>
      <c r="B61" s="307">
        <v>92620</v>
      </c>
      <c r="C61" s="439" t="str">
        <f>IFERROR(VLOOKUP(B61,comp_nãodes,2,FALSE),VLOOKUP(B61,insnãodes,2,FALSE))</f>
        <v>FABRICAÇÃO E INSTALAÇÃO DE TESOURA INTEIRA EM AÇO, VÃO DE 12 M, PARA TELHA ONDULADA DE FIBROCIMENTO, METÁLICA, PLÁSTICA OU TERMOACÚSTICA, INCLUSO IÇAMENTO. AF_12/2015</v>
      </c>
      <c r="D61" s="294" t="str">
        <f>IFERROR(VLOOKUP(B61,comp_nãodes,3,FALSE),VLOOKUP(B61,insnãodes,3,FALSE))</f>
        <v>UN</v>
      </c>
      <c r="E61" s="432">
        <v>7</v>
      </c>
      <c r="F61" s="426">
        <f t="shared" si="5"/>
        <v>1285.33</v>
      </c>
      <c r="G61" s="426">
        <f t="shared" ref="G61:G68" si="20">TRUNC(F61*(1+$G$2),2)</f>
        <v>1606.66</v>
      </c>
      <c r="H61" s="431">
        <f t="shared" ref="H61:H68" si="21">TRUNC(E61*G61,2)</f>
        <v>11246.62</v>
      </c>
      <c r="J61" s="6">
        <f>17.55/2.5</f>
        <v>7.0200000000000005</v>
      </c>
    </row>
    <row r="62" spans="1:12" ht="60" outlineLevel="2">
      <c r="A62" s="297" t="s">
        <v>13032</v>
      </c>
      <c r="B62" s="307">
        <v>92580</v>
      </c>
      <c r="C62" s="439" t="str">
        <f>IFERROR(VLOOKUP(B62,comp_nãodes,2,FALSE),VLOOKUP(B62,insnãodes,2,FALSE))</f>
        <v>TRAMA DE AÇO COMPOSTA POR TERÇAS PARA TELHADOS DE ATÉ 2 ÁGUAS PARA TELHA ONDULADA DE FIBROCIMENTO, METÁLICA, PLÁSTICA OU TERMOACÚSTICA, INCLUSO TRANSPORTE VERTICAL. AF_07/2019</v>
      </c>
      <c r="D62" s="294" t="str">
        <f>IFERROR(VLOOKUP(B62,comp_nãodes,3,FALSE),VLOOKUP(B62,insnãodes,3,FALSE))</f>
        <v>M2</v>
      </c>
      <c r="E62" s="432">
        <v>242.94</v>
      </c>
      <c r="F62" s="426">
        <f t="shared" si="5"/>
        <v>30.08</v>
      </c>
      <c r="G62" s="426">
        <f t="shared" si="20"/>
        <v>37.6</v>
      </c>
      <c r="H62" s="431">
        <f t="shared" si="21"/>
        <v>9134.5400000000009</v>
      </c>
      <c r="J62" s="6">
        <f>14.85*16.36</f>
        <v>242.946</v>
      </c>
    </row>
    <row r="63" spans="1:12" ht="60" outlineLevel="2">
      <c r="A63" s="297" t="s">
        <v>13033</v>
      </c>
      <c r="B63" s="290" t="s">
        <v>12742</v>
      </c>
      <c r="C63" s="439" t="s">
        <v>169</v>
      </c>
      <c r="D63" s="294" t="s">
        <v>117</v>
      </c>
      <c r="E63" s="432">
        <v>242.94</v>
      </c>
      <c r="F63" s="426">
        <f>'CPU-ARQ'!H76</f>
        <v>16.29</v>
      </c>
      <c r="G63" s="426">
        <f t="shared" si="20"/>
        <v>20.36</v>
      </c>
      <c r="H63" s="431">
        <f t="shared" si="21"/>
        <v>4946.25</v>
      </c>
      <c r="J63" s="6">
        <f>J62</f>
        <v>242.946</v>
      </c>
    </row>
    <row r="64" spans="1:12" ht="30" outlineLevel="2">
      <c r="A64" s="297" t="s">
        <v>13034</v>
      </c>
      <c r="B64" s="307">
        <v>94213</v>
      </c>
      <c r="C64" s="439" t="str">
        <f>IFERROR(VLOOKUP(B64,comp_nãodes,2,FALSE),VLOOKUP(B64,insnãodes,2,FALSE))</f>
        <v>TELHAMENTO COM TELHA DE AÇO/ALUMÍNIO E = 0,5 MM, COM ATÉ 2 ÁGUAS, INCLUSO IÇAMENTO. AF_07/2019</v>
      </c>
      <c r="D64" s="294" t="str">
        <f>IFERROR(VLOOKUP(B64,comp_nãodes,3,FALSE),VLOOKUP(B64,insnãodes,3,FALSE))</f>
        <v>M2</v>
      </c>
      <c r="E64" s="432">
        <v>242.94</v>
      </c>
      <c r="F64" s="426">
        <f t="shared" si="5"/>
        <v>41.92</v>
      </c>
      <c r="G64" s="426">
        <f t="shared" si="20"/>
        <v>52.4</v>
      </c>
      <c r="H64" s="431">
        <f t="shared" si="21"/>
        <v>12730.05</v>
      </c>
      <c r="J64" s="6">
        <f>J63</f>
        <v>242.946</v>
      </c>
    </row>
    <row r="65" spans="1:13" outlineLevel="2">
      <c r="A65" s="297" t="s">
        <v>13035</v>
      </c>
      <c r="B65" s="290" t="s">
        <v>11706</v>
      </c>
      <c r="C65" s="439" t="s">
        <v>12853</v>
      </c>
      <c r="D65" s="294" t="s">
        <v>35</v>
      </c>
      <c r="E65" s="432">
        <v>14.85</v>
      </c>
      <c r="F65" s="426">
        <f>'CPU-ARQ'!H23</f>
        <v>66.559999999999988</v>
      </c>
      <c r="G65" s="426">
        <f t="shared" si="20"/>
        <v>83.2</v>
      </c>
      <c r="H65" s="431">
        <f t="shared" si="21"/>
        <v>1235.52</v>
      </c>
      <c r="J65" s="6">
        <v>14.85</v>
      </c>
    </row>
    <row r="66" spans="1:13" ht="45" outlineLevel="2">
      <c r="A66" s="297" t="s">
        <v>13036</v>
      </c>
      <c r="B66" s="290">
        <v>94227</v>
      </c>
      <c r="C66" s="439" t="str">
        <f>IFERROR(VLOOKUP(B66,comp_nãodes,2,FALSE),VLOOKUP(B66,insnãodes,2,FALSE))</f>
        <v>CALHA EM CHAPA DE AÇO GALVANIZADO NÚMERO 24, DESENVOLVIMENTO DE 33 CM, INCLUSO TRANSPORTE VERTICAL. AF_07/2019</v>
      </c>
      <c r="D66" s="294" t="str">
        <f>IFERROR(VLOOKUP(B66,comp_nãodes,3,FALSE),VLOOKUP(B66,insnãodes,3,FALSE))</f>
        <v>M</v>
      </c>
      <c r="E66" s="432">
        <v>29.7</v>
      </c>
      <c r="F66" s="426">
        <f t="shared" si="5"/>
        <v>40.36</v>
      </c>
      <c r="G66" s="426">
        <f t="shared" si="20"/>
        <v>50.45</v>
      </c>
      <c r="H66" s="431">
        <f t="shared" si="21"/>
        <v>1498.36</v>
      </c>
      <c r="J66" s="6">
        <f>14.85*2</f>
        <v>29.7</v>
      </c>
    </row>
    <row r="67" spans="1:13" ht="45" outlineLevel="2">
      <c r="A67" s="297" t="s">
        <v>13037</v>
      </c>
      <c r="B67" s="290">
        <v>94231</v>
      </c>
      <c r="C67" s="439" t="str">
        <f>IFERROR(VLOOKUP(B67,comp_nãodes,2,FALSE),VLOOKUP(B67,insnãodes,2,FALSE))</f>
        <v>RUFO EM CHAPA DE AÇO GALVANIZADO NÚMERO 24, CORTE DE 25 CM, INCLUSO TRANSPORTE VERTICAL. AF_07/2019</v>
      </c>
      <c r="D67" s="294" t="str">
        <f>IFERROR(VLOOKUP(B67,comp_nãodes,3,FALSE),VLOOKUP(B67,insnãodes,3,FALSE))</f>
        <v>M</v>
      </c>
      <c r="E67" s="432">
        <v>35.1</v>
      </c>
      <c r="F67" s="426">
        <f t="shared" si="5"/>
        <v>32.67</v>
      </c>
      <c r="G67" s="426">
        <f t="shared" si="20"/>
        <v>40.83</v>
      </c>
      <c r="H67" s="431">
        <f t="shared" si="21"/>
        <v>1433.13</v>
      </c>
      <c r="J67" s="6">
        <f>17.55*2</f>
        <v>35.1</v>
      </c>
    </row>
    <row r="68" spans="1:13" ht="30" outlineLevel="2">
      <c r="A68" s="297" t="s">
        <v>13038</v>
      </c>
      <c r="B68" s="290" t="s">
        <v>11707</v>
      </c>
      <c r="C68" s="439" t="s">
        <v>11704</v>
      </c>
      <c r="D68" s="294" t="s">
        <v>117</v>
      </c>
      <c r="E68" s="432">
        <v>34.15</v>
      </c>
      <c r="F68" s="426">
        <f>'CPU-ARQ'!H34</f>
        <v>43.07</v>
      </c>
      <c r="G68" s="426">
        <f t="shared" si="20"/>
        <v>53.83</v>
      </c>
      <c r="H68" s="431">
        <f t="shared" si="21"/>
        <v>1838.29</v>
      </c>
      <c r="J68" s="6">
        <f>(0.55)*14.85*2</f>
        <v>16.335000000000001</v>
      </c>
    </row>
    <row r="69" spans="1:13" ht="15.75" outlineLevel="2">
      <c r="A69" s="298"/>
      <c r="B69" s="292"/>
      <c r="C69" s="440"/>
      <c r="D69" s="305"/>
      <c r="E69" s="428"/>
      <c r="F69" s="426"/>
      <c r="G69" s="428" t="s">
        <v>11684</v>
      </c>
      <c r="H69" s="429">
        <f>SUM(H61:H68)</f>
        <v>44062.76</v>
      </c>
    </row>
    <row r="70" spans="1:13" ht="15.75" outlineLevel="2">
      <c r="A70" s="296" t="s">
        <v>13039</v>
      </c>
      <c r="B70" s="294"/>
      <c r="C70" s="441" t="s">
        <v>12762</v>
      </c>
      <c r="D70" s="345"/>
      <c r="E70" s="432"/>
      <c r="F70" s="426"/>
      <c r="G70" s="432"/>
      <c r="H70" s="431"/>
    </row>
    <row r="71" spans="1:13" ht="75" outlineLevel="2">
      <c r="A71" s="297" t="s">
        <v>13040</v>
      </c>
      <c r="B71" s="307">
        <v>89168</v>
      </c>
      <c r="C71" s="439" t="str">
        <f t="shared" ref="C71:C78" si="22">IFERROR(VLOOKUP(B71,comp_nãodes,2,FALSE),VLOOKUP(B71,insnãodes,2,FALSE))</f>
        <v>(COMPOSIÇÃO REPRESENTATIVA) DO SERVIÇO DE ALVENARIA DE VEDAÇÃO DE BLOCOS VAZADOS DE CERÂMICA DE 9X19X19CM (ESPESSURA 9CM), PARA EDIFICAÇÃO HABITACIONAL UNIFAMILIAR (CASA) E EDIFICAÇÃO PÚBLICA PADRÃO. AF_11/2014</v>
      </c>
      <c r="D71" s="294" t="str">
        <f t="shared" ref="D71:D78" si="23">IFERROR(VLOOKUP(B71,comp_nãodes,3,FALSE),VLOOKUP(B71,insnãodes,3,FALSE))</f>
        <v>M2</v>
      </c>
      <c r="E71" s="430">
        <v>501.12</v>
      </c>
      <c r="F71" s="426">
        <f t="shared" si="5"/>
        <v>67.17</v>
      </c>
      <c r="G71" s="426">
        <f t="shared" ref="G71:G78" si="24">TRUNC(F71*(1+$G$2),2)</f>
        <v>83.96</v>
      </c>
      <c r="H71" s="431">
        <f t="shared" ref="H71" si="25">TRUNC(E71*G71,2)</f>
        <v>42074.03</v>
      </c>
      <c r="I71" s="6">
        <f>J71+L71</f>
        <v>501.23099999999999</v>
      </c>
      <c r="J71" s="6">
        <f>((6.5*2+4.15*2+3.9*2+2*2+3.9+6.5+5.28+2.82+1.5+1.7*2+7.5+7.2+17.55*2+4.2*2+3.8*3+1.9*2+2.3*3+5.7)*3.15)-(11*0.8*2.1+1.2*2.1+0.9*2.1+4.2+10.08+12.24+7.2)+(17.55*1.52/2*2)</f>
        <v>418.94100000000003</v>
      </c>
      <c r="L71" s="6">
        <f>(1.7*6+2.35*6+2.3*2+2.05*2)*2.85-(7*0.8*2.1)</f>
        <v>82.289999999999992</v>
      </c>
      <c r="M71" s="6" t="s">
        <v>12772</v>
      </c>
    </row>
    <row r="72" spans="1:13" ht="30" outlineLevel="2">
      <c r="A72" s="297" t="s">
        <v>13041</v>
      </c>
      <c r="B72" s="291">
        <v>93204</v>
      </c>
      <c r="C72" s="439" t="str">
        <f t="shared" si="22"/>
        <v>CINTA DE AMARRAÇÃO DE ALVENARIA MOLDADA IN LOCO EM CONCRETO. AF_03/2016</v>
      </c>
      <c r="D72" s="294" t="str">
        <f t="shared" si="23"/>
        <v>M</v>
      </c>
      <c r="E72" s="430">
        <v>175.5</v>
      </c>
      <c r="F72" s="426">
        <f t="shared" si="5"/>
        <v>31.32</v>
      </c>
      <c r="G72" s="426">
        <f t="shared" si="24"/>
        <v>39.15</v>
      </c>
      <c r="H72" s="431">
        <f t="shared" ref="H72" si="26">TRUNC(E72*G72,2)</f>
        <v>6870.82</v>
      </c>
      <c r="I72" s="6">
        <f>J72+L72</f>
        <v>175.50000000000003</v>
      </c>
      <c r="J72" s="6">
        <f>((6.5*2+4.15*2+3.9*2+2*2+3.9+6.5+5.28+2.82+1.5+1.7*2+7.5+7.2+17.55*2+4.2*2+3.8*3+1.9*2+2.3*3+5.7))</f>
        <v>142.50000000000003</v>
      </c>
      <c r="L72" s="6">
        <f>(1.7*6+2.35*6+2.3*2+2.05*2)</f>
        <v>33</v>
      </c>
      <c r="M72" s="6" t="s">
        <v>12772</v>
      </c>
    </row>
    <row r="73" spans="1:13" ht="30" outlineLevel="2">
      <c r="A73" s="297" t="s">
        <v>13042</v>
      </c>
      <c r="B73" s="307">
        <v>93188</v>
      </c>
      <c r="C73" s="439" t="str">
        <f t="shared" si="22"/>
        <v>VERGA MOLDADA IN LOCO EM CONCRETO PARA PORTAS COM ATÉ 1,5 M DE VÃO. AF_03/2016</v>
      </c>
      <c r="D73" s="294" t="str">
        <f t="shared" si="23"/>
        <v>M</v>
      </c>
      <c r="E73" s="430">
        <v>40.200000000000003</v>
      </c>
      <c r="F73" s="426">
        <f t="shared" si="5"/>
        <v>40.200000000000003</v>
      </c>
      <c r="G73" s="426">
        <f t="shared" si="24"/>
        <v>50.25</v>
      </c>
      <c r="H73" s="431">
        <f t="shared" ref="H73:H77" si="27">TRUNC(E73*G73,2)</f>
        <v>2020.05</v>
      </c>
      <c r="I73" s="6">
        <f>J73+L73</f>
        <v>40.199999999999996</v>
      </c>
      <c r="J73" s="6">
        <f>11*1.4+1*1.8+1*1.6+2*1.6+6*1.4</f>
        <v>30.4</v>
      </c>
      <c r="K73" s="6" t="s">
        <v>12761</v>
      </c>
      <c r="L73" s="6">
        <f>7*1.4</f>
        <v>9.7999999999999989</v>
      </c>
      <c r="M73" s="6" t="s">
        <v>12772</v>
      </c>
    </row>
    <row r="74" spans="1:13" ht="30" outlineLevel="2">
      <c r="A74" s="297" t="s">
        <v>13043</v>
      </c>
      <c r="B74" s="307">
        <v>93186</v>
      </c>
      <c r="C74" s="439" t="str">
        <f t="shared" si="22"/>
        <v>VERGA MOLDADA IN LOCO EM CONCRETO PARA JANELAS COM ATÉ 1,5 M DE VÃO. AF_03/2016</v>
      </c>
      <c r="D74" s="294" t="str">
        <f t="shared" si="23"/>
        <v>M</v>
      </c>
      <c r="E74" s="430">
        <v>32.200000000000003</v>
      </c>
      <c r="F74" s="426">
        <f t="shared" si="5"/>
        <v>40.729999999999997</v>
      </c>
      <c r="G74" s="426">
        <f t="shared" si="24"/>
        <v>50.91</v>
      </c>
      <c r="H74" s="431">
        <f t="shared" si="27"/>
        <v>1639.3</v>
      </c>
      <c r="J74" s="6">
        <f>17*1.8+1*1.6</f>
        <v>32.200000000000003</v>
      </c>
    </row>
    <row r="75" spans="1:13" ht="30" outlineLevel="2">
      <c r="A75" s="297" t="s">
        <v>13044</v>
      </c>
      <c r="B75" s="291">
        <v>93187</v>
      </c>
      <c r="C75" s="439" t="str">
        <f t="shared" si="22"/>
        <v>VERGA MOLDADA IN LOCO EM CONCRETO PARA JANELAS COM MAIS DE 1,5 M DE VÃO. AF_03/2016</v>
      </c>
      <c r="D75" s="294" t="str">
        <f t="shared" si="23"/>
        <v>M</v>
      </c>
      <c r="E75" s="430">
        <v>5.6</v>
      </c>
      <c r="F75" s="426">
        <f t="shared" si="5"/>
        <v>45.91</v>
      </c>
      <c r="G75" s="426">
        <f t="shared" si="24"/>
        <v>57.38</v>
      </c>
      <c r="H75" s="431">
        <f t="shared" si="27"/>
        <v>321.32</v>
      </c>
      <c r="J75" s="6">
        <f>1*5.6</f>
        <v>5.6</v>
      </c>
    </row>
    <row r="76" spans="1:13" ht="30" outlineLevel="2">
      <c r="A76" s="297" t="s">
        <v>13045</v>
      </c>
      <c r="B76" s="291">
        <v>93196</v>
      </c>
      <c r="C76" s="439" t="str">
        <f t="shared" si="22"/>
        <v>CONTRAVERGA MOLDADA IN LOCO EM CONCRETO PARA VÃOS DE ATÉ 1,5 M DE COMPRIMENTO. AF_03/2016</v>
      </c>
      <c r="D76" s="294" t="str">
        <f t="shared" si="23"/>
        <v>M</v>
      </c>
      <c r="E76" s="430">
        <v>32.200000000000003</v>
      </c>
      <c r="F76" s="426">
        <f t="shared" si="5"/>
        <v>38.770000000000003</v>
      </c>
      <c r="G76" s="426">
        <f t="shared" si="24"/>
        <v>48.46</v>
      </c>
      <c r="H76" s="431">
        <f t="shared" si="27"/>
        <v>1560.41</v>
      </c>
    </row>
    <row r="77" spans="1:13" ht="30" outlineLevel="2">
      <c r="A77" s="297" t="s">
        <v>13046</v>
      </c>
      <c r="B77" s="291">
        <v>93187</v>
      </c>
      <c r="C77" s="439" t="str">
        <f t="shared" si="22"/>
        <v>VERGA MOLDADA IN LOCO EM CONCRETO PARA JANELAS COM MAIS DE 1,5 M DE VÃO. AF_03/2016</v>
      </c>
      <c r="D77" s="294" t="str">
        <f t="shared" si="23"/>
        <v>M</v>
      </c>
      <c r="E77" s="430">
        <v>5.6</v>
      </c>
      <c r="F77" s="426">
        <f t="shared" si="5"/>
        <v>45.91</v>
      </c>
      <c r="G77" s="426">
        <f t="shared" si="24"/>
        <v>57.38</v>
      </c>
      <c r="H77" s="431">
        <f t="shared" si="27"/>
        <v>321.32</v>
      </c>
    </row>
    <row r="78" spans="1:13" ht="60" outlineLevel="2">
      <c r="A78" s="297" t="s">
        <v>13047</v>
      </c>
      <c r="B78" s="291" t="s">
        <v>5654</v>
      </c>
      <c r="C78" s="439" t="str">
        <f t="shared" si="22"/>
        <v>DIVISORIA EM MARMORITE ESPESSURA 35MM, CHUMBAMENTO NO PISO E PAREDE COM ARGAMASSA DE CIMENTO E AREIA, POLIMENTO MANUAL, EXCLUSIVE FERRAGENS</v>
      </c>
      <c r="D78" s="294" t="str">
        <f t="shared" si="23"/>
        <v>M2</v>
      </c>
      <c r="E78" s="430">
        <v>10.08</v>
      </c>
      <c r="F78" s="426">
        <f t="shared" si="5"/>
        <v>283.95999999999998</v>
      </c>
      <c r="G78" s="426">
        <f t="shared" si="24"/>
        <v>354.95</v>
      </c>
      <c r="H78" s="431">
        <f t="shared" ref="H78" si="28">TRUNC(E78*G78,2)</f>
        <v>3577.89</v>
      </c>
      <c r="J78" s="6">
        <f>5.6*1.8</f>
        <v>10.08</v>
      </c>
    </row>
    <row r="79" spans="1:13" ht="15.75" outlineLevel="2">
      <c r="A79" s="298"/>
      <c r="B79" s="292"/>
      <c r="C79" s="440"/>
      <c r="D79" s="305"/>
      <c r="E79" s="428"/>
      <c r="F79" s="426"/>
      <c r="G79" s="428" t="s">
        <v>11684</v>
      </c>
      <c r="H79" s="429">
        <f>SUM(H71:H78)</f>
        <v>58385.140000000007</v>
      </c>
    </row>
    <row r="80" spans="1:13" ht="15.75" outlineLevel="2">
      <c r="A80" s="296" t="s">
        <v>13048</v>
      </c>
      <c r="B80" s="294"/>
      <c r="C80" s="441" t="s">
        <v>11685</v>
      </c>
      <c r="D80" s="345"/>
      <c r="E80" s="432"/>
      <c r="F80" s="426"/>
      <c r="G80" s="432"/>
      <c r="H80" s="431"/>
    </row>
    <row r="81" spans="1:13" ht="75" outlineLevel="2">
      <c r="A81" s="297" t="s">
        <v>13049</v>
      </c>
      <c r="B81" s="307">
        <v>90843</v>
      </c>
      <c r="C81" s="439" t="str">
        <f>IFERROR(VLOOKUP(B81,comp_nãodes,2,FALSE),VLOOKUP(B81,insnãodes,2,FALSE))</f>
        <v>KIT DE PORTA DE MADEIRA PARA PINTURA, SEMI-OCA (LEVE OU MÉDIA), PADRÃO MÉDIO, 80X210CM, ESPESSURA DE 3,5CM, ITENS INCLUSOS: DOBRADIÇAS, MONTAGEM E INSTALAÇÃO DO BATENTE, FECHADURA COM EXECUÇÃO DO FURO - FORNECIMENTO E INSTALAÇÃO. AF_12/2019</v>
      </c>
      <c r="D81" s="294" t="str">
        <f>IFERROR(VLOOKUP(B81,comp_nãodes,3,FALSE),VLOOKUP(B81,insnãodes,3,FALSE))</f>
        <v>UN</v>
      </c>
      <c r="E81" s="430">
        <v>11</v>
      </c>
      <c r="F81" s="426">
        <f t="shared" ref="F81:F144" si="29">IFERROR(VLOOKUP(B81,comp_nãodes,4,FALSE),VLOOKUP(B81,insnãodes,4,FALSE))</f>
        <v>776.34</v>
      </c>
      <c r="G81" s="426">
        <f t="shared" ref="G81:G92" si="30">TRUNC(F81*(1+$G$2),2)</f>
        <v>970.42</v>
      </c>
      <c r="H81" s="431">
        <f t="shared" ref="H81:H84" si="31">TRUNC(E81*G81,2)</f>
        <v>10674.62</v>
      </c>
      <c r="J81" s="6">
        <v>11</v>
      </c>
      <c r="K81" s="6" t="s">
        <v>12744</v>
      </c>
    </row>
    <row r="82" spans="1:13" ht="30" outlineLevel="2">
      <c r="A82" s="297" t="s">
        <v>13050</v>
      </c>
      <c r="B82" s="291" t="s">
        <v>12748</v>
      </c>
      <c r="C82" s="442" t="s">
        <v>12745</v>
      </c>
      <c r="D82" s="294" t="s">
        <v>11525</v>
      </c>
      <c r="E82" s="430">
        <v>1</v>
      </c>
      <c r="F82" s="426">
        <f>'CPU-ARQ'!H86</f>
        <v>2218.9699999999998</v>
      </c>
      <c r="G82" s="426">
        <f t="shared" si="30"/>
        <v>2773.71</v>
      </c>
      <c r="H82" s="431">
        <f t="shared" si="31"/>
        <v>2773.71</v>
      </c>
    </row>
    <row r="83" spans="1:13" ht="75" outlineLevel="2">
      <c r="A83" s="297" t="s">
        <v>13051</v>
      </c>
      <c r="B83" s="291" t="s">
        <v>12749</v>
      </c>
      <c r="C83" s="442" t="s">
        <v>12768</v>
      </c>
      <c r="D83" s="294" t="s">
        <v>11525</v>
      </c>
      <c r="E83" s="430">
        <v>1</v>
      </c>
      <c r="F83" s="426">
        <f>'CPU-ARQ'!H96</f>
        <v>817.58</v>
      </c>
      <c r="G83" s="426">
        <f t="shared" si="30"/>
        <v>1021.97</v>
      </c>
      <c r="H83" s="431">
        <f t="shared" si="31"/>
        <v>1021.97</v>
      </c>
    </row>
    <row r="84" spans="1:13" ht="30" outlineLevel="2">
      <c r="A84" s="297" t="s">
        <v>13052</v>
      </c>
      <c r="B84" s="291" t="s">
        <v>12754</v>
      </c>
      <c r="C84" s="442" t="s">
        <v>12756</v>
      </c>
      <c r="D84" s="291" t="s">
        <v>117</v>
      </c>
      <c r="E84" s="430">
        <v>4.2</v>
      </c>
      <c r="F84" s="426">
        <f>'CPU-ARQ'!H124</f>
        <v>447.34999999999997</v>
      </c>
      <c r="G84" s="426">
        <f t="shared" si="30"/>
        <v>559.17999999999995</v>
      </c>
      <c r="H84" s="431">
        <f t="shared" si="31"/>
        <v>2348.5500000000002</v>
      </c>
      <c r="J84" s="6" t="s">
        <v>12757</v>
      </c>
      <c r="K84" s="6">
        <f>2*1*2.1</f>
        <v>4.2</v>
      </c>
    </row>
    <row r="85" spans="1:13" ht="45" outlineLevel="2">
      <c r="A85" s="297" t="s">
        <v>13053</v>
      </c>
      <c r="B85" s="291">
        <v>91341</v>
      </c>
      <c r="C85" s="439" t="str">
        <f>IFERROR(VLOOKUP(B85,comp_nãodes,2,FALSE),VLOOKUP(B85,insnãodes,2,FALSE))</f>
        <v>PORTA EM ALUMÍNIO DE ABRIR TIPO VENEZIANA COM GUARNIÇÃO, FIXAÇÃO COM PARAFUSOS - FORNECIMENTO E INSTALAÇÃO. AF_12/2019</v>
      </c>
      <c r="D85" s="294" t="str">
        <f>IFERROR(VLOOKUP(B85,comp_nãodes,3,FALSE),VLOOKUP(B85,insnãodes,3,FALSE))</f>
        <v>M2</v>
      </c>
      <c r="E85" s="430">
        <v>20.079999999999998</v>
      </c>
      <c r="F85" s="426">
        <f t="shared" si="29"/>
        <v>470.31</v>
      </c>
      <c r="G85" s="426">
        <f t="shared" si="30"/>
        <v>587.88</v>
      </c>
      <c r="H85" s="431">
        <f t="shared" ref="H85:H87" si="32">TRUNC(E85*G85,2)</f>
        <v>11804.63</v>
      </c>
      <c r="I85" s="6">
        <v>20.079999999999998</v>
      </c>
      <c r="J85" s="6">
        <f>6*0.8*2.1</f>
        <v>10.080000000000002</v>
      </c>
      <c r="K85" s="6">
        <f>6*0.8*2.1</f>
        <v>10.080000000000002</v>
      </c>
      <c r="L85" s="6" t="s">
        <v>12771</v>
      </c>
    </row>
    <row r="86" spans="1:13" ht="60" outlineLevel="2">
      <c r="A86" s="297" t="s">
        <v>13054</v>
      </c>
      <c r="B86" s="291">
        <v>94569</v>
      </c>
      <c r="C86" s="439" t="str">
        <f>IFERROR(VLOOKUP(B86,comp_nãodes,2,FALSE),VLOOKUP(B86,insnãodes,2,FALSE))</f>
        <v>JANELA DE ALUMÍNIO TIPO MAXIM-AR, COM VIDROS, BATENTE E FERRAGENS. EXCLUSIVE ALIZAR, ACABAMENTO E CONTRAMARCO. FORNECIMENTO E INSTALAÇÃO. AF_12/2019</v>
      </c>
      <c r="D86" s="294" t="str">
        <f>IFERROR(VLOOKUP(B86,comp_nãodes,3,FALSE),VLOOKUP(B86,insnãodes,3,FALSE))</f>
        <v>M2</v>
      </c>
      <c r="E86" s="430">
        <v>12.24</v>
      </c>
      <c r="F86" s="426">
        <f t="shared" si="29"/>
        <v>432.05</v>
      </c>
      <c r="G86" s="426">
        <f t="shared" si="30"/>
        <v>540.05999999999995</v>
      </c>
      <c r="H86" s="431">
        <f t="shared" si="32"/>
        <v>6610.33</v>
      </c>
      <c r="J86" s="6">
        <f>17*0.6*1.2</f>
        <v>12.239999999999998</v>
      </c>
    </row>
    <row r="87" spans="1:13" outlineLevel="2">
      <c r="A87" s="297" t="s">
        <v>13055</v>
      </c>
      <c r="B87" s="291" t="s">
        <v>12758</v>
      </c>
      <c r="C87" s="439" t="s">
        <v>12760</v>
      </c>
      <c r="D87" s="294" t="s">
        <v>117</v>
      </c>
      <c r="E87" s="430">
        <v>7.2</v>
      </c>
      <c r="F87" s="426">
        <f>'CPU-ARQ'!H135</f>
        <v>777.19</v>
      </c>
      <c r="G87" s="426">
        <f t="shared" si="30"/>
        <v>971.48</v>
      </c>
      <c r="H87" s="431">
        <f t="shared" si="32"/>
        <v>6994.65</v>
      </c>
      <c r="J87" s="6">
        <f>1*1.2*5+1*1*1.2</f>
        <v>7.2</v>
      </c>
    </row>
    <row r="88" spans="1:13" ht="45" outlineLevel="2">
      <c r="A88" s="297" t="s">
        <v>13056</v>
      </c>
      <c r="B88" s="291">
        <v>91341</v>
      </c>
      <c r="C88" s="439" t="str">
        <f>IFERROR(VLOOKUP(B88,comp_nãodes,2,FALSE),VLOOKUP(B88,insnãodes,2,FALSE))</f>
        <v>PORTA EM ALUMÍNIO DE ABRIR TIPO VENEZIANA COM GUARNIÇÃO, FIXAÇÃO COM PARAFUSOS - FORNECIMENTO E INSTALAÇÃO. AF_12/2019</v>
      </c>
      <c r="D88" s="294" t="str">
        <f>IFERROR(VLOOKUP(B88,comp_nãodes,3,FALSE),VLOOKUP(B88,insnãodes,3,FALSE))</f>
        <v>M2</v>
      </c>
      <c r="E88" s="430">
        <v>1.92</v>
      </c>
      <c r="F88" s="426">
        <f t="shared" si="29"/>
        <v>470.31</v>
      </c>
      <c r="G88" s="426">
        <f t="shared" si="30"/>
        <v>587.88</v>
      </c>
      <c r="H88" s="431">
        <f t="shared" ref="H88" si="33">TRUNC(E88*G88,2)</f>
        <v>1128.72</v>
      </c>
      <c r="J88" s="6">
        <f>2*0.6*1.6</f>
        <v>1.92</v>
      </c>
      <c r="K88" s="6" t="s">
        <v>12769</v>
      </c>
    </row>
    <row r="89" spans="1:13" ht="30" outlineLevel="2">
      <c r="A89" s="297" t="s">
        <v>13057</v>
      </c>
      <c r="B89" s="291">
        <v>100701</v>
      </c>
      <c r="C89" s="439" t="str">
        <f>IFERROR(VLOOKUP(B89,comp_nãodes,2,FALSE),VLOOKUP(B89,insnãodes,2,FALSE))</f>
        <v>PORTA DE FERRO, DE ABRIR, TIPO GRADE COM CHAPA, COM GUARNIÇÕES. AF_12/2019</v>
      </c>
      <c r="D89" s="294" t="str">
        <f>IFERROR(VLOOKUP(B89,comp_nãodes,3,FALSE),VLOOKUP(B89,insnãodes,3,FALSE))</f>
        <v>M2</v>
      </c>
      <c r="E89" s="430">
        <v>1.68</v>
      </c>
      <c r="F89" s="426">
        <f t="shared" si="29"/>
        <v>455.27</v>
      </c>
      <c r="G89" s="426">
        <f t="shared" si="30"/>
        <v>569.08000000000004</v>
      </c>
      <c r="H89" s="431">
        <f t="shared" ref="H89" si="34">TRUNC(E89*G89,2)</f>
        <v>956.05</v>
      </c>
      <c r="K89" s="6">
        <f>1*0.8*2.1</f>
        <v>1.6800000000000002</v>
      </c>
      <c r="L89" s="6" t="s">
        <v>12773</v>
      </c>
    </row>
    <row r="90" spans="1:13" ht="60" outlineLevel="2">
      <c r="A90" s="297" t="s">
        <v>13058</v>
      </c>
      <c r="B90" s="291">
        <v>90830</v>
      </c>
      <c r="C90" s="439" t="str">
        <f>IFERROR(VLOOKUP(B90,comp_nãodes,2,FALSE),VLOOKUP(B90,insnãodes,2,FALSE))</f>
        <v>FECHADURA DE EMBUTIR COM CILINDRO, EXTERNA, COMPLETA, ACABAMENTO PADRÃO MÉDIO, INCLUSO EXECUÇÃO DE FURO - FORNECIMENTO E INSTALAÇÃO. AF_12/2019</v>
      </c>
      <c r="D90" s="294" t="str">
        <f>IFERROR(VLOOKUP(B90,comp_nãodes,3,FALSE),VLOOKUP(B90,insnãodes,3,FALSE))</f>
        <v>UN</v>
      </c>
      <c r="E90" s="430">
        <v>12</v>
      </c>
      <c r="F90" s="426">
        <f t="shared" si="29"/>
        <v>96.89</v>
      </c>
      <c r="G90" s="426">
        <f t="shared" si="30"/>
        <v>121.11</v>
      </c>
      <c r="H90" s="431">
        <f t="shared" ref="H90" si="35">TRUNC(E90*G90,2)</f>
        <v>1453.32</v>
      </c>
    </row>
    <row r="91" spans="1:13" ht="30" outlineLevel="2">
      <c r="A91" s="297" t="s">
        <v>13059</v>
      </c>
      <c r="B91" s="291">
        <v>100705</v>
      </c>
      <c r="C91" s="439" t="str">
        <f>IFERROR(VLOOKUP(B91,comp_nãodes,2,FALSE),VLOOKUP(B91,insnãodes,2,FALSE))</f>
        <v>TARJETA TIPO LIVRE/OCUPADO PARA PORTA DE BANHEIRO. AF_12/2019</v>
      </c>
      <c r="D91" s="294" t="str">
        <f>IFERROR(VLOOKUP(B91,comp_nãodes,3,FALSE),VLOOKUP(B91,insnãodes,3,FALSE))</f>
        <v>UN</v>
      </c>
      <c r="E91" s="430">
        <v>2</v>
      </c>
      <c r="F91" s="426">
        <f t="shared" si="29"/>
        <v>53.18</v>
      </c>
      <c r="G91" s="426">
        <f t="shared" si="30"/>
        <v>66.47</v>
      </c>
      <c r="H91" s="431">
        <f t="shared" ref="H91" si="36">TRUNC(E91*G91,2)</f>
        <v>132.94</v>
      </c>
    </row>
    <row r="92" spans="1:13" ht="45" outlineLevel="2">
      <c r="A92" s="297" t="s">
        <v>13060</v>
      </c>
      <c r="B92" s="291">
        <v>84088</v>
      </c>
      <c r="C92" s="439" t="str">
        <f>IFERROR(VLOOKUP(B92,comp_nãodes,2,FALSE),VLOOKUP(B92,insnãodes,2,FALSE))</f>
        <v>PEITORIL EM MARMORE BRANCO, LARGURA DE 15CM, ASSENTADO COM ARGAMASSA TRACO 1:4 (CIMENTO E AREIA MEDIA), PREPARO MANUAL DA ARGAMASSA</v>
      </c>
      <c r="D92" s="294" t="str">
        <f>IFERROR(VLOOKUP(B92,comp_nãodes,3,FALSE),VLOOKUP(B92,insnãodes,3,FALSE))</f>
        <v>M</v>
      </c>
      <c r="E92" s="430">
        <v>26.4</v>
      </c>
      <c r="F92" s="426">
        <f t="shared" si="29"/>
        <v>86.02</v>
      </c>
      <c r="G92" s="426">
        <f t="shared" si="30"/>
        <v>107.52</v>
      </c>
      <c r="H92" s="431">
        <f t="shared" ref="H92" si="37">TRUNC(E92*G92,2)</f>
        <v>2838.52</v>
      </c>
      <c r="J92" s="6">
        <f>17*1.2+1*5+1*1</f>
        <v>26.4</v>
      </c>
    </row>
    <row r="93" spans="1:13" ht="15.75" outlineLevel="2">
      <c r="A93" s="298"/>
      <c r="B93" s="292"/>
      <c r="C93" s="440"/>
      <c r="D93" s="305"/>
      <c r="E93" s="428"/>
      <c r="F93" s="426"/>
      <c r="G93" s="428" t="s">
        <v>11684</v>
      </c>
      <c r="H93" s="429">
        <f>SUM(H81:H92)</f>
        <v>48738.010000000009</v>
      </c>
    </row>
    <row r="94" spans="1:13" ht="30" outlineLevel="2">
      <c r="A94" s="296" t="s">
        <v>13061</v>
      </c>
      <c r="B94" s="294"/>
      <c r="C94" s="441" t="s">
        <v>12784</v>
      </c>
      <c r="D94" s="345"/>
      <c r="E94" s="432"/>
      <c r="F94" s="426"/>
      <c r="G94" s="432"/>
      <c r="H94" s="431"/>
      <c r="I94" s="6">
        <f>K94+L94</f>
        <v>1002.46</v>
      </c>
      <c r="K94" s="6">
        <f>418.94*2</f>
        <v>837.88</v>
      </c>
      <c r="L94" s="6">
        <f>82.29*2</f>
        <v>164.58</v>
      </c>
      <c r="M94" s="6" t="s">
        <v>12772</v>
      </c>
    </row>
    <row r="95" spans="1:13" ht="60" outlineLevel="2">
      <c r="A95" s="297" t="s">
        <v>13062</v>
      </c>
      <c r="B95" s="307">
        <v>87879</v>
      </c>
      <c r="C95" s="439" t="str">
        <f t="shared" ref="C95:C102" si="38">IFERROR(VLOOKUP(B95,comp_nãodes,2,FALSE),VLOOKUP(B95,insnãodes,2,FALSE))</f>
        <v>CHAPISCO APLICADO EM ALVENARIAS E ESTRUTURAS DE CONCRETO INTERNAS, COM COLHER DE PEDREIRO.  ARGAMASSA TRAÇO 1:3 COM PREPARO EM BETONEIRA 400L. AF_06/2014</v>
      </c>
      <c r="D95" s="294" t="str">
        <f t="shared" ref="D95:D102" si="39">IFERROR(VLOOKUP(B95,comp_nãodes,3,FALSE),VLOOKUP(B95,insnãodes,3,FALSE))</f>
        <v>M2</v>
      </c>
      <c r="E95" s="430">
        <v>655.27</v>
      </c>
      <c r="F95" s="426">
        <f t="shared" si="29"/>
        <v>2.88</v>
      </c>
      <c r="G95" s="426">
        <f t="shared" ref="G95:G102" si="40">TRUNC(F95*(1+$G$2),2)</f>
        <v>3.6</v>
      </c>
      <c r="H95" s="431">
        <f t="shared" ref="H95:H102" si="41">TRUNC(E95*G95,2)</f>
        <v>2358.9699999999998</v>
      </c>
      <c r="J95" s="6">
        <f>1002.46-(202.48+144.71)</f>
        <v>655.27</v>
      </c>
      <c r="K95" s="6" t="s">
        <v>12774</v>
      </c>
    </row>
    <row r="96" spans="1:13" ht="90" outlineLevel="2">
      <c r="A96" s="297" t="s">
        <v>13063</v>
      </c>
      <c r="B96" s="307">
        <v>89173</v>
      </c>
      <c r="C96" s="439" t="str">
        <f t="shared" si="38"/>
        <v>(COMPOSIÇÃO REPRESENTATIVA) DO SERVIÇO DE EMBOÇO/MASSA ÚNICA, APLICADO MANUALMENTE, TRAÇO 1:2:8, EM BETONEIRA DE 400L, PAREDES INTERNAS, COM EXECUÇÃO DE TALISCAS, EDIFICAÇÃO HABITACIONAL UNIFAMILIAR (CASAS) E EDIFICAÇÃO PÚBLICA PADRÃO. AF_12/2014</v>
      </c>
      <c r="D96" s="294" t="str">
        <f t="shared" si="39"/>
        <v>M2</v>
      </c>
      <c r="E96" s="430">
        <f>E95</f>
        <v>655.27</v>
      </c>
      <c r="F96" s="426">
        <f t="shared" si="29"/>
        <v>24.8</v>
      </c>
      <c r="G96" s="426">
        <f t="shared" si="40"/>
        <v>31</v>
      </c>
      <c r="H96" s="431">
        <f t="shared" si="41"/>
        <v>20313.37</v>
      </c>
    </row>
    <row r="97" spans="1:13" ht="60" outlineLevel="2">
      <c r="A97" s="297" t="s">
        <v>13064</v>
      </c>
      <c r="B97" s="307">
        <v>87905</v>
      </c>
      <c r="C97" s="439" t="str">
        <f t="shared" si="38"/>
        <v>CHAPISCO APLICADO EM ALVENARIA (COM PRESENÇA DE VÃOS) E ESTRUTURAS DE CONCRETO DE FACHADA, COM COLHER DE PEDREIRO.  ARGAMASSA TRAÇO 1:3 COM PREPARO EM BETONEIRA 400L. AF_06/2014</v>
      </c>
      <c r="D97" s="294" t="str">
        <f t="shared" si="39"/>
        <v>M2</v>
      </c>
      <c r="E97" s="430">
        <v>202.48</v>
      </c>
      <c r="F97" s="426">
        <f t="shared" si="29"/>
        <v>6.45</v>
      </c>
      <c r="G97" s="426">
        <f t="shared" si="40"/>
        <v>8.06</v>
      </c>
      <c r="H97" s="431">
        <f t="shared" si="41"/>
        <v>1631.98</v>
      </c>
      <c r="I97" s="6">
        <f>J97+M97</f>
        <v>202.488</v>
      </c>
      <c r="J97" s="6">
        <f>((15.15+1.2)*2+(17.55*2))*3.15+(17.55*1.52/2)-(17*1.2*0.6+2*1*2.1+1*1.2*2.1)-67.8</f>
        <v>140.14800000000002</v>
      </c>
      <c r="K97" s="6" t="s">
        <v>12775</v>
      </c>
      <c r="L97" s="6" t="s">
        <v>12771</v>
      </c>
      <c r="M97" s="6">
        <f>(5.7*2+2.65*2+2.3*2+2.35*2)*2.85-(7*0.8*2.1)</f>
        <v>62.339999999999989</v>
      </c>
    </row>
    <row r="98" spans="1:13" ht="60" outlineLevel="2">
      <c r="A98" s="297" t="s">
        <v>13065</v>
      </c>
      <c r="B98" s="307">
        <v>87775</v>
      </c>
      <c r="C98" s="439" t="str">
        <f t="shared" si="38"/>
        <v>EMBOÇO OU MASSA ÚNICA EM ARGAMASSA TRAÇO 1:2:8, PREPARO MECÂNICO COM BETONEIRA 400 L, APLICADA MANUALMENTE EM PANOS DE FACHADA COM PRESENÇA DE VÃOS, ESPESSURA DE 25 MM. AF_06/2014</v>
      </c>
      <c r="D98" s="294" t="str">
        <f t="shared" si="39"/>
        <v>M2</v>
      </c>
      <c r="E98" s="430">
        <f>E97</f>
        <v>202.48</v>
      </c>
      <c r="F98" s="426">
        <f t="shared" si="29"/>
        <v>40.130000000000003</v>
      </c>
      <c r="G98" s="426">
        <f t="shared" si="40"/>
        <v>50.16</v>
      </c>
      <c r="H98" s="431">
        <f t="shared" si="41"/>
        <v>10156.39</v>
      </c>
    </row>
    <row r="99" spans="1:13" ht="45" outlineLevel="2">
      <c r="A99" s="297" t="s">
        <v>13066</v>
      </c>
      <c r="B99" s="307">
        <v>87881</v>
      </c>
      <c r="C99" s="439" t="str">
        <f t="shared" si="38"/>
        <v>CHAPISCO APLICADO NO TETO, COM ROLO PARA TEXTURA ACRÍLICA. ARGAMASSA TRAÇO 1:4 E EMULSÃO POLIMÉRICA (ADESIVO) COM PREPARO MANUAL. AF_06/2014</v>
      </c>
      <c r="D99" s="294" t="str">
        <f t="shared" si="39"/>
        <v>M2</v>
      </c>
      <c r="E99" s="430">
        <v>16.690000000000001</v>
      </c>
      <c r="F99" s="426">
        <f t="shared" si="29"/>
        <v>4.51</v>
      </c>
      <c r="G99" s="426">
        <f t="shared" si="40"/>
        <v>5.63</v>
      </c>
      <c r="H99" s="431">
        <f t="shared" ref="H99:H100" si="42">TRUNC(E99*G99,2)</f>
        <v>93.96</v>
      </c>
      <c r="K99" s="6">
        <f>(3.99*3+4.72)</f>
        <v>16.690000000000001</v>
      </c>
      <c r="L99" s="6" t="s">
        <v>12780</v>
      </c>
    </row>
    <row r="100" spans="1:13" ht="60" outlineLevel="2">
      <c r="A100" s="297" t="s">
        <v>13067</v>
      </c>
      <c r="B100" s="307">
        <v>90407</v>
      </c>
      <c r="C100" s="439" t="str">
        <f t="shared" si="38"/>
        <v>MASSA ÚNICA, PARA RECEBIMENTO DE PINTURA, EM ARGAMASSA TRAÇO 1:2:8, PREPARO MANUAL, APLICADA MANUALMENTE EM TETO, ESPESSURA DE 20MM, COM EXECUÇÃO DE TALISCAS. AF_03/2015</v>
      </c>
      <c r="D100" s="294" t="str">
        <f t="shared" si="39"/>
        <v>M2</v>
      </c>
      <c r="E100" s="430">
        <v>16.690000000000001</v>
      </c>
      <c r="F100" s="426">
        <f t="shared" si="29"/>
        <v>36.82</v>
      </c>
      <c r="G100" s="426">
        <f t="shared" si="40"/>
        <v>46.02</v>
      </c>
      <c r="H100" s="431">
        <f t="shared" si="42"/>
        <v>768.07</v>
      </c>
      <c r="K100" s="6">
        <f>(3.99*3+4.72)</f>
        <v>16.690000000000001</v>
      </c>
      <c r="L100" s="6" t="s">
        <v>12780</v>
      </c>
    </row>
    <row r="101" spans="1:13" ht="45" outlineLevel="2">
      <c r="A101" s="297" t="s">
        <v>13068</v>
      </c>
      <c r="B101" s="307">
        <v>98561</v>
      </c>
      <c r="C101" s="439" t="str">
        <f t="shared" si="38"/>
        <v>IMPERMEABILIZAÇÃO DE PAREDES COM ARGAMASSA DE CIMENTO E AREIA, COM ADITIVO IMPERMEABILIZANTE, E = 2CM. AF_06/2018</v>
      </c>
      <c r="D101" s="294" t="str">
        <f t="shared" si="39"/>
        <v>M2</v>
      </c>
      <c r="E101" s="430">
        <v>67.8</v>
      </c>
      <c r="F101" s="426">
        <f t="shared" si="29"/>
        <v>30.48</v>
      </c>
      <c r="G101" s="426">
        <f t="shared" si="40"/>
        <v>38.1</v>
      </c>
      <c r="H101" s="431">
        <f t="shared" si="41"/>
        <v>2583.1799999999998</v>
      </c>
      <c r="J101" s="6">
        <f>((15.15+1.2)*2+(17.55*2))*1</f>
        <v>67.800000000000011</v>
      </c>
    </row>
    <row r="102" spans="1:13" ht="90" outlineLevel="2">
      <c r="A102" s="297" t="s">
        <v>13069</v>
      </c>
      <c r="B102" s="307">
        <v>89170</v>
      </c>
      <c r="C102" s="439" t="str">
        <f t="shared" si="38"/>
        <v>(COMPOSIÇÃO REPRESENTATIVA) DO SERVIÇO DE REVESTIMENTO CERÂMICO PARA PAREDES INTERNAS, MEIA PAREDE, OU PAREDE INTEIRA, PLACAS GRÊS OU SEMI-GRÊS DE 20X20 CM, PARA EDIFICAÇÕES HABITACIONAIS UNIFAMILIAR (CASAS) E EDIFICAÇÕES PÚBLICAS PADRÃO. AF_11/2014</v>
      </c>
      <c r="D102" s="294" t="str">
        <f t="shared" si="39"/>
        <v>M2</v>
      </c>
      <c r="E102" s="430">
        <v>144.71</v>
      </c>
      <c r="F102" s="426">
        <f t="shared" si="29"/>
        <v>42.12</v>
      </c>
      <c r="G102" s="426">
        <f t="shared" si="40"/>
        <v>52.65</v>
      </c>
      <c r="H102" s="431">
        <f t="shared" si="41"/>
        <v>7618.98</v>
      </c>
      <c r="I102" s="6">
        <f>J102+K102</f>
        <v>144.715</v>
      </c>
      <c r="J102" s="6">
        <f>(1.5*2+2.3*2+(2*2+3.8*2)*2+1.7)*2.8-(1*2.1+2*0.8*2.1)</f>
        <v>85.539999999999992</v>
      </c>
      <c r="K102" s="6">
        <f>(1.7*6+2.35*6)*2.85-(6*0.8*2.1)</f>
        <v>59.175000000000011</v>
      </c>
      <c r="L102" s="6" t="s">
        <v>12780</v>
      </c>
    </row>
    <row r="103" spans="1:13" ht="15.75" outlineLevel="2">
      <c r="A103" s="298"/>
      <c r="B103" s="292"/>
      <c r="C103" s="440"/>
      <c r="D103" s="305"/>
      <c r="E103" s="428"/>
      <c r="F103" s="426"/>
      <c r="G103" s="428" t="s">
        <v>11684</v>
      </c>
      <c r="H103" s="429">
        <f>SUM(H95:H102)</f>
        <v>45524.899999999994</v>
      </c>
    </row>
    <row r="104" spans="1:13" ht="15.75" outlineLevel="2">
      <c r="A104" s="296" t="s">
        <v>13070</v>
      </c>
      <c r="B104" s="294"/>
      <c r="C104" s="441" t="s">
        <v>12763</v>
      </c>
      <c r="D104" s="294"/>
      <c r="E104" s="426"/>
      <c r="F104" s="426"/>
      <c r="G104" s="426"/>
      <c r="H104" s="427"/>
    </row>
    <row r="105" spans="1:13" ht="45" outlineLevel="2">
      <c r="A105" s="297" t="s">
        <v>13071</v>
      </c>
      <c r="B105" s="307" t="s">
        <v>11709</v>
      </c>
      <c r="C105" s="442" t="s">
        <v>11681</v>
      </c>
      <c r="D105" s="291" t="s">
        <v>60</v>
      </c>
      <c r="E105" s="430">
        <v>72.900000000000006</v>
      </c>
      <c r="F105" s="426">
        <f>'CPU-ARQ'!H41</f>
        <v>33.200000000000003</v>
      </c>
      <c r="G105" s="426">
        <f t="shared" ref="G105:G110" si="43">TRUNC(F105*(1+$G$2),2)</f>
        <v>41.5</v>
      </c>
      <c r="H105" s="431">
        <f t="shared" ref="H105:H111" si="44">TRUNC(E105*G105,2)</f>
        <v>3025.35</v>
      </c>
      <c r="I105" s="6">
        <f>J105+K105</f>
        <v>72.905999999999992</v>
      </c>
      <c r="J105" s="6">
        <f>(13.98+51.35+17.43+16.36+7.6*2+14.8+9.98+5.31+42.75+3.45+3.91*2+27.9)*0.3</f>
        <v>67.898999999999987</v>
      </c>
      <c r="K105" s="6">
        <f>(3.99*3+4.72)*0.3</f>
        <v>5.0070000000000006</v>
      </c>
      <c r="M105" s="6" t="s">
        <v>12772</v>
      </c>
    </row>
    <row r="106" spans="1:13" ht="45" outlineLevel="2">
      <c r="A106" s="297" t="s">
        <v>13072</v>
      </c>
      <c r="B106" s="307">
        <v>83534</v>
      </c>
      <c r="C106" s="439" t="str">
        <f>IFERROR(VLOOKUP(B106,comp_nãodes,2,FALSE),VLOOKUP(B106,insnãodes,2,FALSE))</f>
        <v>LASTRO DE CONCRETO, PREPARO MECÂNICO, INCLUSOS ADITIVO IMPERMEABILIZANTE, LANÇAMENTO E ADENSAMENTO</v>
      </c>
      <c r="D106" s="294" t="str">
        <f>IFERROR(VLOOKUP(B106,comp_nãodes,3,FALSE),VLOOKUP(B106,insnãodes,3,FALSE))</f>
        <v>M3</v>
      </c>
      <c r="E106" s="430">
        <v>12.15</v>
      </c>
      <c r="F106" s="426">
        <f t="shared" si="29"/>
        <v>492.33</v>
      </c>
      <c r="G106" s="426">
        <f t="shared" si="43"/>
        <v>615.41</v>
      </c>
      <c r="H106" s="431">
        <f t="shared" si="44"/>
        <v>7477.23</v>
      </c>
      <c r="I106" s="6">
        <f>J106+K106</f>
        <v>12.151</v>
      </c>
      <c r="J106" s="6">
        <f>(13.98+51.35+17.43+16.36+7.6*2+14.8+9.98+5.31+42.75+3.45+3.91*2+27.9)*0.05</f>
        <v>11.3165</v>
      </c>
      <c r="K106" s="6">
        <f>(3.99*3+4.72)*0.05</f>
        <v>0.83450000000000013</v>
      </c>
      <c r="M106" s="6" t="s">
        <v>12772</v>
      </c>
    </row>
    <row r="107" spans="1:13" ht="90" outlineLevel="2">
      <c r="A107" s="297" t="s">
        <v>13073</v>
      </c>
      <c r="B107" s="307">
        <v>94438</v>
      </c>
      <c r="C107" s="439" t="str">
        <f>IFERROR(VLOOKUP(B107,comp_nãodes,2,FALSE),VLOOKUP(B107,insnãodes,2,FALSE))</f>
        <v>(COMPOSIÇÃO REPRESENTATIVA) DO SERVIÇO DE CONTRAPISO EM ARGAMASSA TRAÇO 1:4 (CIM E AREIA), EM BETONEIRA 400 L, ESPESSURA 3 CM ÁREAS SECAS E 3 CM ÁREAS MOLHADAS, PARA EDIFICAÇÃO HABITACIONAL UNIFAMILIAR (CASA) E EDIFICAÇÃO PÚBLICA PADRÃO. AF_11/2014</v>
      </c>
      <c r="D107" s="294" t="str">
        <f>IFERROR(VLOOKUP(B107,comp_nãodes,3,FALSE),VLOOKUP(B107,insnãodes,3,FALSE))</f>
        <v>M2</v>
      </c>
      <c r="E107" s="430">
        <v>243.02</v>
      </c>
      <c r="F107" s="426">
        <f t="shared" si="29"/>
        <v>33.07</v>
      </c>
      <c r="G107" s="426">
        <f t="shared" si="43"/>
        <v>41.33</v>
      </c>
      <c r="H107" s="431">
        <f t="shared" si="44"/>
        <v>10044.01</v>
      </c>
      <c r="I107" s="6">
        <f>J107+K107</f>
        <v>243.01999999999998</v>
      </c>
      <c r="J107" s="6">
        <f>(13.98+51.35+17.43+16.36+7.6*2+14.8+9.98+5.31+42.75+3.45+3.91*2+27.9)</f>
        <v>226.32999999999998</v>
      </c>
      <c r="K107" s="6">
        <f>(3.99*3+4.72)</f>
        <v>16.690000000000001</v>
      </c>
      <c r="M107" s="6" t="s">
        <v>12772</v>
      </c>
    </row>
    <row r="108" spans="1:13" ht="45" outlineLevel="2">
      <c r="A108" s="297" t="s">
        <v>13074</v>
      </c>
      <c r="B108" s="307">
        <v>87246</v>
      </c>
      <c r="C108" s="439" t="str">
        <f>IFERROR(VLOOKUP(B108,comp_nãodes,2,FALSE),VLOOKUP(B108,insnãodes,2,FALSE))</f>
        <v>REVESTIMENTO CERÂMICO PARA PISO COM PLACAS TIPO ESMALTADA EXTRA DE DIMENSÕES 35X35 CM APLICADA EM AMBIENTES DE ÁREA MENOR QUE 5 M2. AF_06/2014</v>
      </c>
      <c r="D108" s="294" t="str">
        <f>IFERROR(VLOOKUP(B108,comp_nãodes,3,FALSE),VLOOKUP(B108,insnãodes,3,FALSE))</f>
        <v>M2</v>
      </c>
      <c r="E108" s="430">
        <v>11.97</v>
      </c>
      <c r="F108" s="426">
        <f t="shared" si="29"/>
        <v>38.840000000000003</v>
      </c>
      <c r="G108" s="426">
        <f t="shared" si="43"/>
        <v>48.55</v>
      </c>
      <c r="H108" s="431">
        <f t="shared" ref="H108" si="45">TRUNC(E108*G108,2)</f>
        <v>581.14</v>
      </c>
      <c r="J108" s="6">
        <f>(3.99*3)</f>
        <v>11.97</v>
      </c>
      <c r="K108" s="6" t="s">
        <v>12780</v>
      </c>
    </row>
    <row r="109" spans="1:13" ht="30" outlineLevel="2">
      <c r="A109" s="297" t="s">
        <v>13075</v>
      </c>
      <c r="B109" s="307">
        <v>84191</v>
      </c>
      <c r="C109" s="439" t="str">
        <f>IFERROR(VLOOKUP(B109,comp_nãodes,2,FALSE),VLOOKUP(B109,insnãodes,2,FALSE))</f>
        <v>PISO EM GRANILITE, MARMORITE OU GRANITINA ESPESSURA 8 MM, INCLUSO JUNTAS DE DILATACAO PLASTICAS</v>
      </c>
      <c r="D109" s="294" t="str">
        <f>IFERROR(VLOOKUP(B109,comp_nãodes,3,FALSE),VLOOKUP(B109,insnãodes,3,FALSE))</f>
        <v>M2</v>
      </c>
      <c r="E109" s="430">
        <v>231.05</v>
      </c>
      <c r="F109" s="426">
        <f t="shared" si="29"/>
        <v>107.67</v>
      </c>
      <c r="G109" s="426">
        <f t="shared" si="43"/>
        <v>134.58000000000001</v>
      </c>
      <c r="H109" s="431">
        <f t="shared" si="44"/>
        <v>31094.7</v>
      </c>
      <c r="I109" s="6">
        <f>J109+L109</f>
        <v>231.04999999999998</v>
      </c>
      <c r="J109" s="6">
        <f>(13.98+51.35+17.43+16.36+7.6*2+14.8+9.98+5.31+42.75+3.45+3.91*2+27.9)</f>
        <v>226.32999999999998</v>
      </c>
      <c r="L109" s="6">
        <f>(4.72)</f>
        <v>4.72</v>
      </c>
      <c r="M109" s="6" t="s">
        <v>12779</v>
      </c>
    </row>
    <row r="110" spans="1:13" outlineLevel="2">
      <c r="A110" s="297" t="s">
        <v>13076</v>
      </c>
      <c r="B110" s="307" t="s">
        <v>11710</v>
      </c>
      <c r="C110" s="442" t="s">
        <v>11711</v>
      </c>
      <c r="D110" s="291" t="s">
        <v>35</v>
      </c>
      <c r="E110" s="430">
        <v>177.45</v>
      </c>
      <c r="F110" s="426">
        <f>'CPU-ARQ'!H53</f>
        <v>54.160000000000004</v>
      </c>
      <c r="G110" s="426">
        <f t="shared" si="43"/>
        <v>67.7</v>
      </c>
      <c r="H110" s="431">
        <f t="shared" si="44"/>
        <v>12013.36</v>
      </c>
      <c r="I110" s="6">
        <f>J110+K110</f>
        <v>177.45</v>
      </c>
      <c r="J110" s="6">
        <f>((6.5*2+2.15*2+6.5*2+7.9*2+4.15*2+4.2*2+3.9*2+4.2*2+3.9*2+3.8*2+5.28*2+1.9*2+2.82*2+1.9*2+9.15*2+5.7*2+2.3*5+1.7*3+1.85+5.35+3.25+7.2+4.6)-(20*0.8+1.2))</f>
        <v>169.54999999999998</v>
      </c>
      <c r="K110" s="6">
        <f>(2.3*2+2.05*2)-0.8</f>
        <v>7.8999999999999995</v>
      </c>
      <c r="M110" s="6" t="s">
        <v>12777</v>
      </c>
    </row>
    <row r="111" spans="1:13" ht="60" outlineLevel="2">
      <c r="A111" s="297" t="s">
        <v>14274</v>
      </c>
      <c r="B111" s="307">
        <v>94990</v>
      </c>
      <c r="C111" s="439" t="str">
        <f>IFERROR(VLOOKUP(B111,comp_nãodes,2,FALSE),VLOOKUP(B111,insnãodes,2,FALSE))</f>
        <v>EXECUÇÃO DE PASSEIO (CALÇADA) OU PISO DE CONCRETO COM CONCRETO MOLDADO IN LOCO, FEITO EM OBRA, ACABAMENTO CONVENCIONAL, NÃO ARMADO. AF_07/2016</v>
      </c>
      <c r="D111" s="294" t="str">
        <f>IFERROR(VLOOKUP(B111,comp_nãodes,3,FALSE),VLOOKUP(B111,insnãodes,3,FALSE))</f>
        <v>M3</v>
      </c>
      <c r="E111" s="430">
        <v>4.5999999999999996</v>
      </c>
      <c r="F111" s="426">
        <f>IFERROR(VLOOKUP(B111,comp_nãodes,4,FALSE),VLOOKUP(B111,insnãodes,4,FALSE))</f>
        <v>552.87</v>
      </c>
      <c r="G111" s="426">
        <f t="shared" ref="G111" si="46">TRUNC(F111*(1+$E$1),2)</f>
        <v>552.87</v>
      </c>
      <c r="H111" s="431">
        <f t="shared" si="44"/>
        <v>2543.1999999999998</v>
      </c>
      <c r="J111" s="6">
        <f>((3.8*12+4.7*2+2.2*2+2*6+1.95*2+4*2+2.15*2+2.85*2+1.85+14.95+10.95+1.2*2+3*10+3.95*2+6.3*2+2*4+4.9*2)-(17*0.8+0.9))</f>
        <v>177.25</v>
      </c>
    </row>
    <row r="112" spans="1:13" ht="15.75" outlineLevel="2">
      <c r="A112" s="298"/>
      <c r="B112" s="307"/>
      <c r="C112" s="442"/>
      <c r="D112" s="291"/>
      <c r="E112" s="430"/>
      <c r="F112" s="426"/>
      <c r="G112" s="428" t="s">
        <v>11684</v>
      </c>
      <c r="H112" s="429">
        <f>SUM(H105:N111)</f>
        <v>68441.364000000001</v>
      </c>
    </row>
    <row r="113" spans="1:13" ht="15.75" outlineLevel="2">
      <c r="A113" s="296" t="s">
        <v>13077</v>
      </c>
      <c r="B113" s="294"/>
      <c r="C113" s="441" t="s">
        <v>12764</v>
      </c>
      <c r="D113" s="345"/>
      <c r="E113" s="432"/>
      <c r="F113" s="426"/>
      <c r="G113" s="432"/>
      <c r="H113" s="431"/>
    </row>
    <row r="114" spans="1:13" ht="30" outlineLevel="2">
      <c r="A114" s="297" t="s">
        <v>13078</v>
      </c>
      <c r="B114" s="307">
        <v>88485</v>
      </c>
      <c r="C114" s="439" t="str">
        <f>IFERROR(VLOOKUP(B114,comp_nãodes,2,FALSE),VLOOKUP(B114,insnãodes,2,FALSE))</f>
        <v>APLICAÇÃO DE FUNDO SELADOR ACRÍLICO EM PAREDES, UMA DEMÃO. AF_06/2014</v>
      </c>
      <c r="D114" s="294" t="str">
        <f>IFERROR(VLOOKUP(B114,comp_nãodes,3,FALSE),VLOOKUP(B114,insnãodes,3,FALSE))</f>
        <v>M2</v>
      </c>
      <c r="E114" s="430">
        <v>857.75</v>
      </c>
      <c r="F114" s="426">
        <f t="shared" si="29"/>
        <v>1.67</v>
      </c>
      <c r="G114" s="426">
        <f>TRUNC(F114*(1+$G$2),2)</f>
        <v>2.08</v>
      </c>
      <c r="H114" s="431">
        <f t="shared" ref="H114:H118" si="47">TRUNC(E114*G114,2)</f>
        <v>1784.12</v>
      </c>
      <c r="J114" s="6">
        <f>(1002.46)-144.71</f>
        <v>857.75</v>
      </c>
      <c r="K114" s="6" t="s">
        <v>12766</v>
      </c>
    </row>
    <row r="115" spans="1:13" ht="30" outlineLevel="2">
      <c r="A115" s="297" t="s">
        <v>13079</v>
      </c>
      <c r="B115" s="307">
        <v>84651</v>
      </c>
      <c r="C115" s="439" t="str">
        <f>IFERROR(VLOOKUP(B115,comp_nãodes,2,FALSE),VLOOKUP(B115,insnãodes,2,FALSE))</f>
        <v>PINTURA COM TINTA IMPERMEAVEL MINERAL EM PO, DUAS DEMAOS</v>
      </c>
      <c r="D115" s="294" t="str">
        <f>IFERROR(VLOOKUP(B115,comp_nãodes,3,FALSE),VLOOKUP(B115,insnãodes,3,FALSE))</f>
        <v>M2</v>
      </c>
      <c r="E115" s="430">
        <v>135.6</v>
      </c>
      <c r="F115" s="426">
        <f t="shared" si="29"/>
        <v>9.58</v>
      </c>
      <c r="G115" s="426">
        <f>TRUNC(F115*(1+$G$2),2)</f>
        <v>11.97</v>
      </c>
      <c r="H115" s="431">
        <f t="shared" si="47"/>
        <v>1623.13</v>
      </c>
      <c r="J115" s="6">
        <f>((15.15+1.2)*2+(17.55*2))*2</f>
        <v>135.60000000000002</v>
      </c>
    </row>
    <row r="116" spans="1:13" ht="30" outlineLevel="2">
      <c r="A116" s="297" t="s">
        <v>13080</v>
      </c>
      <c r="B116" s="307">
        <v>88489</v>
      </c>
      <c r="C116" s="439" t="str">
        <f>IFERROR(VLOOKUP(B116,comp_nãodes,2,FALSE),VLOOKUP(B116,insnãodes,2,FALSE))</f>
        <v>APLICAÇÃO MANUAL DE PINTURA COM TINTA LÁTEX ACRÍLICA EM PAREDES, DUAS DEMÃOS. AF_06/2014</v>
      </c>
      <c r="D116" s="294" t="str">
        <f>IFERROR(VLOOKUP(B116,comp_nãodes,3,FALSE),VLOOKUP(B116,insnãodes,3,FALSE))</f>
        <v>M2</v>
      </c>
      <c r="E116" s="430">
        <v>722.15</v>
      </c>
      <c r="F116" s="426">
        <f t="shared" si="29"/>
        <v>11.67</v>
      </c>
      <c r="G116" s="426">
        <f>TRUNC(F116*(1+$G$2),2)</f>
        <v>14.58</v>
      </c>
      <c r="H116" s="431">
        <f t="shared" si="47"/>
        <v>10528.94</v>
      </c>
      <c r="J116" s="6">
        <f>(1002.46)-(144.71+135.6)</f>
        <v>722.15000000000009</v>
      </c>
      <c r="K116" s="6" t="s">
        <v>12765</v>
      </c>
    </row>
    <row r="117" spans="1:13" ht="30" outlineLevel="2">
      <c r="A117" s="297" t="s">
        <v>13081</v>
      </c>
      <c r="B117" s="307">
        <v>88488</v>
      </c>
      <c r="C117" s="439" t="str">
        <f>IFERROR(VLOOKUP(B117,comp_nãodes,2,FALSE),VLOOKUP(B117,insnãodes,2,FALSE))</f>
        <v>APLICAÇÃO MANUAL DE PINTURA COM TINTA LÁTEX ACRÍLICA EM TETO, DUAS DEMÃOS. AF_06/2014</v>
      </c>
      <c r="D117" s="294" t="str">
        <f>IFERROR(VLOOKUP(B117,comp_nãodes,3,FALSE),VLOOKUP(B117,insnãodes,3,FALSE))</f>
        <v>M2</v>
      </c>
      <c r="E117" s="430">
        <v>16.690000000000001</v>
      </c>
      <c r="F117" s="426">
        <f t="shared" si="29"/>
        <v>13.18</v>
      </c>
      <c r="G117" s="426">
        <f>TRUNC(F117*(1+$G$2),2)</f>
        <v>16.47</v>
      </c>
      <c r="H117" s="431">
        <f t="shared" ref="H117" si="48">TRUNC(E117*G117,2)</f>
        <v>274.88</v>
      </c>
      <c r="K117" s="6">
        <f>(3.99*3+4.72)</f>
        <v>16.690000000000001</v>
      </c>
      <c r="M117" s="6" t="s">
        <v>12772</v>
      </c>
    </row>
    <row r="118" spans="1:13" ht="30" outlineLevel="2">
      <c r="A118" s="297" t="s">
        <v>13082</v>
      </c>
      <c r="B118" s="307" t="s">
        <v>5767</v>
      </c>
      <c r="C118" s="439" t="str">
        <f>IFERROR(VLOOKUP(B118,comp_nãodes,2,FALSE),VLOOKUP(B118,insnãodes,2,FALSE))</f>
        <v>PINTURA ESMALTE FOSCO PARA MADEIRA, DUAS DEMAOS, SOBRE FUNDO NIVELADOR BRANCO</v>
      </c>
      <c r="D118" s="294" t="str">
        <f>IFERROR(VLOOKUP(B118,comp_nãodes,3,FALSE),VLOOKUP(B118,insnãodes,3,FALSE))</f>
        <v>M2</v>
      </c>
      <c r="E118" s="430">
        <v>73.709999999999994</v>
      </c>
      <c r="F118" s="426">
        <f t="shared" si="29"/>
        <v>22.65</v>
      </c>
      <c r="G118" s="426">
        <f>TRUNC(F118*(1+$G$2),2)</f>
        <v>28.31</v>
      </c>
      <c r="H118" s="431">
        <f t="shared" si="47"/>
        <v>2086.73</v>
      </c>
      <c r="J118" s="6">
        <f>11*0.8*2.1*3+1*0.9*2.1*3+4.2*3</f>
        <v>73.710000000000008</v>
      </c>
    </row>
    <row r="119" spans="1:13" ht="15.75" outlineLevel="2">
      <c r="A119" s="298"/>
      <c r="B119" s="307"/>
      <c r="C119" s="442"/>
      <c r="D119" s="291"/>
      <c r="E119" s="430"/>
      <c r="F119" s="426"/>
      <c r="G119" s="428" t="s">
        <v>11684</v>
      </c>
      <c r="H119" s="429">
        <f>SUM(H114:H118)</f>
        <v>16297.8</v>
      </c>
    </row>
    <row r="120" spans="1:13" ht="15.75" outlineLevel="2">
      <c r="A120" s="296" t="s">
        <v>13083</v>
      </c>
      <c r="B120" s="294"/>
      <c r="C120" s="441" t="s">
        <v>329</v>
      </c>
      <c r="D120" s="345"/>
      <c r="E120" s="432"/>
      <c r="F120" s="426"/>
      <c r="G120" s="432"/>
      <c r="H120" s="431"/>
    </row>
    <row r="121" spans="1:13" ht="30" outlineLevel="2">
      <c r="A121" s="297" t="s">
        <v>13084</v>
      </c>
      <c r="B121" s="307">
        <v>96486</v>
      </c>
      <c r="C121" s="439" t="str">
        <f>IFERROR(VLOOKUP(B121,comp_nãodes,2,FALSE),VLOOKUP(B121,insnãodes,2,FALSE))</f>
        <v>FORRO DE PVC, LISO, PARA AMBIENTES COMERCIAIS, INCLUSIVE ESTRUTURA DE FIXAÇÃO. AF_05/2017_P</v>
      </c>
      <c r="D121" s="294" t="str">
        <f>IFERROR(VLOOKUP(B121,comp_nãodes,3,FALSE),VLOOKUP(B121,insnãodes,3,FALSE))</f>
        <v>M2</v>
      </c>
      <c r="E121" s="430">
        <v>38.880000000000003</v>
      </c>
      <c r="F121" s="426">
        <f t="shared" si="29"/>
        <v>45.2</v>
      </c>
      <c r="G121" s="426">
        <f>TRUNC(F121*(1+$G$2),2)</f>
        <v>56.5</v>
      </c>
      <c r="H121" s="431">
        <f t="shared" ref="H121:H124" si="49">TRUNC(E121*G121,2)</f>
        <v>2196.7199999999998</v>
      </c>
      <c r="J121" s="6">
        <f>0.6*14.85*2+0.6*17.55*2</f>
        <v>38.879999999999995</v>
      </c>
      <c r="K121" s="6" t="s">
        <v>12767</v>
      </c>
    </row>
    <row r="122" spans="1:13" ht="30" outlineLevel="2">
      <c r="A122" s="297" t="s">
        <v>13085</v>
      </c>
      <c r="B122" s="307">
        <v>96121</v>
      </c>
      <c r="C122" s="439" t="str">
        <f>IFERROR(VLOOKUP(B122,comp_nãodes,2,FALSE),VLOOKUP(B122,insnãodes,2,FALSE))</f>
        <v>ACABAMENTOS PARA FORRO (RODA-FORRO EM PERFIL METÁLICO E PLÁSTICO). AF_05/2017</v>
      </c>
      <c r="D122" s="294" t="str">
        <f>IFERROR(VLOOKUP(B122,comp_nãodes,3,FALSE),VLOOKUP(B122,insnãodes,3,FALSE))</f>
        <v>M</v>
      </c>
      <c r="E122" s="430">
        <v>132</v>
      </c>
      <c r="F122" s="426">
        <f t="shared" si="29"/>
        <v>7.13</v>
      </c>
      <c r="G122" s="426">
        <f>TRUNC(F122*(1+$G$2),2)</f>
        <v>8.91</v>
      </c>
      <c r="H122" s="431">
        <f t="shared" si="49"/>
        <v>1176.1199999999999</v>
      </c>
      <c r="J122" s="6">
        <f>14.85*2*2+17.55*2*2+0.6*4</f>
        <v>132</v>
      </c>
    </row>
    <row r="123" spans="1:13" ht="30" outlineLevel="2">
      <c r="A123" s="297" t="s">
        <v>13086</v>
      </c>
      <c r="B123" s="307">
        <v>96113</v>
      </c>
      <c r="C123" s="439" t="str">
        <f>IFERROR(VLOOKUP(B123,comp_nãodes,2,FALSE),VLOOKUP(B123,insnãodes,2,FALSE))</f>
        <v>FORRO EM PLACAS DE GESSO, PARA AMBIENTES COMERCIAIS. AF_05/2017_P</v>
      </c>
      <c r="D123" s="294" t="str">
        <f>IFERROR(VLOOKUP(B123,comp_nãodes,3,FALSE),VLOOKUP(B123,insnãodes,3,FALSE))</f>
        <v>M2</v>
      </c>
      <c r="E123" s="430">
        <v>226.33</v>
      </c>
      <c r="F123" s="426">
        <f t="shared" si="29"/>
        <v>33.54</v>
      </c>
      <c r="G123" s="426">
        <f>TRUNC(F123*(1+$G$2),2)</f>
        <v>41.92</v>
      </c>
      <c r="H123" s="431">
        <f t="shared" si="49"/>
        <v>9487.75</v>
      </c>
      <c r="J123" s="6">
        <f>(13.98+51.35+17.43+16.36+7.6*2+14.8+9.98+5.31+42.75+3.45+3.91*2+27.9)</f>
        <v>226.32999999999998</v>
      </c>
    </row>
    <row r="124" spans="1:13" ht="30" outlineLevel="2">
      <c r="A124" s="297" t="s">
        <v>13087</v>
      </c>
      <c r="B124" s="307">
        <v>96120</v>
      </c>
      <c r="C124" s="439" t="str">
        <f>IFERROR(VLOOKUP(B124,comp_nãodes,2,FALSE),VLOOKUP(B124,insnãodes,2,FALSE))</f>
        <v>ACABAMENTOS PARA FORRO (MOLDURA DE GESSO). AF_05/2017</v>
      </c>
      <c r="D124" s="294" t="str">
        <f>IFERROR(VLOOKUP(B124,comp_nãodes,3,FALSE),VLOOKUP(B124,insnãodes,3,FALSE))</f>
        <v>M</v>
      </c>
      <c r="E124" s="430">
        <v>186.75</v>
      </c>
      <c r="F124" s="426">
        <f t="shared" si="29"/>
        <v>2.6</v>
      </c>
      <c r="G124" s="426">
        <f>TRUNC(F124*(1+$G$2),2)</f>
        <v>3.25</v>
      </c>
      <c r="H124" s="431">
        <f t="shared" si="49"/>
        <v>606.92999999999995</v>
      </c>
      <c r="J124" s="6">
        <f>((6.5*2+2.15*2+6.5*2+7.9*2+4.15*2+4.2*2+3.9*2+4.2*2+3.9*2+3.8*2+5.28*2+1.9*2+2.82*2+1.9*2+9.15*2+5.7*2+2.3*5+1.7*3+1.85+5.35+3.25+7.2+4.6))</f>
        <v>186.74999999999997</v>
      </c>
    </row>
    <row r="125" spans="1:13" ht="15.75" outlineLevel="2">
      <c r="A125" s="298"/>
      <c r="B125" s="307"/>
      <c r="C125" s="442"/>
      <c r="D125" s="291"/>
      <c r="E125" s="430"/>
      <c r="F125" s="426"/>
      <c r="G125" s="428" t="s">
        <v>11684</v>
      </c>
      <c r="H125" s="429">
        <f>SUM(H121:H124)</f>
        <v>13467.52</v>
      </c>
    </row>
    <row r="126" spans="1:13" ht="15.75" outlineLevel="2">
      <c r="A126" s="296" t="s">
        <v>13088</v>
      </c>
      <c r="B126" s="306"/>
      <c r="C126" s="441" t="s">
        <v>12731</v>
      </c>
      <c r="D126" s="345"/>
      <c r="E126" s="432"/>
      <c r="F126" s="426"/>
      <c r="G126" s="432"/>
      <c r="H126" s="431"/>
    </row>
    <row r="127" spans="1:13" outlineLevel="2">
      <c r="A127" s="297" t="s">
        <v>13089</v>
      </c>
      <c r="B127" s="307" t="s">
        <v>11715</v>
      </c>
      <c r="C127" s="442" t="s">
        <v>442</v>
      </c>
      <c r="D127" s="307" t="s">
        <v>117</v>
      </c>
      <c r="E127" s="432">
        <v>243.02</v>
      </c>
      <c r="F127" s="426">
        <f>'CPU-ARQ'!H62</f>
        <v>3.19</v>
      </c>
      <c r="G127" s="426">
        <f>TRUNC(F127*(1+$G$2),2)</f>
        <v>3.98</v>
      </c>
      <c r="H127" s="431">
        <f t="shared" ref="H127" si="50">TRUNC(E127*G127,2)</f>
        <v>967.21</v>
      </c>
      <c r="J127" s="6">
        <v>239.03</v>
      </c>
    </row>
    <row r="128" spans="1:13" ht="15.75" outlineLevel="2">
      <c r="A128" s="297"/>
      <c r="B128" s="292"/>
      <c r="C128" s="440"/>
      <c r="D128" s="305"/>
      <c r="E128" s="428"/>
      <c r="F128" s="426"/>
      <c r="G128" s="428" t="s">
        <v>11684</v>
      </c>
      <c r="H128" s="429">
        <f>SUM(H127)</f>
        <v>967.21</v>
      </c>
    </row>
    <row r="129" spans="1:8" ht="15.75" outlineLevel="2">
      <c r="A129" s="296" t="s">
        <v>13090</v>
      </c>
      <c r="B129" s="306"/>
      <c r="C129" s="441" t="s">
        <v>12732</v>
      </c>
      <c r="D129" s="345"/>
      <c r="E129" s="432"/>
      <c r="F129" s="426"/>
      <c r="G129" s="432"/>
      <c r="H129" s="431"/>
    </row>
    <row r="130" spans="1:8" ht="45" outlineLevel="2">
      <c r="A130" s="297" t="s">
        <v>13091</v>
      </c>
      <c r="B130" s="307">
        <v>89356</v>
      </c>
      <c r="C130" s="442" t="s">
        <v>3812</v>
      </c>
      <c r="D130" s="307" t="s">
        <v>35</v>
      </c>
      <c r="E130" s="432">
        <v>48</v>
      </c>
      <c r="F130" s="426">
        <f t="shared" si="29"/>
        <v>16.059999999999999</v>
      </c>
      <c r="G130" s="426">
        <f t="shared" ref="G130:G161" si="51">TRUNC(F130*(1+$G$2),2)</f>
        <v>20.07</v>
      </c>
      <c r="H130" s="431">
        <f t="shared" ref="H130" si="52">TRUNC(E130*G130,2)</f>
        <v>963.36</v>
      </c>
    </row>
    <row r="131" spans="1:8" ht="30" outlineLevel="2">
      <c r="A131" s="297" t="s">
        <v>13092</v>
      </c>
      <c r="B131" s="307">
        <v>89449</v>
      </c>
      <c r="C131" s="442" t="s">
        <v>153</v>
      </c>
      <c r="D131" s="307" t="s">
        <v>35</v>
      </c>
      <c r="E131" s="432">
        <v>23</v>
      </c>
      <c r="F131" s="426">
        <f t="shared" si="29"/>
        <v>11.63</v>
      </c>
      <c r="G131" s="426">
        <f t="shared" si="51"/>
        <v>14.53</v>
      </c>
      <c r="H131" s="431">
        <f t="shared" ref="H131:H151" si="53">TRUNC(E131*G131,2)</f>
        <v>334.19</v>
      </c>
    </row>
    <row r="132" spans="1:8" ht="30" outlineLevel="2">
      <c r="A132" s="297" t="s">
        <v>13093</v>
      </c>
      <c r="B132" s="307">
        <v>89450</v>
      </c>
      <c r="C132" s="442" t="s">
        <v>3815</v>
      </c>
      <c r="D132" s="307" t="s">
        <v>35</v>
      </c>
      <c r="E132" s="432">
        <v>9</v>
      </c>
      <c r="F132" s="426">
        <f t="shared" si="29"/>
        <v>19.100000000000001</v>
      </c>
      <c r="G132" s="426">
        <f t="shared" si="51"/>
        <v>23.87</v>
      </c>
      <c r="H132" s="431">
        <f t="shared" si="53"/>
        <v>214.83</v>
      </c>
    </row>
    <row r="133" spans="1:8" ht="30" outlineLevel="2">
      <c r="A133" s="297" t="s">
        <v>13094</v>
      </c>
      <c r="B133" s="307">
        <v>89451</v>
      </c>
      <c r="C133" s="442" t="s">
        <v>154</v>
      </c>
      <c r="D133" s="307" t="s">
        <v>35</v>
      </c>
      <c r="E133" s="432">
        <v>29</v>
      </c>
      <c r="F133" s="426">
        <f t="shared" si="29"/>
        <v>31.47</v>
      </c>
      <c r="G133" s="426">
        <f t="shared" si="51"/>
        <v>39.33</v>
      </c>
      <c r="H133" s="431">
        <f t="shared" si="53"/>
        <v>1140.57</v>
      </c>
    </row>
    <row r="134" spans="1:8" ht="30" outlineLevel="2">
      <c r="A134" s="297" t="s">
        <v>13095</v>
      </c>
      <c r="B134" s="307">
        <v>89452</v>
      </c>
      <c r="C134" s="442" t="s">
        <v>355</v>
      </c>
      <c r="D134" s="307" t="s">
        <v>35</v>
      </c>
      <c r="E134" s="432">
        <v>85</v>
      </c>
      <c r="F134" s="426">
        <f t="shared" si="29"/>
        <v>39.130000000000003</v>
      </c>
      <c r="G134" s="426">
        <f t="shared" si="51"/>
        <v>48.91</v>
      </c>
      <c r="H134" s="431">
        <f t="shared" si="53"/>
        <v>4157.3500000000004</v>
      </c>
    </row>
    <row r="135" spans="1:8" ht="45" outlineLevel="2">
      <c r="A135" s="297" t="s">
        <v>13096</v>
      </c>
      <c r="B135" s="307">
        <v>89408</v>
      </c>
      <c r="C135" s="442" t="s">
        <v>351</v>
      </c>
      <c r="D135" s="307" t="s">
        <v>28</v>
      </c>
      <c r="E135" s="432">
        <v>22</v>
      </c>
      <c r="F135" s="426">
        <f t="shared" si="29"/>
        <v>4.7</v>
      </c>
      <c r="G135" s="426">
        <f t="shared" si="51"/>
        <v>5.87</v>
      </c>
      <c r="H135" s="431">
        <f t="shared" si="53"/>
        <v>129.13999999999999</v>
      </c>
    </row>
    <row r="136" spans="1:8" ht="45" outlineLevel="2">
      <c r="A136" s="297" t="s">
        <v>13097</v>
      </c>
      <c r="B136" s="307">
        <v>89408</v>
      </c>
      <c r="C136" s="442" t="s">
        <v>351</v>
      </c>
      <c r="D136" s="307" t="s">
        <v>28</v>
      </c>
      <c r="E136" s="432">
        <v>22</v>
      </c>
      <c r="F136" s="426">
        <f t="shared" si="29"/>
        <v>4.7</v>
      </c>
      <c r="G136" s="426">
        <f t="shared" si="51"/>
        <v>5.87</v>
      </c>
      <c r="H136" s="431">
        <f t="shared" si="53"/>
        <v>129.13999999999999</v>
      </c>
    </row>
    <row r="137" spans="1:8" ht="45" outlineLevel="2">
      <c r="A137" s="297" t="s">
        <v>13098</v>
      </c>
      <c r="B137" s="307">
        <v>89501</v>
      </c>
      <c r="C137" s="442" t="s">
        <v>215</v>
      </c>
      <c r="D137" s="307" t="s">
        <v>28</v>
      </c>
      <c r="E137" s="432">
        <v>4</v>
      </c>
      <c r="F137" s="426">
        <f t="shared" si="29"/>
        <v>10.45</v>
      </c>
      <c r="G137" s="426">
        <f t="shared" si="51"/>
        <v>13.06</v>
      </c>
      <c r="H137" s="431">
        <f t="shared" si="53"/>
        <v>52.24</v>
      </c>
    </row>
    <row r="138" spans="1:8" ht="45" outlineLevel="2">
      <c r="A138" s="297" t="s">
        <v>13099</v>
      </c>
      <c r="B138" s="307">
        <v>89505</v>
      </c>
      <c r="C138" s="442" t="s">
        <v>4112</v>
      </c>
      <c r="D138" s="307" t="s">
        <v>28</v>
      </c>
      <c r="E138" s="432">
        <v>1</v>
      </c>
      <c r="F138" s="426">
        <f t="shared" si="29"/>
        <v>25.55</v>
      </c>
      <c r="G138" s="426">
        <f t="shared" si="51"/>
        <v>31.93</v>
      </c>
      <c r="H138" s="431">
        <f t="shared" si="53"/>
        <v>31.93</v>
      </c>
    </row>
    <row r="139" spans="1:8" ht="45" outlineLevel="2">
      <c r="A139" s="297" t="s">
        <v>13100</v>
      </c>
      <c r="B139" s="307">
        <v>89513</v>
      </c>
      <c r="C139" s="442" t="s">
        <v>352</v>
      </c>
      <c r="D139" s="307" t="s">
        <v>28</v>
      </c>
      <c r="E139" s="432">
        <v>3</v>
      </c>
      <c r="F139" s="426">
        <f t="shared" si="29"/>
        <v>77.27</v>
      </c>
      <c r="G139" s="426">
        <f t="shared" si="51"/>
        <v>96.58</v>
      </c>
      <c r="H139" s="431">
        <f t="shared" si="53"/>
        <v>289.74</v>
      </c>
    </row>
    <row r="140" spans="1:8" ht="45" outlineLevel="2">
      <c r="A140" s="297" t="s">
        <v>13101</v>
      </c>
      <c r="B140" s="307">
        <v>89521</v>
      </c>
      <c r="C140" s="442" t="s">
        <v>353</v>
      </c>
      <c r="D140" s="307" t="s">
        <v>28</v>
      </c>
      <c r="E140" s="432">
        <v>5</v>
      </c>
      <c r="F140" s="426">
        <f t="shared" si="29"/>
        <v>91.01</v>
      </c>
      <c r="G140" s="426">
        <f t="shared" si="51"/>
        <v>113.76</v>
      </c>
      <c r="H140" s="431">
        <f t="shared" si="53"/>
        <v>568.79999999999995</v>
      </c>
    </row>
    <row r="141" spans="1:8" ht="45" outlineLevel="2">
      <c r="A141" s="297" t="s">
        <v>13102</v>
      </c>
      <c r="B141" s="307">
        <v>90373</v>
      </c>
      <c r="C141" s="442" t="s">
        <v>342</v>
      </c>
      <c r="D141" s="307" t="s">
        <v>28</v>
      </c>
      <c r="E141" s="432">
        <v>14</v>
      </c>
      <c r="F141" s="426">
        <f t="shared" si="29"/>
        <v>10.72</v>
      </c>
      <c r="G141" s="426">
        <f t="shared" si="51"/>
        <v>13.4</v>
      </c>
      <c r="H141" s="431">
        <f t="shared" si="53"/>
        <v>187.6</v>
      </c>
    </row>
    <row r="142" spans="1:8" ht="45" outlineLevel="2">
      <c r="A142" s="297" t="s">
        <v>13103</v>
      </c>
      <c r="B142" s="307">
        <v>89395</v>
      </c>
      <c r="C142" s="442" t="s">
        <v>216</v>
      </c>
      <c r="D142" s="307" t="s">
        <v>28</v>
      </c>
      <c r="E142" s="432">
        <v>4</v>
      </c>
      <c r="F142" s="426">
        <f t="shared" si="29"/>
        <v>9.5500000000000007</v>
      </c>
      <c r="G142" s="426">
        <f t="shared" si="51"/>
        <v>11.93</v>
      </c>
      <c r="H142" s="431">
        <f t="shared" si="53"/>
        <v>47.72</v>
      </c>
    </row>
    <row r="143" spans="1:8" ht="30" outlineLevel="2">
      <c r="A143" s="297" t="s">
        <v>13104</v>
      </c>
      <c r="B143" s="307">
        <v>89625</v>
      </c>
      <c r="C143" s="442" t="s">
        <v>155</v>
      </c>
      <c r="D143" s="307" t="s">
        <v>28</v>
      </c>
      <c r="E143" s="432">
        <v>1</v>
      </c>
      <c r="F143" s="426">
        <f t="shared" si="29"/>
        <v>16.2</v>
      </c>
      <c r="G143" s="426">
        <f t="shared" si="51"/>
        <v>20.25</v>
      </c>
      <c r="H143" s="431">
        <f t="shared" si="53"/>
        <v>20.25</v>
      </c>
    </row>
    <row r="144" spans="1:8" ht="30" outlineLevel="2">
      <c r="A144" s="297" t="s">
        <v>13105</v>
      </c>
      <c r="B144" s="307">
        <v>89628</v>
      </c>
      <c r="C144" s="442" t="s">
        <v>4198</v>
      </c>
      <c r="D144" s="307" t="s">
        <v>28</v>
      </c>
      <c r="E144" s="432">
        <v>2</v>
      </c>
      <c r="F144" s="426">
        <f t="shared" si="29"/>
        <v>32.880000000000003</v>
      </c>
      <c r="G144" s="426">
        <f t="shared" si="51"/>
        <v>41.1</v>
      </c>
      <c r="H144" s="431">
        <f t="shared" si="53"/>
        <v>82.2</v>
      </c>
    </row>
    <row r="145" spans="1:8" ht="30" outlineLevel="2">
      <c r="A145" s="297" t="s">
        <v>13106</v>
      </c>
      <c r="B145" s="307">
        <v>89629</v>
      </c>
      <c r="C145" s="442" t="s">
        <v>156</v>
      </c>
      <c r="D145" s="307" t="s">
        <v>28</v>
      </c>
      <c r="E145" s="432">
        <v>1</v>
      </c>
      <c r="F145" s="426">
        <f t="shared" ref="F145:F208" si="54">IFERROR(VLOOKUP(B145,comp_nãodes,4,FALSE),VLOOKUP(B145,insnãodes,4,FALSE))</f>
        <v>59.67</v>
      </c>
      <c r="G145" s="426">
        <f t="shared" si="51"/>
        <v>74.58</v>
      </c>
      <c r="H145" s="431">
        <f t="shared" si="53"/>
        <v>74.58</v>
      </c>
    </row>
    <row r="146" spans="1:8" ht="30" outlineLevel="2">
      <c r="A146" s="297" t="s">
        <v>13107</v>
      </c>
      <c r="B146" s="307">
        <v>89631</v>
      </c>
      <c r="C146" s="442" t="s">
        <v>356</v>
      </c>
      <c r="D146" s="307" t="s">
        <v>28</v>
      </c>
      <c r="E146" s="432">
        <v>1</v>
      </c>
      <c r="F146" s="426">
        <f t="shared" si="54"/>
        <v>89.82</v>
      </c>
      <c r="G146" s="426">
        <f t="shared" si="51"/>
        <v>112.27</v>
      </c>
      <c r="H146" s="431">
        <f t="shared" si="53"/>
        <v>112.27</v>
      </c>
    </row>
    <row r="147" spans="1:8" ht="60" outlineLevel="2">
      <c r="A147" s="297" t="s">
        <v>13108</v>
      </c>
      <c r="B147" s="307">
        <v>89396</v>
      </c>
      <c r="C147" s="442" t="s">
        <v>4058</v>
      </c>
      <c r="D147" s="307" t="s">
        <v>28</v>
      </c>
      <c r="E147" s="432">
        <v>2</v>
      </c>
      <c r="F147" s="426">
        <f t="shared" si="54"/>
        <v>14.98</v>
      </c>
      <c r="G147" s="426">
        <f t="shared" si="51"/>
        <v>18.72</v>
      </c>
      <c r="H147" s="431">
        <f t="shared" si="53"/>
        <v>37.44</v>
      </c>
    </row>
    <row r="148" spans="1:8" ht="60" outlineLevel="2">
      <c r="A148" s="297" t="s">
        <v>13109</v>
      </c>
      <c r="B148" s="307">
        <v>90374</v>
      </c>
      <c r="C148" s="442" t="s">
        <v>366</v>
      </c>
      <c r="D148" s="307" t="s">
        <v>28</v>
      </c>
      <c r="E148" s="432">
        <v>3</v>
      </c>
      <c r="F148" s="426">
        <f t="shared" si="54"/>
        <v>16.559999999999999</v>
      </c>
      <c r="G148" s="426">
        <f t="shared" si="51"/>
        <v>20.7</v>
      </c>
      <c r="H148" s="431">
        <f t="shared" si="53"/>
        <v>62.1</v>
      </c>
    </row>
    <row r="149" spans="1:8" ht="45" outlineLevel="2">
      <c r="A149" s="297" t="s">
        <v>13110</v>
      </c>
      <c r="B149" s="307">
        <v>89627</v>
      </c>
      <c r="C149" s="442" t="s">
        <v>157</v>
      </c>
      <c r="D149" s="307" t="s">
        <v>28</v>
      </c>
      <c r="E149" s="432">
        <v>6</v>
      </c>
      <c r="F149" s="426">
        <f t="shared" si="54"/>
        <v>15.36</v>
      </c>
      <c r="G149" s="426">
        <f t="shared" si="51"/>
        <v>19.2</v>
      </c>
      <c r="H149" s="431">
        <f t="shared" si="53"/>
        <v>115.2</v>
      </c>
    </row>
    <row r="150" spans="1:8" ht="60" outlineLevel="2">
      <c r="A150" s="297" t="s">
        <v>13111</v>
      </c>
      <c r="B150" s="307">
        <v>94698</v>
      </c>
      <c r="C150" s="442" t="s">
        <v>4717</v>
      </c>
      <c r="D150" s="307" t="s">
        <v>28</v>
      </c>
      <c r="E150" s="432">
        <v>2</v>
      </c>
      <c r="F150" s="426">
        <f t="shared" si="54"/>
        <v>57.64</v>
      </c>
      <c r="G150" s="426">
        <f t="shared" si="51"/>
        <v>72.05</v>
      </c>
      <c r="H150" s="431">
        <f t="shared" si="53"/>
        <v>144.1</v>
      </c>
    </row>
    <row r="151" spans="1:8" ht="45" outlineLevel="2">
      <c r="A151" s="297" t="s">
        <v>13112</v>
      </c>
      <c r="B151" s="411">
        <v>89579</v>
      </c>
      <c r="C151" s="442" t="s">
        <v>4168</v>
      </c>
      <c r="D151" s="307" t="s">
        <v>28</v>
      </c>
      <c r="E151" s="432">
        <v>2</v>
      </c>
      <c r="F151" s="426">
        <f t="shared" si="54"/>
        <v>8.64</v>
      </c>
      <c r="G151" s="426">
        <f t="shared" si="51"/>
        <v>10.8</v>
      </c>
      <c r="H151" s="431">
        <f t="shared" si="53"/>
        <v>21.6</v>
      </c>
    </row>
    <row r="152" spans="1:8" ht="45" outlineLevel="2">
      <c r="A152" s="297" t="s">
        <v>13113</v>
      </c>
      <c r="B152" s="411" t="s">
        <v>12881</v>
      </c>
      <c r="C152" s="442" t="s">
        <v>12882</v>
      </c>
      <c r="D152" s="307" t="s">
        <v>28</v>
      </c>
      <c r="E152" s="432">
        <v>1</v>
      </c>
      <c r="F152" s="456">
        <f>'COMP. HIDRO'!G82</f>
        <v>13.46</v>
      </c>
      <c r="G152" s="426">
        <f t="shared" si="51"/>
        <v>16.82</v>
      </c>
      <c r="H152" s="431">
        <f t="shared" ref="H152:H156" si="55">TRUNC(E152*G152,2)</f>
        <v>16.82</v>
      </c>
    </row>
    <row r="153" spans="1:8" ht="45" outlineLevel="2">
      <c r="A153" s="297" t="s">
        <v>13114</v>
      </c>
      <c r="B153" s="411">
        <v>89605</v>
      </c>
      <c r="C153" s="442" t="s">
        <v>4185</v>
      </c>
      <c r="D153" s="307" t="s">
        <v>28</v>
      </c>
      <c r="E153" s="432">
        <v>2</v>
      </c>
      <c r="F153" s="456">
        <f t="shared" si="54"/>
        <v>14.81</v>
      </c>
      <c r="G153" s="426">
        <f t="shared" si="51"/>
        <v>18.510000000000002</v>
      </c>
      <c r="H153" s="431">
        <f t="shared" si="55"/>
        <v>37.020000000000003</v>
      </c>
    </row>
    <row r="154" spans="1:8" ht="45" outlineLevel="2">
      <c r="A154" s="297" t="s">
        <v>13115</v>
      </c>
      <c r="B154" s="411" t="s">
        <v>12883</v>
      </c>
      <c r="C154" s="442" t="s">
        <v>12884</v>
      </c>
      <c r="D154" s="307" t="s">
        <v>28</v>
      </c>
      <c r="E154" s="432">
        <v>1</v>
      </c>
      <c r="F154" s="456">
        <f>'COMP. HIDRO'!G121</f>
        <v>22.54</v>
      </c>
      <c r="G154" s="426">
        <f t="shared" si="51"/>
        <v>28.17</v>
      </c>
      <c r="H154" s="431">
        <f t="shared" si="55"/>
        <v>28.17</v>
      </c>
    </row>
    <row r="155" spans="1:8" ht="45" outlineLevel="2">
      <c r="A155" s="297" t="s">
        <v>13116</v>
      </c>
      <c r="B155" s="411" t="s">
        <v>12885</v>
      </c>
      <c r="C155" s="442" t="s">
        <v>12886</v>
      </c>
      <c r="D155" s="307" t="s">
        <v>28</v>
      </c>
      <c r="E155" s="432">
        <v>2</v>
      </c>
      <c r="F155" s="456">
        <f>'COMP. HIDRO'!G30</f>
        <v>22.68</v>
      </c>
      <c r="G155" s="426">
        <f t="shared" si="51"/>
        <v>28.35</v>
      </c>
      <c r="H155" s="431">
        <f t="shared" si="55"/>
        <v>56.7</v>
      </c>
    </row>
    <row r="156" spans="1:8" ht="45" outlineLevel="2">
      <c r="A156" s="297" t="s">
        <v>13117</v>
      </c>
      <c r="B156" s="411" t="s">
        <v>12887</v>
      </c>
      <c r="C156" s="442" t="s">
        <v>12888</v>
      </c>
      <c r="D156" s="307" t="s">
        <v>28</v>
      </c>
      <c r="E156" s="432">
        <v>1</v>
      </c>
      <c r="F156" s="456">
        <f>'COMP. HIDRO'!G43</f>
        <v>22.22</v>
      </c>
      <c r="G156" s="426">
        <f t="shared" si="51"/>
        <v>27.77</v>
      </c>
      <c r="H156" s="431">
        <f t="shared" si="55"/>
        <v>27.77</v>
      </c>
    </row>
    <row r="157" spans="1:8" ht="45" outlineLevel="2">
      <c r="A157" s="297" t="s">
        <v>13118</v>
      </c>
      <c r="B157" s="307">
        <v>89972</v>
      </c>
      <c r="C157" s="442" t="s">
        <v>5138</v>
      </c>
      <c r="D157" s="307" t="s">
        <v>28</v>
      </c>
      <c r="E157" s="432">
        <v>3</v>
      </c>
      <c r="F157" s="426">
        <f t="shared" si="54"/>
        <v>41.81</v>
      </c>
      <c r="G157" s="426">
        <f t="shared" si="51"/>
        <v>52.26</v>
      </c>
      <c r="H157" s="431">
        <f t="shared" ref="H157:H220" si="56">TRUNC(E157*G157,2)</f>
        <v>156.78</v>
      </c>
    </row>
    <row r="158" spans="1:8" ht="45" outlineLevel="2">
      <c r="A158" s="297" t="s">
        <v>13119</v>
      </c>
      <c r="B158" s="307">
        <v>89987</v>
      </c>
      <c r="C158" s="442" t="s">
        <v>5142</v>
      </c>
      <c r="D158" s="307" t="s">
        <v>28</v>
      </c>
      <c r="E158" s="432">
        <v>6</v>
      </c>
      <c r="F158" s="426">
        <f t="shared" si="54"/>
        <v>68.650000000000006</v>
      </c>
      <c r="G158" s="426">
        <f t="shared" si="51"/>
        <v>85.81</v>
      </c>
      <c r="H158" s="431">
        <f t="shared" si="56"/>
        <v>514.86</v>
      </c>
    </row>
    <row r="159" spans="1:8" ht="75" outlineLevel="2">
      <c r="A159" s="297" t="s">
        <v>13120</v>
      </c>
      <c r="B159" s="307">
        <v>94794</v>
      </c>
      <c r="C159" s="442" t="s">
        <v>5153</v>
      </c>
      <c r="D159" s="307" t="s">
        <v>28</v>
      </c>
      <c r="E159" s="432">
        <v>3</v>
      </c>
      <c r="F159" s="426">
        <f t="shared" si="54"/>
        <v>133.07</v>
      </c>
      <c r="G159" s="426">
        <f t="shared" si="51"/>
        <v>166.33</v>
      </c>
      <c r="H159" s="431">
        <f t="shared" si="56"/>
        <v>498.99</v>
      </c>
    </row>
    <row r="160" spans="1:8" ht="60" outlineLevel="2">
      <c r="A160" s="297" t="s">
        <v>13121</v>
      </c>
      <c r="B160" s="307">
        <v>94500</v>
      </c>
      <c r="C160" s="442" t="s">
        <v>360</v>
      </c>
      <c r="D160" s="307" t="s">
        <v>28</v>
      </c>
      <c r="E160" s="432">
        <v>1</v>
      </c>
      <c r="F160" s="426">
        <f t="shared" si="54"/>
        <v>260.27999999999997</v>
      </c>
      <c r="G160" s="426">
        <f t="shared" si="51"/>
        <v>325.35000000000002</v>
      </c>
      <c r="H160" s="431">
        <f t="shared" si="56"/>
        <v>325.35000000000002</v>
      </c>
    </row>
    <row r="161" spans="1:8" ht="45" outlineLevel="2">
      <c r="A161" s="297" t="s">
        <v>13122</v>
      </c>
      <c r="B161" s="307">
        <v>99635</v>
      </c>
      <c r="C161" s="442" t="s">
        <v>5181</v>
      </c>
      <c r="D161" s="307" t="s">
        <v>28</v>
      </c>
      <c r="E161" s="432">
        <v>1</v>
      </c>
      <c r="F161" s="426">
        <f t="shared" si="54"/>
        <v>198.52</v>
      </c>
      <c r="G161" s="426">
        <f t="shared" si="51"/>
        <v>248.15</v>
      </c>
      <c r="H161" s="431">
        <f t="shared" si="56"/>
        <v>248.15</v>
      </c>
    </row>
    <row r="162" spans="1:8" ht="60" outlineLevel="2">
      <c r="A162" s="297" t="s">
        <v>13123</v>
      </c>
      <c r="B162" s="307">
        <v>89383</v>
      </c>
      <c r="C162" s="442" t="s">
        <v>212</v>
      </c>
      <c r="D162" s="307" t="s">
        <v>28</v>
      </c>
      <c r="E162" s="432">
        <v>12</v>
      </c>
      <c r="F162" s="426">
        <f t="shared" si="54"/>
        <v>5.2</v>
      </c>
      <c r="G162" s="426">
        <f t="shared" ref="G162:G193" si="57">TRUNC(F162*(1+$G$2),2)</f>
        <v>6.5</v>
      </c>
      <c r="H162" s="431">
        <f t="shared" si="56"/>
        <v>78</v>
      </c>
    </row>
    <row r="163" spans="1:8" ht="60" outlineLevel="2">
      <c r="A163" s="297" t="s">
        <v>13124</v>
      </c>
      <c r="B163" s="307">
        <v>89596</v>
      </c>
      <c r="C163" s="442" t="s">
        <v>213</v>
      </c>
      <c r="D163" s="307" t="s">
        <v>28</v>
      </c>
      <c r="E163" s="432">
        <v>7</v>
      </c>
      <c r="F163" s="426">
        <f t="shared" si="54"/>
        <v>8.32</v>
      </c>
      <c r="G163" s="426">
        <f t="shared" si="57"/>
        <v>10.4</v>
      </c>
      <c r="H163" s="431">
        <f t="shared" si="56"/>
        <v>72.8</v>
      </c>
    </row>
    <row r="164" spans="1:8" ht="60" outlineLevel="2">
      <c r="A164" s="297" t="s">
        <v>13125</v>
      </c>
      <c r="B164" s="307">
        <v>89616</v>
      </c>
      <c r="C164" s="442" t="s">
        <v>345</v>
      </c>
      <c r="D164" s="307" t="s">
        <v>28</v>
      </c>
      <c r="E164" s="432">
        <v>2</v>
      </c>
      <c r="F164" s="426">
        <f t="shared" si="54"/>
        <v>31.69</v>
      </c>
      <c r="G164" s="426">
        <f t="shared" si="57"/>
        <v>39.61</v>
      </c>
      <c r="H164" s="431">
        <f t="shared" si="56"/>
        <v>79.22</v>
      </c>
    </row>
    <row r="165" spans="1:8" ht="30" outlineLevel="2">
      <c r="A165" s="297" t="s">
        <v>13126</v>
      </c>
      <c r="B165" s="411" t="s">
        <v>12889</v>
      </c>
      <c r="C165" s="442" t="s">
        <v>12890</v>
      </c>
      <c r="D165" s="307" t="s">
        <v>28</v>
      </c>
      <c r="E165" s="432">
        <v>1</v>
      </c>
      <c r="F165" s="456">
        <f>'COMP. HIDRO'!G878</f>
        <v>13.54</v>
      </c>
      <c r="G165" s="426">
        <f t="shared" si="57"/>
        <v>16.920000000000002</v>
      </c>
      <c r="H165" s="431">
        <f t="shared" si="56"/>
        <v>16.920000000000002</v>
      </c>
    </row>
    <row r="166" spans="1:8" ht="60" outlineLevel="2">
      <c r="A166" s="297" t="s">
        <v>13127</v>
      </c>
      <c r="B166" s="307">
        <v>86932</v>
      </c>
      <c r="C166" s="442" t="s">
        <v>12066</v>
      </c>
      <c r="D166" s="307" t="s">
        <v>28</v>
      </c>
      <c r="E166" s="432">
        <v>4</v>
      </c>
      <c r="F166" s="426">
        <f t="shared" si="54"/>
        <v>362.24</v>
      </c>
      <c r="G166" s="426">
        <f t="shared" si="57"/>
        <v>452.8</v>
      </c>
      <c r="H166" s="431">
        <f t="shared" si="56"/>
        <v>1811.2</v>
      </c>
    </row>
    <row r="167" spans="1:8" ht="60" outlineLevel="2">
      <c r="A167" s="297" t="s">
        <v>13128</v>
      </c>
      <c r="B167" s="307">
        <v>95472</v>
      </c>
      <c r="C167" s="442" t="s">
        <v>12084</v>
      </c>
      <c r="D167" s="307" t="s">
        <v>28</v>
      </c>
      <c r="E167" s="432">
        <v>1</v>
      </c>
      <c r="F167" s="426">
        <f t="shared" si="54"/>
        <v>568.57000000000005</v>
      </c>
      <c r="G167" s="426">
        <f t="shared" si="57"/>
        <v>710.71</v>
      </c>
      <c r="H167" s="431">
        <f t="shared" si="56"/>
        <v>710.71</v>
      </c>
    </row>
    <row r="168" spans="1:8" ht="30" outlineLevel="2">
      <c r="A168" s="297" t="s">
        <v>13129</v>
      </c>
      <c r="B168" s="411" t="s">
        <v>12891</v>
      </c>
      <c r="C168" s="442" t="s">
        <v>12892</v>
      </c>
      <c r="D168" s="307" t="s">
        <v>28</v>
      </c>
      <c r="E168" s="432">
        <v>5</v>
      </c>
      <c r="F168" s="456">
        <f>'COMP. HIDRO'!G323</f>
        <v>26.77</v>
      </c>
      <c r="G168" s="426">
        <f t="shared" si="57"/>
        <v>33.46</v>
      </c>
      <c r="H168" s="431">
        <f t="shared" si="56"/>
        <v>167.3</v>
      </c>
    </row>
    <row r="169" spans="1:8" ht="30" outlineLevel="2">
      <c r="A169" s="297" t="s">
        <v>13130</v>
      </c>
      <c r="B169" s="411" t="s">
        <v>12893</v>
      </c>
      <c r="C169" s="442" t="s">
        <v>12894</v>
      </c>
      <c r="D169" s="307" t="s">
        <v>117</v>
      </c>
      <c r="E169" s="432">
        <v>3</v>
      </c>
      <c r="F169" s="456">
        <f>'COMP. HIDRO'!G344</f>
        <v>502.91999999999996</v>
      </c>
      <c r="G169" s="426">
        <f t="shared" si="57"/>
        <v>628.65</v>
      </c>
      <c r="H169" s="431">
        <f t="shared" si="56"/>
        <v>1885.95</v>
      </c>
    </row>
    <row r="170" spans="1:8" ht="60" outlineLevel="2">
      <c r="A170" s="297" t="s">
        <v>13131</v>
      </c>
      <c r="B170" s="307">
        <v>86936</v>
      </c>
      <c r="C170" s="442" t="s">
        <v>12070</v>
      </c>
      <c r="D170" s="307" t="s">
        <v>28</v>
      </c>
      <c r="E170" s="432">
        <v>1</v>
      </c>
      <c r="F170" s="426">
        <f t="shared" si="54"/>
        <v>342.29</v>
      </c>
      <c r="G170" s="426">
        <f t="shared" si="57"/>
        <v>427.86</v>
      </c>
      <c r="H170" s="431">
        <f t="shared" si="56"/>
        <v>427.86</v>
      </c>
    </row>
    <row r="171" spans="1:8" ht="45" outlineLevel="2">
      <c r="A171" s="297" t="s">
        <v>13132</v>
      </c>
      <c r="B171" s="307">
        <v>86909</v>
      </c>
      <c r="C171" s="442" t="s">
        <v>12046</v>
      </c>
      <c r="D171" s="307" t="s">
        <v>28</v>
      </c>
      <c r="E171" s="432">
        <v>1</v>
      </c>
      <c r="F171" s="426">
        <f t="shared" si="54"/>
        <v>93.93</v>
      </c>
      <c r="G171" s="426">
        <f t="shared" si="57"/>
        <v>117.41</v>
      </c>
      <c r="H171" s="431">
        <f t="shared" si="56"/>
        <v>117.41</v>
      </c>
    </row>
    <row r="172" spans="1:8" ht="30" outlineLevel="2">
      <c r="A172" s="297" t="s">
        <v>13133</v>
      </c>
      <c r="B172" s="411" t="s">
        <v>12895</v>
      </c>
      <c r="C172" s="442" t="s">
        <v>12896</v>
      </c>
      <c r="D172" s="307" t="s">
        <v>28</v>
      </c>
      <c r="E172" s="432">
        <v>5</v>
      </c>
      <c r="F172" s="456">
        <f>'COMP. HIDRO'!G661</f>
        <v>68.710000000000008</v>
      </c>
      <c r="G172" s="426">
        <f t="shared" si="57"/>
        <v>85.88</v>
      </c>
      <c r="H172" s="431">
        <f t="shared" si="56"/>
        <v>429.4</v>
      </c>
    </row>
    <row r="173" spans="1:8" ht="75" outlineLevel="2">
      <c r="A173" s="297" t="s">
        <v>13134</v>
      </c>
      <c r="B173" s="307">
        <v>86922</v>
      </c>
      <c r="C173" s="442" t="s">
        <v>12056</v>
      </c>
      <c r="D173" s="307" t="s">
        <v>28</v>
      </c>
      <c r="E173" s="432">
        <v>2</v>
      </c>
      <c r="F173" s="426">
        <f t="shared" si="54"/>
        <v>542.66999999999996</v>
      </c>
      <c r="G173" s="426">
        <f t="shared" si="57"/>
        <v>678.33</v>
      </c>
      <c r="H173" s="431">
        <f t="shared" si="56"/>
        <v>1356.66</v>
      </c>
    </row>
    <row r="174" spans="1:8" ht="30" outlineLevel="2">
      <c r="A174" s="297" t="s">
        <v>13135</v>
      </c>
      <c r="B174" s="307">
        <v>95544</v>
      </c>
      <c r="C174" s="442" t="s">
        <v>12087</v>
      </c>
      <c r="D174" s="307" t="s">
        <v>28</v>
      </c>
      <c r="E174" s="432">
        <v>5</v>
      </c>
      <c r="F174" s="426">
        <f t="shared" si="54"/>
        <v>34.49</v>
      </c>
      <c r="G174" s="426">
        <f t="shared" si="57"/>
        <v>43.11</v>
      </c>
      <c r="H174" s="431">
        <f t="shared" si="56"/>
        <v>215.55</v>
      </c>
    </row>
    <row r="175" spans="1:8" ht="45" outlineLevel="2">
      <c r="A175" s="297" t="s">
        <v>13136</v>
      </c>
      <c r="B175" s="307">
        <v>95547</v>
      </c>
      <c r="C175" s="442" t="s">
        <v>12090</v>
      </c>
      <c r="D175" s="307" t="s">
        <v>28</v>
      </c>
      <c r="E175" s="432">
        <v>4</v>
      </c>
      <c r="F175" s="426">
        <f t="shared" si="54"/>
        <v>47.3</v>
      </c>
      <c r="G175" s="426">
        <f t="shared" si="57"/>
        <v>59.12</v>
      </c>
      <c r="H175" s="431">
        <f t="shared" si="56"/>
        <v>236.48</v>
      </c>
    </row>
    <row r="176" spans="1:8" ht="30" outlineLevel="2">
      <c r="A176" s="297" t="s">
        <v>13137</v>
      </c>
      <c r="B176" s="307">
        <v>100852</v>
      </c>
      <c r="C176" s="442" t="s">
        <v>12094</v>
      </c>
      <c r="D176" s="307" t="s">
        <v>28</v>
      </c>
      <c r="E176" s="432">
        <v>1</v>
      </c>
      <c r="F176" s="426">
        <f t="shared" si="54"/>
        <v>161.76</v>
      </c>
      <c r="G176" s="426">
        <f t="shared" si="57"/>
        <v>202.2</v>
      </c>
      <c r="H176" s="431">
        <f t="shared" si="56"/>
        <v>202.2</v>
      </c>
    </row>
    <row r="177" spans="1:8" ht="45" outlineLevel="2">
      <c r="A177" s="297" t="s">
        <v>13138</v>
      </c>
      <c r="B177" s="307">
        <v>89711</v>
      </c>
      <c r="C177" s="442" t="s">
        <v>127</v>
      </c>
      <c r="D177" s="307" t="s">
        <v>35</v>
      </c>
      <c r="E177" s="432">
        <v>8</v>
      </c>
      <c r="F177" s="426">
        <f t="shared" si="54"/>
        <v>14.44</v>
      </c>
      <c r="G177" s="426">
        <f t="shared" si="57"/>
        <v>18.05</v>
      </c>
      <c r="H177" s="431">
        <f t="shared" si="56"/>
        <v>144.4</v>
      </c>
    </row>
    <row r="178" spans="1:8" ht="45" outlineLevel="2">
      <c r="A178" s="297" t="s">
        <v>13139</v>
      </c>
      <c r="B178" s="307">
        <v>89712</v>
      </c>
      <c r="C178" s="442" t="s">
        <v>128</v>
      </c>
      <c r="D178" s="307" t="s">
        <v>35</v>
      </c>
      <c r="E178" s="432">
        <v>21</v>
      </c>
      <c r="F178" s="426">
        <f t="shared" si="54"/>
        <v>21.63</v>
      </c>
      <c r="G178" s="426">
        <f t="shared" si="57"/>
        <v>27.03</v>
      </c>
      <c r="H178" s="431">
        <f t="shared" si="56"/>
        <v>567.63</v>
      </c>
    </row>
    <row r="179" spans="1:8" ht="45" outlineLevel="2">
      <c r="A179" s="297" t="s">
        <v>13140</v>
      </c>
      <c r="B179" s="307">
        <v>89798</v>
      </c>
      <c r="C179" s="442" t="s">
        <v>132</v>
      </c>
      <c r="D179" s="307" t="s">
        <v>35</v>
      </c>
      <c r="E179" s="432">
        <v>15</v>
      </c>
      <c r="F179" s="426">
        <f t="shared" si="54"/>
        <v>8.58</v>
      </c>
      <c r="G179" s="426">
        <f t="shared" si="57"/>
        <v>10.72</v>
      </c>
      <c r="H179" s="431">
        <f t="shared" si="56"/>
        <v>160.80000000000001</v>
      </c>
    </row>
    <row r="180" spans="1:8" ht="45" outlineLevel="2">
      <c r="A180" s="297" t="s">
        <v>13141</v>
      </c>
      <c r="B180" s="307">
        <v>89713</v>
      </c>
      <c r="C180" s="442" t="s">
        <v>130</v>
      </c>
      <c r="D180" s="307" t="s">
        <v>35</v>
      </c>
      <c r="E180" s="432">
        <v>15</v>
      </c>
      <c r="F180" s="426">
        <f t="shared" si="54"/>
        <v>33.21</v>
      </c>
      <c r="G180" s="426">
        <f t="shared" si="57"/>
        <v>41.51</v>
      </c>
      <c r="H180" s="431">
        <f t="shared" si="56"/>
        <v>622.65</v>
      </c>
    </row>
    <row r="181" spans="1:8" ht="45" outlineLevel="2">
      <c r="A181" s="297" t="s">
        <v>13142</v>
      </c>
      <c r="B181" s="307">
        <v>89714</v>
      </c>
      <c r="C181" s="442" t="s">
        <v>129</v>
      </c>
      <c r="D181" s="307" t="s">
        <v>35</v>
      </c>
      <c r="E181" s="432">
        <v>50</v>
      </c>
      <c r="F181" s="426">
        <f t="shared" si="54"/>
        <v>42.91</v>
      </c>
      <c r="G181" s="426">
        <f t="shared" si="57"/>
        <v>53.63</v>
      </c>
      <c r="H181" s="431">
        <f t="shared" si="56"/>
        <v>2681.5</v>
      </c>
    </row>
    <row r="182" spans="1:8" ht="60" outlineLevel="2">
      <c r="A182" s="297" t="s">
        <v>13143</v>
      </c>
      <c r="B182" s="307">
        <v>89753</v>
      </c>
      <c r="C182" s="442" t="s">
        <v>4293</v>
      </c>
      <c r="D182" s="307" t="s">
        <v>28</v>
      </c>
      <c r="E182" s="432">
        <v>9</v>
      </c>
      <c r="F182" s="426">
        <f t="shared" si="54"/>
        <v>6.94</v>
      </c>
      <c r="G182" s="426">
        <f t="shared" si="57"/>
        <v>8.67</v>
      </c>
      <c r="H182" s="431">
        <f t="shared" si="56"/>
        <v>78.03</v>
      </c>
    </row>
    <row r="183" spans="1:8" ht="60" outlineLevel="2">
      <c r="A183" s="297" t="s">
        <v>13144</v>
      </c>
      <c r="B183" s="307">
        <v>89774</v>
      </c>
      <c r="C183" s="442" t="s">
        <v>4311</v>
      </c>
      <c r="D183" s="307" t="s">
        <v>28</v>
      </c>
      <c r="E183" s="432">
        <v>7</v>
      </c>
      <c r="F183" s="426">
        <f t="shared" si="54"/>
        <v>11.35</v>
      </c>
      <c r="G183" s="426">
        <f t="shared" si="57"/>
        <v>14.18</v>
      </c>
      <c r="H183" s="431">
        <f t="shared" si="56"/>
        <v>99.26</v>
      </c>
    </row>
    <row r="184" spans="1:8" ht="60" outlineLevel="2">
      <c r="A184" s="297" t="s">
        <v>13145</v>
      </c>
      <c r="B184" s="307">
        <v>89778</v>
      </c>
      <c r="C184" s="442" t="s">
        <v>4314</v>
      </c>
      <c r="D184" s="307" t="s">
        <v>28</v>
      </c>
      <c r="E184" s="432">
        <v>15</v>
      </c>
      <c r="F184" s="426">
        <f t="shared" si="54"/>
        <v>14.37</v>
      </c>
      <c r="G184" s="426">
        <f t="shared" si="57"/>
        <v>17.96</v>
      </c>
      <c r="H184" s="431">
        <f t="shared" si="56"/>
        <v>269.39999999999998</v>
      </c>
    </row>
    <row r="185" spans="1:8" ht="30" outlineLevel="2">
      <c r="A185" s="297" t="s">
        <v>13146</v>
      </c>
      <c r="B185" s="411" t="s">
        <v>12897</v>
      </c>
      <c r="C185" s="442" t="s">
        <v>12898</v>
      </c>
      <c r="D185" s="307" t="s">
        <v>28</v>
      </c>
      <c r="E185" s="432">
        <v>3</v>
      </c>
      <c r="F185" s="456">
        <f>'COMP. HIDRO'!G397</f>
        <v>8.24</v>
      </c>
      <c r="G185" s="426">
        <f t="shared" si="57"/>
        <v>10.3</v>
      </c>
      <c r="H185" s="431">
        <f t="shared" si="56"/>
        <v>30.9</v>
      </c>
    </row>
    <row r="186" spans="1:8" ht="60" outlineLevel="2">
      <c r="A186" s="297" t="s">
        <v>13147</v>
      </c>
      <c r="B186" s="307">
        <v>89724</v>
      </c>
      <c r="C186" s="442" t="s">
        <v>126</v>
      </c>
      <c r="D186" s="307" t="s">
        <v>28</v>
      </c>
      <c r="E186" s="432">
        <v>7</v>
      </c>
      <c r="F186" s="426">
        <f t="shared" si="54"/>
        <v>7.59</v>
      </c>
      <c r="G186" s="426">
        <f t="shared" si="57"/>
        <v>9.48</v>
      </c>
      <c r="H186" s="431">
        <f t="shared" si="56"/>
        <v>66.36</v>
      </c>
    </row>
    <row r="187" spans="1:8" ht="60" outlineLevel="2">
      <c r="A187" s="297" t="s">
        <v>13148</v>
      </c>
      <c r="B187" s="307">
        <v>89731</v>
      </c>
      <c r="C187" s="442" t="s">
        <v>131</v>
      </c>
      <c r="D187" s="307" t="s">
        <v>28</v>
      </c>
      <c r="E187" s="432">
        <v>13</v>
      </c>
      <c r="F187" s="426">
        <f t="shared" si="54"/>
        <v>8.44</v>
      </c>
      <c r="G187" s="426">
        <f t="shared" si="57"/>
        <v>10.55</v>
      </c>
      <c r="H187" s="431">
        <f t="shared" si="56"/>
        <v>137.15</v>
      </c>
    </row>
    <row r="188" spans="1:8" ht="60" outlineLevel="2">
      <c r="A188" s="297" t="s">
        <v>13149</v>
      </c>
      <c r="B188" s="307">
        <v>89726</v>
      </c>
      <c r="C188" s="442" t="s">
        <v>124</v>
      </c>
      <c r="D188" s="307" t="s">
        <v>28</v>
      </c>
      <c r="E188" s="432">
        <v>3</v>
      </c>
      <c r="F188" s="426">
        <f t="shared" si="54"/>
        <v>5.85</v>
      </c>
      <c r="G188" s="426">
        <f t="shared" si="57"/>
        <v>7.31</v>
      </c>
      <c r="H188" s="431">
        <f t="shared" si="56"/>
        <v>21.93</v>
      </c>
    </row>
    <row r="189" spans="1:8" ht="60" outlineLevel="2">
      <c r="A189" s="297" t="s">
        <v>13150</v>
      </c>
      <c r="B189" s="307">
        <v>89732</v>
      </c>
      <c r="C189" s="442" t="s">
        <v>221</v>
      </c>
      <c r="D189" s="307" t="s">
        <v>28</v>
      </c>
      <c r="E189" s="432">
        <v>2</v>
      </c>
      <c r="F189" s="426">
        <f t="shared" si="54"/>
        <v>8.86</v>
      </c>
      <c r="G189" s="426">
        <f t="shared" si="57"/>
        <v>11.07</v>
      </c>
      <c r="H189" s="431">
        <f t="shared" si="56"/>
        <v>22.14</v>
      </c>
    </row>
    <row r="190" spans="1:8" ht="60" outlineLevel="2">
      <c r="A190" s="297" t="s">
        <v>13151</v>
      </c>
      <c r="B190" s="307">
        <v>89739</v>
      </c>
      <c r="C190" s="442" t="s">
        <v>125</v>
      </c>
      <c r="D190" s="307" t="s">
        <v>28</v>
      </c>
      <c r="E190" s="432">
        <v>2</v>
      </c>
      <c r="F190" s="426">
        <f t="shared" si="54"/>
        <v>14.78</v>
      </c>
      <c r="G190" s="426">
        <f t="shared" si="57"/>
        <v>18.47</v>
      </c>
      <c r="H190" s="431">
        <f t="shared" si="56"/>
        <v>36.94</v>
      </c>
    </row>
    <row r="191" spans="1:8" ht="60" outlineLevel="2">
      <c r="A191" s="297" t="s">
        <v>13152</v>
      </c>
      <c r="B191" s="307">
        <v>89810</v>
      </c>
      <c r="C191" s="442" t="s">
        <v>4341</v>
      </c>
      <c r="D191" s="307" t="s">
        <v>28</v>
      </c>
      <c r="E191" s="432">
        <v>3</v>
      </c>
      <c r="F191" s="426">
        <f t="shared" si="54"/>
        <v>13.88</v>
      </c>
      <c r="G191" s="426">
        <f t="shared" si="57"/>
        <v>17.350000000000001</v>
      </c>
      <c r="H191" s="431">
        <f t="shared" si="56"/>
        <v>52.05</v>
      </c>
    </row>
    <row r="192" spans="1:8" ht="60" outlineLevel="2">
      <c r="A192" s="297" t="s">
        <v>13153</v>
      </c>
      <c r="B192" s="307">
        <v>89728</v>
      </c>
      <c r="C192" s="442" t="s">
        <v>123</v>
      </c>
      <c r="D192" s="307" t="s">
        <v>28</v>
      </c>
      <c r="E192" s="432">
        <v>7</v>
      </c>
      <c r="F192" s="426">
        <f t="shared" si="54"/>
        <v>8.02</v>
      </c>
      <c r="G192" s="426">
        <f t="shared" si="57"/>
        <v>10.02</v>
      </c>
      <c r="H192" s="431">
        <f t="shared" si="56"/>
        <v>70.14</v>
      </c>
    </row>
    <row r="193" spans="1:8" ht="60" outlineLevel="2">
      <c r="A193" s="297" t="s">
        <v>13154</v>
      </c>
      <c r="B193" s="307">
        <v>89733</v>
      </c>
      <c r="C193" s="442" t="s">
        <v>4278</v>
      </c>
      <c r="D193" s="307" t="s">
        <v>28</v>
      </c>
      <c r="E193" s="432">
        <v>1</v>
      </c>
      <c r="F193" s="426">
        <f t="shared" si="54"/>
        <v>13.29</v>
      </c>
      <c r="G193" s="426">
        <f t="shared" si="57"/>
        <v>16.61</v>
      </c>
      <c r="H193" s="431">
        <f t="shared" si="56"/>
        <v>16.61</v>
      </c>
    </row>
    <row r="194" spans="1:8" ht="60" outlineLevel="2">
      <c r="A194" s="297" t="s">
        <v>13155</v>
      </c>
      <c r="B194" s="307">
        <v>89748</v>
      </c>
      <c r="C194" s="442" t="s">
        <v>392</v>
      </c>
      <c r="D194" s="307" t="s">
        <v>28</v>
      </c>
      <c r="E194" s="432">
        <v>5</v>
      </c>
      <c r="F194" s="426">
        <f t="shared" si="54"/>
        <v>27.64</v>
      </c>
      <c r="G194" s="426">
        <f t="shared" ref="G194:G220" si="58">TRUNC(F194*(1+$G$2),2)</f>
        <v>34.549999999999997</v>
      </c>
      <c r="H194" s="431">
        <f t="shared" si="56"/>
        <v>172.75</v>
      </c>
    </row>
    <row r="195" spans="1:8" ht="45" outlineLevel="2">
      <c r="A195" s="297" t="s">
        <v>13156</v>
      </c>
      <c r="B195" s="307">
        <v>89784</v>
      </c>
      <c r="C195" s="442" t="s">
        <v>4320</v>
      </c>
      <c r="D195" s="307" t="s">
        <v>28</v>
      </c>
      <c r="E195" s="432">
        <v>6</v>
      </c>
      <c r="F195" s="426">
        <f t="shared" si="54"/>
        <v>15.12</v>
      </c>
      <c r="G195" s="426">
        <f t="shared" si="58"/>
        <v>18.899999999999999</v>
      </c>
      <c r="H195" s="431">
        <f t="shared" si="56"/>
        <v>113.4</v>
      </c>
    </row>
    <row r="196" spans="1:8" ht="45" outlineLevel="2">
      <c r="A196" s="297" t="s">
        <v>13157</v>
      </c>
      <c r="B196" s="307">
        <v>89786</v>
      </c>
      <c r="C196" s="442" t="s">
        <v>4321</v>
      </c>
      <c r="D196" s="307" t="s">
        <v>28</v>
      </c>
      <c r="E196" s="432">
        <v>2</v>
      </c>
      <c r="F196" s="426">
        <f t="shared" si="54"/>
        <v>24.54</v>
      </c>
      <c r="G196" s="426">
        <f t="shared" si="58"/>
        <v>30.67</v>
      </c>
      <c r="H196" s="431">
        <f t="shared" si="56"/>
        <v>61.34</v>
      </c>
    </row>
    <row r="197" spans="1:8" ht="60" outlineLevel="2">
      <c r="A197" s="297" t="s">
        <v>13158</v>
      </c>
      <c r="B197" s="307">
        <v>89796</v>
      </c>
      <c r="C197" s="442" t="s">
        <v>4331</v>
      </c>
      <c r="D197" s="307" t="s">
        <v>28</v>
      </c>
      <c r="E197" s="432">
        <v>1</v>
      </c>
      <c r="F197" s="426">
        <f t="shared" si="54"/>
        <v>30.6</v>
      </c>
      <c r="G197" s="426">
        <f t="shared" si="58"/>
        <v>38.25</v>
      </c>
      <c r="H197" s="431">
        <f t="shared" si="56"/>
        <v>38.25</v>
      </c>
    </row>
    <row r="198" spans="1:8" ht="60" outlineLevel="2">
      <c r="A198" s="297" t="s">
        <v>13159</v>
      </c>
      <c r="B198" s="307">
        <v>89795</v>
      </c>
      <c r="C198" s="442" t="s">
        <v>4330</v>
      </c>
      <c r="D198" s="307" t="s">
        <v>28</v>
      </c>
      <c r="E198" s="432">
        <v>2</v>
      </c>
      <c r="F198" s="426">
        <f t="shared" si="54"/>
        <v>26.15</v>
      </c>
      <c r="G198" s="426">
        <f t="shared" si="58"/>
        <v>32.68</v>
      </c>
      <c r="H198" s="431">
        <f t="shared" si="56"/>
        <v>65.36</v>
      </c>
    </row>
    <row r="199" spans="1:8" ht="30" outlineLevel="2">
      <c r="A199" s="297" t="s">
        <v>13160</v>
      </c>
      <c r="B199" s="411" t="s">
        <v>12899</v>
      </c>
      <c r="C199" s="442" t="s">
        <v>12900</v>
      </c>
      <c r="D199" s="307" t="s">
        <v>28</v>
      </c>
      <c r="E199" s="432">
        <v>1</v>
      </c>
      <c r="F199" s="456">
        <f>'COMP. HIDRO'!G437</f>
        <v>27.72</v>
      </c>
      <c r="G199" s="426">
        <f t="shared" si="58"/>
        <v>34.65</v>
      </c>
      <c r="H199" s="431">
        <f t="shared" si="56"/>
        <v>34.65</v>
      </c>
    </row>
    <row r="200" spans="1:8" ht="30" outlineLevel="2">
      <c r="A200" s="297" t="s">
        <v>13161</v>
      </c>
      <c r="B200" s="411" t="s">
        <v>12901</v>
      </c>
      <c r="C200" s="442" t="s">
        <v>12902</v>
      </c>
      <c r="D200" s="307" t="s">
        <v>28</v>
      </c>
      <c r="E200" s="432">
        <v>2</v>
      </c>
      <c r="F200" s="456">
        <f>'COMP. HIDRO'!G451</f>
        <v>34.299999999999997</v>
      </c>
      <c r="G200" s="426">
        <f t="shared" si="58"/>
        <v>42.87</v>
      </c>
      <c r="H200" s="431">
        <f t="shared" si="56"/>
        <v>85.74</v>
      </c>
    </row>
    <row r="201" spans="1:8" ht="30" outlineLevel="2">
      <c r="A201" s="297" t="s">
        <v>13162</v>
      </c>
      <c r="B201" s="411" t="s">
        <v>12903</v>
      </c>
      <c r="C201" s="442" t="s">
        <v>12904</v>
      </c>
      <c r="D201" s="307" t="s">
        <v>28</v>
      </c>
      <c r="E201" s="432">
        <v>2</v>
      </c>
      <c r="F201" s="456">
        <f>'COMP. HIDRO'!G465</f>
        <v>39.769999999999996</v>
      </c>
      <c r="G201" s="426">
        <f t="shared" si="58"/>
        <v>49.71</v>
      </c>
      <c r="H201" s="431">
        <f t="shared" si="56"/>
        <v>99.42</v>
      </c>
    </row>
    <row r="202" spans="1:8" ht="60" outlineLevel="2">
      <c r="A202" s="297" t="s">
        <v>13163</v>
      </c>
      <c r="B202" s="307">
        <v>89797</v>
      </c>
      <c r="C202" s="442" t="s">
        <v>222</v>
      </c>
      <c r="D202" s="307" t="s">
        <v>28</v>
      </c>
      <c r="E202" s="432">
        <v>2</v>
      </c>
      <c r="F202" s="426">
        <f t="shared" si="54"/>
        <v>34.380000000000003</v>
      </c>
      <c r="G202" s="426">
        <f t="shared" si="58"/>
        <v>42.97</v>
      </c>
      <c r="H202" s="431">
        <f t="shared" si="56"/>
        <v>85.94</v>
      </c>
    </row>
    <row r="203" spans="1:8" ht="30" outlineLevel="2">
      <c r="A203" s="297" t="s">
        <v>13164</v>
      </c>
      <c r="B203" s="411" t="s">
        <v>12905</v>
      </c>
      <c r="C203" s="442" t="s">
        <v>12906</v>
      </c>
      <c r="D203" s="307" t="s">
        <v>28</v>
      </c>
      <c r="E203" s="432">
        <v>4</v>
      </c>
      <c r="F203" s="456">
        <f>'COMP. HIDRO'!G478</f>
        <v>13.139999999999999</v>
      </c>
      <c r="G203" s="426">
        <f t="shared" si="58"/>
        <v>16.420000000000002</v>
      </c>
      <c r="H203" s="431">
        <f t="shared" si="56"/>
        <v>65.680000000000007</v>
      </c>
    </row>
    <row r="204" spans="1:8" ht="45" outlineLevel="2">
      <c r="A204" s="297" t="s">
        <v>13165</v>
      </c>
      <c r="B204" s="411" t="s">
        <v>12907</v>
      </c>
      <c r="C204" s="442" t="s">
        <v>12908</v>
      </c>
      <c r="D204" s="307" t="s">
        <v>28</v>
      </c>
      <c r="E204" s="432">
        <v>3</v>
      </c>
      <c r="F204" s="456">
        <f>'COMP. HIDRO'!G514</f>
        <v>43.44</v>
      </c>
      <c r="G204" s="426">
        <f t="shared" si="58"/>
        <v>54.3</v>
      </c>
      <c r="H204" s="431">
        <f t="shared" si="56"/>
        <v>162.9</v>
      </c>
    </row>
    <row r="205" spans="1:8" ht="45" outlineLevel="2">
      <c r="A205" s="297" t="s">
        <v>13166</v>
      </c>
      <c r="B205" s="411" t="s">
        <v>12909</v>
      </c>
      <c r="C205" s="442" t="s">
        <v>12910</v>
      </c>
      <c r="D205" s="307" t="s">
        <v>28</v>
      </c>
      <c r="E205" s="432">
        <v>2</v>
      </c>
      <c r="F205" s="456">
        <f>'COMP. HIDRO'!G551</f>
        <v>73.53</v>
      </c>
      <c r="G205" s="426">
        <f t="shared" si="58"/>
        <v>91.91</v>
      </c>
      <c r="H205" s="431">
        <f t="shared" si="56"/>
        <v>183.82</v>
      </c>
    </row>
    <row r="206" spans="1:8" ht="60" outlineLevel="2">
      <c r="A206" s="297" t="s">
        <v>13167</v>
      </c>
      <c r="B206" s="411">
        <v>89708</v>
      </c>
      <c r="C206" s="442" t="s">
        <v>5084</v>
      </c>
      <c r="D206" s="307" t="s">
        <v>28</v>
      </c>
      <c r="E206" s="432">
        <v>5</v>
      </c>
      <c r="F206" s="426">
        <f t="shared" si="54"/>
        <v>55.52</v>
      </c>
      <c r="G206" s="426">
        <f t="shared" si="58"/>
        <v>69.400000000000006</v>
      </c>
      <c r="H206" s="431">
        <f t="shared" si="56"/>
        <v>347</v>
      </c>
    </row>
    <row r="207" spans="1:8" ht="45" outlineLevel="2">
      <c r="A207" s="297" t="s">
        <v>13168</v>
      </c>
      <c r="B207" s="411" t="s">
        <v>12911</v>
      </c>
      <c r="C207" s="442" t="s">
        <v>12912</v>
      </c>
      <c r="D207" s="307" t="s">
        <v>28</v>
      </c>
      <c r="E207" s="432">
        <v>4</v>
      </c>
      <c r="F207" s="456">
        <f>'COMP. HIDRO'!G541</f>
        <v>56.089999999999996</v>
      </c>
      <c r="G207" s="426">
        <f t="shared" si="58"/>
        <v>70.11</v>
      </c>
      <c r="H207" s="431">
        <f t="shared" si="56"/>
        <v>280.44</v>
      </c>
    </row>
    <row r="208" spans="1:8" ht="60" outlineLevel="2">
      <c r="A208" s="297" t="s">
        <v>13169</v>
      </c>
      <c r="B208" s="307">
        <v>97902</v>
      </c>
      <c r="C208" s="442" t="s">
        <v>5057</v>
      </c>
      <c r="D208" s="307" t="s">
        <v>28</v>
      </c>
      <c r="E208" s="432">
        <v>3</v>
      </c>
      <c r="F208" s="426">
        <f t="shared" si="54"/>
        <v>437.54</v>
      </c>
      <c r="G208" s="426">
        <f t="shared" si="58"/>
        <v>546.91999999999996</v>
      </c>
      <c r="H208" s="431">
        <f t="shared" si="56"/>
        <v>1640.76</v>
      </c>
    </row>
    <row r="209" spans="1:8" ht="60" outlineLevel="2">
      <c r="A209" s="297" t="s">
        <v>13170</v>
      </c>
      <c r="B209" s="307">
        <v>97904</v>
      </c>
      <c r="C209" s="442" t="s">
        <v>5059</v>
      </c>
      <c r="D209" s="307" t="s">
        <v>28</v>
      </c>
      <c r="E209" s="432">
        <v>1</v>
      </c>
      <c r="F209" s="426">
        <f t="shared" ref="F209:F264" si="59">IFERROR(VLOOKUP(B209,comp_nãodes,4,FALSE),VLOOKUP(B209,insnãodes,4,FALSE))</f>
        <v>711.6</v>
      </c>
      <c r="G209" s="426">
        <f t="shared" si="58"/>
        <v>889.5</v>
      </c>
      <c r="H209" s="431">
        <f t="shared" si="56"/>
        <v>889.5</v>
      </c>
    </row>
    <row r="210" spans="1:8" ht="45" outlineLevel="2">
      <c r="A210" s="297" t="s">
        <v>13171</v>
      </c>
      <c r="B210" s="307">
        <v>98102</v>
      </c>
      <c r="C210" s="442" t="s">
        <v>5064</v>
      </c>
      <c r="D210" s="307" t="s">
        <v>28</v>
      </c>
      <c r="E210" s="432">
        <v>1</v>
      </c>
      <c r="F210" s="426">
        <f t="shared" si="59"/>
        <v>77.56</v>
      </c>
      <c r="G210" s="426">
        <f t="shared" si="58"/>
        <v>96.95</v>
      </c>
      <c r="H210" s="431">
        <f t="shared" si="56"/>
        <v>96.95</v>
      </c>
    </row>
    <row r="211" spans="1:8" ht="30" outlineLevel="2">
      <c r="A211" s="297" t="s">
        <v>13172</v>
      </c>
      <c r="B211" s="411" t="s">
        <v>12913</v>
      </c>
      <c r="C211" s="442" t="s">
        <v>12914</v>
      </c>
      <c r="D211" s="307" t="s">
        <v>35</v>
      </c>
      <c r="E211" s="432">
        <v>3</v>
      </c>
      <c r="F211" s="456">
        <f>'COMP. HIDRO'!G828</f>
        <v>139.37</v>
      </c>
      <c r="G211" s="426">
        <f t="shared" si="58"/>
        <v>174.21</v>
      </c>
      <c r="H211" s="431">
        <f t="shared" si="56"/>
        <v>522.63</v>
      </c>
    </row>
    <row r="212" spans="1:8" ht="60" outlineLevel="2">
      <c r="A212" s="297" t="s">
        <v>13173</v>
      </c>
      <c r="B212" s="307">
        <v>98054</v>
      </c>
      <c r="C212" s="442" t="s">
        <v>5089</v>
      </c>
      <c r="D212" s="307" t="s">
        <v>28</v>
      </c>
      <c r="E212" s="432">
        <v>1</v>
      </c>
      <c r="F212" s="456">
        <f t="shared" si="59"/>
        <v>2730.64</v>
      </c>
      <c r="G212" s="426">
        <f t="shared" si="58"/>
        <v>3413.3</v>
      </c>
      <c r="H212" s="431">
        <f t="shared" si="56"/>
        <v>3413.3</v>
      </c>
    </row>
    <row r="213" spans="1:8" ht="45" outlineLevel="2">
      <c r="A213" s="297" t="s">
        <v>13174</v>
      </c>
      <c r="B213" s="411" t="s">
        <v>12915</v>
      </c>
      <c r="C213" s="442" t="s">
        <v>12916</v>
      </c>
      <c r="D213" s="307" t="s">
        <v>28</v>
      </c>
      <c r="E213" s="432">
        <v>1</v>
      </c>
      <c r="F213" s="456">
        <f>'COMP. HIDRO'!G950</f>
        <v>5181.21</v>
      </c>
      <c r="G213" s="426">
        <f t="shared" si="58"/>
        <v>6476.51</v>
      </c>
      <c r="H213" s="431">
        <f t="shared" si="56"/>
        <v>6476.51</v>
      </c>
    </row>
    <row r="214" spans="1:8" ht="45" outlineLevel="2">
      <c r="A214" s="297" t="s">
        <v>13175</v>
      </c>
      <c r="B214" s="411" t="s">
        <v>12917</v>
      </c>
      <c r="C214" s="442" t="s">
        <v>12918</v>
      </c>
      <c r="D214" s="307" t="s">
        <v>28</v>
      </c>
      <c r="E214" s="432">
        <v>1</v>
      </c>
      <c r="F214" s="456">
        <f>'COMP. HIDRO'!G984</f>
        <v>3779.78</v>
      </c>
      <c r="G214" s="426">
        <f t="shared" si="58"/>
        <v>4724.72</v>
      </c>
      <c r="H214" s="431">
        <f t="shared" si="56"/>
        <v>4724.72</v>
      </c>
    </row>
    <row r="215" spans="1:8" ht="45" outlineLevel="2">
      <c r="A215" s="297" t="s">
        <v>13176</v>
      </c>
      <c r="B215" s="307">
        <v>89578</v>
      </c>
      <c r="C215" s="442" t="s">
        <v>3821</v>
      </c>
      <c r="D215" s="307" t="s">
        <v>35</v>
      </c>
      <c r="E215" s="432">
        <v>16</v>
      </c>
      <c r="F215" s="426">
        <f t="shared" si="59"/>
        <v>29.76</v>
      </c>
      <c r="G215" s="426">
        <f t="shared" si="58"/>
        <v>37.200000000000003</v>
      </c>
      <c r="H215" s="431">
        <f t="shared" si="56"/>
        <v>595.20000000000005</v>
      </c>
    </row>
    <row r="216" spans="1:8" ht="45" outlineLevel="2">
      <c r="A216" s="297" t="s">
        <v>13177</v>
      </c>
      <c r="B216" s="307">
        <v>89584</v>
      </c>
      <c r="C216" s="442" t="s">
        <v>4172</v>
      </c>
      <c r="D216" s="307" t="s">
        <v>28</v>
      </c>
      <c r="E216" s="432">
        <v>12</v>
      </c>
      <c r="F216" s="426">
        <f t="shared" si="59"/>
        <v>28.43</v>
      </c>
      <c r="G216" s="426">
        <f t="shared" si="58"/>
        <v>35.53</v>
      </c>
      <c r="H216" s="431">
        <f t="shared" si="56"/>
        <v>426.36</v>
      </c>
    </row>
    <row r="217" spans="1:8" ht="45" outlineLevel="2">
      <c r="A217" s="297" t="s">
        <v>13178</v>
      </c>
      <c r="B217" s="307">
        <v>100327</v>
      </c>
      <c r="C217" s="442" t="s">
        <v>2357</v>
      </c>
      <c r="D217" s="307" t="s">
        <v>35</v>
      </c>
      <c r="E217" s="432">
        <v>72</v>
      </c>
      <c r="F217" s="426">
        <f t="shared" si="59"/>
        <v>36.47</v>
      </c>
      <c r="G217" s="426">
        <f t="shared" si="58"/>
        <v>45.58</v>
      </c>
      <c r="H217" s="431">
        <f t="shared" si="56"/>
        <v>3281.76</v>
      </c>
    </row>
    <row r="218" spans="1:8" ht="45" outlineLevel="2">
      <c r="A218" s="297" t="s">
        <v>13179</v>
      </c>
      <c r="B218" s="307">
        <v>94228</v>
      </c>
      <c r="C218" s="442" t="s">
        <v>2363</v>
      </c>
      <c r="D218" s="307" t="s">
        <v>35</v>
      </c>
      <c r="E218" s="432">
        <v>30</v>
      </c>
      <c r="F218" s="426">
        <f t="shared" si="59"/>
        <v>54.31</v>
      </c>
      <c r="G218" s="426">
        <f t="shared" si="58"/>
        <v>67.88</v>
      </c>
      <c r="H218" s="431">
        <f t="shared" si="56"/>
        <v>2036.4</v>
      </c>
    </row>
    <row r="219" spans="1:8" ht="30" outlineLevel="2">
      <c r="A219" s="297" t="s">
        <v>13180</v>
      </c>
      <c r="B219" s="411" t="s">
        <v>12919</v>
      </c>
      <c r="C219" s="442" t="s">
        <v>12920</v>
      </c>
      <c r="D219" s="307" t="s">
        <v>28</v>
      </c>
      <c r="E219" s="432">
        <v>4</v>
      </c>
      <c r="F219" s="456">
        <f>'COMP. HIDRO'!G583</f>
        <v>30.189999999999998</v>
      </c>
      <c r="G219" s="426">
        <f t="shared" si="58"/>
        <v>37.729999999999997</v>
      </c>
      <c r="H219" s="431">
        <f t="shared" si="56"/>
        <v>150.91999999999999</v>
      </c>
    </row>
    <row r="220" spans="1:8" ht="60" outlineLevel="2">
      <c r="A220" s="297" t="s">
        <v>13181</v>
      </c>
      <c r="B220" s="307">
        <v>91175</v>
      </c>
      <c r="C220" s="442" t="s">
        <v>5238</v>
      </c>
      <c r="D220" s="307" t="s">
        <v>35</v>
      </c>
      <c r="E220" s="432">
        <v>8</v>
      </c>
      <c r="F220" s="426">
        <f t="shared" si="59"/>
        <v>3.86</v>
      </c>
      <c r="G220" s="426">
        <f t="shared" si="58"/>
        <v>4.82</v>
      </c>
      <c r="H220" s="431">
        <f t="shared" si="56"/>
        <v>38.56</v>
      </c>
    </row>
    <row r="221" spans="1:8" ht="15.75" outlineLevel="2">
      <c r="A221" s="297"/>
      <c r="B221" s="292"/>
      <c r="C221" s="440"/>
      <c r="D221" s="305"/>
      <c r="E221" s="428"/>
      <c r="F221" s="426"/>
      <c r="G221" s="428" t="s">
        <v>11684</v>
      </c>
      <c r="H221" s="429">
        <f>SUM(H130:H220)</f>
        <v>49802.770000000011</v>
      </c>
    </row>
    <row r="222" spans="1:8" ht="15.75" outlineLevel="2">
      <c r="A222" s="296" t="s">
        <v>13182</v>
      </c>
      <c r="B222" s="306"/>
      <c r="C222" s="441" t="s">
        <v>12941</v>
      </c>
      <c r="D222" s="345"/>
      <c r="E222" s="432"/>
      <c r="F222" s="426"/>
      <c r="G222" s="432"/>
      <c r="H222" s="431"/>
    </row>
    <row r="223" spans="1:8" ht="15.75" outlineLevel="2">
      <c r="A223" s="296"/>
      <c r="B223" s="306"/>
      <c r="C223" s="441" t="s">
        <v>14237</v>
      </c>
      <c r="D223" s="345"/>
      <c r="E223" s="432"/>
      <c r="F223" s="426"/>
      <c r="G223" s="432"/>
      <c r="H223" s="431"/>
    </row>
    <row r="224" spans="1:8" ht="45" outlineLevel="2">
      <c r="A224" s="297" t="s">
        <v>13183</v>
      </c>
      <c r="B224" s="291">
        <v>91926</v>
      </c>
      <c r="C224" s="442" t="s">
        <v>135</v>
      </c>
      <c r="D224" s="291" t="s">
        <v>35</v>
      </c>
      <c r="E224" s="430">
        <v>1594</v>
      </c>
      <c r="F224" s="426">
        <f t="shared" si="59"/>
        <v>2.71</v>
      </c>
      <c r="G224" s="426">
        <f t="shared" ref="G224:G255" si="60">TRUNC(F224*(1+$G$2),2)</f>
        <v>3.38</v>
      </c>
      <c r="H224" s="431">
        <f t="shared" ref="H224:H264" si="61">TRUNC(E224*G224,2)</f>
        <v>5387.72</v>
      </c>
    </row>
    <row r="225" spans="1:8" ht="45" outlineLevel="2">
      <c r="A225" s="297" t="s">
        <v>13184</v>
      </c>
      <c r="B225" s="291">
        <v>91928</v>
      </c>
      <c r="C225" s="442" t="s">
        <v>136</v>
      </c>
      <c r="D225" s="291" t="s">
        <v>35</v>
      </c>
      <c r="E225" s="430">
        <v>553</v>
      </c>
      <c r="F225" s="426">
        <f t="shared" si="59"/>
        <v>4.34</v>
      </c>
      <c r="G225" s="426">
        <f t="shared" si="60"/>
        <v>5.42</v>
      </c>
      <c r="H225" s="431">
        <f t="shared" si="61"/>
        <v>2997.26</v>
      </c>
    </row>
    <row r="226" spans="1:8" ht="45" outlineLevel="2">
      <c r="A226" s="297" t="s">
        <v>13185</v>
      </c>
      <c r="B226" s="291">
        <v>91953</v>
      </c>
      <c r="C226" s="442" t="s">
        <v>137</v>
      </c>
      <c r="D226" s="291" t="s">
        <v>28</v>
      </c>
      <c r="E226" s="430">
        <v>8</v>
      </c>
      <c r="F226" s="426">
        <f t="shared" si="59"/>
        <v>18.07</v>
      </c>
      <c r="G226" s="426">
        <f t="shared" si="60"/>
        <v>22.58</v>
      </c>
      <c r="H226" s="431">
        <f t="shared" si="61"/>
        <v>180.64</v>
      </c>
    </row>
    <row r="227" spans="1:8" ht="45" outlineLevel="2">
      <c r="A227" s="297" t="s">
        <v>13186</v>
      </c>
      <c r="B227" s="291">
        <v>91959</v>
      </c>
      <c r="C227" s="442" t="s">
        <v>138</v>
      </c>
      <c r="D227" s="291" t="s">
        <v>28</v>
      </c>
      <c r="E227" s="430">
        <v>1</v>
      </c>
      <c r="F227" s="426">
        <f t="shared" si="59"/>
        <v>28.55</v>
      </c>
      <c r="G227" s="426">
        <f t="shared" si="60"/>
        <v>35.68</v>
      </c>
      <c r="H227" s="431">
        <f t="shared" si="61"/>
        <v>35.68</v>
      </c>
    </row>
    <row r="228" spans="1:8" ht="45" outlineLevel="2">
      <c r="A228" s="297" t="s">
        <v>13187</v>
      </c>
      <c r="B228" s="291">
        <v>91967</v>
      </c>
      <c r="C228" s="442" t="s">
        <v>139</v>
      </c>
      <c r="D228" s="291" t="s">
        <v>28</v>
      </c>
      <c r="E228" s="430">
        <v>3</v>
      </c>
      <c r="F228" s="426">
        <f t="shared" si="59"/>
        <v>39.03</v>
      </c>
      <c r="G228" s="426">
        <f t="shared" si="60"/>
        <v>48.78</v>
      </c>
      <c r="H228" s="431">
        <f t="shared" si="61"/>
        <v>146.34</v>
      </c>
    </row>
    <row r="229" spans="1:8" ht="45" outlineLevel="2">
      <c r="A229" s="297" t="s">
        <v>13188</v>
      </c>
      <c r="B229" s="291">
        <v>91955</v>
      </c>
      <c r="C229" s="442" t="s">
        <v>990</v>
      </c>
      <c r="D229" s="291" t="s">
        <v>28</v>
      </c>
      <c r="E229" s="430">
        <v>1</v>
      </c>
      <c r="F229" s="426">
        <f t="shared" si="59"/>
        <v>22.45</v>
      </c>
      <c r="G229" s="426">
        <f t="shared" si="60"/>
        <v>28.06</v>
      </c>
      <c r="H229" s="431">
        <f t="shared" si="61"/>
        <v>28.06</v>
      </c>
    </row>
    <row r="230" spans="1:8" ht="45" outlineLevel="2">
      <c r="A230" s="297" t="s">
        <v>13189</v>
      </c>
      <c r="B230" s="291">
        <v>91957</v>
      </c>
      <c r="C230" s="442" t="s">
        <v>3611</v>
      </c>
      <c r="D230" s="291" t="s">
        <v>28</v>
      </c>
      <c r="E230" s="430">
        <v>1</v>
      </c>
      <c r="F230" s="426">
        <f t="shared" si="59"/>
        <v>32.89</v>
      </c>
      <c r="G230" s="426">
        <f t="shared" si="60"/>
        <v>41.11</v>
      </c>
      <c r="H230" s="431">
        <f t="shared" si="61"/>
        <v>41.11</v>
      </c>
    </row>
    <row r="231" spans="1:8" ht="45" outlineLevel="2">
      <c r="A231" s="297" t="s">
        <v>13190</v>
      </c>
      <c r="B231" s="291">
        <v>92023</v>
      </c>
      <c r="C231" s="442" t="s">
        <v>991</v>
      </c>
      <c r="D231" s="291" t="s">
        <v>28</v>
      </c>
      <c r="E231" s="430">
        <v>1</v>
      </c>
      <c r="F231" s="426">
        <f t="shared" si="59"/>
        <v>32.15</v>
      </c>
      <c r="G231" s="426">
        <f t="shared" si="60"/>
        <v>40.18</v>
      </c>
      <c r="H231" s="431">
        <f t="shared" si="61"/>
        <v>40.18</v>
      </c>
    </row>
    <row r="232" spans="1:8" ht="45" outlineLevel="2">
      <c r="A232" s="297" t="s">
        <v>13191</v>
      </c>
      <c r="B232" s="291">
        <v>91992</v>
      </c>
      <c r="C232" s="442" t="s">
        <v>410</v>
      </c>
      <c r="D232" s="291" t="s">
        <v>28</v>
      </c>
      <c r="E232" s="430">
        <v>15</v>
      </c>
      <c r="F232" s="426">
        <f t="shared" si="59"/>
        <v>28.54</v>
      </c>
      <c r="G232" s="426">
        <f t="shared" si="60"/>
        <v>35.67</v>
      </c>
      <c r="H232" s="431">
        <f t="shared" si="61"/>
        <v>535.04999999999995</v>
      </c>
    </row>
    <row r="233" spans="1:8" ht="45" outlineLevel="2">
      <c r="A233" s="297" t="s">
        <v>13192</v>
      </c>
      <c r="B233" s="291">
        <v>91996</v>
      </c>
      <c r="C233" s="442" t="s">
        <v>409</v>
      </c>
      <c r="D233" s="291" t="s">
        <v>28</v>
      </c>
      <c r="E233" s="430">
        <v>12</v>
      </c>
      <c r="F233" s="426">
        <f t="shared" si="59"/>
        <v>21.71</v>
      </c>
      <c r="G233" s="426">
        <f t="shared" si="60"/>
        <v>27.13</v>
      </c>
      <c r="H233" s="431">
        <f t="shared" si="61"/>
        <v>325.56</v>
      </c>
    </row>
    <row r="234" spans="1:8" ht="45" outlineLevel="2">
      <c r="A234" s="297" t="s">
        <v>13193</v>
      </c>
      <c r="B234" s="291">
        <v>92000</v>
      </c>
      <c r="C234" s="442" t="s">
        <v>408</v>
      </c>
      <c r="D234" s="291" t="s">
        <v>28</v>
      </c>
      <c r="E234" s="430">
        <v>24</v>
      </c>
      <c r="F234" s="426">
        <f t="shared" si="59"/>
        <v>19.059999999999999</v>
      </c>
      <c r="G234" s="426">
        <f t="shared" si="60"/>
        <v>23.82</v>
      </c>
      <c r="H234" s="431">
        <f t="shared" si="61"/>
        <v>571.67999999999995</v>
      </c>
    </row>
    <row r="235" spans="1:8" ht="30" outlineLevel="2">
      <c r="A235" s="297" t="s">
        <v>13194</v>
      </c>
      <c r="B235" s="291">
        <v>93654</v>
      </c>
      <c r="C235" s="442" t="s">
        <v>414</v>
      </c>
      <c r="D235" s="291" t="s">
        <v>28</v>
      </c>
      <c r="E235" s="430">
        <v>3</v>
      </c>
      <c r="F235" s="426">
        <f t="shared" si="59"/>
        <v>9.67</v>
      </c>
      <c r="G235" s="426">
        <f t="shared" si="60"/>
        <v>12.08</v>
      </c>
      <c r="H235" s="431">
        <f t="shared" si="61"/>
        <v>36.24</v>
      </c>
    </row>
    <row r="236" spans="1:8" ht="30" outlineLevel="2">
      <c r="A236" s="297" t="s">
        <v>13195</v>
      </c>
      <c r="B236" s="291">
        <v>93655</v>
      </c>
      <c r="C236" s="442" t="s">
        <v>140</v>
      </c>
      <c r="D236" s="291" t="s">
        <v>28</v>
      </c>
      <c r="E236" s="430">
        <v>11</v>
      </c>
      <c r="F236" s="426">
        <f t="shared" si="59"/>
        <v>10.51</v>
      </c>
      <c r="G236" s="426">
        <f t="shared" si="60"/>
        <v>13.13</v>
      </c>
      <c r="H236" s="431">
        <f t="shared" si="61"/>
        <v>144.43</v>
      </c>
    </row>
    <row r="237" spans="1:8" ht="30" outlineLevel="2">
      <c r="A237" s="297" t="s">
        <v>13196</v>
      </c>
      <c r="B237" s="291">
        <v>93656</v>
      </c>
      <c r="C237" s="442" t="s">
        <v>3588</v>
      </c>
      <c r="D237" s="291" t="s">
        <v>28</v>
      </c>
      <c r="E237" s="430">
        <v>1</v>
      </c>
      <c r="F237" s="426">
        <f t="shared" si="59"/>
        <v>10.51</v>
      </c>
      <c r="G237" s="426">
        <f t="shared" si="60"/>
        <v>13.13</v>
      </c>
      <c r="H237" s="431">
        <f t="shared" si="61"/>
        <v>13.13</v>
      </c>
    </row>
    <row r="238" spans="1:8" ht="30" outlineLevel="2">
      <c r="A238" s="297" t="s">
        <v>13197</v>
      </c>
      <c r="B238" s="291">
        <v>93661</v>
      </c>
      <c r="C238" s="442" t="s">
        <v>993</v>
      </c>
      <c r="D238" s="291" t="s">
        <v>28</v>
      </c>
      <c r="E238" s="430">
        <v>2</v>
      </c>
      <c r="F238" s="426">
        <f t="shared" si="59"/>
        <v>46.54</v>
      </c>
      <c r="G238" s="426">
        <f t="shared" si="60"/>
        <v>58.17</v>
      </c>
      <c r="H238" s="431">
        <f t="shared" si="61"/>
        <v>116.34</v>
      </c>
    </row>
    <row r="239" spans="1:8" ht="45" outlineLevel="2">
      <c r="A239" s="297" t="s">
        <v>13198</v>
      </c>
      <c r="B239" s="291" t="s">
        <v>3566</v>
      </c>
      <c r="C239" s="442" t="s">
        <v>142</v>
      </c>
      <c r="D239" s="291" t="s">
        <v>28</v>
      </c>
      <c r="E239" s="430">
        <v>1</v>
      </c>
      <c r="F239" s="426">
        <f t="shared" si="59"/>
        <v>103.9</v>
      </c>
      <c r="G239" s="426">
        <f t="shared" si="60"/>
        <v>129.87</v>
      </c>
      <c r="H239" s="431">
        <f t="shared" si="61"/>
        <v>129.87</v>
      </c>
    </row>
    <row r="240" spans="1:8" ht="30" outlineLevel="2">
      <c r="A240" s="297" t="s">
        <v>13199</v>
      </c>
      <c r="B240" s="291">
        <v>93669</v>
      </c>
      <c r="C240" s="442" t="s">
        <v>3599</v>
      </c>
      <c r="D240" s="291" t="s">
        <v>28</v>
      </c>
      <c r="E240" s="430">
        <v>4</v>
      </c>
      <c r="F240" s="426">
        <f t="shared" si="59"/>
        <v>60.96</v>
      </c>
      <c r="G240" s="426">
        <f t="shared" si="60"/>
        <v>76.2</v>
      </c>
      <c r="H240" s="431">
        <f t="shared" si="61"/>
        <v>304.8</v>
      </c>
    </row>
    <row r="241" spans="1:8" ht="30" outlineLevel="2">
      <c r="A241" s="297" t="s">
        <v>13200</v>
      </c>
      <c r="B241" s="291">
        <v>91936</v>
      </c>
      <c r="C241" s="442" t="s">
        <v>3502</v>
      </c>
      <c r="D241" s="291" t="s">
        <v>28</v>
      </c>
      <c r="E241" s="430">
        <v>36</v>
      </c>
      <c r="F241" s="426">
        <f t="shared" si="59"/>
        <v>9.48</v>
      </c>
      <c r="G241" s="426">
        <f t="shared" si="60"/>
        <v>11.85</v>
      </c>
      <c r="H241" s="431">
        <f t="shared" si="61"/>
        <v>426.6</v>
      </c>
    </row>
    <row r="242" spans="1:8" ht="45" outlineLevel="2">
      <c r="A242" s="297" t="s">
        <v>13201</v>
      </c>
      <c r="B242" s="291">
        <v>91939</v>
      </c>
      <c r="C242" s="442" t="s">
        <v>406</v>
      </c>
      <c r="D242" s="291" t="s">
        <v>28</v>
      </c>
      <c r="E242" s="430">
        <v>24</v>
      </c>
      <c r="F242" s="426">
        <f t="shared" si="59"/>
        <v>20.91</v>
      </c>
      <c r="G242" s="426">
        <f t="shared" si="60"/>
        <v>26.13</v>
      </c>
      <c r="H242" s="431">
        <f t="shared" si="61"/>
        <v>627.12</v>
      </c>
    </row>
    <row r="243" spans="1:8" ht="45" outlineLevel="2">
      <c r="A243" s="297" t="s">
        <v>13202</v>
      </c>
      <c r="B243" s="291">
        <v>91940</v>
      </c>
      <c r="C243" s="442" t="s">
        <v>146</v>
      </c>
      <c r="D243" s="291" t="s">
        <v>28</v>
      </c>
      <c r="E243" s="430">
        <v>27</v>
      </c>
      <c r="F243" s="426">
        <f t="shared" si="59"/>
        <v>11.02</v>
      </c>
      <c r="G243" s="426">
        <f t="shared" si="60"/>
        <v>13.77</v>
      </c>
      <c r="H243" s="431">
        <f t="shared" si="61"/>
        <v>371.79</v>
      </c>
    </row>
    <row r="244" spans="1:8" ht="45" outlineLevel="2">
      <c r="A244" s="297" t="s">
        <v>13203</v>
      </c>
      <c r="B244" s="291">
        <v>91941</v>
      </c>
      <c r="C244" s="442" t="s">
        <v>989</v>
      </c>
      <c r="D244" s="291" t="s">
        <v>28</v>
      </c>
      <c r="E244" s="430">
        <v>24</v>
      </c>
      <c r="F244" s="426">
        <f t="shared" si="59"/>
        <v>7.31</v>
      </c>
      <c r="G244" s="426">
        <f t="shared" si="60"/>
        <v>9.1300000000000008</v>
      </c>
      <c r="H244" s="431">
        <f t="shared" si="61"/>
        <v>219.12</v>
      </c>
    </row>
    <row r="245" spans="1:8" ht="45" outlineLevel="2">
      <c r="A245" s="297" t="s">
        <v>13204</v>
      </c>
      <c r="B245" s="291">
        <v>91854</v>
      </c>
      <c r="C245" s="442" t="s">
        <v>415</v>
      </c>
      <c r="D245" s="291" t="s">
        <v>35</v>
      </c>
      <c r="E245" s="430">
        <v>79</v>
      </c>
      <c r="F245" s="426">
        <f t="shared" si="59"/>
        <v>6.5</v>
      </c>
      <c r="G245" s="426">
        <f t="shared" si="60"/>
        <v>8.1199999999999992</v>
      </c>
      <c r="H245" s="431">
        <f t="shared" si="61"/>
        <v>641.48</v>
      </c>
    </row>
    <row r="246" spans="1:8" ht="45" outlineLevel="2">
      <c r="A246" s="297" t="s">
        <v>13205</v>
      </c>
      <c r="B246" s="291">
        <v>91856</v>
      </c>
      <c r="C246" s="442" t="s">
        <v>108</v>
      </c>
      <c r="D246" s="291" t="s">
        <v>35</v>
      </c>
      <c r="E246" s="430">
        <v>5</v>
      </c>
      <c r="F246" s="426">
        <f t="shared" si="59"/>
        <v>8.1300000000000008</v>
      </c>
      <c r="G246" s="426">
        <f t="shared" si="60"/>
        <v>10.16</v>
      </c>
      <c r="H246" s="431">
        <f t="shared" si="61"/>
        <v>50.8</v>
      </c>
    </row>
    <row r="247" spans="1:8" ht="45" outlineLevel="2">
      <c r="A247" s="297" t="s">
        <v>13206</v>
      </c>
      <c r="B247" s="291">
        <v>91863</v>
      </c>
      <c r="C247" s="442" t="s">
        <v>3373</v>
      </c>
      <c r="D247" s="291" t="s">
        <v>35</v>
      </c>
      <c r="E247" s="430">
        <v>125</v>
      </c>
      <c r="F247" s="426">
        <f t="shared" si="59"/>
        <v>7.78</v>
      </c>
      <c r="G247" s="426">
        <f t="shared" si="60"/>
        <v>9.7200000000000006</v>
      </c>
      <c r="H247" s="431">
        <f t="shared" si="61"/>
        <v>1215</v>
      </c>
    </row>
    <row r="248" spans="1:8" ht="45" outlineLevel="2">
      <c r="A248" s="297" t="s">
        <v>13207</v>
      </c>
      <c r="B248" s="291">
        <v>91864</v>
      </c>
      <c r="C248" s="442" t="s">
        <v>3374</v>
      </c>
      <c r="D248" s="291" t="s">
        <v>35</v>
      </c>
      <c r="E248" s="430">
        <v>18</v>
      </c>
      <c r="F248" s="426">
        <f t="shared" si="59"/>
        <v>10.01</v>
      </c>
      <c r="G248" s="426">
        <f t="shared" si="60"/>
        <v>12.51</v>
      </c>
      <c r="H248" s="431">
        <f t="shared" si="61"/>
        <v>225.18</v>
      </c>
    </row>
    <row r="249" spans="1:8" ht="45" outlineLevel="2">
      <c r="A249" s="297" t="s">
        <v>13208</v>
      </c>
      <c r="B249" s="291">
        <v>91865</v>
      </c>
      <c r="C249" s="442" t="s">
        <v>3375</v>
      </c>
      <c r="D249" s="291" t="s">
        <v>35</v>
      </c>
      <c r="E249" s="430">
        <v>28</v>
      </c>
      <c r="F249" s="426">
        <f t="shared" si="59"/>
        <v>12.29</v>
      </c>
      <c r="G249" s="426">
        <f t="shared" si="60"/>
        <v>15.36</v>
      </c>
      <c r="H249" s="431">
        <f t="shared" si="61"/>
        <v>430.08</v>
      </c>
    </row>
    <row r="250" spans="1:8" ht="45" outlineLevel="2">
      <c r="A250" s="297" t="s">
        <v>13209</v>
      </c>
      <c r="B250" s="291">
        <v>91871</v>
      </c>
      <c r="C250" s="442" t="s">
        <v>3381</v>
      </c>
      <c r="D250" s="291" t="s">
        <v>35</v>
      </c>
      <c r="E250" s="430">
        <v>53</v>
      </c>
      <c r="F250" s="426">
        <f t="shared" si="59"/>
        <v>8.6</v>
      </c>
      <c r="G250" s="426">
        <f t="shared" si="60"/>
        <v>10.75</v>
      </c>
      <c r="H250" s="431">
        <f t="shared" si="61"/>
        <v>569.75</v>
      </c>
    </row>
    <row r="251" spans="1:8" ht="45" outlineLevel="2">
      <c r="A251" s="297" t="s">
        <v>13210</v>
      </c>
      <c r="B251" s="291">
        <v>91872</v>
      </c>
      <c r="C251" s="442" t="s">
        <v>209</v>
      </c>
      <c r="D251" s="291" t="s">
        <v>35</v>
      </c>
      <c r="E251" s="430">
        <v>2</v>
      </c>
      <c r="F251" s="426">
        <f t="shared" si="59"/>
        <v>10.84</v>
      </c>
      <c r="G251" s="426">
        <f t="shared" si="60"/>
        <v>13.55</v>
      </c>
      <c r="H251" s="431">
        <f t="shared" si="61"/>
        <v>27.1</v>
      </c>
    </row>
    <row r="252" spans="1:8" ht="45" outlineLevel="2">
      <c r="A252" s="297" t="s">
        <v>13211</v>
      </c>
      <c r="B252" s="291">
        <v>91873</v>
      </c>
      <c r="C252" s="442" t="s">
        <v>3382</v>
      </c>
      <c r="D252" s="291" t="s">
        <v>35</v>
      </c>
      <c r="E252" s="430">
        <v>6</v>
      </c>
      <c r="F252" s="426">
        <f t="shared" si="59"/>
        <v>13.08</v>
      </c>
      <c r="G252" s="426">
        <f t="shared" si="60"/>
        <v>16.350000000000001</v>
      </c>
      <c r="H252" s="431">
        <f t="shared" si="61"/>
        <v>98.1</v>
      </c>
    </row>
    <row r="253" spans="1:8" ht="45" outlineLevel="2">
      <c r="A253" s="297" t="s">
        <v>13212</v>
      </c>
      <c r="B253" s="291">
        <v>91875</v>
      </c>
      <c r="C253" s="442" t="s">
        <v>3408</v>
      </c>
      <c r="D253" s="291" t="s">
        <v>28</v>
      </c>
      <c r="E253" s="430">
        <v>19</v>
      </c>
      <c r="F253" s="426">
        <f t="shared" si="59"/>
        <v>4.71</v>
      </c>
      <c r="G253" s="426">
        <f t="shared" si="60"/>
        <v>5.88</v>
      </c>
      <c r="H253" s="431">
        <f t="shared" si="61"/>
        <v>111.72</v>
      </c>
    </row>
    <row r="254" spans="1:8" ht="45" outlineLevel="2">
      <c r="A254" s="297" t="s">
        <v>13213</v>
      </c>
      <c r="B254" s="291">
        <v>91876</v>
      </c>
      <c r="C254" s="442" t="s">
        <v>3409</v>
      </c>
      <c r="D254" s="291" t="s">
        <v>28</v>
      </c>
      <c r="E254" s="430">
        <v>4</v>
      </c>
      <c r="F254" s="426">
        <f t="shared" si="59"/>
        <v>6.21</v>
      </c>
      <c r="G254" s="426">
        <f t="shared" si="60"/>
        <v>7.76</v>
      </c>
      <c r="H254" s="431">
        <f t="shared" si="61"/>
        <v>31.04</v>
      </c>
    </row>
    <row r="255" spans="1:8" ht="45" outlineLevel="2">
      <c r="A255" s="297" t="s">
        <v>13214</v>
      </c>
      <c r="B255" s="291">
        <v>91877</v>
      </c>
      <c r="C255" s="442" t="s">
        <v>3410</v>
      </c>
      <c r="D255" s="291" t="s">
        <v>28</v>
      </c>
      <c r="E255" s="430">
        <v>2</v>
      </c>
      <c r="F255" s="426">
        <f t="shared" si="59"/>
        <v>8.1999999999999993</v>
      </c>
      <c r="G255" s="426">
        <f t="shared" si="60"/>
        <v>10.25</v>
      </c>
      <c r="H255" s="431">
        <f t="shared" si="61"/>
        <v>20.5</v>
      </c>
    </row>
    <row r="256" spans="1:8" ht="45" outlineLevel="2">
      <c r="A256" s="297" t="s">
        <v>13215</v>
      </c>
      <c r="B256" s="291">
        <v>91890</v>
      </c>
      <c r="C256" s="442" t="s">
        <v>3421</v>
      </c>
      <c r="D256" s="291" t="s">
        <v>28</v>
      </c>
      <c r="E256" s="430">
        <v>38</v>
      </c>
      <c r="F256" s="426">
        <f t="shared" si="59"/>
        <v>7.73</v>
      </c>
      <c r="G256" s="426">
        <f t="shared" ref="G256:G272" si="62">TRUNC(F256*(1+$G$2),2)</f>
        <v>9.66</v>
      </c>
      <c r="H256" s="431">
        <f t="shared" si="61"/>
        <v>367.08</v>
      </c>
    </row>
    <row r="257" spans="1:8" ht="45" outlineLevel="2">
      <c r="A257" s="297" t="s">
        <v>13216</v>
      </c>
      <c r="B257" s="291">
        <v>91893</v>
      </c>
      <c r="C257" s="442" t="s">
        <v>3423</v>
      </c>
      <c r="D257" s="291" t="s">
        <v>28</v>
      </c>
      <c r="E257" s="430">
        <v>2</v>
      </c>
      <c r="F257" s="426">
        <f t="shared" si="59"/>
        <v>10.5</v>
      </c>
      <c r="G257" s="426">
        <f t="shared" si="62"/>
        <v>13.12</v>
      </c>
      <c r="H257" s="431">
        <f t="shared" si="61"/>
        <v>26.24</v>
      </c>
    </row>
    <row r="258" spans="1:8" ht="45" outlineLevel="2">
      <c r="A258" s="297" t="s">
        <v>13217</v>
      </c>
      <c r="B258" s="291">
        <v>91896</v>
      </c>
      <c r="C258" s="442" t="s">
        <v>3425</v>
      </c>
      <c r="D258" s="291" t="s">
        <v>28</v>
      </c>
      <c r="E258" s="430">
        <v>4</v>
      </c>
      <c r="F258" s="426">
        <f t="shared" si="59"/>
        <v>12.88</v>
      </c>
      <c r="G258" s="426">
        <f t="shared" si="62"/>
        <v>16.100000000000001</v>
      </c>
      <c r="H258" s="431">
        <f t="shared" si="61"/>
        <v>64.400000000000006</v>
      </c>
    </row>
    <row r="259" spans="1:8" ht="45" outlineLevel="2">
      <c r="A259" s="297" t="s">
        <v>13218</v>
      </c>
      <c r="B259" s="291">
        <v>95787</v>
      </c>
      <c r="C259" s="442" t="s">
        <v>3521</v>
      </c>
      <c r="D259" s="291" t="s">
        <v>28</v>
      </c>
      <c r="E259" s="430">
        <v>1</v>
      </c>
      <c r="F259" s="426">
        <f t="shared" si="59"/>
        <v>19.91</v>
      </c>
      <c r="G259" s="426">
        <f t="shared" si="62"/>
        <v>24.88</v>
      </c>
      <c r="H259" s="431">
        <f t="shared" si="61"/>
        <v>24.88</v>
      </c>
    </row>
    <row r="260" spans="1:8" ht="45" outlineLevel="2">
      <c r="A260" s="297" t="s">
        <v>13219</v>
      </c>
      <c r="B260" s="291">
        <v>95789</v>
      </c>
      <c r="C260" s="442" t="s">
        <v>3522</v>
      </c>
      <c r="D260" s="291" t="s">
        <v>28</v>
      </c>
      <c r="E260" s="430">
        <v>1</v>
      </c>
      <c r="F260" s="426">
        <f t="shared" si="59"/>
        <v>24.1</v>
      </c>
      <c r="G260" s="426">
        <f t="shared" si="62"/>
        <v>30.12</v>
      </c>
      <c r="H260" s="431">
        <f t="shared" si="61"/>
        <v>30.12</v>
      </c>
    </row>
    <row r="261" spans="1:8" ht="30" outlineLevel="2">
      <c r="A261" s="297" t="s">
        <v>13220</v>
      </c>
      <c r="B261" s="291">
        <v>97607</v>
      </c>
      <c r="C261" s="442" t="s">
        <v>12523</v>
      </c>
      <c r="D261" s="291" t="s">
        <v>28</v>
      </c>
      <c r="E261" s="430">
        <v>4</v>
      </c>
      <c r="F261" s="426">
        <f t="shared" si="59"/>
        <v>71.27</v>
      </c>
      <c r="G261" s="426">
        <f t="shared" si="62"/>
        <v>89.08</v>
      </c>
      <c r="H261" s="431">
        <f t="shared" si="61"/>
        <v>356.32</v>
      </c>
    </row>
    <row r="262" spans="1:8" ht="30" outlineLevel="2">
      <c r="A262" s="297" t="s">
        <v>13221</v>
      </c>
      <c r="B262" s="291">
        <v>93043</v>
      </c>
      <c r="C262" s="442" t="s">
        <v>14236</v>
      </c>
      <c r="D262" s="291" t="s">
        <v>28</v>
      </c>
      <c r="E262" s="430">
        <v>4</v>
      </c>
      <c r="F262" s="426">
        <f t="shared" si="59"/>
        <v>24.61</v>
      </c>
      <c r="G262" s="426">
        <f t="shared" si="62"/>
        <v>30.76</v>
      </c>
      <c r="H262" s="431">
        <f t="shared" si="61"/>
        <v>123.04</v>
      </c>
    </row>
    <row r="263" spans="1:8" ht="30" outlineLevel="2">
      <c r="A263" s="297" t="s">
        <v>13222</v>
      </c>
      <c r="B263" s="291">
        <v>90443</v>
      </c>
      <c r="C263" s="442" t="s">
        <v>5206</v>
      </c>
      <c r="D263" s="291" t="s">
        <v>35</v>
      </c>
      <c r="E263" s="430">
        <v>145</v>
      </c>
      <c r="F263" s="426">
        <f t="shared" si="59"/>
        <v>10</v>
      </c>
      <c r="G263" s="426">
        <f t="shared" si="62"/>
        <v>12.5</v>
      </c>
      <c r="H263" s="431">
        <f t="shared" si="61"/>
        <v>1812.5</v>
      </c>
    </row>
    <row r="264" spans="1:8" ht="60" outlineLevel="2">
      <c r="A264" s="297" t="s">
        <v>13223</v>
      </c>
      <c r="B264" s="291" t="s">
        <v>3584</v>
      </c>
      <c r="C264" s="442" t="s">
        <v>3585</v>
      </c>
      <c r="D264" s="291" t="s">
        <v>28</v>
      </c>
      <c r="E264" s="430">
        <v>1</v>
      </c>
      <c r="F264" s="426">
        <f t="shared" si="59"/>
        <v>1083.2</v>
      </c>
      <c r="G264" s="426">
        <f t="shared" si="62"/>
        <v>1354</v>
      </c>
      <c r="H264" s="431">
        <f t="shared" si="61"/>
        <v>1354</v>
      </c>
    </row>
    <row r="265" spans="1:8" ht="30" outlineLevel="2">
      <c r="A265" s="297" t="s">
        <v>13224</v>
      </c>
      <c r="B265" s="291" t="s">
        <v>12865</v>
      </c>
      <c r="C265" s="442" t="s">
        <v>12866</v>
      </c>
      <c r="D265" s="291" t="s">
        <v>28</v>
      </c>
      <c r="E265" s="430">
        <v>1</v>
      </c>
      <c r="F265" s="426">
        <f>'COMP. ELETRICO '!G24</f>
        <v>16.02</v>
      </c>
      <c r="G265" s="426">
        <f t="shared" si="62"/>
        <v>20.02</v>
      </c>
      <c r="H265" s="431">
        <f t="shared" ref="H265:H272" si="63">TRUNC(E265*G265,2)</f>
        <v>20.02</v>
      </c>
    </row>
    <row r="266" spans="1:8" ht="45" outlineLevel="2">
      <c r="A266" s="297" t="s">
        <v>13225</v>
      </c>
      <c r="B266" s="291" t="s">
        <v>12867</v>
      </c>
      <c r="C266" s="442" t="s">
        <v>12868</v>
      </c>
      <c r="D266" s="291" t="s">
        <v>28</v>
      </c>
      <c r="E266" s="430">
        <v>4</v>
      </c>
      <c r="F266" s="426">
        <f>'COMP. ELETRICO '!G15</f>
        <v>89.49</v>
      </c>
      <c r="G266" s="426">
        <f t="shared" si="62"/>
        <v>111.86</v>
      </c>
      <c r="H266" s="431">
        <f t="shared" si="63"/>
        <v>447.44</v>
      </c>
    </row>
    <row r="267" spans="1:8" ht="45" outlineLevel="2">
      <c r="A267" s="297" t="s">
        <v>13226</v>
      </c>
      <c r="B267" s="291" t="s">
        <v>12869</v>
      </c>
      <c r="C267" s="442" t="s">
        <v>12870</v>
      </c>
      <c r="D267" s="291" t="s">
        <v>28</v>
      </c>
      <c r="E267" s="430">
        <v>1</v>
      </c>
      <c r="F267" s="426">
        <f>'COMP. ELETRICO '!G1498</f>
        <v>161.5</v>
      </c>
      <c r="G267" s="426">
        <f t="shared" si="62"/>
        <v>201.87</v>
      </c>
      <c r="H267" s="431">
        <f t="shared" si="63"/>
        <v>201.87</v>
      </c>
    </row>
    <row r="268" spans="1:8" ht="30" outlineLevel="2">
      <c r="A268" s="297" t="s">
        <v>13227</v>
      </c>
      <c r="B268" s="291" t="s">
        <v>12871</v>
      </c>
      <c r="C268" s="442" t="s">
        <v>12872</v>
      </c>
      <c r="D268" s="291" t="s">
        <v>28</v>
      </c>
      <c r="E268" s="430">
        <v>84</v>
      </c>
      <c r="F268" s="426">
        <f>'COMP. ELETRICO '!G201</f>
        <v>6.13</v>
      </c>
      <c r="G268" s="426">
        <f t="shared" si="62"/>
        <v>7.66</v>
      </c>
      <c r="H268" s="431">
        <f t="shared" si="63"/>
        <v>643.44000000000005</v>
      </c>
    </row>
    <row r="269" spans="1:8" ht="45" outlineLevel="2">
      <c r="A269" s="297" t="s">
        <v>13228</v>
      </c>
      <c r="B269" s="291" t="s">
        <v>12873</v>
      </c>
      <c r="C269" s="442" t="s">
        <v>12874</v>
      </c>
      <c r="D269" s="291" t="s">
        <v>28</v>
      </c>
      <c r="E269" s="430">
        <v>12</v>
      </c>
      <c r="F269" s="426">
        <f>'COMP. ELETRICO '!G209</f>
        <v>6.34</v>
      </c>
      <c r="G269" s="426">
        <f t="shared" si="62"/>
        <v>7.92</v>
      </c>
      <c r="H269" s="431">
        <f t="shared" si="63"/>
        <v>95.04</v>
      </c>
    </row>
    <row r="270" spans="1:8" ht="45" outlineLevel="2">
      <c r="A270" s="297" t="s">
        <v>13229</v>
      </c>
      <c r="B270" s="291" t="s">
        <v>12875</v>
      </c>
      <c r="C270" s="442" t="s">
        <v>12876</v>
      </c>
      <c r="D270" s="291" t="s">
        <v>28</v>
      </c>
      <c r="E270" s="430">
        <v>19</v>
      </c>
      <c r="F270" s="426">
        <f>'COMP. ELETRICO '!G1001</f>
        <v>7.38</v>
      </c>
      <c r="G270" s="426">
        <f t="shared" si="62"/>
        <v>9.2200000000000006</v>
      </c>
      <c r="H270" s="431">
        <f t="shared" si="63"/>
        <v>175.18</v>
      </c>
    </row>
    <row r="271" spans="1:8" ht="45" outlineLevel="2">
      <c r="A271" s="297" t="s">
        <v>13230</v>
      </c>
      <c r="B271" s="291" t="s">
        <v>12877</v>
      </c>
      <c r="C271" s="442" t="s">
        <v>12878</v>
      </c>
      <c r="D271" s="291" t="s">
        <v>35</v>
      </c>
      <c r="E271" s="430">
        <v>40</v>
      </c>
      <c r="F271" s="426">
        <f>'COMP. ELETRICO '!G343</f>
        <v>3.56</v>
      </c>
      <c r="G271" s="426">
        <f t="shared" si="62"/>
        <v>4.45</v>
      </c>
      <c r="H271" s="431">
        <f t="shared" si="63"/>
        <v>178</v>
      </c>
    </row>
    <row r="272" spans="1:8" ht="75" outlineLevel="2">
      <c r="A272" s="297" t="s">
        <v>13231</v>
      </c>
      <c r="B272" s="291" t="s">
        <v>12879</v>
      </c>
      <c r="C272" s="442" t="s">
        <v>12880</v>
      </c>
      <c r="D272" s="291" t="s">
        <v>28</v>
      </c>
      <c r="E272" s="430">
        <v>36</v>
      </c>
      <c r="F272" s="426">
        <f>'COMP. ELETRICO '!G713</f>
        <v>75.42</v>
      </c>
      <c r="G272" s="426">
        <f t="shared" si="62"/>
        <v>94.27</v>
      </c>
      <c r="H272" s="431">
        <f t="shared" si="63"/>
        <v>3393.72</v>
      </c>
    </row>
    <row r="273" spans="1:8" ht="15.75" outlineLevel="2">
      <c r="A273" s="297"/>
      <c r="B273" s="292"/>
      <c r="C273" s="440"/>
      <c r="D273" s="305"/>
      <c r="E273" s="428"/>
      <c r="F273" s="426"/>
      <c r="G273" s="428" t="s">
        <v>11684</v>
      </c>
      <c r="H273" s="429">
        <f>SUM(H224:H272)</f>
        <v>25412.760000000006</v>
      </c>
    </row>
    <row r="274" spans="1:8" ht="15.75" outlineLevel="2">
      <c r="A274" s="296" t="s">
        <v>13232</v>
      </c>
      <c r="B274" s="306"/>
      <c r="C274" s="441" t="s">
        <v>14252</v>
      </c>
      <c r="D274" s="345"/>
      <c r="E274" s="432"/>
      <c r="F274" s="426"/>
      <c r="G274" s="432"/>
      <c r="H274" s="431"/>
    </row>
    <row r="275" spans="1:8" ht="30" outlineLevel="2">
      <c r="A275" s="297" t="s">
        <v>13233</v>
      </c>
      <c r="B275" s="291">
        <v>72315</v>
      </c>
      <c r="C275" s="442" t="s">
        <v>147</v>
      </c>
      <c r="D275" s="291" t="s">
        <v>28</v>
      </c>
      <c r="E275" s="430">
        <v>20</v>
      </c>
      <c r="F275" s="426">
        <f t="shared" ref="F275:F297" si="64">IFERROR(VLOOKUP(B275,comp_nãodes,4,FALSE),VLOOKUP(B275,insnãodes,4,FALSE))</f>
        <v>28.64</v>
      </c>
      <c r="G275" s="426">
        <f t="shared" ref="G275:G280" si="65">TRUNC(F275*(1+$G$2),2)</f>
        <v>35.799999999999997</v>
      </c>
      <c r="H275" s="431">
        <f t="shared" ref="H275:H280" si="66">TRUNC(E275*G275,2)</f>
        <v>716</v>
      </c>
    </row>
    <row r="276" spans="1:8" ht="30" outlineLevel="2">
      <c r="A276" s="297" t="s">
        <v>13234</v>
      </c>
      <c r="B276" s="291">
        <v>98111</v>
      </c>
      <c r="C276" s="442" t="s">
        <v>5127</v>
      </c>
      <c r="D276" s="291" t="s">
        <v>28</v>
      </c>
      <c r="E276" s="430">
        <v>6</v>
      </c>
      <c r="F276" s="426">
        <f t="shared" si="64"/>
        <v>20.64</v>
      </c>
      <c r="G276" s="426">
        <f t="shared" si="65"/>
        <v>25.8</v>
      </c>
      <c r="H276" s="431">
        <f t="shared" si="66"/>
        <v>154.80000000000001</v>
      </c>
    </row>
    <row r="277" spans="1:8" ht="30" outlineLevel="2">
      <c r="A277" s="297" t="s">
        <v>13235</v>
      </c>
      <c r="B277" s="291">
        <v>96985</v>
      </c>
      <c r="C277" s="442" t="s">
        <v>988</v>
      </c>
      <c r="D277" s="291" t="s">
        <v>28</v>
      </c>
      <c r="E277" s="430">
        <v>22</v>
      </c>
      <c r="F277" s="426">
        <f t="shared" si="64"/>
        <v>41.86</v>
      </c>
      <c r="G277" s="426">
        <f t="shared" si="65"/>
        <v>52.32</v>
      </c>
      <c r="H277" s="431">
        <f t="shared" si="66"/>
        <v>1151.04</v>
      </c>
    </row>
    <row r="278" spans="1:8" ht="45" outlineLevel="2">
      <c r="A278" s="297" t="s">
        <v>13236</v>
      </c>
      <c r="B278" s="291">
        <v>91868</v>
      </c>
      <c r="C278" s="442" t="s">
        <v>3378</v>
      </c>
      <c r="D278" s="291" t="s">
        <v>35</v>
      </c>
      <c r="E278" s="430">
        <v>18</v>
      </c>
      <c r="F278" s="426">
        <f t="shared" si="64"/>
        <v>8.3800000000000008</v>
      </c>
      <c r="G278" s="426">
        <f t="shared" si="65"/>
        <v>10.47</v>
      </c>
      <c r="H278" s="431">
        <f t="shared" si="66"/>
        <v>188.46</v>
      </c>
    </row>
    <row r="279" spans="1:8" ht="30" outlineLevel="2">
      <c r="A279" s="297" t="s">
        <v>13237</v>
      </c>
      <c r="B279" s="291">
        <v>93358</v>
      </c>
      <c r="C279" s="442" t="s">
        <v>5397</v>
      </c>
      <c r="D279" s="291" t="s">
        <v>60</v>
      </c>
      <c r="E279" s="430">
        <v>12</v>
      </c>
      <c r="F279" s="426">
        <f t="shared" si="64"/>
        <v>62.93</v>
      </c>
      <c r="G279" s="426">
        <f t="shared" si="65"/>
        <v>78.66</v>
      </c>
      <c r="H279" s="431">
        <f t="shared" si="66"/>
        <v>943.92</v>
      </c>
    </row>
    <row r="280" spans="1:8" ht="30" outlineLevel="2">
      <c r="A280" s="297" t="s">
        <v>14253</v>
      </c>
      <c r="B280" s="291">
        <v>93382</v>
      </c>
      <c r="C280" s="442" t="s">
        <v>178</v>
      </c>
      <c r="D280" s="291" t="s">
        <v>60</v>
      </c>
      <c r="E280" s="430">
        <v>12</v>
      </c>
      <c r="F280" s="426">
        <f t="shared" si="64"/>
        <v>21.52</v>
      </c>
      <c r="G280" s="426">
        <f t="shared" si="65"/>
        <v>26.9</v>
      </c>
      <c r="H280" s="431">
        <f t="shared" si="66"/>
        <v>322.8</v>
      </c>
    </row>
    <row r="281" spans="1:8" ht="30" outlineLevel="2">
      <c r="A281" s="297" t="s">
        <v>14254</v>
      </c>
      <c r="B281" s="291" t="s">
        <v>12981</v>
      </c>
      <c r="C281" s="442" t="s">
        <v>12982</v>
      </c>
      <c r="D281" s="291" t="s">
        <v>28</v>
      </c>
      <c r="E281" s="430">
        <v>6</v>
      </c>
      <c r="F281" s="426">
        <f>'COMP. SPDA '!G30</f>
        <v>22.14</v>
      </c>
      <c r="G281" s="426">
        <f t="shared" ref="G281:G290" si="67">TRUNC(F281*(1+$G$2),2)</f>
        <v>27.67</v>
      </c>
      <c r="H281" s="431">
        <f t="shared" ref="H281:H290" si="68">TRUNC(E281*G281,2)</f>
        <v>166.02</v>
      </c>
    </row>
    <row r="282" spans="1:8" ht="45" outlineLevel="2">
      <c r="A282" s="297" t="s">
        <v>14255</v>
      </c>
      <c r="B282" s="291" t="s">
        <v>12983</v>
      </c>
      <c r="C282" s="442" t="s">
        <v>12984</v>
      </c>
      <c r="D282" s="291" t="s">
        <v>28</v>
      </c>
      <c r="E282" s="430">
        <v>6</v>
      </c>
      <c r="F282" s="426">
        <f>'COMP. SPDA '!G48</f>
        <v>14.450000000000001</v>
      </c>
      <c r="G282" s="426">
        <f t="shared" si="67"/>
        <v>18.059999999999999</v>
      </c>
      <c r="H282" s="431">
        <f t="shared" si="68"/>
        <v>108.36</v>
      </c>
    </row>
    <row r="283" spans="1:8" ht="45" outlineLevel="2">
      <c r="A283" s="297" t="s">
        <v>14256</v>
      </c>
      <c r="B283" s="291" t="s">
        <v>12985</v>
      </c>
      <c r="C283" s="442" t="s">
        <v>12986</v>
      </c>
      <c r="D283" s="291" t="s">
        <v>28</v>
      </c>
      <c r="E283" s="430">
        <v>22</v>
      </c>
      <c r="F283" s="426">
        <f>'COMP. SPDA '!G80</f>
        <v>17.66</v>
      </c>
      <c r="G283" s="426">
        <f t="shared" si="67"/>
        <v>22.07</v>
      </c>
      <c r="H283" s="431">
        <f t="shared" si="68"/>
        <v>485.54</v>
      </c>
    </row>
    <row r="284" spans="1:8" ht="45" outlineLevel="2">
      <c r="A284" s="297" t="s">
        <v>14257</v>
      </c>
      <c r="B284" s="291" t="s">
        <v>12987</v>
      </c>
      <c r="C284" s="442" t="s">
        <v>12988</v>
      </c>
      <c r="D284" s="291" t="s">
        <v>28</v>
      </c>
      <c r="E284" s="430">
        <v>8</v>
      </c>
      <c r="F284" s="426">
        <f>'COMP. SPDA '!G112</f>
        <v>10.08</v>
      </c>
      <c r="G284" s="426">
        <f t="shared" si="67"/>
        <v>12.6</v>
      </c>
      <c r="H284" s="431">
        <f t="shared" si="68"/>
        <v>100.8</v>
      </c>
    </row>
    <row r="285" spans="1:8" ht="45" outlineLevel="2">
      <c r="A285" s="297" t="s">
        <v>14258</v>
      </c>
      <c r="B285" s="291" t="s">
        <v>12989</v>
      </c>
      <c r="C285" s="442" t="s">
        <v>12990</v>
      </c>
      <c r="D285" s="291" t="s">
        <v>28</v>
      </c>
      <c r="E285" s="430">
        <v>12</v>
      </c>
      <c r="F285" s="426">
        <f>'COMP. SPDA '!G178</f>
        <v>12.95</v>
      </c>
      <c r="G285" s="426">
        <f t="shared" si="67"/>
        <v>16.18</v>
      </c>
      <c r="H285" s="431">
        <f t="shared" si="68"/>
        <v>194.16</v>
      </c>
    </row>
    <row r="286" spans="1:8" ht="45" outlineLevel="2">
      <c r="A286" s="297" t="s">
        <v>14259</v>
      </c>
      <c r="B286" s="291" t="s">
        <v>12991</v>
      </c>
      <c r="C286" s="442" t="s">
        <v>12874</v>
      </c>
      <c r="D286" s="291" t="s">
        <v>28</v>
      </c>
      <c r="E286" s="430">
        <v>12</v>
      </c>
      <c r="F286" s="426">
        <f>'COMP. SPDA '!G205</f>
        <v>6.34</v>
      </c>
      <c r="G286" s="426">
        <f t="shared" si="67"/>
        <v>7.92</v>
      </c>
      <c r="H286" s="431">
        <f t="shared" si="68"/>
        <v>95.04</v>
      </c>
    </row>
    <row r="287" spans="1:8" ht="30" outlineLevel="2">
      <c r="A287" s="297" t="s">
        <v>14260</v>
      </c>
      <c r="B287" s="291" t="s">
        <v>12994</v>
      </c>
      <c r="C287" s="442" t="s">
        <v>12995</v>
      </c>
      <c r="D287" s="291" t="s">
        <v>28</v>
      </c>
      <c r="E287" s="430">
        <v>79</v>
      </c>
      <c r="F287" s="426">
        <f>'COMP. SPDA '!G317</f>
        <v>1.1200000000000001</v>
      </c>
      <c r="G287" s="426">
        <f t="shared" si="67"/>
        <v>1.4</v>
      </c>
      <c r="H287" s="431">
        <f t="shared" si="68"/>
        <v>110.6</v>
      </c>
    </row>
    <row r="288" spans="1:8" ht="30" outlineLevel="2">
      <c r="A288" s="297" t="s">
        <v>14261</v>
      </c>
      <c r="B288" s="291" t="s">
        <v>12996</v>
      </c>
      <c r="C288" s="442" t="s">
        <v>12997</v>
      </c>
      <c r="D288" s="291" t="s">
        <v>28</v>
      </c>
      <c r="E288" s="430">
        <v>59</v>
      </c>
      <c r="F288" s="426">
        <f>'COMP. SPDA '!G334</f>
        <v>3.4000000000000004</v>
      </c>
      <c r="G288" s="426">
        <f t="shared" si="67"/>
        <v>4.25</v>
      </c>
      <c r="H288" s="431">
        <f t="shared" si="68"/>
        <v>250.75</v>
      </c>
    </row>
    <row r="289" spans="1:17" ht="30" outlineLevel="2">
      <c r="A289" s="297" t="s">
        <v>14262</v>
      </c>
      <c r="B289" s="291" t="s">
        <v>12998</v>
      </c>
      <c r="C289" s="442" t="s">
        <v>160</v>
      </c>
      <c r="D289" s="291" t="s">
        <v>35</v>
      </c>
      <c r="E289" s="430">
        <v>117</v>
      </c>
      <c r="F289" s="426">
        <f>'COMP. SPDA '!G720</f>
        <v>25.48</v>
      </c>
      <c r="G289" s="426">
        <f t="shared" si="67"/>
        <v>31.85</v>
      </c>
      <c r="H289" s="431">
        <f t="shared" si="68"/>
        <v>3726.45</v>
      </c>
    </row>
    <row r="290" spans="1:17" ht="30" outlineLevel="2">
      <c r="A290" s="297" t="s">
        <v>14263</v>
      </c>
      <c r="B290" s="291" t="s">
        <v>12999</v>
      </c>
      <c r="C290" s="442" t="s">
        <v>161</v>
      </c>
      <c r="D290" s="291" t="s">
        <v>35</v>
      </c>
      <c r="E290" s="430">
        <v>80</v>
      </c>
      <c r="F290" s="426">
        <f>'COMP. SPDA '!G729</f>
        <v>36.14</v>
      </c>
      <c r="G290" s="426">
        <f t="shared" si="67"/>
        <v>45.17</v>
      </c>
      <c r="H290" s="431">
        <f t="shared" si="68"/>
        <v>3613.6</v>
      </c>
    </row>
    <row r="291" spans="1:17" ht="15.75" outlineLevel="2">
      <c r="A291" s="297"/>
      <c r="B291" s="292"/>
      <c r="C291" s="440"/>
      <c r="D291" s="305"/>
      <c r="E291" s="428"/>
      <c r="F291" s="426"/>
      <c r="G291" s="428" t="s">
        <v>11684</v>
      </c>
      <c r="H291" s="429">
        <f>SUM(H275:H290)</f>
        <v>12328.340000000002</v>
      </c>
    </row>
    <row r="292" spans="1:17" ht="15.75" outlineLevel="2">
      <c r="A292" s="296" t="s">
        <v>14264</v>
      </c>
      <c r="B292" s="306"/>
      <c r="C292" s="441" t="s">
        <v>12733</v>
      </c>
      <c r="D292" s="345"/>
      <c r="E292" s="432"/>
      <c r="F292" s="426"/>
      <c r="G292" s="432"/>
      <c r="H292" s="431"/>
    </row>
    <row r="293" spans="1:17" ht="30" outlineLevel="2">
      <c r="A293" s="297" t="s">
        <v>14265</v>
      </c>
      <c r="B293" s="291">
        <v>84665</v>
      </c>
      <c r="C293" s="442" t="s">
        <v>110</v>
      </c>
      <c r="D293" s="291" t="s">
        <v>117</v>
      </c>
      <c r="E293" s="430">
        <v>6.76</v>
      </c>
      <c r="F293" s="426">
        <f t="shared" si="64"/>
        <v>18.28</v>
      </c>
      <c r="G293" s="426">
        <f>TRUNC(F293*(1+$G$2),2)</f>
        <v>22.85</v>
      </c>
      <c r="H293" s="431">
        <f t="shared" ref="H293:H297" si="69">TRUNC(E293*G293,2)</f>
        <v>154.46</v>
      </c>
      <c r="J293" s="6">
        <f>4*1.3*1.3</f>
        <v>6.7600000000000007</v>
      </c>
    </row>
    <row r="294" spans="1:17" ht="75" outlineLevel="2">
      <c r="A294" s="297" t="s">
        <v>14266</v>
      </c>
      <c r="B294" s="291" t="s">
        <v>12927</v>
      </c>
      <c r="C294" s="442" t="s">
        <v>12928</v>
      </c>
      <c r="D294" s="291" t="s">
        <v>28</v>
      </c>
      <c r="E294" s="430">
        <v>6</v>
      </c>
      <c r="F294" s="426">
        <f>'COMP. INC'!G117</f>
        <v>9.3000000000000007</v>
      </c>
      <c r="G294" s="426">
        <f>TRUNC(F294*(1+$G$2),2)</f>
        <v>11.62</v>
      </c>
      <c r="H294" s="431">
        <f t="shared" si="69"/>
        <v>69.72</v>
      </c>
    </row>
    <row r="295" spans="1:17" ht="75" outlineLevel="2">
      <c r="A295" s="297" t="s">
        <v>14267</v>
      </c>
      <c r="B295" s="291" t="s">
        <v>12929</v>
      </c>
      <c r="C295" s="442" t="s">
        <v>12930</v>
      </c>
      <c r="D295" s="291" t="s">
        <v>28</v>
      </c>
      <c r="E295" s="430">
        <v>11</v>
      </c>
      <c r="F295" s="426">
        <f>'COMP. INC'!G94</f>
        <v>13.43</v>
      </c>
      <c r="G295" s="426">
        <f>TRUNC(F295*(1+$G$2),2)</f>
        <v>16.78</v>
      </c>
      <c r="H295" s="431">
        <f t="shared" si="69"/>
        <v>184.58</v>
      </c>
    </row>
    <row r="296" spans="1:17" ht="30" outlineLevel="2">
      <c r="A296" s="297" t="s">
        <v>14268</v>
      </c>
      <c r="B296" s="291">
        <v>83635</v>
      </c>
      <c r="C296" s="442" t="s">
        <v>996</v>
      </c>
      <c r="D296" s="291" t="s">
        <v>28</v>
      </c>
      <c r="E296" s="430">
        <v>4</v>
      </c>
      <c r="F296" s="426">
        <f t="shared" si="64"/>
        <v>165.13</v>
      </c>
      <c r="G296" s="426">
        <f>TRUNC(F296*(1+$G$2),2)</f>
        <v>206.41</v>
      </c>
      <c r="H296" s="431">
        <f t="shared" si="69"/>
        <v>825.64</v>
      </c>
    </row>
    <row r="297" spans="1:17" outlineLevel="2">
      <c r="A297" s="297" t="s">
        <v>14269</v>
      </c>
      <c r="B297" s="291">
        <v>72554</v>
      </c>
      <c r="C297" s="442" t="s">
        <v>3784</v>
      </c>
      <c r="D297" s="291" t="s">
        <v>28</v>
      </c>
      <c r="E297" s="430">
        <v>2</v>
      </c>
      <c r="F297" s="426">
        <f t="shared" si="64"/>
        <v>453.02</v>
      </c>
      <c r="G297" s="426">
        <f>TRUNC(F297*(1+$G$2),2)</f>
        <v>566.27</v>
      </c>
      <c r="H297" s="431">
        <f t="shared" si="69"/>
        <v>1132.54</v>
      </c>
    </row>
    <row r="298" spans="1:17" ht="15.75" outlineLevel="2">
      <c r="A298" s="297"/>
      <c r="B298" s="292"/>
      <c r="C298" s="440"/>
      <c r="D298" s="305"/>
      <c r="E298" s="428"/>
      <c r="F298" s="428"/>
      <c r="G298" s="428" t="s">
        <v>11684</v>
      </c>
      <c r="H298" s="429">
        <f>SUM(H293:H297)</f>
        <v>2366.94</v>
      </c>
    </row>
    <row r="299" spans="1:17" ht="15.75" outlineLevel="2">
      <c r="A299" s="1093"/>
      <c r="B299" s="249"/>
      <c r="C299" s="1101" t="s">
        <v>13456</v>
      </c>
      <c r="D299" s="249"/>
      <c r="E299" s="1094"/>
      <c r="F299" s="1094"/>
      <c r="G299" s="1095"/>
      <c r="H299" s="429">
        <f>H22+H29+H35+H54+H59+H69+H79+H93+H103+H112+H119+H125+H128+H221+H273+H291+H298</f>
        <v>476281.86400000012</v>
      </c>
      <c r="P299" s="433"/>
      <c r="Q299" s="433"/>
    </row>
    <row r="300" spans="1:17" s="7" customFormat="1" ht="15.75" outlineLevel="1">
      <c r="A300" s="417" t="s">
        <v>12931</v>
      </c>
      <c r="B300" s="424"/>
      <c r="C300" s="438" t="s">
        <v>13455</v>
      </c>
      <c r="D300" s="425"/>
      <c r="E300" s="434"/>
      <c r="F300" s="434"/>
      <c r="G300" s="434"/>
      <c r="H300" s="435"/>
    </row>
    <row r="301" spans="1:17" ht="15.75" outlineLevel="1">
      <c r="A301" s="296" t="s">
        <v>15</v>
      </c>
      <c r="B301" s="410"/>
      <c r="C301" s="443" t="s">
        <v>29</v>
      </c>
      <c r="D301" s="293"/>
      <c r="E301" s="426"/>
      <c r="F301" s="426"/>
      <c r="G301" s="436"/>
      <c r="H301" s="437"/>
    </row>
    <row r="302" spans="1:17" outlineLevel="2">
      <c r="A302" s="297" t="s">
        <v>13240</v>
      </c>
      <c r="B302" s="411" t="s">
        <v>12632</v>
      </c>
      <c r="C302" s="444" t="str">
        <f t="shared" ref="C302:C305" si="70">IFERROR(VLOOKUP(B302,comp_nãodes,2,FALSE),VLOOKUP(B302,insnãodes,2,FALSE))</f>
        <v>CAPINA E LIMPEZA MANUAL DE TERRENO</v>
      </c>
      <c r="D302" s="294" t="str">
        <f t="shared" ref="D302:D305" si="71">IFERROR(VLOOKUP(B302,comp_nãodes,3,FALSE),VLOOKUP(B302,insnãodes,3,FALSE))</f>
        <v>M2</v>
      </c>
      <c r="E302" s="426">
        <v>286.77999999999997</v>
      </c>
      <c r="F302" s="426">
        <f>IFERROR(VLOOKUP(B302,comp_nãodes,4,FALSE),VLOOKUP(B302,insnãodes,4,FALSE))</f>
        <v>1.27</v>
      </c>
      <c r="G302" s="426">
        <f t="shared" ref="G302:G305" si="72">TRUNC(F302*(1+$E$1),2)</f>
        <v>1.27</v>
      </c>
      <c r="H302" s="427">
        <f t="shared" ref="H302:H305" si="73">TRUNC((G302*E302),2)</f>
        <v>364.21</v>
      </c>
      <c r="J302" s="6">
        <f>22.06*13</f>
        <v>286.77999999999997</v>
      </c>
      <c r="K302" s="6" t="s">
        <v>12739</v>
      </c>
    </row>
    <row r="303" spans="1:17" ht="45" outlineLevel="2">
      <c r="A303" s="297" t="s">
        <v>13241</v>
      </c>
      <c r="B303" s="247">
        <v>99059</v>
      </c>
      <c r="C303" s="439" t="str">
        <f t="shared" si="70"/>
        <v>LOCACAO CONVENCIONAL DE OBRA, UTILIZANDO GABARITO DE TÁBUAS CORRIDAS PONTALETADAS A CADA 2,00M -  2 UTILIZAÇÕES. AF_10/2018</v>
      </c>
      <c r="D303" s="294" t="str">
        <f t="shared" si="71"/>
        <v>M</v>
      </c>
      <c r="E303" s="426">
        <v>78.12</v>
      </c>
      <c r="F303" s="426">
        <f>IFERROR(VLOOKUP(B303,comp_nãodes,4,FALSE),VLOOKUP(B303,insnãodes,4,FALSE))</f>
        <v>35.409999999999997</v>
      </c>
      <c r="G303" s="426">
        <f t="shared" si="72"/>
        <v>35.409999999999997</v>
      </c>
      <c r="H303" s="427">
        <f t="shared" si="73"/>
        <v>2766.22</v>
      </c>
      <c r="J303" s="6">
        <f>(22.06+2)*2+(13+2)*2</f>
        <v>78.12</v>
      </c>
      <c r="K303" s="6" t="s">
        <v>12740</v>
      </c>
    </row>
    <row r="304" spans="1:17" ht="30" outlineLevel="2">
      <c r="A304" s="297" t="s">
        <v>13242</v>
      </c>
      <c r="B304" s="307">
        <v>72898</v>
      </c>
      <c r="C304" s="439" t="str">
        <f t="shared" si="70"/>
        <v>CARGA E DESCARGA MECANIZADAS DE ENTULHO EM CAMINHAO BASCULANTE 6 M3</v>
      </c>
      <c r="D304" s="294" t="str">
        <f t="shared" si="71"/>
        <v>M3</v>
      </c>
      <c r="E304" s="426">
        <v>86.03</v>
      </c>
      <c r="F304" s="426">
        <f>IFERROR(VLOOKUP(B304,comp_nãodes,4,FALSE),VLOOKUP(B304,insnãodes,4,FALSE))</f>
        <v>3.28</v>
      </c>
      <c r="G304" s="426">
        <f t="shared" si="72"/>
        <v>3.28</v>
      </c>
      <c r="H304" s="427">
        <f t="shared" si="73"/>
        <v>282.17</v>
      </c>
      <c r="J304" s="6">
        <f>286.78*0.3</f>
        <v>86.033999999999992</v>
      </c>
    </row>
    <row r="305" spans="1:11" ht="45" outlineLevel="2">
      <c r="A305" s="297" t="s">
        <v>13243</v>
      </c>
      <c r="B305" s="307">
        <v>97912</v>
      </c>
      <c r="C305" s="439" t="str">
        <f t="shared" si="70"/>
        <v>TRANSPORTE COM CAMINHÃO BASCULANTE DE 6 M3, EM VIA URBANA EM LEITO NATURAL (UNIDADE: M3XKM). AF_01/2018</v>
      </c>
      <c r="D305" s="294" t="str">
        <f t="shared" si="71"/>
        <v>M3XKM</v>
      </c>
      <c r="E305" s="426">
        <v>430.17</v>
      </c>
      <c r="F305" s="426">
        <f>IFERROR(VLOOKUP(B305,comp_nãodes,4,FALSE),VLOOKUP(B305,insnãodes,4,FALSE))</f>
        <v>1.65</v>
      </c>
      <c r="G305" s="426">
        <f t="shared" si="72"/>
        <v>1.65</v>
      </c>
      <c r="H305" s="427">
        <f t="shared" si="73"/>
        <v>709.78</v>
      </c>
      <c r="J305" s="6">
        <f>286.78*0.3*5</f>
        <v>430.16999999999996</v>
      </c>
      <c r="K305" s="6" t="s">
        <v>12741</v>
      </c>
    </row>
    <row r="306" spans="1:11" ht="15.75" outlineLevel="2">
      <c r="A306" s="297"/>
      <c r="B306" s="294"/>
      <c r="C306" s="439"/>
      <c r="D306" s="294"/>
      <c r="E306" s="426"/>
      <c r="F306" s="426"/>
      <c r="G306" s="428" t="s">
        <v>11684</v>
      </c>
      <c r="H306" s="429">
        <f>SUM(H302:H305)</f>
        <v>4122.38</v>
      </c>
    </row>
    <row r="307" spans="1:11" ht="15.75" outlineLevel="2">
      <c r="A307" s="296" t="s">
        <v>49</v>
      </c>
      <c r="B307" s="294"/>
      <c r="C307" s="441" t="s">
        <v>12734</v>
      </c>
      <c r="D307" s="294"/>
      <c r="E307" s="426"/>
      <c r="F307" s="426"/>
      <c r="G307" s="426"/>
      <c r="H307" s="427"/>
    </row>
    <row r="308" spans="1:11" ht="45" outlineLevel="2">
      <c r="A308" s="297" t="s">
        <v>13239</v>
      </c>
      <c r="B308" s="247">
        <v>96521</v>
      </c>
      <c r="C308" s="439" t="str">
        <f>IFERROR(VLOOKUP(B308,comp_nãodes,2,FALSE),VLOOKUP(B308,insnãodes,2,FALSE))</f>
        <v>ESCAVAÇÃO MECANIZADA PARA BLOCO DE COROAMENTO OU SAPATA, COM PREVISÃO DE FÔRMA, COM RETROESCAVADEIRA. AF_06/2017</v>
      </c>
      <c r="D308" s="294" t="str">
        <f>IFERROR(VLOOKUP(B308,comp_nãodes,3,FALSE),VLOOKUP(B308,insnãodes,3,FALSE))</f>
        <v>M3</v>
      </c>
      <c r="E308" s="430">
        <v>35.28</v>
      </c>
      <c r="F308" s="426">
        <f>IFERROR(VLOOKUP(B308,comp_nãodes,4,FALSE),VLOOKUP(B308,insnãodes,4,FALSE))</f>
        <v>28.14</v>
      </c>
      <c r="G308" s="426">
        <f t="shared" ref="G308:G312" si="74">TRUNC(F308*(1+$E$1),2)</f>
        <v>28.14</v>
      </c>
      <c r="H308" s="431">
        <f t="shared" ref="H308:H312" si="75">TRUNC(E308*G308,2)</f>
        <v>992.77</v>
      </c>
      <c r="J308" s="6">
        <f>(3*1.1*1.25+10*1.05*1.25+9*1*1.15+2*1.1*1.3+1*0.85*1+1*1.3*1.45+2*0.95*1.1)*1</f>
        <v>35.284999999999997</v>
      </c>
    </row>
    <row r="309" spans="1:11" ht="30" outlineLevel="2">
      <c r="A309" s="297" t="s">
        <v>13244</v>
      </c>
      <c r="B309" s="247">
        <v>96527</v>
      </c>
      <c r="C309" s="439" t="str">
        <f>IFERROR(VLOOKUP(B309,comp_nãodes,2,FALSE),VLOOKUP(B309,insnãodes,2,FALSE))</f>
        <v>ESCAVAÇÃO MANUAL DE VALA PARA VIGA BALDRAME, COM PREVISÃO DE FÔRMA. AF_06/2017</v>
      </c>
      <c r="D309" s="294" t="str">
        <f>IFERROR(VLOOKUP(B309,comp_nãodes,3,FALSE),VLOOKUP(B309,insnãodes,3,FALSE))</f>
        <v>M3</v>
      </c>
      <c r="E309" s="432">
        <v>20.37</v>
      </c>
      <c r="F309" s="426">
        <f>IFERROR(VLOOKUP(B309,comp_nãodes,4,FALSE),VLOOKUP(B309,insnãodes,4,FALSE))</f>
        <v>94.73</v>
      </c>
      <c r="G309" s="426">
        <f t="shared" si="74"/>
        <v>94.73</v>
      </c>
      <c r="H309" s="431">
        <f t="shared" si="75"/>
        <v>1929.65</v>
      </c>
      <c r="J309" s="6">
        <f>(20.04+4.01*2+4.71+2.21+2.01*3+1.96+1.86+2.01+(3.96+4.48+1.69+2.01+2.01+2.16+2.61)*2+9.8*2+1.21+3.81*6+3.43+1.51+3.01*7)*0.44*0.3</f>
        <v>20.375519999999998</v>
      </c>
    </row>
    <row r="310" spans="1:11" ht="45" outlineLevel="2">
      <c r="A310" s="297" t="s">
        <v>13245</v>
      </c>
      <c r="B310" s="247">
        <v>94097</v>
      </c>
      <c r="C310" s="439" t="str">
        <f>IFERROR(VLOOKUP(B310,comp_nãodes,2,FALSE),VLOOKUP(B310,insnãodes,2,FALSE))</f>
        <v>PREPARO DE FUNDO DE VALA COM LARGURA MENOR QUE 1,5 M, EM LOCAL COM NÍVEL BAIXO DE INTERFERÊNCIA. AF_06/2016</v>
      </c>
      <c r="D310" s="294" t="str">
        <f>IFERROR(VLOOKUP(B310,comp_nãodes,3,FALSE),VLOOKUP(B310,insnãodes,3,FALSE))</f>
        <v>M2</v>
      </c>
      <c r="E310" s="432">
        <v>103.19</v>
      </c>
      <c r="F310" s="426">
        <f>IFERROR(VLOOKUP(B310,comp_nãodes,4,FALSE),VLOOKUP(B310,insnãodes,4,FALSE))</f>
        <v>4.6399999999999997</v>
      </c>
      <c r="G310" s="426">
        <f t="shared" si="74"/>
        <v>4.6399999999999997</v>
      </c>
      <c r="H310" s="431">
        <f t="shared" si="75"/>
        <v>478.8</v>
      </c>
      <c r="I310" s="6">
        <f>35.28+67.91</f>
        <v>103.19</v>
      </c>
      <c r="J310" s="6">
        <f>(3*1.1*1.25+10*1.05*1.25+9*1*1.15+2*1.1*1.3+1*0.85*1+1*1.3*1.45+2*0.95*1.1)</f>
        <v>35.284999999999997</v>
      </c>
      <c r="K310" s="6">
        <f>(20.04+4.01*2+4.71+2.21+2.01*3+1.96+1.86+2.01+(3.96+4.48+1.69+2.01+2.01+2.16+2.61)*2+9.8*2+1.21+3.81*6+3.43+1.51+3.01*7)*0.44</f>
        <v>67.918399999999991</v>
      </c>
    </row>
    <row r="311" spans="1:11" ht="45" outlineLevel="2">
      <c r="A311" s="297" t="s">
        <v>13246</v>
      </c>
      <c r="B311" s="247">
        <v>94962</v>
      </c>
      <c r="C311" s="439" t="str">
        <f>IFERROR(VLOOKUP(B311,comp_nãodes,2,FALSE),VLOOKUP(B311,insnãodes,2,FALSE))</f>
        <v>CONCRETO MAGRO PARA LASTRO, TRAÇO 1:4,5:4,5 (CIMENTO/ AREIA MÉDIA/ BRITA 1)  - PREPARO MECÂNICO COM BETONEIRA 400 L. AF_07/2016</v>
      </c>
      <c r="D311" s="294" t="str">
        <f>IFERROR(VLOOKUP(B311,comp_nãodes,3,FALSE),VLOOKUP(B311,insnãodes,3,FALSE))</f>
        <v>M3</v>
      </c>
      <c r="E311" s="432">
        <v>5.15</v>
      </c>
      <c r="F311" s="426">
        <f>IFERROR(VLOOKUP(B311,comp_nãodes,4,FALSE),VLOOKUP(B311,insnãodes,4,FALSE))</f>
        <v>261.25</v>
      </c>
      <c r="G311" s="426">
        <f t="shared" si="74"/>
        <v>261.25</v>
      </c>
      <c r="H311" s="431">
        <f t="shared" si="75"/>
        <v>1345.43</v>
      </c>
      <c r="I311" s="6">
        <f>1.76+3.39</f>
        <v>5.15</v>
      </c>
      <c r="J311" s="6">
        <f>(3*1.1*1.25+10*1.05*1.25+9*1*1.15+2*1.1*1.3+1*0.85*1+1*1.3*1.45+2*0.95*1.1)*0.05</f>
        <v>1.7642499999999999</v>
      </c>
      <c r="K311" s="6">
        <f>(20.04+4.01*2+4.71+2.21+2.01*3+1.96+1.86+2.01+(3.96+4.48+1.69+2.01+2.01+2.16+2.61)*2+9.8*2+1.21+3.81*6+3.43+1.51+3.01*7)*0.44*0.05</f>
        <v>3.3959199999999998</v>
      </c>
    </row>
    <row r="312" spans="1:11" ht="30" outlineLevel="2">
      <c r="A312" s="297" t="s">
        <v>13247</v>
      </c>
      <c r="B312" s="247">
        <v>93382</v>
      </c>
      <c r="C312" s="439" t="str">
        <f>IFERROR(VLOOKUP(B312,comp_nãodes,2,FALSE),VLOOKUP(B312,insnãodes,2,FALSE))</f>
        <v>REATERRO MANUAL DE VALAS COM COMPACTAÇÃO MECANIZADA. AF_04/2016</v>
      </c>
      <c r="D312" s="294" t="str">
        <f>IFERROR(VLOOKUP(B312,comp_nãodes,3,FALSE),VLOOKUP(B312,insnãodes,3,FALSE))</f>
        <v>M3</v>
      </c>
      <c r="E312" s="432">
        <v>50.5</v>
      </c>
      <c r="F312" s="426">
        <f>IFERROR(VLOOKUP(B312,comp_nãodes,4,FALSE),VLOOKUP(B312,insnãodes,4,FALSE))</f>
        <v>21.52</v>
      </c>
      <c r="G312" s="426">
        <f t="shared" si="74"/>
        <v>21.52</v>
      </c>
      <c r="H312" s="431">
        <f t="shared" si="75"/>
        <v>1086.76</v>
      </c>
      <c r="J312" s="6">
        <f>(35.28+20.37)-5.15</f>
        <v>50.500000000000007</v>
      </c>
    </row>
    <row r="313" spans="1:11" ht="15.75" outlineLevel="2">
      <c r="A313" s="297"/>
      <c r="B313" s="294"/>
      <c r="C313" s="439"/>
      <c r="D313" s="294"/>
      <c r="E313" s="432"/>
      <c r="F313" s="426"/>
      <c r="G313" s="428" t="s">
        <v>11684</v>
      </c>
      <c r="H313" s="429">
        <f>SUM(H308:H312)</f>
        <v>5833.4100000000008</v>
      </c>
    </row>
    <row r="314" spans="1:11" ht="15.75" outlineLevel="2">
      <c r="A314" s="296" t="s">
        <v>12858</v>
      </c>
      <c r="B314" s="294"/>
      <c r="C314" s="441" t="s">
        <v>12735</v>
      </c>
      <c r="D314" s="294"/>
      <c r="E314" s="426"/>
      <c r="F314" s="426"/>
      <c r="G314" s="426"/>
      <c r="H314" s="427"/>
    </row>
    <row r="315" spans="1:11" ht="45" outlineLevel="2">
      <c r="A315" s="297" t="s">
        <v>13248</v>
      </c>
      <c r="B315" s="308">
        <v>96535</v>
      </c>
      <c r="C315" s="439" t="str">
        <f t="shared" ref="C315:C320" si="76">IFERROR(VLOOKUP(B315,comp_nãodes,2,FALSE),VLOOKUP(B315,insnãodes,2,FALSE))</f>
        <v>FABRICAÇÃO, MONTAGEM E DESMONTAGEM DE FÔRMA PARA SAPATA, EM MADEIRA SERRADA, E=25 MM, 4 UTILIZAÇÕES. AF_06/2017</v>
      </c>
      <c r="D315" s="294" t="str">
        <f t="shared" ref="D315:D320" si="77">IFERROR(VLOOKUP(B315,comp_nãodes,3,FALSE),VLOOKUP(B315,insnãodes,3,FALSE))</f>
        <v>M2</v>
      </c>
      <c r="E315" s="426">
        <v>23.27</v>
      </c>
      <c r="F315" s="426">
        <f t="shared" ref="F315:F320" si="78">IFERROR(VLOOKUP(B315,comp_nãodes,4,FALSE),VLOOKUP(B315,insnãodes,4,FALSE))</f>
        <v>96.01</v>
      </c>
      <c r="G315" s="426">
        <f t="shared" ref="G315:G320" si="79">TRUNC(F315*(1+$E$1),2)</f>
        <v>96.01</v>
      </c>
      <c r="H315" s="431">
        <f t="shared" ref="H315:H320" si="80">TRUNC(E315*G315,2)</f>
        <v>2234.15</v>
      </c>
    </row>
    <row r="316" spans="1:11" ht="45" outlineLevel="2">
      <c r="A316" s="297" t="s">
        <v>13249</v>
      </c>
      <c r="B316" s="247">
        <v>94971</v>
      </c>
      <c r="C316" s="439" t="str">
        <f t="shared" si="76"/>
        <v>CONCRETO FCK = 25MPA, TRAÇO 1:2,3:2,7 (CIMENTO/ AREIA MÉDIA/ BRITA 1)  - PREPARO MECÂNICO COM BETONEIRA 600 L. AF_07/2016</v>
      </c>
      <c r="D316" s="294" t="str">
        <f t="shared" si="77"/>
        <v>M3</v>
      </c>
      <c r="E316" s="426">
        <v>4.79</v>
      </c>
      <c r="F316" s="426">
        <f t="shared" si="78"/>
        <v>324.27999999999997</v>
      </c>
      <c r="G316" s="426">
        <f t="shared" si="79"/>
        <v>324.27999999999997</v>
      </c>
      <c r="H316" s="431">
        <f t="shared" si="80"/>
        <v>1553.3</v>
      </c>
    </row>
    <row r="317" spans="1:11" ht="30" outlineLevel="2">
      <c r="A317" s="297" t="s">
        <v>13250</v>
      </c>
      <c r="B317" s="247" t="s">
        <v>3188</v>
      </c>
      <c r="C317" s="439" t="str">
        <f t="shared" si="76"/>
        <v>LANCAMENTO/APLICACAO MANUAL DE CONCRETO EM FUNDACOES</v>
      </c>
      <c r="D317" s="294" t="str">
        <f t="shared" si="77"/>
        <v>M3</v>
      </c>
      <c r="E317" s="426">
        <f>E316</f>
        <v>4.79</v>
      </c>
      <c r="F317" s="426">
        <f t="shared" si="78"/>
        <v>104.64</v>
      </c>
      <c r="G317" s="426">
        <f t="shared" si="79"/>
        <v>104.64</v>
      </c>
      <c r="H317" s="431">
        <f t="shared" si="80"/>
        <v>501.22</v>
      </c>
    </row>
    <row r="318" spans="1:11" ht="30" outlineLevel="2">
      <c r="A318" s="297" t="s">
        <v>13251</v>
      </c>
      <c r="B318" s="247">
        <v>96543</v>
      </c>
      <c r="C318" s="439" t="str">
        <f t="shared" si="76"/>
        <v>ARMAÇÃO DE BLOCO, VIGA BALDRAME E SAPATA UTILIZANDO AÇO CA-60 DE 5 MM - MONTAGEM. AF_06/2017</v>
      </c>
      <c r="D318" s="294" t="str">
        <f t="shared" si="77"/>
        <v>KG</v>
      </c>
      <c r="E318" s="426">
        <v>3.87</v>
      </c>
      <c r="F318" s="426">
        <f t="shared" si="78"/>
        <v>12.11</v>
      </c>
      <c r="G318" s="426">
        <f t="shared" si="79"/>
        <v>12.11</v>
      </c>
      <c r="H318" s="431">
        <f t="shared" si="80"/>
        <v>46.86</v>
      </c>
      <c r="J318" s="6">
        <f>4.3*0.9</f>
        <v>3.87</v>
      </c>
    </row>
    <row r="319" spans="1:11" ht="30" outlineLevel="2">
      <c r="A319" s="297" t="s">
        <v>13252</v>
      </c>
      <c r="B319" s="247">
        <v>96544</v>
      </c>
      <c r="C319" s="439" t="str">
        <f t="shared" si="76"/>
        <v>ARMAÇÃO DE BLOCO, VIGA BALDRAME OU SAPATA UTILIZANDO AÇO CA-50 DE 6,3 MM - MONTAGEM. AF_06/2017</v>
      </c>
      <c r="D319" s="294" t="str">
        <f t="shared" si="77"/>
        <v>KG</v>
      </c>
      <c r="E319" s="426">
        <v>9.09</v>
      </c>
      <c r="F319" s="426">
        <f t="shared" si="78"/>
        <v>10.74</v>
      </c>
      <c r="G319" s="426">
        <f t="shared" si="79"/>
        <v>10.74</v>
      </c>
      <c r="H319" s="431">
        <f t="shared" si="80"/>
        <v>97.62</v>
      </c>
      <c r="J319" s="6">
        <f>10.1*0.9</f>
        <v>9.09</v>
      </c>
    </row>
    <row r="320" spans="1:11" ht="30" outlineLevel="2">
      <c r="A320" s="297" t="s">
        <v>13253</v>
      </c>
      <c r="B320" s="247">
        <v>96545</v>
      </c>
      <c r="C320" s="439" t="str">
        <f t="shared" si="76"/>
        <v>ARMAÇÃO DE BLOCO, VIGA BALDRAME OU SAPATA UTILIZANDO AÇO CA-50 DE 8 MM - MONTAGEM. AF_06/2017</v>
      </c>
      <c r="D320" s="294" t="str">
        <f t="shared" si="77"/>
        <v>KG</v>
      </c>
      <c r="E320" s="426">
        <v>150.84</v>
      </c>
      <c r="F320" s="426">
        <f t="shared" si="78"/>
        <v>9.6199999999999992</v>
      </c>
      <c r="G320" s="426">
        <f t="shared" si="79"/>
        <v>9.6199999999999992</v>
      </c>
      <c r="H320" s="431">
        <f t="shared" si="80"/>
        <v>1451.08</v>
      </c>
      <c r="J320" s="6">
        <f>167.6*0.9</f>
        <v>150.84</v>
      </c>
    </row>
    <row r="321" spans="1:10" ht="15.75" outlineLevel="2">
      <c r="A321" s="297"/>
      <c r="B321" s="294"/>
      <c r="C321" s="441"/>
      <c r="D321" s="294"/>
      <c r="E321" s="426"/>
      <c r="F321" s="426"/>
      <c r="G321" s="428" t="s">
        <v>11684</v>
      </c>
      <c r="H321" s="429">
        <f>SUM(H315:H320)</f>
        <v>5884.23</v>
      </c>
    </row>
    <row r="322" spans="1:10" ht="15.75" outlineLevel="2">
      <c r="A322" s="296" t="s">
        <v>12859</v>
      </c>
      <c r="B322" s="294"/>
      <c r="C322" s="441" t="s">
        <v>12736</v>
      </c>
      <c r="D322" s="294"/>
      <c r="E322" s="426"/>
      <c r="F322" s="426"/>
      <c r="G322" s="426"/>
      <c r="H322" s="427"/>
    </row>
    <row r="323" spans="1:10" ht="15.75" outlineLevel="2">
      <c r="A323" s="297"/>
      <c r="B323" s="294"/>
      <c r="C323" s="441" t="s">
        <v>65</v>
      </c>
      <c r="D323" s="294"/>
      <c r="E323" s="426"/>
      <c r="F323" s="426"/>
      <c r="G323" s="426"/>
      <c r="H323" s="427"/>
    </row>
    <row r="324" spans="1:10" ht="75" outlineLevel="2">
      <c r="A324" s="297" t="s">
        <v>13254</v>
      </c>
      <c r="B324" s="247">
        <v>92426</v>
      </c>
      <c r="C324" s="439" t="str">
        <f t="shared" ref="C324:C329" si="81">IFERROR(VLOOKUP(B324,comp_nãodes,2,FALSE),VLOOKUP(B324,insnãodes,2,FALSE))</f>
        <v>MONTAGEM E DESMONTAGEM DE FÔRMA DE PILARES RETANGULARES E ESTRUTURAS SIMILARES COM ÁREA MÉDIA DAS SEÇÕES MENOR OU IGUAL A 0,25 M², PÉ-DIREITO SIMPLES, EM CHAPA DE MADEIRA COMPENSADA RESINADA, 8 UTILIZAÇÕES. AF_12/2015</v>
      </c>
      <c r="D324" s="294" t="str">
        <f t="shared" ref="D324:D329" si="82">IFERROR(VLOOKUP(B324,comp_nãodes,3,FALSE),VLOOKUP(B324,insnãodes,3,FALSE))</f>
        <v>M2</v>
      </c>
      <c r="E324" s="426">
        <v>114.22</v>
      </c>
      <c r="F324" s="426">
        <f t="shared" ref="F324:F329" si="83">IFERROR(VLOOKUP(B324,comp_nãodes,4,FALSE),VLOOKUP(B324,insnãodes,4,FALSE))</f>
        <v>46.74</v>
      </c>
      <c r="G324" s="426">
        <f t="shared" ref="G324:G329" si="84">TRUNC(F324*(1+$E$1),2)</f>
        <v>46.74</v>
      </c>
      <c r="H324" s="431">
        <f t="shared" ref="H324:H329" si="85">TRUNC(E324*G324,2)</f>
        <v>5338.64</v>
      </c>
    </row>
    <row r="325" spans="1:10" ht="45" outlineLevel="2">
      <c r="A325" s="297" t="s">
        <v>13255</v>
      </c>
      <c r="B325" s="247">
        <v>94971</v>
      </c>
      <c r="C325" s="439" t="str">
        <f t="shared" si="81"/>
        <v>CONCRETO FCK = 25MPA, TRAÇO 1:2,3:2,7 (CIMENTO/ AREIA MÉDIA/ BRITA 1)  - PREPARO MECÂNICO COM BETONEIRA 600 L. AF_07/2016</v>
      </c>
      <c r="D325" s="294" t="str">
        <f t="shared" si="82"/>
        <v>M3</v>
      </c>
      <c r="E325" s="426">
        <v>5.45</v>
      </c>
      <c r="F325" s="426">
        <f t="shared" si="83"/>
        <v>324.27999999999997</v>
      </c>
      <c r="G325" s="426">
        <f t="shared" si="84"/>
        <v>324.27999999999997</v>
      </c>
      <c r="H325" s="431">
        <f t="shared" si="85"/>
        <v>1767.32</v>
      </c>
    </row>
    <row r="326" spans="1:10" ht="30" outlineLevel="2">
      <c r="A326" s="297" t="s">
        <v>13256</v>
      </c>
      <c r="B326" s="254">
        <v>92873</v>
      </c>
      <c r="C326" s="439" t="str">
        <f t="shared" si="81"/>
        <v>LANÇAMENTO COM USO DE BALDES, ADENSAMENTO E ACABAMENTO DE CONCRETO EM ESTRUTURAS. AF_12/2015</v>
      </c>
      <c r="D326" s="294" t="str">
        <f t="shared" si="82"/>
        <v>M3</v>
      </c>
      <c r="E326" s="426">
        <f>E325</f>
        <v>5.45</v>
      </c>
      <c r="F326" s="426">
        <f t="shared" si="83"/>
        <v>162.15</v>
      </c>
      <c r="G326" s="426">
        <f t="shared" si="84"/>
        <v>162.15</v>
      </c>
      <c r="H326" s="431">
        <f t="shared" si="85"/>
        <v>883.71</v>
      </c>
    </row>
    <row r="327" spans="1:10" ht="60" outlineLevel="2">
      <c r="A327" s="297" t="s">
        <v>13257</v>
      </c>
      <c r="B327" s="247">
        <v>92775</v>
      </c>
      <c r="C327" s="439" t="str">
        <f t="shared" si="81"/>
        <v>ARMAÇÃO DE PILAR OU VIGA DE UMA ESTRUTURA CONVENCIONAL DE CONCRETO ARMADO EM UMA EDIFICAÇÃO TÉRREA OU SOBRADO UTILIZANDO AÇO CA-60 DE 5,0 MM - MONTAGEM. AF_12/2015</v>
      </c>
      <c r="D327" s="294" t="str">
        <f t="shared" si="82"/>
        <v>KG</v>
      </c>
      <c r="E327" s="426">
        <v>139.68</v>
      </c>
      <c r="F327" s="426">
        <f t="shared" si="83"/>
        <v>12.18</v>
      </c>
      <c r="G327" s="426">
        <f t="shared" si="84"/>
        <v>12.18</v>
      </c>
      <c r="H327" s="431">
        <f t="shared" si="85"/>
        <v>1701.3</v>
      </c>
      <c r="J327" s="6">
        <f>155.2*0.9</f>
        <v>139.68</v>
      </c>
    </row>
    <row r="328" spans="1:10" ht="60" outlineLevel="2">
      <c r="A328" s="297" t="s">
        <v>13258</v>
      </c>
      <c r="B328" s="247">
        <v>92778</v>
      </c>
      <c r="C328" s="439" t="str">
        <f t="shared" si="81"/>
        <v>ARMAÇÃO DE PILAR OU VIGA DE UMA ESTRUTURA CONVENCIONAL DE CONCRETO ARMADO EM UMA EDIFICAÇÃO TÉRREA OU SOBRADO UTILIZANDO AÇO CA-50 DE 10,0 MM - MONTAGEM. AF_12/2015</v>
      </c>
      <c r="D328" s="294" t="str">
        <f t="shared" si="82"/>
        <v>KG</v>
      </c>
      <c r="E328" s="426">
        <v>214.11</v>
      </c>
      <c r="F328" s="426">
        <f t="shared" si="83"/>
        <v>8.31</v>
      </c>
      <c r="G328" s="426">
        <f t="shared" si="84"/>
        <v>8.31</v>
      </c>
      <c r="H328" s="431">
        <f t="shared" si="85"/>
        <v>1779.25</v>
      </c>
      <c r="J328" s="6">
        <f>237.9*0.9</f>
        <v>214.11</v>
      </c>
    </row>
    <row r="329" spans="1:10" ht="60" outlineLevel="2">
      <c r="A329" s="297" t="s">
        <v>13259</v>
      </c>
      <c r="B329" s="247">
        <v>92779</v>
      </c>
      <c r="C329" s="439" t="str">
        <f t="shared" si="81"/>
        <v>ARMAÇÃO DE PILAR OU VIGA DE UMA ESTRUTURA CONVENCIONAL DE CONCRETO ARMADO EM UMA EDIFICAÇÃO TÉRREA OU SOBRADO UTILIZANDO AÇO CA-50 DE 12,5 MM - MONTAGEM. AF_12/2015</v>
      </c>
      <c r="D329" s="294" t="str">
        <f t="shared" si="82"/>
        <v>KG</v>
      </c>
      <c r="E329" s="426">
        <v>275.49</v>
      </c>
      <c r="F329" s="426">
        <f t="shared" si="83"/>
        <v>6.85</v>
      </c>
      <c r="G329" s="426">
        <f t="shared" si="84"/>
        <v>6.85</v>
      </c>
      <c r="H329" s="431">
        <f t="shared" si="85"/>
        <v>1887.1</v>
      </c>
      <c r="J329" s="6">
        <f>306.1*0.9</f>
        <v>275.49</v>
      </c>
    </row>
    <row r="330" spans="1:10" ht="15.75" outlineLevel="2">
      <c r="A330" s="297"/>
      <c r="B330" s="294"/>
      <c r="C330" s="441" t="s">
        <v>66</v>
      </c>
      <c r="D330" s="294"/>
      <c r="E330" s="426"/>
      <c r="F330" s="426"/>
      <c r="G330" s="426"/>
      <c r="H330" s="431"/>
    </row>
    <row r="331" spans="1:10" ht="60" outlineLevel="2">
      <c r="A331" s="297" t="s">
        <v>13260</v>
      </c>
      <c r="B331" s="247">
        <v>92463</v>
      </c>
      <c r="C331" s="439" t="str">
        <f t="shared" ref="C331:C338" si="86">IFERROR(VLOOKUP(B331,comp_nãodes,2,FALSE),VLOOKUP(B331,insnãodes,2,FALSE))</f>
        <v>MONTAGEM E DESMONTAGEM DE FÔRMA DE VIGA, ESCORAMENTO COM GARFO DE MADEIRA, PÉ-DIREITO SIMPLES, EM CHAPA DE MADEIRA RESINADA, 8 UTILIZAÇÕES. AF_12/2015</v>
      </c>
      <c r="D331" s="294" t="str">
        <f t="shared" ref="D331:D338" si="87">IFERROR(VLOOKUP(B331,comp_nãodes,3,FALSE),VLOOKUP(B331,insnãodes,3,FALSE))</f>
        <v>M2</v>
      </c>
      <c r="E331" s="426">
        <v>288.85000000000002</v>
      </c>
      <c r="F331" s="426">
        <f t="shared" ref="F331:F338" si="88">IFERROR(VLOOKUP(B331,comp_nãodes,4,FALSE),VLOOKUP(B331,insnãodes,4,FALSE))</f>
        <v>74.819999999999993</v>
      </c>
      <c r="G331" s="426">
        <f t="shared" ref="G331:G338" si="89">TRUNC(F331*(1+$E$1),2)</f>
        <v>74.819999999999993</v>
      </c>
      <c r="H331" s="431">
        <f t="shared" ref="H331:H338" si="90">TRUNC(E331*G331,2)</f>
        <v>21611.75</v>
      </c>
    </row>
    <row r="332" spans="1:10" ht="45" outlineLevel="2">
      <c r="A332" s="297" t="s">
        <v>13261</v>
      </c>
      <c r="B332" s="247">
        <v>94971</v>
      </c>
      <c r="C332" s="439" t="str">
        <f t="shared" si="86"/>
        <v>CONCRETO FCK = 25MPA, TRAÇO 1:2,3:2,7 (CIMENTO/ AREIA MÉDIA/ BRITA 1)  - PREPARO MECÂNICO COM BETONEIRA 600 L. AF_07/2016</v>
      </c>
      <c r="D332" s="294" t="str">
        <f t="shared" si="87"/>
        <v>M3</v>
      </c>
      <c r="E332" s="426">
        <v>16.52</v>
      </c>
      <c r="F332" s="426">
        <f t="shared" si="88"/>
        <v>324.27999999999997</v>
      </c>
      <c r="G332" s="426">
        <f t="shared" si="89"/>
        <v>324.27999999999997</v>
      </c>
      <c r="H332" s="431">
        <f t="shared" si="90"/>
        <v>5357.1</v>
      </c>
    </row>
    <row r="333" spans="1:10" ht="30" outlineLevel="2">
      <c r="A333" s="297" t="s">
        <v>13262</v>
      </c>
      <c r="B333" s="254">
        <v>92873</v>
      </c>
      <c r="C333" s="439" t="str">
        <f t="shared" si="86"/>
        <v>LANÇAMENTO COM USO DE BALDES, ADENSAMENTO E ACABAMENTO DE CONCRETO EM ESTRUTURAS. AF_12/2015</v>
      </c>
      <c r="D333" s="294" t="str">
        <f t="shared" si="87"/>
        <v>M3</v>
      </c>
      <c r="E333" s="426">
        <f>E332</f>
        <v>16.52</v>
      </c>
      <c r="F333" s="426">
        <f t="shared" si="88"/>
        <v>162.15</v>
      </c>
      <c r="G333" s="426">
        <f t="shared" si="89"/>
        <v>162.15</v>
      </c>
      <c r="H333" s="431">
        <f t="shared" si="90"/>
        <v>2678.71</v>
      </c>
    </row>
    <row r="334" spans="1:10" ht="60" outlineLevel="2">
      <c r="A334" s="297" t="s">
        <v>13263</v>
      </c>
      <c r="B334" s="247">
        <v>92775</v>
      </c>
      <c r="C334" s="439" t="str">
        <f t="shared" si="86"/>
        <v>ARMAÇÃO DE PILAR OU VIGA DE UMA ESTRUTURA CONVENCIONAL DE CONCRETO ARMADO EM UMA EDIFICAÇÃO TÉRREA OU SOBRADO UTILIZANDO AÇO CA-60 DE 5,0 MM - MONTAGEM. AF_12/2015</v>
      </c>
      <c r="D334" s="294" t="str">
        <f t="shared" si="87"/>
        <v>KG</v>
      </c>
      <c r="E334" s="426">
        <v>260.37</v>
      </c>
      <c r="F334" s="426">
        <f t="shared" si="88"/>
        <v>12.18</v>
      </c>
      <c r="G334" s="426">
        <f t="shared" si="89"/>
        <v>12.18</v>
      </c>
      <c r="H334" s="431">
        <f t="shared" si="90"/>
        <v>3171.3</v>
      </c>
      <c r="J334" s="6">
        <f>289.3*0.9</f>
        <v>260.37</v>
      </c>
    </row>
    <row r="335" spans="1:10" ht="60" outlineLevel="2">
      <c r="A335" s="297" t="s">
        <v>13264</v>
      </c>
      <c r="B335" s="247">
        <v>92776</v>
      </c>
      <c r="C335" s="439" t="str">
        <f t="shared" si="86"/>
        <v>ARMAÇÃO DE PILAR OU VIGA DE UMA ESTRUTURA CONVENCIONAL DE CONCRETO ARMADO EM UMA EDIFICAÇÃO TÉRREA OU SOBRADO UTILIZANDO AÇO CA-50 DE 6,3 MM - MONTAGEM. AF_12/2015</v>
      </c>
      <c r="D335" s="294" t="str">
        <f t="shared" si="87"/>
        <v>KG</v>
      </c>
      <c r="E335" s="426">
        <v>18</v>
      </c>
      <c r="F335" s="426">
        <f t="shared" si="88"/>
        <v>10.79</v>
      </c>
      <c r="G335" s="426">
        <f t="shared" si="89"/>
        <v>10.79</v>
      </c>
      <c r="H335" s="431">
        <f t="shared" si="90"/>
        <v>194.22</v>
      </c>
      <c r="J335" s="6">
        <f>0.2*0.9</f>
        <v>0.18000000000000002</v>
      </c>
    </row>
    <row r="336" spans="1:10" ht="60" outlineLevel="2">
      <c r="A336" s="297" t="s">
        <v>13265</v>
      </c>
      <c r="B336" s="247">
        <v>92777</v>
      </c>
      <c r="C336" s="439" t="str">
        <f t="shared" si="86"/>
        <v>ARMAÇÃO DE PILAR OU VIGA DE UMA ESTRUTURA CONVENCIONAL DE CONCRETO ARMADO EM UMA EDIFICAÇÃO TÉRREA OU SOBRADO UTILIZANDO AÇO CA-50 DE 8,0 MM - MONTAGEM. AF_12/2015</v>
      </c>
      <c r="D336" s="294" t="str">
        <f t="shared" si="87"/>
        <v>KG</v>
      </c>
      <c r="E336" s="426">
        <v>579.78</v>
      </c>
      <c r="F336" s="426">
        <f t="shared" si="88"/>
        <v>9.61</v>
      </c>
      <c r="G336" s="426">
        <f t="shared" si="89"/>
        <v>9.61</v>
      </c>
      <c r="H336" s="431">
        <f t="shared" si="90"/>
        <v>5571.68</v>
      </c>
      <c r="J336" s="6">
        <f>644.2*0.9</f>
        <v>579.78000000000009</v>
      </c>
    </row>
    <row r="337" spans="1:11" ht="60" outlineLevel="2">
      <c r="A337" s="297" t="s">
        <v>13266</v>
      </c>
      <c r="B337" s="247">
        <v>92778</v>
      </c>
      <c r="C337" s="439" t="str">
        <f t="shared" si="86"/>
        <v>ARMAÇÃO DE PILAR OU VIGA DE UMA ESTRUTURA CONVENCIONAL DE CONCRETO ARMADO EM UMA EDIFICAÇÃO TÉRREA OU SOBRADO UTILIZANDO AÇO CA-50 DE 10,0 MM - MONTAGEM. AF_12/2015</v>
      </c>
      <c r="D337" s="294" t="str">
        <f t="shared" si="87"/>
        <v>KG</v>
      </c>
      <c r="E337" s="426">
        <v>62.91</v>
      </c>
      <c r="F337" s="426">
        <f t="shared" si="88"/>
        <v>8.31</v>
      </c>
      <c r="G337" s="426">
        <f t="shared" si="89"/>
        <v>8.31</v>
      </c>
      <c r="H337" s="431">
        <f t="shared" si="90"/>
        <v>522.78</v>
      </c>
      <c r="J337" s="6">
        <f>69.9*0.9</f>
        <v>62.910000000000004</v>
      </c>
    </row>
    <row r="338" spans="1:11" ht="60" outlineLevel="2">
      <c r="A338" s="297" t="s">
        <v>13267</v>
      </c>
      <c r="B338" s="247">
        <v>92779</v>
      </c>
      <c r="C338" s="439" t="str">
        <f t="shared" si="86"/>
        <v>ARMAÇÃO DE PILAR OU VIGA DE UMA ESTRUTURA CONVENCIONAL DE CONCRETO ARMADO EM UMA EDIFICAÇÃO TÉRREA OU SOBRADO UTILIZANDO AÇO CA-50 DE 12,5 MM - MONTAGEM. AF_12/2015</v>
      </c>
      <c r="D338" s="294" t="str">
        <f t="shared" si="87"/>
        <v>KG</v>
      </c>
      <c r="E338" s="430">
        <v>9.99</v>
      </c>
      <c r="F338" s="426">
        <f t="shared" si="88"/>
        <v>6.85</v>
      </c>
      <c r="G338" s="426">
        <f t="shared" si="89"/>
        <v>6.85</v>
      </c>
      <c r="H338" s="431">
        <f t="shared" si="90"/>
        <v>68.430000000000007</v>
      </c>
      <c r="J338" s="6">
        <f>11.1*0.9</f>
        <v>9.99</v>
      </c>
    </row>
    <row r="339" spans="1:11" ht="15.75" outlineLevel="2">
      <c r="A339" s="297"/>
      <c r="B339" s="294"/>
      <c r="C339" s="439"/>
      <c r="D339" s="294"/>
      <c r="E339" s="432"/>
      <c r="F339" s="426"/>
      <c r="G339" s="428" t="s">
        <v>11684</v>
      </c>
      <c r="H339" s="429">
        <f>SUM(H324:H338)</f>
        <v>52533.29</v>
      </c>
    </row>
    <row r="340" spans="1:11" ht="15.75" outlineLevel="2">
      <c r="A340" s="296" t="s">
        <v>12860</v>
      </c>
      <c r="B340" s="294"/>
      <c r="C340" s="441" t="s">
        <v>439</v>
      </c>
      <c r="D340" s="294"/>
      <c r="E340" s="426"/>
      <c r="F340" s="426"/>
      <c r="G340" s="426"/>
      <c r="H340" s="427"/>
    </row>
    <row r="341" spans="1:11" ht="30" outlineLevel="2">
      <c r="A341" s="297" t="s">
        <v>13279</v>
      </c>
      <c r="B341" s="307" t="s">
        <v>3336</v>
      </c>
      <c r="C341" s="439" t="str">
        <f>IFERROR(VLOOKUP(B341,comp_nãodes,2,FALSE),VLOOKUP(B341,insnãodes,2,FALSE))</f>
        <v>IMPERMEABILIZACAO DE ESTRUTURAS ENTERRADAS, COM TINTA ASFALTICA, DUAS DEMAOS.</v>
      </c>
      <c r="D341" s="294" t="str">
        <f>IFERROR(VLOOKUP(B341,comp_nãodes,3,FALSE),VLOOKUP(B341,insnãodes,3,FALSE))</f>
        <v>M2</v>
      </c>
      <c r="E341" s="432">
        <v>103.2</v>
      </c>
      <c r="F341" s="426">
        <f>IFERROR(VLOOKUP(B341,comp_nãodes,4,FALSE),VLOOKUP(B341,insnãodes,4,FALSE))</f>
        <v>9.89</v>
      </c>
      <c r="G341" s="426">
        <f t="shared" ref="G341" si="91">TRUNC(F341*(1+$E$1),2)</f>
        <v>9.89</v>
      </c>
      <c r="H341" s="431">
        <f t="shared" ref="H341" si="92">TRUNC(E341*G341,2)</f>
        <v>1020.64</v>
      </c>
      <c r="I341" s="6">
        <f>J341+K341</f>
        <v>103.20339999999999</v>
      </c>
      <c r="J341" s="6">
        <f>(3*1.1*1.25+10*1.05*1.25+9*1*1.15+2*1.1*1.3+1*0.85*1+1*1.3*1.45+2*0.95*1.1)</f>
        <v>35.284999999999997</v>
      </c>
      <c r="K341" s="6">
        <f>(20.04+4.01*2+4.71+2.21+2.01*3+1.96+1.86+2.01+(3.96+4.48+1.69+2.01+2.01+2.16+2.61)*2+9.8*2+1.21+3.81*6+3.43+1.51+3.01*7)*0.44</f>
        <v>67.918399999999991</v>
      </c>
    </row>
    <row r="342" spans="1:11" ht="15.75" outlineLevel="2">
      <c r="A342" s="297"/>
      <c r="B342" s="294"/>
      <c r="C342" s="439"/>
      <c r="D342" s="294"/>
      <c r="E342" s="432"/>
      <c r="F342" s="426"/>
      <c r="G342" s="428" t="s">
        <v>11684</v>
      </c>
      <c r="H342" s="429">
        <f>SUM(H341)</f>
        <v>1020.64</v>
      </c>
    </row>
    <row r="343" spans="1:11" ht="15.75" outlineLevel="2">
      <c r="A343" s="296" t="s">
        <v>13238</v>
      </c>
      <c r="B343" s="294"/>
      <c r="C343" s="441" t="s">
        <v>31</v>
      </c>
      <c r="D343" s="294"/>
      <c r="E343" s="426"/>
      <c r="F343" s="426"/>
      <c r="G343" s="426"/>
      <c r="H343" s="427"/>
    </row>
    <row r="344" spans="1:11" ht="60" outlineLevel="2">
      <c r="A344" s="297" t="s">
        <v>13280</v>
      </c>
      <c r="B344" s="307">
        <v>92616</v>
      </c>
      <c r="C344" s="439" t="str">
        <f>IFERROR(VLOOKUP(B344,comp_nãodes,2,FALSE),VLOOKUP(B344,insnãodes,2,FALSE))</f>
        <v>FABRICAÇÃO E INSTALAÇÃO DE TESOURA INTEIRA EM AÇO, VÃO DE 10 M, PARA TELHA ONDULADA DE FIBROCIMENTO, METÁLICA, PLÁSTICA OU TERMOACÚSTICA, INCLUSO IÇAMENTO. AF_12/2015</v>
      </c>
      <c r="D344" s="294" t="str">
        <f>IFERROR(VLOOKUP(B344,comp_nãodes,3,FALSE),VLOOKUP(B344,insnãodes,3,FALSE))</f>
        <v>UN</v>
      </c>
      <c r="E344" s="432">
        <v>8</v>
      </c>
      <c r="F344" s="426">
        <f>IFERROR(VLOOKUP(B344,comp_nãodes,4,FALSE),VLOOKUP(B344,insnãodes,4,FALSE))</f>
        <v>1135.3</v>
      </c>
      <c r="G344" s="426">
        <f t="shared" ref="G344:G351" si="93">TRUNC(F344*(1+$E$1),2)</f>
        <v>1135.3</v>
      </c>
      <c r="H344" s="431">
        <f t="shared" ref="H344:H351" si="94">TRUNC(E344*G344,2)</f>
        <v>9082.4</v>
      </c>
      <c r="J344" s="6">
        <f>19.75/2.5</f>
        <v>7.9</v>
      </c>
    </row>
    <row r="345" spans="1:11" ht="60" outlineLevel="2">
      <c r="A345" s="297" t="s">
        <v>13281</v>
      </c>
      <c r="B345" s="307">
        <v>92580</v>
      </c>
      <c r="C345" s="439" t="str">
        <f>IFERROR(VLOOKUP(B345,comp_nãodes,2,FALSE),VLOOKUP(B345,insnãodes,2,FALSE))</f>
        <v>TRAMA DE AÇO COMPOSTA POR TERÇAS PARA TELHADOS DE ATÉ 2 ÁGUAS PARA TELHA ONDULADA DE FIBROCIMENTO, METÁLICA, PLÁSTICA OU TERMOACÚSTICA, INCLUSO TRANSPORTE VERTICAL. AF_07/2019</v>
      </c>
      <c r="D345" s="294" t="str">
        <f>IFERROR(VLOOKUP(B345,comp_nãodes,3,FALSE),VLOOKUP(B345,insnãodes,3,FALSE))</f>
        <v>M2</v>
      </c>
      <c r="E345" s="432">
        <v>185.65</v>
      </c>
      <c r="F345" s="426">
        <f>IFERROR(VLOOKUP(B345,comp_nãodes,4,FALSE),VLOOKUP(B345,insnãodes,4,FALSE))</f>
        <v>30.08</v>
      </c>
      <c r="G345" s="426">
        <f t="shared" si="93"/>
        <v>30.08</v>
      </c>
      <c r="H345" s="431">
        <f t="shared" si="94"/>
        <v>5584.35</v>
      </c>
      <c r="J345" s="6">
        <f>19.75*9.4</f>
        <v>185.65</v>
      </c>
    </row>
    <row r="346" spans="1:11" ht="60" outlineLevel="2">
      <c r="A346" s="297" t="s">
        <v>13282</v>
      </c>
      <c r="B346" s="290" t="s">
        <v>12742</v>
      </c>
      <c r="C346" s="439" t="s">
        <v>169</v>
      </c>
      <c r="D346" s="294" t="s">
        <v>117</v>
      </c>
      <c r="E346" s="432">
        <v>185.65</v>
      </c>
      <c r="F346" s="426">
        <f>'CPU-ARQ'!H76</f>
        <v>16.29</v>
      </c>
      <c r="G346" s="426">
        <f t="shared" si="93"/>
        <v>16.29</v>
      </c>
      <c r="H346" s="431">
        <f t="shared" si="94"/>
        <v>3024.23</v>
      </c>
      <c r="J346" s="6">
        <f>19.75*9.4</f>
        <v>185.65</v>
      </c>
    </row>
    <row r="347" spans="1:11" ht="30" outlineLevel="2">
      <c r="A347" s="297" t="s">
        <v>13283</v>
      </c>
      <c r="B347" s="307">
        <v>94213</v>
      </c>
      <c r="C347" s="439" t="str">
        <f>IFERROR(VLOOKUP(B347,comp_nãodes,2,FALSE),VLOOKUP(B347,insnãodes,2,FALSE))</f>
        <v>TELHAMENTO COM TELHA DE AÇO/ALUMÍNIO E = 0,5 MM, COM ATÉ 2 ÁGUAS, INCLUSO IÇAMENTO. AF_07/2019</v>
      </c>
      <c r="D347" s="294" t="str">
        <f>IFERROR(VLOOKUP(B347,comp_nãodes,3,FALSE),VLOOKUP(B347,insnãodes,3,FALSE))</f>
        <v>M2</v>
      </c>
      <c r="E347" s="432">
        <v>185.65</v>
      </c>
      <c r="F347" s="426">
        <f>IFERROR(VLOOKUP(B347,comp_nãodes,4,FALSE),VLOOKUP(B347,insnãodes,4,FALSE))</f>
        <v>41.92</v>
      </c>
      <c r="G347" s="426">
        <f t="shared" si="93"/>
        <v>41.92</v>
      </c>
      <c r="H347" s="431">
        <f t="shared" si="94"/>
        <v>7782.44</v>
      </c>
      <c r="J347" s="6">
        <f>J346</f>
        <v>185.65</v>
      </c>
    </row>
    <row r="348" spans="1:11" outlineLevel="2">
      <c r="A348" s="297" t="s">
        <v>13284</v>
      </c>
      <c r="B348" s="290" t="s">
        <v>11706</v>
      </c>
      <c r="C348" s="439" t="s">
        <v>12853</v>
      </c>
      <c r="D348" s="294" t="s">
        <v>35</v>
      </c>
      <c r="E348" s="432">
        <v>19.75</v>
      </c>
      <c r="F348" s="426">
        <f>'CPU-ARQ'!H23</f>
        <v>66.559999999999988</v>
      </c>
      <c r="G348" s="426">
        <f t="shared" si="93"/>
        <v>66.56</v>
      </c>
      <c r="H348" s="431">
        <f t="shared" si="94"/>
        <v>1314.56</v>
      </c>
      <c r="J348" s="6">
        <v>19.75</v>
      </c>
    </row>
    <row r="349" spans="1:11" ht="45" outlineLevel="2">
      <c r="A349" s="297" t="s">
        <v>13285</v>
      </c>
      <c r="B349" s="290">
        <v>94227</v>
      </c>
      <c r="C349" s="439" t="str">
        <f>IFERROR(VLOOKUP(B349,comp_nãodes,2,FALSE),VLOOKUP(B349,insnãodes,2,FALSE))</f>
        <v>CALHA EM CHAPA DE AÇO GALVANIZADO NÚMERO 24, DESENVOLVIMENTO DE 33 CM, INCLUSO TRANSPORTE VERTICAL. AF_07/2019</v>
      </c>
      <c r="D349" s="294" t="str">
        <f>IFERROR(VLOOKUP(B349,comp_nãodes,3,FALSE),VLOOKUP(B349,insnãodes,3,FALSE))</f>
        <v>M</v>
      </c>
      <c r="E349" s="432">
        <v>39.5</v>
      </c>
      <c r="F349" s="426">
        <f>IFERROR(VLOOKUP(B349,comp_nãodes,4,FALSE),VLOOKUP(B349,insnãodes,4,FALSE))</f>
        <v>40.36</v>
      </c>
      <c r="G349" s="426">
        <f t="shared" si="93"/>
        <v>40.36</v>
      </c>
      <c r="H349" s="431">
        <f t="shared" si="94"/>
        <v>1594.22</v>
      </c>
      <c r="J349" s="6">
        <f>19.75*2</f>
        <v>39.5</v>
      </c>
    </row>
    <row r="350" spans="1:11" ht="45" outlineLevel="2">
      <c r="A350" s="297" t="s">
        <v>13286</v>
      </c>
      <c r="B350" s="290">
        <v>94231</v>
      </c>
      <c r="C350" s="439" t="str">
        <f>IFERROR(VLOOKUP(B350,comp_nãodes,2,FALSE),VLOOKUP(B350,insnãodes,2,FALSE))</f>
        <v>RUFO EM CHAPA DE AÇO GALVANIZADO NÚMERO 24, CORTE DE 25 CM, INCLUSO TRANSPORTE VERTICAL. AF_07/2019</v>
      </c>
      <c r="D350" s="294" t="str">
        <f>IFERROR(VLOOKUP(B350,comp_nãodes,3,FALSE),VLOOKUP(B350,insnãodes,3,FALSE))</f>
        <v>M</v>
      </c>
      <c r="E350" s="432">
        <v>19.600000000000001</v>
      </c>
      <c r="F350" s="426">
        <f>IFERROR(VLOOKUP(B350,comp_nãodes,4,FALSE),VLOOKUP(B350,insnãodes,4,FALSE))</f>
        <v>32.67</v>
      </c>
      <c r="G350" s="426">
        <f t="shared" si="93"/>
        <v>32.67</v>
      </c>
      <c r="H350" s="431">
        <f t="shared" si="94"/>
        <v>640.33000000000004</v>
      </c>
      <c r="J350" s="6">
        <f>9.8*2</f>
        <v>19.600000000000001</v>
      </c>
    </row>
    <row r="351" spans="1:11" ht="30" outlineLevel="2">
      <c r="A351" s="297" t="s">
        <v>13287</v>
      </c>
      <c r="B351" s="290" t="s">
        <v>11707</v>
      </c>
      <c r="C351" s="439" t="s">
        <v>11704</v>
      </c>
      <c r="D351" s="294" t="s">
        <v>117</v>
      </c>
      <c r="E351" s="432">
        <v>22.05</v>
      </c>
      <c r="F351" s="426">
        <f>'CPU-ARQ'!H34</f>
        <v>43.07</v>
      </c>
      <c r="G351" s="426">
        <f t="shared" si="93"/>
        <v>43.07</v>
      </c>
      <c r="H351" s="431">
        <f t="shared" si="94"/>
        <v>949.69</v>
      </c>
      <c r="J351" s="6">
        <f>(0.55)*20.05*2</f>
        <v>22.055000000000003</v>
      </c>
    </row>
    <row r="352" spans="1:11" ht="15.75" outlineLevel="2">
      <c r="A352" s="298"/>
      <c r="B352" s="292"/>
      <c r="C352" s="440"/>
      <c r="D352" s="305"/>
      <c r="E352" s="428"/>
      <c r="F352" s="426"/>
      <c r="G352" s="428" t="s">
        <v>11684</v>
      </c>
      <c r="H352" s="429">
        <f>SUM(H344:H351)</f>
        <v>29972.22</v>
      </c>
    </row>
    <row r="353" spans="1:11" ht="15.75" outlineLevel="2">
      <c r="A353" s="296" t="s">
        <v>13288</v>
      </c>
      <c r="B353" s="294"/>
      <c r="C353" s="441" t="s">
        <v>12762</v>
      </c>
      <c r="D353" s="294"/>
      <c r="E353" s="426"/>
      <c r="F353" s="426"/>
      <c r="G353" s="426"/>
      <c r="H353" s="427"/>
    </row>
    <row r="354" spans="1:11" ht="75" outlineLevel="2">
      <c r="A354" s="297" t="s">
        <v>13289</v>
      </c>
      <c r="B354" s="307">
        <v>89168</v>
      </c>
      <c r="C354" s="439" t="str">
        <f>IFERROR(VLOOKUP(B354,comp_nãodes,2,FALSE),VLOOKUP(B354,insnãodes,2,FALSE))</f>
        <v>(COMPOSIÇÃO REPRESENTATIVA) DO SERVIÇO DE ALVENARIA DE VEDAÇÃO DE BLOCOS VAZADOS DE CERÂMICA DE 9X19X19CM (ESPESSURA 9CM), PARA EDIFICAÇÃO HABITACIONAL UNIFAMILIAR (CASA) E EDIFICAÇÃO PÚBLICA PADRÃO. AF_11/2014</v>
      </c>
      <c r="D354" s="294" t="str">
        <f>IFERROR(VLOOKUP(B354,comp_nãodes,3,FALSE),VLOOKUP(B354,insnãodes,3,FALSE))</f>
        <v>M2</v>
      </c>
      <c r="E354" s="430">
        <v>380.91</v>
      </c>
      <c r="F354" s="426">
        <f>IFERROR(VLOOKUP(B354,comp_nãodes,4,FALSE),VLOOKUP(B354,insnãodes,4,FALSE))</f>
        <v>67.17</v>
      </c>
      <c r="G354" s="426">
        <f t="shared" ref="G354:G358" si="95">TRUNC(F354*(1+$E$1),2)</f>
        <v>67.17</v>
      </c>
      <c r="H354" s="431">
        <f t="shared" ref="H354:H358" si="96">TRUNC(E354*G354,2)</f>
        <v>25585.72</v>
      </c>
      <c r="J354" s="6">
        <f>((4.7*2+2.2*2+2*3*2+1.95*2+4*2+2*2+14.95+3.95+6.3+6.3+2*2+4.9+3.8*7+2.15+1.2*2+1.5*2+3*6)*3.15)-(18*0.8*2.1+4*0.8*0.6+5*0.8*1.2+13*1.2*0.6+1*0.9*2.1+1*1*2.1)+(8.6*0.97/2*2)</f>
        <v>380.91949999999997</v>
      </c>
    </row>
    <row r="355" spans="1:11" ht="30" outlineLevel="2">
      <c r="A355" s="297" t="s">
        <v>13290</v>
      </c>
      <c r="B355" s="291">
        <v>93204</v>
      </c>
      <c r="C355" s="439" t="str">
        <f>IFERROR(VLOOKUP(B355,comp_nãodes,2,FALSE),VLOOKUP(B355,insnãodes,2,FALSE))</f>
        <v>CINTA DE AMARRAÇÃO DE ALVENARIA MOLDADA IN LOCO EM CONCRETO. AF_03/2016</v>
      </c>
      <c r="D355" s="294" t="str">
        <f>IFERROR(VLOOKUP(B355,comp_nãodes,3,FALSE),VLOOKUP(B355,insnãodes,3,FALSE))</f>
        <v>M</v>
      </c>
      <c r="E355" s="430">
        <v>134.25</v>
      </c>
      <c r="F355" s="426">
        <f>IFERROR(VLOOKUP(B355,comp_nãodes,4,FALSE),VLOOKUP(B355,insnãodes,4,FALSE))</f>
        <v>31.32</v>
      </c>
      <c r="G355" s="426">
        <f t="shared" si="95"/>
        <v>31.32</v>
      </c>
      <c r="H355" s="431">
        <f t="shared" si="96"/>
        <v>4204.71</v>
      </c>
      <c r="J355" s="6">
        <f>((4.7*2+2.2*2+2*3*2+1.95*2+4*2+2*2+14.95+3.95+6.3+6.3+2*2+4.9+3.8*7+2.15+1.2*2+1.5*2+3*6))</f>
        <v>134.25</v>
      </c>
    </row>
    <row r="356" spans="1:11" ht="30" outlineLevel="2">
      <c r="A356" s="297" t="s">
        <v>13291</v>
      </c>
      <c r="B356" s="307">
        <v>93188</v>
      </c>
      <c r="C356" s="439" t="str">
        <f>IFERROR(VLOOKUP(B356,comp_nãodes,2,FALSE),VLOOKUP(B356,insnãodes,2,FALSE))</f>
        <v>VERGA MOLDADA IN LOCO EM CONCRETO PARA PORTAS COM ATÉ 1,5 M DE VÃO. AF_03/2016</v>
      </c>
      <c r="D356" s="294" t="str">
        <f>IFERROR(VLOOKUP(B356,comp_nãodes,3,FALSE),VLOOKUP(B356,insnãodes,3,FALSE))</f>
        <v>M</v>
      </c>
      <c r="E356" s="430">
        <v>27.3</v>
      </c>
      <c r="F356" s="426">
        <f>IFERROR(VLOOKUP(B356,comp_nãodes,4,FALSE),VLOOKUP(B356,insnãodes,4,FALSE))</f>
        <v>40.200000000000003</v>
      </c>
      <c r="G356" s="426">
        <f t="shared" si="95"/>
        <v>40.200000000000003</v>
      </c>
      <c r="H356" s="431">
        <f t="shared" si="96"/>
        <v>1097.46</v>
      </c>
      <c r="J356" s="6">
        <f>18*1.4+1*0.5+1*1.6</f>
        <v>27.3</v>
      </c>
      <c r="K356" s="6" t="s">
        <v>12761</v>
      </c>
    </row>
    <row r="357" spans="1:11" ht="30" outlineLevel="2">
      <c r="A357" s="297" t="s">
        <v>13292</v>
      </c>
      <c r="B357" s="307">
        <v>93186</v>
      </c>
      <c r="C357" s="439" t="str">
        <f>IFERROR(VLOOKUP(B357,comp_nãodes,2,FALSE),VLOOKUP(B357,insnãodes,2,FALSE))</f>
        <v>VERGA MOLDADA IN LOCO EM CONCRETO PARA JANELAS COM ATÉ 1,5 M DE VÃO. AF_03/2016</v>
      </c>
      <c r="D357" s="294" t="str">
        <f>IFERROR(VLOOKUP(B357,comp_nãodes,3,FALSE),VLOOKUP(B357,insnãodes,3,FALSE))</f>
        <v>M</v>
      </c>
      <c r="E357" s="430">
        <v>36</v>
      </c>
      <c r="F357" s="426">
        <f>IFERROR(VLOOKUP(B357,comp_nãodes,4,FALSE),VLOOKUP(B357,insnãodes,4,FALSE))</f>
        <v>40.729999999999997</v>
      </c>
      <c r="G357" s="426">
        <f t="shared" si="95"/>
        <v>40.729999999999997</v>
      </c>
      <c r="H357" s="431">
        <f t="shared" si="96"/>
        <v>1466.28</v>
      </c>
      <c r="J357" s="6">
        <f>13*1.8+4*1.4+5*1.4</f>
        <v>36</v>
      </c>
    </row>
    <row r="358" spans="1:11" ht="30" outlineLevel="2">
      <c r="A358" s="297" t="s">
        <v>13293</v>
      </c>
      <c r="B358" s="291">
        <v>93196</v>
      </c>
      <c r="C358" s="439" t="str">
        <f>IFERROR(VLOOKUP(B358,comp_nãodes,2,FALSE),VLOOKUP(B358,insnãodes,2,FALSE))</f>
        <v>CONTRAVERGA MOLDADA IN LOCO EM CONCRETO PARA VÃOS DE ATÉ 1,5 M DE COMPRIMENTO. AF_03/2016</v>
      </c>
      <c r="D358" s="294" t="str">
        <f>IFERROR(VLOOKUP(B358,comp_nãodes,3,FALSE),VLOOKUP(B358,insnãodes,3,FALSE))</f>
        <v>M</v>
      </c>
      <c r="E358" s="430">
        <v>36</v>
      </c>
      <c r="F358" s="426">
        <f>IFERROR(VLOOKUP(B358,comp_nãodes,4,FALSE),VLOOKUP(B358,insnãodes,4,FALSE))</f>
        <v>38.770000000000003</v>
      </c>
      <c r="G358" s="426">
        <f t="shared" si="95"/>
        <v>38.770000000000003</v>
      </c>
      <c r="H358" s="431">
        <f t="shared" si="96"/>
        <v>1395.72</v>
      </c>
      <c r="J358" s="6">
        <f>13*1.8+4*1.4+5*1.4</f>
        <v>36</v>
      </c>
    </row>
    <row r="359" spans="1:11" ht="15.75" outlineLevel="2">
      <c r="A359" s="298"/>
      <c r="B359" s="292"/>
      <c r="C359" s="440"/>
      <c r="D359" s="305"/>
      <c r="E359" s="428"/>
      <c r="F359" s="426"/>
      <c r="G359" s="428" t="s">
        <v>11684</v>
      </c>
      <c r="H359" s="429">
        <f>SUM(H354:H358)</f>
        <v>33749.89</v>
      </c>
    </row>
    <row r="360" spans="1:11" ht="15.75" outlineLevel="2">
      <c r="A360" s="296" t="s">
        <v>13294</v>
      </c>
      <c r="B360" s="294"/>
      <c r="C360" s="441" t="s">
        <v>11685</v>
      </c>
      <c r="D360" s="294"/>
      <c r="E360" s="426"/>
      <c r="F360" s="426"/>
      <c r="G360" s="426"/>
      <c r="H360" s="427"/>
    </row>
    <row r="361" spans="1:11" ht="75" outlineLevel="2">
      <c r="A361" s="297" t="s">
        <v>13295</v>
      </c>
      <c r="B361" s="307">
        <v>90843</v>
      </c>
      <c r="C361" s="439" t="str">
        <f>IFERROR(VLOOKUP(B361,comp_nãodes,2,FALSE),VLOOKUP(B361,insnãodes,2,FALSE))</f>
        <v>KIT DE PORTA DE MADEIRA PARA PINTURA, SEMI-OCA (LEVE OU MÉDIA), PADRÃO MÉDIO, 80X210CM, ESPESSURA DE 3,5CM, ITENS INCLUSOS: DOBRADIÇAS, MONTAGEM E INSTALAÇÃO DO BATENTE, FECHADURA COM EXECUÇÃO DO FURO - FORNECIMENTO E INSTALAÇÃO. AF_12/2019</v>
      </c>
      <c r="D361" s="294" t="str">
        <f>IFERROR(VLOOKUP(B361,comp_nãodes,3,FALSE),VLOOKUP(B361,insnãodes,3,FALSE))</f>
        <v>UN</v>
      </c>
      <c r="E361" s="430">
        <v>18</v>
      </c>
      <c r="F361" s="426">
        <f>IFERROR(VLOOKUP(B361,comp_nãodes,4,FALSE),VLOOKUP(B361,insnãodes,4,FALSE))</f>
        <v>776.34</v>
      </c>
      <c r="G361" s="426">
        <f t="shared" ref="G361:G366" si="97">TRUNC(F361*(1+$E$1),2)</f>
        <v>776.34</v>
      </c>
      <c r="H361" s="431">
        <f t="shared" ref="H361:H366" si="98">TRUNC(E361*G361,2)</f>
        <v>13974.12</v>
      </c>
      <c r="J361" s="6">
        <v>18</v>
      </c>
      <c r="K361" s="6" t="s">
        <v>12744</v>
      </c>
    </row>
    <row r="362" spans="1:11" ht="75" outlineLevel="2">
      <c r="A362" s="297" t="s">
        <v>13296</v>
      </c>
      <c r="B362" s="307">
        <v>90844</v>
      </c>
      <c r="C362" s="439" t="str">
        <f>IFERROR(VLOOKUP(B362,comp_nãodes,2,FALSE),VLOOKUP(B362,insnãodes,2,FALSE))</f>
        <v>KIT DE PORTA DE MADEIRA PARA PINTURA, SEMI-OCA (LEVE OU MÉDIA), PADRÃO MÉDIO, 90X210CM, ESPESSURA DE 3,5CM, ITENS INCLUSOS: DOBRADIÇAS, MONTAGEM E INSTALAÇÃO DO BATENTE, FECHADURA COM EXECUÇÃO DO FURO - FORNECIMENTO E INSTALAÇÃO. AF_12/2019</v>
      </c>
      <c r="D362" s="294" t="str">
        <f>IFERROR(VLOOKUP(B362,comp_nãodes,3,FALSE),VLOOKUP(B362,insnãodes,3,FALSE))</f>
        <v>UN</v>
      </c>
      <c r="E362" s="430">
        <v>1</v>
      </c>
      <c r="F362" s="426">
        <f>IFERROR(VLOOKUP(B362,comp_nãodes,4,FALSE),VLOOKUP(B362,insnãodes,4,FALSE))</f>
        <v>797.37</v>
      </c>
      <c r="G362" s="426">
        <f t="shared" si="97"/>
        <v>797.37</v>
      </c>
      <c r="H362" s="431">
        <f t="shared" si="98"/>
        <v>797.37</v>
      </c>
      <c r="J362" s="6">
        <v>1</v>
      </c>
    </row>
    <row r="363" spans="1:11" ht="75" outlineLevel="2">
      <c r="A363" s="297" t="s">
        <v>13297</v>
      </c>
      <c r="B363" s="291" t="s">
        <v>12749</v>
      </c>
      <c r="C363" s="442" t="s">
        <v>12932</v>
      </c>
      <c r="D363" s="294" t="s">
        <v>11525</v>
      </c>
      <c r="E363" s="430">
        <v>1</v>
      </c>
      <c r="F363" s="426">
        <f>'CPU-ARQ'!H96</f>
        <v>817.58</v>
      </c>
      <c r="G363" s="426">
        <f t="shared" si="97"/>
        <v>817.58</v>
      </c>
      <c r="H363" s="431">
        <f t="shared" si="98"/>
        <v>817.58</v>
      </c>
      <c r="J363" s="6">
        <v>1</v>
      </c>
    </row>
    <row r="364" spans="1:11" outlineLevel="2">
      <c r="A364" s="297" t="s">
        <v>13298</v>
      </c>
      <c r="B364" s="291" t="s">
        <v>12933</v>
      </c>
      <c r="C364" s="439" t="s">
        <v>12934</v>
      </c>
      <c r="D364" s="294" t="s">
        <v>117</v>
      </c>
      <c r="E364" s="430">
        <v>4.8</v>
      </c>
      <c r="F364" s="426">
        <f>'CPU-ARQ'!H147</f>
        <v>865.6</v>
      </c>
      <c r="G364" s="426">
        <f t="shared" si="97"/>
        <v>865.6</v>
      </c>
      <c r="H364" s="431">
        <f t="shared" si="98"/>
        <v>4154.88</v>
      </c>
      <c r="J364" s="6">
        <f>5*0.8*1.2</f>
        <v>4.8</v>
      </c>
    </row>
    <row r="365" spans="1:11" ht="60" outlineLevel="2">
      <c r="A365" s="297" t="s">
        <v>13299</v>
      </c>
      <c r="B365" s="291">
        <v>94569</v>
      </c>
      <c r="C365" s="439" t="str">
        <f>IFERROR(VLOOKUP(B365,comp_nãodes,2,FALSE),VLOOKUP(B365,insnãodes,2,FALSE))</f>
        <v>JANELA DE ALUMÍNIO TIPO MAXIM-AR, COM VIDROS, BATENTE E FERRAGENS. EXCLUSIVE ALIZAR, ACABAMENTO E CONTRAMARCO. FORNECIMENTO E INSTALAÇÃO. AF_12/2019</v>
      </c>
      <c r="D365" s="294" t="str">
        <f>IFERROR(VLOOKUP(B365,comp_nãodes,3,FALSE),VLOOKUP(B365,insnãodes,3,FALSE))</f>
        <v>M2</v>
      </c>
      <c r="E365" s="430">
        <v>16.079999999999998</v>
      </c>
      <c r="F365" s="426">
        <f>IFERROR(VLOOKUP(B365,comp_nãodes,4,FALSE),VLOOKUP(B365,insnãodes,4,FALSE))</f>
        <v>432.05</v>
      </c>
      <c r="G365" s="426">
        <f t="shared" si="97"/>
        <v>432.05</v>
      </c>
      <c r="H365" s="431">
        <f t="shared" si="98"/>
        <v>6947.36</v>
      </c>
      <c r="J365" s="6">
        <f>13*1.2*0.6+4*0.8*0.6+5*0.8*1.2</f>
        <v>16.079999999999998</v>
      </c>
    </row>
    <row r="366" spans="1:11" ht="45" outlineLevel="2">
      <c r="A366" s="297" t="s">
        <v>13300</v>
      </c>
      <c r="B366" s="291">
        <v>84088</v>
      </c>
      <c r="C366" s="439" t="str">
        <f>IFERROR(VLOOKUP(B366,comp_nãodes,2,FALSE),VLOOKUP(B366,insnãodes,2,FALSE))</f>
        <v>PEITORIL EM MARMORE BRANCO, LARGURA DE 15CM, ASSENTADO COM ARGAMASSA TRACO 1:4 (CIMENTO E AREIA MEDIA), PREPARO MANUAL DA ARGAMASSA</v>
      </c>
      <c r="D366" s="294" t="str">
        <f>IFERROR(VLOOKUP(B366,comp_nãodes,3,FALSE),VLOOKUP(B366,insnãodes,3,FALSE))</f>
        <v>M</v>
      </c>
      <c r="E366" s="430">
        <v>22.8</v>
      </c>
      <c r="F366" s="426">
        <f>IFERROR(VLOOKUP(B366,comp_nãodes,4,FALSE),VLOOKUP(B366,insnãodes,4,FALSE))</f>
        <v>86.02</v>
      </c>
      <c r="G366" s="426">
        <f t="shared" si="97"/>
        <v>86.02</v>
      </c>
      <c r="H366" s="431">
        <f t="shared" si="98"/>
        <v>1961.25</v>
      </c>
      <c r="J366" s="6">
        <f>13*1.2+4*0.8+5*0.8</f>
        <v>22.8</v>
      </c>
      <c r="K366" s="6" t="s">
        <v>12935</v>
      </c>
    </row>
    <row r="367" spans="1:11" ht="15.75" outlineLevel="2">
      <c r="A367" s="298"/>
      <c r="B367" s="292"/>
      <c r="C367" s="440"/>
      <c r="D367" s="305"/>
      <c r="E367" s="428"/>
      <c r="F367" s="426"/>
      <c r="G367" s="428" t="s">
        <v>11684</v>
      </c>
      <c r="H367" s="429">
        <f>SUM(H361:H366)</f>
        <v>28652.560000000001</v>
      </c>
    </row>
    <row r="368" spans="1:11" ht="15.75" outlineLevel="2">
      <c r="A368" s="296" t="s">
        <v>13301</v>
      </c>
      <c r="B368" s="294"/>
      <c r="C368" s="441" t="s">
        <v>12936</v>
      </c>
      <c r="D368" s="294"/>
      <c r="E368" s="426"/>
      <c r="F368" s="426"/>
      <c r="G368" s="426"/>
      <c r="H368" s="427"/>
      <c r="K368" s="6">
        <f>(((4.7*2+2.2*2+2*3*2+1.95*2+4*2+2*2+14.95+3.95+6.3+6.3+2*2+4.9+3.8*7+2.15+1.2*2+1.5*2+3*6)*3.15)-(18*0.8*2.1+4*0.8*0.6+5*0.8*1.2+13*1.2*0.6+1*0.9*2.1+1*1*2.1)+(8.6*0.97/2*2))*2</f>
        <v>761.83899999999994</v>
      </c>
    </row>
    <row r="369" spans="1:11" ht="60" outlineLevel="2">
      <c r="A369" s="297" t="s">
        <v>13302</v>
      </c>
      <c r="B369" s="307">
        <v>87879</v>
      </c>
      <c r="C369" s="439" t="str">
        <f t="shared" ref="C369:C374" si="99">IFERROR(VLOOKUP(B369,comp_nãodes,2,FALSE),VLOOKUP(B369,insnãodes,2,FALSE))</f>
        <v>CHAPISCO APLICADO EM ALVENARIAS E ESTRUTURAS DE CONCRETO INTERNAS, COM COLHER DE PEDREIRO.  ARGAMASSA TRAÇO 1:3 COM PREPARO EM BETONEIRA 400L. AF_06/2014</v>
      </c>
      <c r="D369" s="294" t="str">
        <f t="shared" ref="D369:D374" si="100">IFERROR(VLOOKUP(B369,comp_nãodes,3,FALSE),VLOOKUP(B369,insnãodes,3,FALSE))</f>
        <v>M2</v>
      </c>
      <c r="E369" s="430">
        <v>590.4</v>
      </c>
      <c r="F369" s="426">
        <f t="shared" ref="F369:F374" si="101">IFERROR(VLOOKUP(B369,comp_nãodes,4,FALSE),VLOOKUP(B369,insnãodes,4,FALSE))</f>
        <v>2.88</v>
      </c>
      <c r="G369" s="426">
        <f t="shared" ref="G369:G374" si="102">TRUNC(F369*(1+$E$1),2)</f>
        <v>2.88</v>
      </c>
      <c r="H369" s="431">
        <f t="shared" ref="H369:H374" si="103">TRUNC(E369*G369,2)</f>
        <v>1700.35</v>
      </c>
      <c r="J369" s="6">
        <f>761.83-(111.73+59.7)</f>
        <v>590.40000000000009</v>
      </c>
    </row>
    <row r="370" spans="1:11" ht="90" outlineLevel="2">
      <c r="A370" s="297" t="s">
        <v>13303</v>
      </c>
      <c r="B370" s="307">
        <v>89173</v>
      </c>
      <c r="C370" s="439" t="str">
        <f t="shared" si="99"/>
        <v>(COMPOSIÇÃO REPRESENTATIVA) DO SERVIÇO DE EMBOÇO/MASSA ÚNICA, APLICADO MANUALMENTE, TRAÇO 1:2:8, EM BETONEIRA DE 400L, PAREDES INTERNAS, COM EXECUÇÃO DE TALISCAS, EDIFICAÇÃO HABITACIONAL UNIFAMILIAR (CASAS) E EDIFICAÇÃO PÚBLICA PADRÃO. AF_12/2014</v>
      </c>
      <c r="D370" s="294" t="str">
        <f t="shared" si="100"/>
        <v>M2</v>
      </c>
      <c r="E370" s="430">
        <v>590.4</v>
      </c>
      <c r="F370" s="426">
        <f t="shared" si="101"/>
        <v>24.8</v>
      </c>
      <c r="G370" s="426">
        <f t="shared" si="102"/>
        <v>24.8</v>
      </c>
      <c r="H370" s="431">
        <f t="shared" si="103"/>
        <v>14641.92</v>
      </c>
    </row>
    <row r="371" spans="1:11" ht="60" outlineLevel="2">
      <c r="A371" s="297" t="s">
        <v>13304</v>
      </c>
      <c r="B371" s="307">
        <v>87905</v>
      </c>
      <c r="C371" s="439" t="str">
        <f t="shared" si="99"/>
        <v>CHAPISCO APLICADO EM ALVENARIA (COM PRESENÇA DE VÃOS) E ESTRUTURAS DE CONCRETO DE FACHADA, COM COLHER DE PEDREIRO.  ARGAMASSA TRAÇO 1:3 COM PREPARO EM BETONEIRA 400L. AF_06/2014</v>
      </c>
      <c r="D371" s="294" t="str">
        <f t="shared" si="100"/>
        <v>M2</v>
      </c>
      <c r="E371" s="430">
        <v>111.73</v>
      </c>
      <c r="F371" s="426">
        <f t="shared" si="101"/>
        <v>6.45</v>
      </c>
      <c r="G371" s="426">
        <f t="shared" si="102"/>
        <v>6.45</v>
      </c>
      <c r="H371" s="431">
        <f t="shared" si="103"/>
        <v>720.65</v>
      </c>
      <c r="J371" s="6">
        <f>(20.05*2+9.8*2)*3.15+(8.6*0.97/2*2)-(12*1.2*0.6+3*0.8*0.6+5*0.8*1.2+6*0.8*2.1)-59.7</f>
        <v>111.73699999999998</v>
      </c>
      <c r="K371" s="6" t="s">
        <v>12937</v>
      </c>
    </row>
    <row r="372" spans="1:11" ht="60" outlineLevel="2">
      <c r="A372" s="297" t="s">
        <v>13305</v>
      </c>
      <c r="B372" s="307">
        <v>87775</v>
      </c>
      <c r="C372" s="439" t="str">
        <f t="shared" si="99"/>
        <v>EMBOÇO OU MASSA ÚNICA EM ARGAMASSA TRAÇO 1:2:8, PREPARO MECÂNICO COM BETONEIRA 400 L, APLICADA MANUALMENTE EM PANOS DE FACHADA COM PRESENÇA DE VÃOS, ESPESSURA DE 25 MM. AF_06/2014</v>
      </c>
      <c r="D372" s="294" t="str">
        <f t="shared" si="100"/>
        <v>M2</v>
      </c>
      <c r="E372" s="430">
        <v>111.73</v>
      </c>
      <c r="F372" s="426">
        <f t="shared" si="101"/>
        <v>40.130000000000003</v>
      </c>
      <c r="G372" s="426">
        <f t="shared" si="102"/>
        <v>40.130000000000003</v>
      </c>
      <c r="H372" s="431">
        <f t="shared" si="103"/>
        <v>4483.72</v>
      </c>
    </row>
    <row r="373" spans="1:11" ht="45" outlineLevel="2">
      <c r="A373" s="297" t="s">
        <v>13306</v>
      </c>
      <c r="B373" s="307">
        <v>98561</v>
      </c>
      <c r="C373" s="439" t="str">
        <f t="shared" si="99"/>
        <v>IMPERMEABILIZAÇÃO DE PAREDES COM ARGAMASSA DE CIMENTO E AREIA, COM ADITIVO IMPERMEABILIZANTE, E = 2CM. AF_06/2018</v>
      </c>
      <c r="D373" s="294" t="str">
        <f t="shared" si="100"/>
        <v>M2</v>
      </c>
      <c r="E373" s="430">
        <v>59.7</v>
      </c>
      <c r="F373" s="426">
        <f t="shared" si="101"/>
        <v>30.48</v>
      </c>
      <c r="G373" s="426">
        <f t="shared" si="102"/>
        <v>30.48</v>
      </c>
      <c r="H373" s="431">
        <f t="shared" si="103"/>
        <v>1819.65</v>
      </c>
      <c r="J373" s="6">
        <f>(20.05*2+9.8*2)*1</f>
        <v>59.7</v>
      </c>
    </row>
    <row r="374" spans="1:11" ht="90" outlineLevel="2">
      <c r="A374" s="297" t="s">
        <v>13307</v>
      </c>
      <c r="B374" s="307">
        <v>89170</v>
      </c>
      <c r="C374" s="439" t="str">
        <f t="shared" si="99"/>
        <v>(COMPOSIÇÃO REPRESENTATIVA) DO SERVIÇO DE REVESTIMENTO CERÂMICO PARA PAREDES INTERNAS, MEIA PAREDE, OU PAREDE INTEIRA, PLACAS GRÊS OU SEMI-GRÊS DE 20X20 CM, PARA EDIFICAÇÕES HABITACIONAIS UNIFAMILIAR (CASAS) E EDIFICAÇÕES PÚBLICAS PADRÃO. AF_11/2014</v>
      </c>
      <c r="D374" s="294" t="str">
        <f t="shared" si="100"/>
        <v>M2</v>
      </c>
      <c r="E374" s="430">
        <v>32.99</v>
      </c>
      <c r="F374" s="426">
        <f t="shared" si="101"/>
        <v>42.12</v>
      </c>
      <c r="G374" s="426">
        <f t="shared" si="102"/>
        <v>42.12</v>
      </c>
      <c r="H374" s="431">
        <f t="shared" si="103"/>
        <v>1389.53</v>
      </c>
      <c r="J374" s="6">
        <f>(1.2*2+1.5*2+2*4)*2.8-(2*0.8*0.6+0.8*2.1+0.9*2.1)</f>
        <v>32.989999999999995</v>
      </c>
    </row>
    <row r="375" spans="1:11" ht="15.75" outlineLevel="2">
      <c r="A375" s="298"/>
      <c r="B375" s="292"/>
      <c r="C375" s="440"/>
      <c r="D375" s="305"/>
      <c r="E375" s="428"/>
      <c r="F375" s="426"/>
      <c r="G375" s="428" t="s">
        <v>11684</v>
      </c>
      <c r="H375" s="429">
        <f>SUM(H369:H374)</f>
        <v>24755.820000000003</v>
      </c>
    </row>
    <row r="376" spans="1:11" ht="15.75" outlineLevel="2">
      <c r="A376" s="296" t="s">
        <v>13308</v>
      </c>
      <c r="B376" s="294"/>
      <c r="C376" s="441" t="s">
        <v>12763</v>
      </c>
      <c r="D376" s="294"/>
      <c r="E376" s="426"/>
      <c r="F376" s="426"/>
      <c r="G376" s="426"/>
      <c r="H376" s="427"/>
    </row>
    <row r="377" spans="1:11" ht="45" outlineLevel="2">
      <c r="A377" s="297" t="s">
        <v>13309</v>
      </c>
      <c r="B377" s="307" t="s">
        <v>11709</v>
      </c>
      <c r="C377" s="442" t="s">
        <v>11681</v>
      </c>
      <c r="D377" s="291" t="s">
        <v>60</v>
      </c>
      <c r="E377" s="430">
        <v>45.57</v>
      </c>
      <c r="F377" s="426">
        <f>'CPU-ARQ'!H41</f>
        <v>33.200000000000003</v>
      </c>
      <c r="G377" s="426">
        <f t="shared" ref="G377:G381" si="104">TRUNC(F377*(1+$E$1),2)</f>
        <v>33.200000000000003</v>
      </c>
      <c r="H377" s="431">
        <f t="shared" ref="H377:H381" si="105">TRUNC(E377*G377,2)</f>
        <v>1512.92</v>
      </c>
      <c r="J377" s="6">
        <f>(17.86+8.36+7.6*3+7.45+8.6+2.4+3+20.99+3+11.85+18.9+6*2+14.7)*0.3</f>
        <v>45.572999999999986</v>
      </c>
    </row>
    <row r="378" spans="1:11" ht="45" outlineLevel="2">
      <c r="A378" s="297" t="s">
        <v>13310</v>
      </c>
      <c r="B378" s="307">
        <v>83534</v>
      </c>
      <c r="C378" s="439" t="str">
        <f>IFERROR(VLOOKUP(B378,comp_nãodes,2,FALSE),VLOOKUP(B378,insnãodes,2,FALSE))</f>
        <v>LASTRO DE CONCRETO, PREPARO MECÂNICO, INCLUSOS ADITIVO IMPERMEABILIZANTE, LANÇAMENTO E ADENSAMENTO</v>
      </c>
      <c r="D378" s="294" t="str">
        <f>IFERROR(VLOOKUP(B378,comp_nãodes,3,FALSE),VLOOKUP(B378,insnãodes,3,FALSE))</f>
        <v>M3</v>
      </c>
      <c r="E378" s="430">
        <v>7.59</v>
      </c>
      <c r="F378" s="426">
        <f>IFERROR(VLOOKUP(B378,comp_nãodes,4,FALSE),VLOOKUP(B378,insnãodes,4,FALSE))</f>
        <v>492.33</v>
      </c>
      <c r="G378" s="426">
        <f t="shared" si="104"/>
        <v>492.33</v>
      </c>
      <c r="H378" s="431">
        <f t="shared" si="105"/>
        <v>3736.78</v>
      </c>
      <c r="J378" s="6">
        <f>(17.86+8.36+7.6*3+7.45+8.6+2.4+3+20.99+3+11.85+18.9+6*2+14.7)*0.05</f>
        <v>7.5954999999999986</v>
      </c>
    </row>
    <row r="379" spans="1:11" ht="90" outlineLevel="2">
      <c r="A379" s="297" t="s">
        <v>13311</v>
      </c>
      <c r="B379" s="307">
        <v>94438</v>
      </c>
      <c r="C379" s="439" t="str">
        <f>IFERROR(VLOOKUP(B379,comp_nãodes,2,FALSE),VLOOKUP(B379,insnãodes,2,FALSE))</f>
        <v>(COMPOSIÇÃO REPRESENTATIVA) DO SERVIÇO DE CONTRAPISO EM ARGAMASSA TRAÇO 1:4 (CIM E AREIA), EM BETONEIRA 400 L, ESPESSURA 3 CM ÁREAS SECAS E 3 CM ÁREAS MOLHADAS, PARA EDIFICAÇÃO HABITACIONAL UNIFAMILIAR (CASA) E EDIFICAÇÃO PÚBLICA PADRÃO. AF_11/2014</v>
      </c>
      <c r="D379" s="294" t="str">
        <f>IFERROR(VLOOKUP(B379,comp_nãodes,3,FALSE),VLOOKUP(B379,insnãodes,3,FALSE))</f>
        <v>M2</v>
      </c>
      <c r="E379" s="430">
        <v>151.91</v>
      </c>
      <c r="F379" s="426">
        <f>IFERROR(VLOOKUP(B379,comp_nãodes,4,FALSE),VLOOKUP(B379,insnãodes,4,FALSE))</f>
        <v>33.07</v>
      </c>
      <c r="G379" s="426">
        <f t="shared" si="104"/>
        <v>33.07</v>
      </c>
      <c r="H379" s="431">
        <f t="shared" si="105"/>
        <v>5023.66</v>
      </c>
      <c r="J379" s="6">
        <f>(17.86+8.36+7.6*3+7.45+8.6+2.4+3+20.99+3+11.85+18.9+6*2+14.7)</f>
        <v>151.90999999999997</v>
      </c>
    </row>
    <row r="380" spans="1:11" ht="30" outlineLevel="2">
      <c r="A380" s="297" t="s">
        <v>13312</v>
      </c>
      <c r="B380" s="307">
        <v>84191</v>
      </c>
      <c r="C380" s="439" t="str">
        <f>IFERROR(VLOOKUP(B380,comp_nãodes,2,FALSE),VLOOKUP(B380,insnãodes,2,FALSE))</f>
        <v>PISO EM GRANILITE, MARMORITE OU GRANITINA ESPESSURA 8 MM, INCLUSO JUNTAS DE DILATACAO PLASTICAS</v>
      </c>
      <c r="D380" s="294" t="str">
        <f>IFERROR(VLOOKUP(B380,comp_nãodes,3,FALSE),VLOOKUP(B380,insnãodes,3,FALSE))</f>
        <v>M2</v>
      </c>
      <c r="E380" s="430">
        <v>151.91</v>
      </c>
      <c r="F380" s="426">
        <f>IFERROR(VLOOKUP(B380,comp_nãodes,4,FALSE),VLOOKUP(B380,insnãodes,4,FALSE))</f>
        <v>107.67</v>
      </c>
      <c r="G380" s="426">
        <f t="shared" si="104"/>
        <v>107.67</v>
      </c>
      <c r="H380" s="431">
        <f t="shared" si="105"/>
        <v>16356.14</v>
      </c>
      <c r="J380" s="6">
        <f>(17.86+8.36+7.6*3+7.45+8.6+2.4+3+20.99+3+11.85+18.9+6*2+14.7)</f>
        <v>151.90999999999997</v>
      </c>
    </row>
    <row r="381" spans="1:11" outlineLevel="2">
      <c r="A381" s="297" t="s">
        <v>13313</v>
      </c>
      <c r="B381" s="307" t="s">
        <v>11710</v>
      </c>
      <c r="C381" s="442" t="s">
        <v>11711</v>
      </c>
      <c r="D381" s="291" t="s">
        <v>35</v>
      </c>
      <c r="E381" s="430">
        <v>177.25</v>
      </c>
      <c r="F381" s="426">
        <f>'CPU-ARQ'!H53</f>
        <v>54.160000000000004</v>
      </c>
      <c r="G381" s="426">
        <f t="shared" si="104"/>
        <v>54.16</v>
      </c>
      <c r="H381" s="431">
        <f t="shared" si="105"/>
        <v>9599.86</v>
      </c>
      <c r="J381" s="6">
        <f>((3.8*12+4.7*2+2.2*2+2*6+1.95*2+4*2+2.15*2+2.85*2+1.85+14.95+10.95+1.2*2+3*10+3.95*2+6.3*2+2*4+4.9*2)-(17*0.8+0.9))</f>
        <v>177.25</v>
      </c>
    </row>
    <row r="382" spans="1:11" ht="60" outlineLevel="2">
      <c r="A382" s="297" t="s">
        <v>14273</v>
      </c>
      <c r="B382" s="307">
        <v>94990</v>
      </c>
      <c r="C382" s="439" t="str">
        <f>IFERROR(VLOOKUP(B382,comp_nãodes,2,FALSE),VLOOKUP(B382,insnãodes,2,FALSE))</f>
        <v>EXECUÇÃO DE PASSEIO (CALÇADA) OU PISO DE CONCRETO COM CONCRETO MOLDADO IN LOCO, FEITO EM OBRA, ACABAMENTO CONVENCIONAL, NÃO ARMADO. AF_07/2016</v>
      </c>
      <c r="D382" s="294" t="str">
        <f>IFERROR(VLOOKUP(B382,comp_nãodes,3,FALSE),VLOOKUP(B382,insnãodes,3,FALSE))</f>
        <v>M3</v>
      </c>
      <c r="E382" s="430">
        <v>6.1</v>
      </c>
      <c r="F382" s="426">
        <f>IFERROR(VLOOKUP(B382,comp_nãodes,4,FALSE),VLOOKUP(B382,insnãodes,4,FALSE))</f>
        <v>552.87</v>
      </c>
      <c r="G382" s="426">
        <f t="shared" ref="G382" si="106">TRUNC(F382*(1+$E$1),2)</f>
        <v>552.87</v>
      </c>
      <c r="H382" s="431">
        <f>TRUNC(E382*G382,2)</f>
        <v>3372.5</v>
      </c>
      <c r="J382" s="6">
        <f>((3.8*12+4.7*2+2.2*2+2*6+1.95*2+4*2+2.15*2+2.85*2+1.85+14.95+10.95+1.2*2+3*10+3.95*2+6.3*2+2*4+4.9*2)-(17*0.8+0.9))</f>
        <v>177.25</v>
      </c>
    </row>
    <row r="383" spans="1:11" ht="15.75" outlineLevel="2">
      <c r="A383" s="298"/>
      <c r="B383" s="307"/>
      <c r="C383" s="442"/>
      <c r="D383" s="291"/>
      <c r="E383" s="430"/>
      <c r="F383" s="426"/>
      <c r="G383" s="428" t="s">
        <v>11684</v>
      </c>
      <c r="H383" s="429">
        <f>SUM(H377:N382)</f>
        <v>40313.3485</v>
      </c>
    </row>
    <row r="384" spans="1:11" ht="15.75" outlineLevel="2">
      <c r="A384" s="296" t="s">
        <v>13314</v>
      </c>
      <c r="B384" s="294"/>
      <c r="C384" s="441" t="s">
        <v>12764</v>
      </c>
      <c r="D384" s="294"/>
      <c r="E384" s="426"/>
      <c r="F384" s="426"/>
      <c r="G384" s="426"/>
      <c r="H384" s="427"/>
    </row>
    <row r="385" spans="1:16" ht="30" outlineLevel="2">
      <c r="A385" s="297" t="s">
        <v>13315</v>
      </c>
      <c r="B385" s="307">
        <v>88485</v>
      </c>
      <c r="C385" s="439" t="str">
        <f>IFERROR(VLOOKUP(B385,comp_nãodes,2,FALSE),VLOOKUP(B385,insnãodes,2,FALSE))</f>
        <v>APLICAÇÃO DE FUNDO SELADOR ACRÍLICO EM PAREDES, UMA DEMÃO. AF_06/2014</v>
      </c>
      <c r="D385" s="294" t="str">
        <f>IFERROR(VLOOKUP(B385,comp_nãodes,3,FALSE),VLOOKUP(B385,insnãodes,3,FALSE))</f>
        <v>M2</v>
      </c>
      <c r="E385" s="430">
        <v>728.84</v>
      </c>
      <c r="F385" s="426">
        <f>IFERROR(VLOOKUP(B385,comp_nãodes,4,FALSE),VLOOKUP(B385,insnãodes,4,FALSE))</f>
        <v>1.67</v>
      </c>
      <c r="G385" s="426">
        <f t="shared" ref="G385:G388" si="107">TRUNC(F385*(1+$E$1),2)</f>
        <v>1.67</v>
      </c>
      <c r="H385" s="431">
        <f t="shared" ref="H385:H388" si="108">TRUNC(E385*G385,2)</f>
        <v>1217.1600000000001</v>
      </c>
      <c r="J385" s="6">
        <f>761.83-(32.99)</f>
        <v>728.84</v>
      </c>
      <c r="K385" s="6" t="s">
        <v>12766</v>
      </c>
    </row>
    <row r="386" spans="1:16" ht="30" outlineLevel="2">
      <c r="A386" s="297" t="s">
        <v>13316</v>
      </c>
      <c r="B386" s="307">
        <v>84651</v>
      </c>
      <c r="C386" s="439" t="str">
        <f>IFERROR(VLOOKUP(B386,comp_nãodes,2,FALSE),VLOOKUP(B386,insnãodes,2,FALSE))</f>
        <v>PINTURA COM TINTA IMPERMEAVEL MINERAL EM PO, DUAS DEMAOS</v>
      </c>
      <c r="D386" s="294" t="str">
        <f>IFERROR(VLOOKUP(B386,comp_nãodes,3,FALSE),VLOOKUP(B386,insnãodes,3,FALSE))</f>
        <v>M2</v>
      </c>
      <c r="E386" s="430">
        <v>119.4</v>
      </c>
      <c r="F386" s="426">
        <f>IFERROR(VLOOKUP(B386,comp_nãodes,4,FALSE),VLOOKUP(B386,insnãodes,4,FALSE))</f>
        <v>9.58</v>
      </c>
      <c r="G386" s="426">
        <f t="shared" si="107"/>
        <v>9.58</v>
      </c>
      <c r="H386" s="431">
        <f t="shared" si="108"/>
        <v>1143.8499999999999</v>
      </c>
      <c r="J386" s="6">
        <f>(20.05*2+9.8*2)*2</f>
        <v>119.4</v>
      </c>
    </row>
    <row r="387" spans="1:16" ht="30" outlineLevel="2">
      <c r="A387" s="297" t="s">
        <v>13317</v>
      </c>
      <c r="B387" s="307">
        <v>88489</v>
      </c>
      <c r="C387" s="439" t="str">
        <f>IFERROR(VLOOKUP(B387,comp_nãodes,2,FALSE),VLOOKUP(B387,insnãodes,2,FALSE))</f>
        <v>APLICAÇÃO MANUAL DE PINTURA COM TINTA LÁTEX ACRÍLICA EM PAREDES, DUAS DEMÃOS. AF_06/2014</v>
      </c>
      <c r="D387" s="294" t="str">
        <f>IFERROR(VLOOKUP(B387,comp_nãodes,3,FALSE),VLOOKUP(B387,insnãodes,3,FALSE))</f>
        <v>M2</v>
      </c>
      <c r="E387" s="430">
        <v>609.44000000000005</v>
      </c>
      <c r="F387" s="426">
        <f>IFERROR(VLOOKUP(B387,comp_nãodes,4,FALSE),VLOOKUP(B387,insnãodes,4,FALSE))</f>
        <v>11.67</v>
      </c>
      <c r="G387" s="426">
        <f t="shared" si="107"/>
        <v>11.67</v>
      </c>
      <c r="H387" s="431">
        <f t="shared" si="108"/>
        <v>7112.16</v>
      </c>
      <c r="J387" s="6">
        <f>761.83-(32.99+119.4)</f>
        <v>609.44000000000005</v>
      </c>
      <c r="K387" s="6" t="s">
        <v>12765</v>
      </c>
    </row>
    <row r="388" spans="1:16" ht="30" outlineLevel="2">
      <c r="A388" s="297" t="s">
        <v>13318</v>
      </c>
      <c r="B388" s="307" t="s">
        <v>5767</v>
      </c>
      <c r="C388" s="439" t="str">
        <f>IFERROR(VLOOKUP(B388,comp_nãodes,2,FALSE),VLOOKUP(B388,insnãodes,2,FALSE))</f>
        <v>PINTURA ESMALTE FOSCO PARA MADEIRA, DUAS DEMAOS, SOBRE FUNDO NIVELADOR BRANCO</v>
      </c>
      <c r="D388" s="294" t="str">
        <f>IFERROR(VLOOKUP(B388,comp_nãodes,3,FALSE),VLOOKUP(B388,insnãodes,3,FALSE))</f>
        <v>M2</v>
      </c>
      <c r="E388" s="430">
        <v>102.69</v>
      </c>
      <c r="F388" s="426">
        <f>IFERROR(VLOOKUP(B388,comp_nãodes,4,FALSE),VLOOKUP(B388,insnãodes,4,FALSE))</f>
        <v>22.65</v>
      </c>
      <c r="G388" s="426">
        <f t="shared" si="107"/>
        <v>22.65</v>
      </c>
      <c r="H388" s="431">
        <f t="shared" si="108"/>
        <v>2325.92</v>
      </c>
      <c r="J388" s="6">
        <f>(18*0.8*2.1+0.9*2.1+1*2.1)*3</f>
        <v>102.69000000000001</v>
      </c>
    </row>
    <row r="389" spans="1:16" ht="15.75" outlineLevel="2">
      <c r="A389" s="298"/>
      <c r="B389" s="307"/>
      <c r="C389" s="442"/>
      <c r="D389" s="291"/>
      <c r="E389" s="430"/>
      <c r="F389" s="426"/>
      <c r="G389" s="428" t="s">
        <v>11684</v>
      </c>
      <c r="H389" s="429">
        <f>SUM(H385:H388)</f>
        <v>11799.09</v>
      </c>
    </row>
    <row r="390" spans="1:16" ht="15.75" outlineLevel="2">
      <c r="A390" s="296" t="s">
        <v>13319</v>
      </c>
      <c r="B390" s="294"/>
      <c r="C390" s="441" t="s">
        <v>329</v>
      </c>
      <c r="D390" s="294"/>
      <c r="E390" s="426"/>
      <c r="F390" s="426"/>
      <c r="G390" s="426"/>
      <c r="H390" s="427"/>
    </row>
    <row r="391" spans="1:16" ht="30" outlineLevel="2">
      <c r="A391" s="297" t="s">
        <v>13320</v>
      </c>
      <c r="B391" s="307">
        <v>96486</v>
      </c>
      <c r="C391" s="439" t="str">
        <f>IFERROR(VLOOKUP(B391,comp_nãodes,2,FALSE),VLOOKUP(B391,insnãodes,2,FALSE))</f>
        <v>FORRO DE PVC, LISO, PARA AMBIENTES COMERCIAIS, INCLUSIVE ESTRUTURA DE FIXAÇÃO. AF_05/2017_P</v>
      </c>
      <c r="D391" s="294" t="str">
        <f>IFERROR(VLOOKUP(B391,comp_nãodes,3,FALSE),VLOOKUP(B391,insnãodes,3,FALSE))</f>
        <v>M2</v>
      </c>
      <c r="E391" s="430">
        <v>188.45</v>
      </c>
      <c r="F391" s="426">
        <f>IFERROR(VLOOKUP(B391,comp_nãodes,4,FALSE),VLOOKUP(B391,insnãodes,4,FALSE))</f>
        <v>45.2</v>
      </c>
      <c r="G391" s="426">
        <f t="shared" ref="G391:G392" si="109">TRUNC(F391*(1+$E$1),2)</f>
        <v>45.2</v>
      </c>
      <c r="H391" s="431">
        <f t="shared" ref="H391:H392" si="110">TRUNC(E391*G391,2)</f>
        <v>8517.94</v>
      </c>
      <c r="J391" s="6">
        <f>(17.86+8.36+7.6*3+7.45+8.6+2.4+3+20.99+3+11.85+18.9+6*2+14.7)+(20.05*2+10.4*2)*0.6</f>
        <v>188.44999999999996</v>
      </c>
      <c r="K391" s="6" t="s">
        <v>12938</v>
      </c>
    </row>
    <row r="392" spans="1:16" ht="30" outlineLevel="2">
      <c r="A392" s="297" t="s">
        <v>13321</v>
      </c>
      <c r="B392" s="307">
        <v>96121</v>
      </c>
      <c r="C392" s="439" t="str">
        <f>IFERROR(VLOOKUP(B392,comp_nãodes,2,FALSE),VLOOKUP(B392,insnãodes,2,FALSE))</f>
        <v>ACABAMENTOS PARA FORRO (RODA-FORRO EM PERFIL METÁLICO E PLÁSTICO). AF_05/2017</v>
      </c>
      <c r="D392" s="294" t="str">
        <f>IFERROR(VLOOKUP(B392,comp_nãodes,3,FALSE),VLOOKUP(B392,insnãodes,3,FALSE))</f>
        <v>M</v>
      </c>
      <c r="E392" s="430">
        <v>315.95</v>
      </c>
      <c r="F392" s="426">
        <f>IFERROR(VLOOKUP(B392,comp_nãodes,4,FALSE),VLOOKUP(B392,insnãodes,4,FALSE))</f>
        <v>7.13</v>
      </c>
      <c r="G392" s="426">
        <f t="shared" si="109"/>
        <v>7.13</v>
      </c>
      <c r="H392" s="431">
        <f t="shared" si="110"/>
        <v>2252.7199999999998</v>
      </c>
      <c r="I392" s="6">
        <f>J392+K392</f>
        <v>315.95000000000005</v>
      </c>
      <c r="J392" s="6">
        <f>((3.8*12+4.7*2+2.2*2+2*6+1.95*2+4*2+2.15*2+2.85*2+1.85+14.95+10.95+1.2*2+3*10+3.95*2+6.3*2+2*4+4.9*2))</f>
        <v>191.75</v>
      </c>
      <c r="K392" s="6">
        <f>(20.05*2*2+10.4*2*2+0.6*4)</f>
        <v>124.20000000000002</v>
      </c>
    </row>
    <row r="393" spans="1:16" ht="15.75" outlineLevel="2">
      <c r="A393" s="298"/>
      <c r="B393" s="307"/>
      <c r="C393" s="442"/>
      <c r="D393" s="291"/>
      <c r="E393" s="430"/>
      <c r="F393" s="426"/>
      <c r="G393" s="428" t="s">
        <v>11684</v>
      </c>
      <c r="H393" s="429">
        <f>SUM(H391:H392)</f>
        <v>10770.66</v>
      </c>
    </row>
    <row r="394" spans="1:16" ht="15.75" outlineLevel="2">
      <c r="A394" s="296" t="s">
        <v>13322</v>
      </c>
      <c r="B394" s="294"/>
      <c r="C394" s="441" t="s">
        <v>12731</v>
      </c>
      <c r="D394" s="294"/>
      <c r="E394" s="426"/>
      <c r="F394" s="426"/>
      <c r="G394" s="426"/>
      <c r="H394" s="427"/>
    </row>
    <row r="395" spans="1:16" outlineLevel="2">
      <c r="A395" s="297" t="s">
        <v>13323</v>
      </c>
      <c r="B395" s="307" t="s">
        <v>11715</v>
      </c>
      <c r="C395" s="442" t="s">
        <v>442</v>
      </c>
      <c r="D395" s="307" t="s">
        <v>117</v>
      </c>
      <c r="E395" s="432">
        <v>151.91</v>
      </c>
      <c r="F395" s="426">
        <f>'CPU-ARQ'!H62</f>
        <v>3.19</v>
      </c>
      <c r="G395" s="426">
        <f t="shared" ref="G395" si="111">TRUNC(F395*(1+$E$1),2)</f>
        <v>3.19</v>
      </c>
      <c r="H395" s="431">
        <f t="shared" ref="H395" si="112">TRUNC(E395*G395,2)</f>
        <v>484.59</v>
      </c>
      <c r="J395" s="6">
        <f>(17.86+8.36+7.6*3+7.45+8.6+2.4+3+20.99+3+11.85+18.9+6*2+14.7)</f>
        <v>151.90999999999997</v>
      </c>
      <c r="P395" s="433"/>
    </row>
    <row r="396" spans="1:16" ht="15.75" outlineLevel="2">
      <c r="A396" s="297"/>
      <c r="B396" s="292"/>
      <c r="C396" s="440"/>
      <c r="D396" s="305"/>
      <c r="E396" s="428"/>
      <c r="F396" s="426"/>
      <c r="G396" s="428" t="s">
        <v>11684</v>
      </c>
      <c r="H396" s="429">
        <f>SUM(H395)</f>
        <v>484.59</v>
      </c>
    </row>
    <row r="397" spans="1:16" ht="15.75" outlineLevel="2">
      <c r="A397" s="296" t="s">
        <v>13324</v>
      </c>
      <c r="B397" s="294"/>
      <c r="C397" s="441" t="s">
        <v>12732</v>
      </c>
      <c r="D397" s="294"/>
      <c r="E397" s="426"/>
      <c r="F397" s="426"/>
      <c r="G397" s="426"/>
      <c r="H397" s="427"/>
    </row>
    <row r="398" spans="1:16" ht="45" outlineLevel="2">
      <c r="A398" s="297" t="s">
        <v>13325</v>
      </c>
      <c r="B398" s="291">
        <v>89356</v>
      </c>
      <c r="C398" s="439" t="str">
        <f t="shared" ref="C398:C409" si="113">IFERROR(VLOOKUP(B398,comp_nãodes,2,FALSE),VLOOKUP(B398,insnãodes,2,FALSE))</f>
        <v>TUBO, PVC, SOLDÁVEL, DN 25MM, INSTALADO EM RAMAL OU SUB-RAMAL DE ÁGUA - FORNECIMENTO E INSTALAÇÃO. AF_12/2014</v>
      </c>
      <c r="D398" s="291" t="s">
        <v>35</v>
      </c>
      <c r="E398" s="430">
        <v>7</v>
      </c>
      <c r="F398" s="426">
        <f t="shared" ref="F398:F409" si="114">IFERROR(VLOOKUP(B398,comp_nãodes,4,FALSE),VLOOKUP(B398,insnãodes,4,FALSE))</f>
        <v>16.059999999999999</v>
      </c>
      <c r="G398" s="426">
        <f t="shared" ref="G398:G452" si="115">TRUNC(F398*(1+$E$1),2)</f>
        <v>16.059999999999999</v>
      </c>
      <c r="H398" s="431">
        <f t="shared" ref="H398:H452" si="116">TRUNC(E398*G398,2)</f>
        <v>112.42</v>
      </c>
    </row>
    <row r="399" spans="1:16" ht="30" outlineLevel="2">
      <c r="A399" s="297" t="s">
        <v>13326</v>
      </c>
      <c r="B399" s="291">
        <v>89449</v>
      </c>
      <c r="C399" s="439" t="str">
        <f t="shared" si="113"/>
        <v>TUBO, PVC, SOLDÁVEL, DN 50MM, INSTALADO EM PRUMADA DE ÁGUA - FORNECIMENTO E INSTALAÇÃO. AF_12/2014</v>
      </c>
      <c r="D399" s="291" t="s">
        <v>35</v>
      </c>
      <c r="E399" s="430">
        <v>4</v>
      </c>
      <c r="F399" s="426">
        <f t="shared" si="114"/>
        <v>11.63</v>
      </c>
      <c r="G399" s="426">
        <f t="shared" si="115"/>
        <v>11.63</v>
      </c>
      <c r="H399" s="431">
        <f t="shared" si="116"/>
        <v>46.52</v>
      </c>
    </row>
    <row r="400" spans="1:16" ht="30" outlineLevel="2">
      <c r="A400" s="297" t="s">
        <v>13327</v>
      </c>
      <c r="B400" s="291">
        <v>89450</v>
      </c>
      <c r="C400" s="439" t="str">
        <f t="shared" si="113"/>
        <v>TUBO, PVC, SOLDÁVEL, DN 60MM, INSTALADO EM PRUMADA DE ÁGUA - FORNECIMENTO E INSTALAÇÃO. AF_12/2014</v>
      </c>
      <c r="D400" s="291" t="s">
        <v>35</v>
      </c>
      <c r="E400" s="430">
        <v>19</v>
      </c>
      <c r="F400" s="426">
        <f t="shared" si="114"/>
        <v>19.100000000000001</v>
      </c>
      <c r="G400" s="426">
        <f t="shared" si="115"/>
        <v>19.100000000000001</v>
      </c>
      <c r="H400" s="431">
        <f t="shared" si="116"/>
        <v>362.9</v>
      </c>
    </row>
    <row r="401" spans="1:8" ht="45" outlineLevel="2">
      <c r="A401" s="297" t="s">
        <v>13328</v>
      </c>
      <c r="B401" s="291">
        <v>89408</v>
      </c>
      <c r="C401" s="439" t="str">
        <f t="shared" si="113"/>
        <v>JOELHO 90 GRAUS, PVC, SOLDÁVEL, DN 25MM, INSTALADO EM RAMAL DE DISTRIBUIÇÃO DE ÁGUA - FORNECIMENTO E INSTALAÇÃO. AF_12/2014</v>
      </c>
      <c r="D401" s="291" t="s">
        <v>28</v>
      </c>
      <c r="E401" s="430">
        <v>6</v>
      </c>
      <c r="F401" s="426">
        <f t="shared" si="114"/>
        <v>4.7</v>
      </c>
      <c r="G401" s="426">
        <f t="shared" si="115"/>
        <v>4.7</v>
      </c>
      <c r="H401" s="431">
        <f t="shared" si="116"/>
        <v>28.2</v>
      </c>
    </row>
    <row r="402" spans="1:8" ht="45" outlineLevel="2">
      <c r="A402" s="297" t="s">
        <v>13329</v>
      </c>
      <c r="B402" s="291">
        <v>89501</v>
      </c>
      <c r="C402" s="439" t="str">
        <f t="shared" si="113"/>
        <v>JOELHO 90 GRAUS, PVC, SOLDÁVEL, DN 50MM, INSTALADO EM PRUMADA DE ÁGUA - FORNECIMENTO E INSTALAÇÃO. AF_12/2014</v>
      </c>
      <c r="D402" s="291" t="s">
        <v>28</v>
      </c>
      <c r="E402" s="430">
        <v>2</v>
      </c>
      <c r="F402" s="426">
        <f t="shared" si="114"/>
        <v>10.45</v>
      </c>
      <c r="G402" s="426">
        <f t="shared" si="115"/>
        <v>10.45</v>
      </c>
      <c r="H402" s="431">
        <f t="shared" si="116"/>
        <v>20.9</v>
      </c>
    </row>
    <row r="403" spans="1:8" ht="45" outlineLevel="2">
      <c r="A403" s="297" t="s">
        <v>13330</v>
      </c>
      <c r="B403" s="291">
        <v>89505</v>
      </c>
      <c r="C403" s="439" t="str">
        <f t="shared" si="113"/>
        <v>JOELHO 90 GRAUS, PVC, SOLDÁVEL, DN 60MM, INSTALADO EM PRUMADA DE ÁGUA - FORNECIMENTO E INSTALAÇÃO. AF_12/2014</v>
      </c>
      <c r="D403" s="291" t="s">
        <v>28</v>
      </c>
      <c r="E403" s="430">
        <v>5</v>
      </c>
      <c r="F403" s="426">
        <f t="shared" si="114"/>
        <v>25.55</v>
      </c>
      <c r="G403" s="426">
        <f t="shared" si="115"/>
        <v>25.55</v>
      </c>
      <c r="H403" s="431">
        <f t="shared" si="116"/>
        <v>127.75</v>
      </c>
    </row>
    <row r="404" spans="1:8" ht="45" outlineLevel="2">
      <c r="A404" s="297" t="s">
        <v>13331</v>
      </c>
      <c r="B404" s="291">
        <v>90373</v>
      </c>
      <c r="C404" s="439" t="str">
        <f t="shared" si="113"/>
        <v>JOELHO 90 GRAUS COM BUCHA DE LATÃO, PVC, SOLDÁVEL, DN 25MM, X 1/2 INSTALADO EM RAMAL OU SUB-RAMAL DE ÁGUA - FORNECIMENTO E INSTALAÇÃO. AF_12/2014</v>
      </c>
      <c r="D404" s="291" t="s">
        <v>28</v>
      </c>
      <c r="E404" s="430">
        <v>2</v>
      </c>
      <c r="F404" s="426">
        <f t="shared" si="114"/>
        <v>10.72</v>
      </c>
      <c r="G404" s="426">
        <f t="shared" si="115"/>
        <v>10.72</v>
      </c>
      <c r="H404" s="431">
        <f t="shared" si="116"/>
        <v>21.44</v>
      </c>
    </row>
    <row r="405" spans="1:8" ht="30" outlineLevel="2">
      <c r="A405" s="297" t="s">
        <v>13332</v>
      </c>
      <c r="B405" s="291">
        <v>89625</v>
      </c>
      <c r="C405" s="439" t="str">
        <f t="shared" si="113"/>
        <v>TE, PVC, SOLDÁVEL, DN 50MM, INSTALADO EM PRUMADA DE ÁGUA - FORNECIMENTO E INSTALAÇÃO. AF_12/2014</v>
      </c>
      <c r="D405" s="291" t="s">
        <v>28</v>
      </c>
      <c r="E405" s="430">
        <v>1</v>
      </c>
      <c r="F405" s="426">
        <f t="shared" si="114"/>
        <v>16.2</v>
      </c>
      <c r="G405" s="426">
        <f t="shared" si="115"/>
        <v>16.2</v>
      </c>
      <c r="H405" s="431">
        <f t="shared" si="116"/>
        <v>16.2</v>
      </c>
    </row>
    <row r="406" spans="1:8" ht="30" outlineLevel="2">
      <c r="A406" s="297" t="s">
        <v>13333</v>
      </c>
      <c r="B406" s="291">
        <v>89628</v>
      </c>
      <c r="C406" s="439" t="str">
        <f t="shared" si="113"/>
        <v>TE, PVC, SOLDÁVEL, DN 60MM, INSTALADO EM PRUMADA DE ÁGUA - FORNECIMENTO E INSTALAÇÃO. AF_12/2014</v>
      </c>
      <c r="D406" s="291" t="s">
        <v>28</v>
      </c>
      <c r="E406" s="430">
        <v>1</v>
      </c>
      <c r="F406" s="426">
        <f t="shared" si="114"/>
        <v>32.880000000000003</v>
      </c>
      <c r="G406" s="426">
        <f t="shared" si="115"/>
        <v>32.880000000000003</v>
      </c>
      <c r="H406" s="431">
        <f t="shared" si="116"/>
        <v>32.880000000000003</v>
      </c>
    </row>
    <row r="407" spans="1:8" ht="30" outlineLevel="2">
      <c r="A407" s="297" t="s">
        <v>13334</v>
      </c>
      <c r="B407" s="291">
        <v>89629</v>
      </c>
      <c r="C407" s="439" t="str">
        <f t="shared" si="113"/>
        <v>TE, PVC, SOLDÁVEL, DN 75MM, INSTALADO EM PRUMADA DE ÁGUA - FORNECIMENTO E INSTALAÇÃO. AF_12/2014</v>
      </c>
      <c r="D407" s="291" t="s">
        <v>28</v>
      </c>
      <c r="E407" s="430">
        <v>1</v>
      </c>
      <c r="F407" s="426">
        <f t="shared" si="114"/>
        <v>59.67</v>
      </c>
      <c r="G407" s="426">
        <f t="shared" si="115"/>
        <v>59.67</v>
      </c>
      <c r="H407" s="431">
        <f t="shared" si="116"/>
        <v>59.67</v>
      </c>
    </row>
    <row r="408" spans="1:8" ht="60" outlineLevel="2">
      <c r="A408" s="297" t="s">
        <v>13335</v>
      </c>
      <c r="B408" s="291">
        <v>89396</v>
      </c>
      <c r="C408" s="439" t="str">
        <f t="shared" si="113"/>
        <v>TÊ COM BUCHA DE LATÃO NA BOLSA CENTRAL, PVC, SOLDÁVEL, DN 25MM X 1/2, INSTALADO EM RAMAL OU SUB-RAMAL DE ÁGUA - FORNECIMENTO E INSTALAÇÃO. AF_12/2014</v>
      </c>
      <c r="D408" s="291" t="s">
        <v>28</v>
      </c>
      <c r="E408" s="430">
        <v>1</v>
      </c>
      <c r="F408" s="426">
        <f t="shared" si="114"/>
        <v>14.98</v>
      </c>
      <c r="G408" s="426">
        <f t="shared" si="115"/>
        <v>14.98</v>
      </c>
      <c r="H408" s="431">
        <f t="shared" si="116"/>
        <v>14.98</v>
      </c>
    </row>
    <row r="409" spans="1:8" ht="45" outlineLevel="2">
      <c r="A409" s="297" t="s">
        <v>13336</v>
      </c>
      <c r="B409" s="291">
        <v>89579</v>
      </c>
      <c r="C409" s="439" t="str">
        <f t="shared" si="113"/>
        <v>LUVA DE REDUÇÃO, PVC, SOLDÁVEL, DN 50MM X 25MM, INSTALADO EM PRUMADA DE ÁGUA   FORNECIMENTO E INSTALAÇÃO. AF_12/2014</v>
      </c>
      <c r="D409" s="291" t="s">
        <v>28</v>
      </c>
      <c r="E409" s="430">
        <v>1</v>
      </c>
      <c r="F409" s="426">
        <f t="shared" si="114"/>
        <v>8.64</v>
      </c>
      <c r="G409" s="426">
        <f t="shared" si="115"/>
        <v>8.64</v>
      </c>
      <c r="H409" s="431">
        <f t="shared" si="116"/>
        <v>8.64</v>
      </c>
    </row>
    <row r="410" spans="1:8" ht="45" outlineLevel="2">
      <c r="A410" s="297" t="s">
        <v>13337</v>
      </c>
      <c r="B410" s="291" t="s">
        <v>12881</v>
      </c>
      <c r="C410" s="442" t="s">
        <v>12882</v>
      </c>
      <c r="D410" s="291" t="s">
        <v>28</v>
      </c>
      <c r="E410" s="430">
        <v>1</v>
      </c>
      <c r="F410" s="426">
        <f>'COMP. HIDRO'!G82</f>
        <v>13.46</v>
      </c>
      <c r="G410" s="426">
        <f t="shared" si="115"/>
        <v>13.46</v>
      </c>
      <c r="H410" s="431">
        <f t="shared" si="116"/>
        <v>13.46</v>
      </c>
    </row>
    <row r="411" spans="1:8" ht="45" outlineLevel="2">
      <c r="A411" s="297" t="s">
        <v>13338</v>
      </c>
      <c r="B411" s="291">
        <v>89605</v>
      </c>
      <c r="C411" s="439" t="str">
        <f>IFERROR(VLOOKUP(B411,comp_nãodes,2,FALSE),VLOOKUP(B411,insnãodes,2,FALSE))</f>
        <v>LUVA DE REDUÇÃO, PVC, SOLDÁVEL, DN 60MM X 50MM, INSTALADO EM PRUMADA DE ÁGUA - FORNECIMENTO E INSTALAÇÃO. AF_12/2014</v>
      </c>
      <c r="D411" s="291" t="s">
        <v>28</v>
      </c>
      <c r="E411" s="430">
        <v>1</v>
      </c>
      <c r="F411" s="426">
        <f>IFERROR(VLOOKUP(B411,comp_nãodes,4,FALSE),VLOOKUP(B411,insnãodes,4,FALSE))</f>
        <v>14.81</v>
      </c>
      <c r="G411" s="426">
        <f t="shared" si="115"/>
        <v>14.81</v>
      </c>
      <c r="H411" s="431">
        <f t="shared" si="116"/>
        <v>14.81</v>
      </c>
    </row>
    <row r="412" spans="1:8" ht="45" outlineLevel="2">
      <c r="A412" s="297" t="s">
        <v>13339</v>
      </c>
      <c r="B412" s="291" t="s">
        <v>12885</v>
      </c>
      <c r="C412" s="442" t="s">
        <v>12886</v>
      </c>
      <c r="D412" s="291" t="s">
        <v>28</v>
      </c>
      <c r="E412" s="430">
        <v>1</v>
      </c>
      <c r="F412" s="426">
        <f>'COMP. HIDRO'!G30</f>
        <v>22.68</v>
      </c>
      <c r="G412" s="426">
        <f t="shared" si="115"/>
        <v>22.68</v>
      </c>
      <c r="H412" s="431">
        <f t="shared" si="116"/>
        <v>22.68</v>
      </c>
    </row>
    <row r="413" spans="1:8" ht="45" outlineLevel="2">
      <c r="A413" s="297" t="s">
        <v>13340</v>
      </c>
      <c r="B413" s="291">
        <v>89987</v>
      </c>
      <c r="C413" s="439" t="str">
        <f t="shared" ref="C413:C419" si="117">IFERROR(VLOOKUP(B413,comp_nãodes,2,FALSE),VLOOKUP(B413,insnãodes,2,FALSE))</f>
        <v>REGISTRO DE GAVETA BRUTO, LATÃO, ROSCÁVEL, 3/4", COM ACABAMENTO E CANOPLA CROMADOS. FORNECIDO E INSTALADO EM RAMAL DE ÁGUA. AF_12/2014</v>
      </c>
      <c r="D413" s="291" t="s">
        <v>28</v>
      </c>
      <c r="E413" s="430">
        <v>1</v>
      </c>
      <c r="F413" s="426">
        <f t="shared" ref="F413:F419" si="118">IFERROR(VLOOKUP(B413,comp_nãodes,4,FALSE),VLOOKUP(B413,insnãodes,4,FALSE))</f>
        <v>68.650000000000006</v>
      </c>
      <c r="G413" s="426">
        <f t="shared" si="115"/>
        <v>68.650000000000006</v>
      </c>
      <c r="H413" s="431">
        <f t="shared" si="116"/>
        <v>68.650000000000006</v>
      </c>
    </row>
    <row r="414" spans="1:8" ht="75" outlineLevel="2">
      <c r="A414" s="297" t="s">
        <v>13341</v>
      </c>
      <c r="B414" s="291">
        <v>94794</v>
      </c>
      <c r="C414" s="439" t="str">
        <f t="shared" si="117"/>
        <v>REGISTRO DE GAVETA BRUTO, LATÃO, ROSCÁVEL, 1 1/2, COM ACABAMENTO E CANOPLA CROMADOS, INSTALADO EM RESERVAÇÃO DE ÁGUA DE EDIFICAÇÃO QUE POSSUA RESERVATÓRIO DE FIBRA/FIBROCIMENTO  FORNECIMENTO E INSTALAÇÃO. AF_06/2016</v>
      </c>
      <c r="D414" s="291" t="s">
        <v>28</v>
      </c>
      <c r="E414" s="430">
        <v>1</v>
      </c>
      <c r="F414" s="426">
        <f t="shared" si="118"/>
        <v>133.07</v>
      </c>
      <c r="G414" s="426">
        <f t="shared" si="115"/>
        <v>133.07</v>
      </c>
      <c r="H414" s="431">
        <f t="shared" si="116"/>
        <v>133.07</v>
      </c>
    </row>
    <row r="415" spans="1:8" ht="45" outlineLevel="2">
      <c r="A415" s="297" t="s">
        <v>13342</v>
      </c>
      <c r="B415" s="291">
        <v>99635</v>
      </c>
      <c r="C415" s="439" t="str">
        <f t="shared" si="117"/>
        <v>VÁLVULA DE DESCARGA METÁLICA, BASE 1 1/2 ", ACABAMENTO METALICO CROMADO - FORNECIMENTO E INSTALAÇÃO. AF_01/2019</v>
      </c>
      <c r="D415" s="291" t="s">
        <v>28</v>
      </c>
      <c r="E415" s="430">
        <v>1</v>
      </c>
      <c r="F415" s="426">
        <f t="shared" si="118"/>
        <v>198.52</v>
      </c>
      <c r="G415" s="426">
        <f t="shared" si="115"/>
        <v>198.52</v>
      </c>
      <c r="H415" s="431">
        <f t="shared" si="116"/>
        <v>198.52</v>
      </c>
    </row>
    <row r="416" spans="1:8" ht="60" outlineLevel="2">
      <c r="A416" s="297" t="s">
        <v>13343</v>
      </c>
      <c r="B416" s="291">
        <v>89383</v>
      </c>
      <c r="C416" s="439" t="str">
        <f t="shared" si="117"/>
        <v>ADAPTADOR CURTO COM BOLSA E ROSCA PARA REGISTRO, PVC, SOLDÁVEL, DN 25MM X 3/4, INSTALADO EM RAMAL OU SUB-RAMAL DE ÁGUA - FORNECIMENTO E INSTALAÇÃO. AF_12/2014</v>
      </c>
      <c r="D416" s="291" t="s">
        <v>28</v>
      </c>
      <c r="E416" s="430">
        <v>2</v>
      </c>
      <c r="F416" s="426">
        <f t="shared" si="118"/>
        <v>5.2</v>
      </c>
      <c r="G416" s="426">
        <f t="shared" si="115"/>
        <v>5.2</v>
      </c>
      <c r="H416" s="431">
        <f t="shared" si="116"/>
        <v>10.4</v>
      </c>
    </row>
    <row r="417" spans="1:8" ht="60" outlineLevel="2">
      <c r="A417" s="297" t="s">
        <v>13344</v>
      </c>
      <c r="B417" s="291">
        <v>89596</v>
      </c>
      <c r="C417" s="439" t="str">
        <f t="shared" si="117"/>
        <v>ADAPTADOR CURTO COM BOLSA E ROSCA PARA REGISTRO, PVC, SOLDÁVEL, DN 50MM X 1.1/2, INSTALADO EM PRUMADA DE ÁGUA - FORNECIMENTO E INSTALAÇÃO. AF_12/2014</v>
      </c>
      <c r="D417" s="291" t="s">
        <v>28</v>
      </c>
      <c r="E417" s="430">
        <v>3</v>
      </c>
      <c r="F417" s="426">
        <f t="shared" si="118"/>
        <v>8.32</v>
      </c>
      <c r="G417" s="426">
        <f t="shared" si="115"/>
        <v>8.32</v>
      </c>
      <c r="H417" s="431">
        <f t="shared" si="116"/>
        <v>24.96</v>
      </c>
    </row>
    <row r="418" spans="1:8" ht="60" outlineLevel="2">
      <c r="A418" s="297" t="s">
        <v>13345</v>
      </c>
      <c r="B418" s="291">
        <v>86932</v>
      </c>
      <c r="C418" s="439" t="str">
        <f t="shared" si="117"/>
        <v>VASO SANITÁRIO SIFONADO COM CAIXA ACOPLADA LOUÇA BRANCA - PADRÃO MÉDIO, INCLUSO ENGATE FLEXÍVEL EM METAL CROMADO, 1/2  X 40CM - FORNECIMENTO E INSTALAÇÃO. AF_01/2020</v>
      </c>
      <c r="D418" s="291" t="s">
        <v>28</v>
      </c>
      <c r="E418" s="430">
        <v>1</v>
      </c>
      <c r="F418" s="426">
        <f t="shared" si="118"/>
        <v>362.24</v>
      </c>
      <c r="G418" s="426">
        <f t="shared" si="115"/>
        <v>362.24</v>
      </c>
      <c r="H418" s="431">
        <f t="shared" si="116"/>
        <v>362.24</v>
      </c>
    </row>
    <row r="419" spans="1:8" ht="60" outlineLevel="2">
      <c r="A419" s="297" t="s">
        <v>13346</v>
      </c>
      <c r="B419" s="291">
        <v>95472</v>
      </c>
      <c r="C419" s="439" t="str">
        <f t="shared" si="117"/>
        <v>VASO SANITARIO SIFONADO CONVENCIONAL PARA PCD SEM FURO FRONTAL COM LOUÇA BRANCA SEM ASSENTO, INCLUSO CONJUNTO DE LIGAÇÃO PARA BACIA SANITÁRIA AJUSTÁVEL - FORNECIMENTO E INSTALAÇÃO. AF_01/2020</v>
      </c>
      <c r="D419" s="291" t="s">
        <v>28</v>
      </c>
      <c r="E419" s="430">
        <v>1</v>
      </c>
      <c r="F419" s="426">
        <f t="shared" si="118"/>
        <v>568.57000000000005</v>
      </c>
      <c r="G419" s="426">
        <f t="shared" si="115"/>
        <v>568.57000000000005</v>
      </c>
      <c r="H419" s="431">
        <f t="shared" si="116"/>
        <v>568.57000000000005</v>
      </c>
    </row>
    <row r="420" spans="1:8" ht="30" outlineLevel="2">
      <c r="A420" s="297" t="s">
        <v>13347</v>
      </c>
      <c r="B420" s="291" t="s">
        <v>12891</v>
      </c>
      <c r="C420" s="442" t="s">
        <v>12892</v>
      </c>
      <c r="D420" s="291" t="s">
        <v>28</v>
      </c>
      <c r="E420" s="430">
        <v>2</v>
      </c>
      <c r="F420" s="426">
        <f>'COMP. HIDRO'!G323</f>
        <v>26.77</v>
      </c>
      <c r="G420" s="426">
        <f t="shared" si="115"/>
        <v>26.77</v>
      </c>
      <c r="H420" s="431">
        <f t="shared" si="116"/>
        <v>53.54</v>
      </c>
    </row>
    <row r="421" spans="1:8" ht="45" outlineLevel="2">
      <c r="A421" s="297" t="s">
        <v>13348</v>
      </c>
      <c r="B421" s="291" t="s">
        <v>12939</v>
      </c>
      <c r="C421" s="442" t="s">
        <v>12940</v>
      </c>
      <c r="D421" s="291" t="s">
        <v>28</v>
      </c>
      <c r="E421" s="430">
        <v>2</v>
      </c>
      <c r="F421" s="426">
        <f>'COMP. HIDRO'!G384</f>
        <v>166.66</v>
      </c>
      <c r="G421" s="426">
        <f t="shared" si="115"/>
        <v>166.66</v>
      </c>
      <c r="H421" s="431">
        <f t="shared" si="116"/>
        <v>333.32</v>
      </c>
    </row>
    <row r="422" spans="1:8" ht="30" outlineLevel="2">
      <c r="A422" s="297" t="s">
        <v>13349</v>
      </c>
      <c r="B422" s="291" t="s">
        <v>12893</v>
      </c>
      <c r="C422" s="442" t="s">
        <v>12894</v>
      </c>
      <c r="D422" s="291" t="s">
        <v>117</v>
      </c>
      <c r="E422" s="430">
        <v>1</v>
      </c>
      <c r="F422" s="426">
        <f>'COMP. HIDRO'!G344</f>
        <v>502.91999999999996</v>
      </c>
      <c r="G422" s="426">
        <f t="shared" si="115"/>
        <v>502.92</v>
      </c>
      <c r="H422" s="431">
        <f t="shared" si="116"/>
        <v>502.92</v>
      </c>
    </row>
    <row r="423" spans="1:8" ht="60" outlineLevel="2">
      <c r="A423" s="297" t="s">
        <v>13350</v>
      </c>
      <c r="B423" s="291">
        <v>86937</v>
      </c>
      <c r="C423" s="439" t="str">
        <f t="shared" ref="C423:C433" si="119">IFERROR(VLOOKUP(B423,comp_nãodes,2,FALSE),VLOOKUP(B423,insnãodes,2,FALSE))</f>
        <v>CUBA DE EMBUTIR OVAL EM LOUÇA BRANCA, 35 X 50CM OU EQUIVALENTE, INCLUSO VÁLVULA EM METAL CROMADO E SIFÃO FLEXÍVEL EM PVC - FORNECIMENTO E INSTALAÇÃO. AF_01/2020</v>
      </c>
      <c r="D423" s="291" t="s">
        <v>28</v>
      </c>
      <c r="E423" s="430">
        <v>2</v>
      </c>
      <c r="F423" s="426">
        <f t="shared" ref="F423:F433" si="120">IFERROR(VLOOKUP(B423,comp_nãodes,4,FALSE),VLOOKUP(B423,insnãodes,4,FALSE))</f>
        <v>135.69</v>
      </c>
      <c r="G423" s="426">
        <f t="shared" si="115"/>
        <v>135.69</v>
      </c>
      <c r="H423" s="431">
        <f t="shared" si="116"/>
        <v>271.38</v>
      </c>
    </row>
    <row r="424" spans="1:8" ht="30" outlineLevel="2">
      <c r="A424" s="297" t="s">
        <v>13351</v>
      </c>
      <c r="B424" s="291">
        <v>95542</v>
      </c>
      <c r="C424" s="439" t="str">
        <f t="shared" si="119"/>
        <v>PORTA TOALHA ROSTO EM METAL CROMADO, TIPO ARGOLA, INCLUSO FIXAÇÃO. AF_01/2020</v>
      </c>
      <c r="D424" s="291" t="s">
        <v>28</v>
      </c>
      <c r="E424" s="430">
        <v>1</v>
      </c>
      <c r="F424" s="426">
        <f t="shared" si="120"/>
        <v>28.2</v>
      </c>
      <c r="G424" s="426">
        <f t="shared" si="115"/>
        <v>28.2</v>
      </c>
      <c r="H424" s="431">
        <f t="shared" si="116"/>
        <v>28.2</v>
      </c>
    </row>
    <row r="425" spans="1:8" ht="30" outlineLevel="2">
      <c r="A425" s="297" t="s">
        <v>13352</v>
      </c>
      <c r="B425" s="291">
        <v>95544</v>
      </c>
      <c r="C425" s="439" t="str">
        <f t="shared" si="119"/>
        <v>PAPELEIRA DE PAREDE EM METAL CROMADO SEM TAMPA, INCLUSO FIXAÇÃO. AF_01/2020</v>
      </c>
      <c r="D425" s="291" t="s">
        <v>28</v>
      </c>
      <c r="E425" s="430">
        <v>1</v>
      </c>
      <c r="F425" s="426">
        <f t="shared" si="120"/>
        <v>34.49</v>
      </c>
      <c r="G425" s="426">
        <f t="shared" si="115"/>
        <v>34.49</v>
      </c>
      <c r="H425" s="431">
        <f t="shared" si="116"/>
        <v>34.49</v>
      </c>
    </row>
    <row r="426" spans="1:8" ht="45" outlineLevel="2">
      <c r="A426" s="297" t="s">
        <v>13353</v>
      </c>
      <c r="B426" s="291">
        <v>95547</v>
      </c>
      <c r="C426" s="439" t="str">
        <f t="shared" si="119"/>
        <v>SABONETEIRA PLASTICA TIPO DISPENSER PARA SABONETE LIQUIDO COM RESERVATORIO 800 A 1500 ML, INCLUSO FIXAÇÃO. AF_01/2020</v>
      </c>
      <c r="D426" s="291" t="s">
        <v>28</v>
      </c>
      <c r="E426" s="430">
        <v>1</v>
      </c>
      <c r="F426" s="426">
        <f t="shared" si="120"/>
        <v>47.3</v>
      </c>
      <c r="G426" s="426">
        <f t="shared" si="115"/>
        <v>47.3</v>
      </c>
      <c r="H426" s="431">
        <f t="shared" si="116"/>
        <v>47.3</v>
      </c>
    </row>
    <row r="427" spans="1:8" ht="45" outlineLevel="2">
      <c r="A427" s="297" t="s">
        <v>13354</v>
      </c>
      <c r="B427" s="291">
        <v>100861</v>
      </c>
      <c r="C427" s="439" t="str">
        <f t="shared" si="119"/>
        <v>SUPORTE MÃO FRANCESA EM AÇO, ABAS IGUAIS 30 CM, CAPACIDADE MINIMA 60 KG, BRANCO - FORNECIMENTO E INSTALAÇÃO. AF_01/2020</v>
      </c>
      <c r="D427" s="291" t="s">
        <v>28</v>
      </c>
      <c r="E427" s="430">
        <v>4</v>
      </c>
      <c r="F427" s="426">
        <f t="shared" si="120"/>
        <v>23.61</v>
      </c>
      <c r="G427" s="426">
        <f t="shared" si="115"/>
        <v>23.61</v>
      </c>
      <c r="H427" s="431">
        <f t="shared" si="116"/>
        <v>94.44</v>
      </c>
    </row>
    <row r="428" spans="1:8" ht="45" outlineLevel="2">
      <c r="A428" s="297" t="s">
        <v>13355</v>
      </c>
      <c r="B428" s="291">
        <v>89711</v>
      </c>
      <c r="C428" s="439" t="str">
        <f t="shared" si="119"/>
        <v>TUBO PVC, SERIE NORMAL, ESGOTO PREDIAL, DN 40 MM, FORNECIDO E INSTALADO EM RAMAL DE DESCARGA OU RAMAL DE ESGOTO SANITÁRIO. AF_12/2014</v>
      </c>
      <c r="D428" s="291" t="s">
        <v>35</v>
      </c>
      <c r="E428" s="430">
        <v>3</v>
      </c>
      <c r="F428" s="426">
        <f t="shared" si="120"/>
        <v>14.44</v>
      </c>
      <c r="G428" s="426">
        <f t="shared" si="115"/>
        <v>14.44</v>
      </c>
      <c r="H428" s="431">
        <f t="shared" si="116"/>
        <v>43.32</v>
      </c>
    </row>
    <row r="429" spans="1:8" ht="45" outlineLevel="2">
      <c r="A429" s="297" t="s">
        <v>13356</v>
      </c>
      <c r="B429" s="291">
        <v>89712</v>
      </c>
      <c r="C429" s="439" t="str">
        <f t="shared" si="119"/>
        <v>TUBO PVC, SERIE NORMAL, ESGOTO PREDIAL, DN 50 MM, FORNECIDO E INSTALADO EM RAMAL DE DESCARGA OU RAMAL DE ESGOTO SANITÁRIO. AF_12/2014</v>
      </c>
      <c r="D429" s="291" t="s">
        <v>35</v>
      </c>
      <c r="E429" s="430">
        <v>3.5</v>
      </c>
      <c r="F429" s="426">
        <f t="shared" si="120"/>
        <v>21.63</v>
      </c>
      <c r="G429" s="426">
        <f t="shared" si="115"/>
        <v>21.63</v>
      </c>
      <c r="H429" s="431">
        <f t="shared" si="116"/>
        <v>75.7</v>
      </c>
    </row>
    <row r="430" spans="1:8" ht="45" outlineLevel="2">
      <c r="A430" s="297" t="s">
        <v>13357</v>
      </c>
      <c r="B430" s="291">
        <v>89798</v>
      </c>
      <c r="C430" s="439" t="str">
        <f t="shared" si="119"/>
        <v>TUBO PVC, SERIE NORMAL, ESGOTO PREDIAL, DN 50 MM, FORNECIDO E INSTALADO EM PRUMADA DE ESGOTO SANITÁRIO OU VENTILAÇÃO. AF_12/2014</v>
      </c>
      <c r="D430" s="291" t="s">
        <v>35</v>
      </c>
      <c r="E430" s="430">
        <v>5</v>
      </c>
      <c r="F430" s="426">
        <f t="shared" si="120"/>
        <v>8.58</v>
      </c>
      <c r="G430" s="426">
        <f t="shared" si="115"/>
        <v>8.58</v>
      </c>
      <c r="H430" s="431">
        <f t="shared" si="116"/>
        <v>42.9</v>
      </c>
    </row>
    <row r="431" spans="1:8" ht="45" outlineLevel="2">
      <c r="A431" s="297" t="s">
        <v>13358</v>
      </c>
      <c r="B431" s="291">
        <v>89714</v>
      </c>
      <c r="C431" s="439" t="str">
        <f t="shared" si="119"/>
        <v>TUBO PVC, SERIE NORMAL, ESGOTO PREDIAL, DN 100 MM, FORNECIDO E INSTALADO EM RAMAL DE DESCARGA OU RAMAL DE ESGOTO SANITÁRIO. AF_12/2014</v>
      </c>
      <c r="D431" s="291" t="s">
        <v>35</v>
      </c>
      <c r="E431" s="430">
        <v>20</v>
      </c>
      <c r="F431" s="426">
        <f t="shared" si="120"/>
        <v>42.91</v>
      </c>
      <c r="G431" s="426">
        <f t="shared" si="115"/>
        <v>42.91</v>
      </c>
      <c r="H431" s="431">
        <f t="shared" si="116"/>
        <v>858.2</v>
      </c>
    </row>
    <row r="432" spans="1:8" ht="60" outlineLevel="2">
      <c r="A432" s="297" t="s">
        <v>13359</v>
      </c>
      <c r="B432" s="291">
        <v>89753</v>
      </c>
      <c r="C432" s="439" t="str">
        <f t="shared" si="119"/>
        <v>LUVA SIMPLES, PVC, SERIE NORMAL, ESGOTO PREDIAL, DN 50 MM, JUNTA ELÁSTICA, FORNECIDO E INSTALADO EM RAMAL DE DESCARGA OU RAMAL DE ESGOTO SANITÁRIO. AF_12/2014</v>
      </c>
      <c r="D432" s="291" t="s">
        <v>28</v>
      </c>
      <c r="E432" s="430">
        <v>3</v>
      </c>
      <c r="F432" s="426">
        <f t="shared" si="120"/>
        <v>6.94</v>
      </c>
      <c r="G432" s="426">
        <f t="shared" si="115"/>
        <v>6.94</v>
      </c>
      <c r="H432" s="431">
        <f t="shared" si="116"/>
        <v>20.82</v>
      </c>
    </row>
    <row r="433" spans="1:8" ht="60" outlineLevel="2">
      <c r="A433" s="297" t="s">
        <v>13360</v>
      </c>
      <c r="B433" s="291">
        <v>89778</v>
      </c>
      <c r="C433" s="439" t="str">
        <f t="shared" si="119"/>
        <v>LUVA SIMPLES, PVC, SERIE NORMAL, ESGOTO PREDIAL, DN 100 MM, JUNTA ELÁSTICA, FORNECIDO E INSTALADO EM RAMAL DE DESCARGA OU RAMAL DE ESGOTO SANITÁRIO. AF_12/2014</v>
      </c>
      <c r="D433" s="291" t="s">
        <v>28</v>
      </c>
      <c r="E433" s="430">
        <v>5</v>
      </c>
      <c r="F433" s="426">
        <f t="shared" si="120"/>
        <v>14.37</v>
      </c>
      <c r="G433" s="426">
        <f t="shared" si="115"/>
        <v>14.37</v>
      </c>
      <c r="H433" s="431">
        <f t="shared" si="116"/>
        <v>71.849999999999994</v>
      </c>
    </row>
    <row r="434" spans="1:8" ht="30" outlineLevel="2">
      <c r="A434" s="297" t="s">
        <v>13361</v>
      </c>
      <c r="B434" s="291" t="s">
        <v>12897</v>
      </c>
      <c r="C434" s="442" t="s">
        <v>12898</v>
      </c>
      <c r="D434" s="291" t="s">
        <v>28</v>
      </c>
      <c r="E434" s="430">
        <v>1</v>
      </c>
      <c r="F434" s="426">
        <f>'COMP. HIDRO'!G397</f>
        <v>8.24</v>
      </c>
      <c r="G434" s="426">
        <f t="shared" si="115"/>
        <v>8.24</v>
      </c>
      <c r="H434" s="431">
        <f t="shared" si="116"/>
        <v>8.24</v>
      </c>
    </row>
    <row r="435" spans="1:8" ht="60" outlineLevel="2">
      <c r="A435" s="297" t="s">
        <v>13362</v>
      </c>
      <c r="B435" s="291">
        <v>89724</v>
      </c>
      <c r="C435" s="439" t="str">
        <f t="shared" ref="C435:C442" si="121">IFERROR(VLOOKUP(B435,comp_nãodes,2,FALSE),VLOOKUP(B435,insnãodes,2,FALSE))</f>
        <v>JOELHO 90 GRAUS, PVC, SERIE NORMAL, ESGOTO PREDIAL, DN 40 MM, JUNTA SOLDÁVEL, FORNECIDO E INSTALADO EM RAMAL DE DESCARGA OU RAMAL DE ESGOTO SANITÁRIO. AF_12/2014</v>
      </c>
      <c r="D435" s="291" t="s">
        <v>28</v>
      </c>
      <c r="E435" s="430">
        <v>2</v>
      </c>
      <c r="F435" s="426">
        <f t="shared" ref="F435:F442" si="122">IFERROR(VLOOKUP(B435,comp_nãodes,4,FALSE),VLOOKUP(B435,insnãodes,4,FALSE))</f>
        <v>7.59</v>
      </c>
      <c r="G435" s="426">
        <f t="shared" si="115"/>
        <v>7.59</v>
      </c>
      <c r="H435" s="431">
        <f t="shared" si="116"/>
        <v>15.18</v>
      </c>
    </row>
    <row r="436" spans="1:8" ht="60" outlineLevel="2">
      <c r="A436" s="297" t="s">
        <v>13363</v>
      </c>
      <c r="B436" s="291">
        <v>89731</v>
      </c>
      <c r="C436" s="439" t="str">
        <f t="shared" si="121"/>
        <v>JOELHO 90 GRAUS, PVC, SERIE NORMAL, ESGOTO PREDIAL, DN 50 MM, JUNTA ELÁSTICA, FORNECIDO E INSTALADO EM RAMAL DE DESCARGA OU RAMAL DE ESGOTO SANITÁRIO. AF_12/2014</v>
      </c>
      <c r="D436" s="291" t="s">
        <v>28</v>
      </c>
      <c r="E436" s="430">
        <v>4</v>
      </c>
      <c r="F436" s="426">
        <f t="shared" si="122"/>
        <v>8.44</v>
      </c>
      <c r="G436" s="426">
        <f t="shared" si="115"/>
        <v>8.44</v>
      </c>
      <c r="H436" s="431">
        <f t="shared" si="116"/>
        <v>33.76</v>
      </c>
    </row>
    <row r="437" spans="1:8" ht="60" outlineLevel="2">
      <c r="A437" s="297" t="s">
        <v>13364</v>
      </c>
      <c r="B437" s="291">
        <v>89726</v>
      </c>
      <c r="C437" s="439" t="str">
        <f t="shared" si="121"/>
        <v>JOELHO 45 GRAUS, PVC, SERIE NORMAL, ESGOTO PREDIAL, DN 40 MM, JUNTA SOLDÁVEL, FORNECIDO E INSTALADO EM RAMAL DE DESCARGA OU RAMAL DE ESGOTO SANITÁRIO. AF_12/2014</v>
      </c>
      <c r="D437" s="291" t="s">
        <v>28</v>
      </c>
      <c r="E437" s="430">
        <v>2</v>
      </c>
      <c r="F437" s="426">
        <f t="shared" si="122"/>
        <v>5.85</v>
      </c>
      <c r="G437" s="426">
        <f t="shared" si="115"/>
        <v>5.85</v>
      </c>
      <c r="H437" s="431">
        <f t="shared" si="116"/>
        <v>11.7</v>
      </c>
    </row>
    <row r="438" spans="1:8" ht="60" outlineLevel="2">
      <c r="A438" s="297" t="s">
        <v>13365</v>
      </c>
      <c r="B438" s="291">
        <v>89810</v>
      </c>
      <c r="C438" s="439" t="str">
        <f t="shared" si="121"/>
        <v>JOELHO 45 GRAUS, PVC, SERIE NORMAL, ESGOTO PREDIAL, DN 100 MM, JUNTA ELÁSTICA, FORNECIDO E INSTALADO EM PRUMADA DE ESGOTO SANITÁRIO OU VENTILAÇÃO. AF_12/2014</v>
      </c>
      <c r="D438" s="291" t="s">
        <v>28</v>
      </c>
      <c r="E438" s="430">
        <v>1</v>
      </c>
      <c r="F438" s="426">
        <f t="shared" si="122"/>
        <v>13.88</v>
      </c>
      <c r="G438" s="426">
        <f t="shared" si="115"/>
        <v>13.88</v>
      </c>
      <c r="H438" s="431">
        <f t="shared" si="116"/>
        <v>13.88</v>
      </c>
    </row>
    <row r="439" spans="1:8" ht="60" outlineLevel="2">
      <c r="A439" s="297" t="s">
        <v>13366</v>
      </c>
      <c r="B439" s="291">
        <v>89728</v>
      </c>
      <c r="C439" s="439" t="str">
        <f t="shared" si="121"/>
        <v>CURVA CURTA 90 GRAUS, PVC, SERIE NORMAL, ESGOTO PREDIAL, DN 40 MM, JUNTA SOLDÁVEL, FORNECIDO E INSTALADO EM RAMAL DE DESCARGA OU RAMAL DE ESGOTO SANITÁRIO. AF_12/2014</v>
      </c>
      <c r="D439" s="291" t="s">
        <v>28</v>
      </c>
      <c r="E439" s="430">
        <v>2</v>
      </c>
      <c r="F439" s="426">
        <f t="shared" si="122"/>
        <v>8.02</v>
      </c>
      <c r="G439" s="426">
        <f t="shared" si="115"/>
        <v>8.02</v>
      </c>
      <c r="H439" s="431">
        <f t="shared" si="116"/>
        <v>16.04</v>
      </c>
    </row>
    <row r="440" spans="1:8" ht="60" outlineLevel="2">
      <c r="A440" s="297" t="s">
        <v>13367</v>
      </c>
      <c r="B440" s="291">
        <v>89748</v>
      </c>
      <c r="C440" s="439" t="str">
        <f t="shared" si="121"/>
        <v>CURVA CURTA 90 GRAUS, PVC, SERIE NORMAL, ESGOTO PREDIAL, DN 100 MM, JUNTA ELÁSTICA, FORNECIDO E INSTALADO EM RAMAL DE DESCARGA OU RAMAL DE ESGOTO SANITÁRIO. AF_12/2014</v>
      </c>
      <c r="D440" s="291" t="s">
        <v>28</v>
      </c>
      <c r="E440" s="430">
        <v>2</v>
      </c>
      <c r="F440" s="426">
        <f t="shared" si="122"/>
        <v>27.64</v>
      </c>
      <c r="G440" s="426">
        <f t="shared" si="115"/>
        <v>27.64</v>
      </c>
      <c r="H440" s="431">
        <f t="shared" si="116"/>
        <v>55.28</v>
      </c>
    </row>
    <row r="441" spans="1:8" ht="45" outlineLevel="2">
      <c r="A441" s="297" t="s">
        <v>13368</v>
      </c>
      <c r="B441" s="291">
        <v>89784</v>
      </c>
      <c r="C441" s="439" t="str">
        <f t="shared" si="121"/>
        <v>TE, PVC, SERIE NORMAL, ESGOTO PREDIAL, DN 50 X 50 MM, JUNTA ELÁSTICA, FORNECIDO E INSTALADO EM RAMAL DE DESCARGA OU RAMAL DE ESGOTO SANITÁRIO. AF_12/2014</v>
      </c>
      <c r="D441" s="291" t="s">
        <v>28</v>
      </c>
      <c r="E441" s="430">
        <v>1</v>
      </c>
      <c r="F441" s="426">
        <f t="shared" si="122"/>
        <v>15.12</v>
      </c>
      <c r="G441" s="426">
        <f t="shared" si="115"/>
        <v>15.12</v>
      </c>
      <c r="H441" s="431">
        <f t="shared" si="116"/>
        <v>15.12</v>
      </c>
    </row>
    <row r="442" spans="1:8" ht="60" outlineLevel="2">
      <c r="A442" s="297" t="s">
        <v>13369</v>
      </c>
      <c r="B442" s="291">
        <v>89785</v>
      </c>
      <c r="C442" s="439" t="str">
        <f t="shared" si="121"/>
        <v>JUNÇÃO SIMPLES, PVC, SERIE NORMAL, ESGOTO PREDIAL, DN 50 X 50 MM, JUNTA ELÁSTICA, FORNECIDO E INSTALADO EM RAMAL DE DESCARGA OU RAMAL DE ESGOTO SANITÁRIO. AF_12/2014</v>
      </c>
      <c r="D442" s="291" t="s">
        <v>28</v>
      </c>
      <c r="E442" s="430">
        <v>1</v>
      </c>
      <c r="F442" s="426">
        <f t="shared" si="122"/>
        <v>16.29</v>
      </c>
      <c r="G442" s="426">
        <f t="shared" si="115"/>
        <v>16.29</v>
      </c>
      <c r="H442" s="431">
        <f t="shared" si="116"/>
        <v>16.29</v>
      </c>
    </row>
    <row r="443" spans="1:8" ht="30" outlineLevel="2">
      <c r="A443" s="297" t="s">
        <v>13370</v>
      </c>
      <c r="B443" s="291" t="s">
        <v>12901</v>
      </c>
      <c r="C443" s="442" t="s">
        <v>12902</v>
      </c>
      <c r="D443" s="291" t="s">
        <v>28</v>
      </c>
      <c r="E443" s="430">
        <v>1</v>
      </c>
      <c r="F443" s="426">
        <f>'COMP. HIDRO'!G451</f>
        <v>34.299999999999997</v>
      </c>
      <c r="G443" s="426">
        <f t="shared" si="115"/>
        <v>34.299999999999997</v>
      </c>
      <c r="H443" s="431">
        <f t="shared" si="116"/>
        <v>34.299999999999997</v>
      </c>
    </row>
    <row r="444" spans="1:8" ht="60" outlineLevel="2">
      <c r="A444" s="297" t="s">
        <v>13371</v>
      </c>
      <c r="B444" s="291">
        <v>89797</v>
      </c>
      <c r="C444" s="439" t="str">
        <f>IFERROR(VLOOKUP(B444,comp_nãodes,2,FALSE),VLOOKUP(B444,insnãodes,2,FALSE))</f>
        <v>JUNÇÃO SIMPLES, PVC, SERIE NORMAL, ESGOTO PREDIAL, DN 100 X 100 MM, JUNTA ELÁSTICA, FORNECIDO E INSTALADO EM RAMAL DE DESCARGA OU RAMAL DE ESGOTO SANITÁRIO. AF_12/2014</v>
      </c>
      <c r="D444" s="291" t="s">
        <v>28</v>
      </c>
      <c r="E444" s="430">
        <v>1</v>
      </c>
      <c r="F444" s="426">
        <f>IFERROR(VLOOKUP(B444,comp_nãodes,4,FALSE),VLOOKUP(B444,insnãodes,4,FALSE))</f>
        <v>34.380000000000003</v>
      </c>
      <c r="G444" s="426">
        <f t="shared" si="115"/>
        <v>34.380000000000003</v>
      </c>
      <c r="H444" s="431">
        <f t="shared" si="116"/>
        <v>34.380000000000003</v>
      </c>
    </row>
    <row r="445" spans="1:8" ht="45" outlineLevel="2">
      <c r="A445" s="297" t="s">
        <v>13372</v>
      </c>
      <c r="B445" s="291" t="s">
        <v>12909</v>
      </c>
      <c r="C445" s="442" t="s">
        <v>12910</v>
      </c>
      <c r="D445" s="291" t="s">
        <v>28</v>
      </c>
      <c r="E445" s="430">
        <v>2</v>
      </c>
      <c r="F445" s="426">
        <f>'COMP. HIDRO'!G551</f>
        <v>73.53</v>
      </c>
      <c r="G445" s="426">
        <f t="shared" si="115"/>
        <v>73.53</v>
      </c>
      <c r="H445" s="431">
        <f t="shared" si="116"/>
        <v>147.06</v>
      </c>
    </row>
    <row r="446" spans="1:8" ht="45" outlineLevel="2">
      <c r="A446" s="297" t="s">
        <v>13373</v>
      </c>
      <c r="B446" s="291" t="s">
        <v>5049</v>
      </c>
      <c r="C446" s="439" t="str">
        <f>IFERROR(VLOOKUP(B446,comp_nãodes,2,FALSE),VLOOKUP(B446,insnãodes,2,FALSE))</f>
        <v>CAIXA DE INSPEÇÃO EM CONCRETO PRÉ-MOLDADO DN 60CM COM TAMPA H= 60CM - FORNECIMENTO E INSTALACAO</v>
      </c>
      <c r="D446" s="291" t="s">
        <v>28</v>
      </c>
      <c r="E446" s="430">
        <v>1</v>
      </c>
      <c r="F446" s="426">
        <f>IFERROR(VLOOKUP(B446,comp_nãodes,4,FALSE),VLOOKUP(B446,insnãodes,4,FALSE))</f>
        <v>219.64</v>
      </c>
      <c r="G446" s="426">
        <f t="shared" si="115"/>
        <v>219.64</v>
      </c>
      <c r="H446" s="431">
        <f t="shared" si="116"/>
        <v>219.64</v>
      </c>
    </row>
    <row r="447" spans="1:8" ht="45" outlineLevel="2">
      <c r="A447" s="297" t="s">
        <v>13374</v>
      </c>
      <c r="B447" s="291">
        <v>89578</v>
      </c>
      <c r="C447" s="439" t="str">
        <f>IFERROR(VLOOKUP(B447,comp_nãodes,2,FALSE),VLOOKUP(B447,insnãodes,2,FALSE))</f>
        <v>TUBO PVC, SÉRIE R, ÁGUA PLUVIAL, DN 100 MM, FORNECIDO E INSTALADO EM CONDUTORES VERTICAIS DE ÁGUAS PLUVIAIS. AF_12/2014</v>
      </c>
      <c r="D447" s="291" t="s">
        <v>35</v>
      </c>
      <c r="E447" s="430">
        <v>16</v>
      </c>
      <c r="F447" s="426">
        <f>IFERROR(VLOOKUP(B447,comp_nãodes,4,FALSE),VLOOKUP(B447,insnãodes,4,FALSE))</f>
        <v>29.76</v>
      </c>
      <c r="G447" s="426">
        <f t="shared" si="115"/>
        <v>29.76</v>
      </c>
      <c r="H447" s="431">
        <f t="shared" si="116"/>
        <v>476.16</v>
      </c>
    </row>
    <row r="448" spans="1:8" ht="45" outlineLevel="2">
      <c r="A448" s="297" t="s">
        <v>13375</v>
      </c>
      <c r="B448" s="291">
        <v>89584</v>
      </c>
      <c r="C448" s="439" t="str">
        <f>IFERROR(VLOOKUP(B448,comp_nãodes,2,FALSE),VLOOKUP(B448,insnãodes,2,FALSE))</f>
        <v>JOELHO 90 GRAUS, PVC, SERIE R, ÁGUA PLUVIAL, DN 100 MM, JUNTA ELÁSTICA, FORNECIDO E INSTALADO EM CONDUTORES VERTICAIS DE ÁGUAS PLUVIAIS. AF_12/2014</v>
      </c>
      <c r="D448" s="291" t="s">
        <v>28</v>
      </c>
      <c r="E448" s="430">
        <v>12</v>
      </c>
      <c r="F448" s="426">
        <f>IFERROR(VLOOKUP(B448,comp_nãodes,4,FALSE),VLOOKUP(B448,insnãodes,4,FALSE))</f>
        <v>28.43</v>
      </c>
      <c r="G448" s="426">
        <f t="shared" si="115"/>
        <v>28.43</v>
      </c>
      <c r="H448" s="431">
        <f t="shared" si="116"/>
        <v>341.16</v>
      </c>
    </row>
    <row r="449" spans="1:8" ht="45" outlineLevel="2">
      <c r="A449" s="297" t="s">
        <v>13376</v>
      </c>
      <c r="B449" s="291">
        <v>100327</v>
      </c>
      <c r="C449" s="439" t="str">
        <f>IFERROR(VLOOKUP(B449,comp_nãodes,2,FALSE),VLOOKUP(B449,insnãodes,2,FALSE))</f>
        <v>RUFO EXTERNO/INTERNO EM CHAPA DE AÇO GALVANIZADO NÚMERO 26, CORTE DE 33 CM, INCLUSO IÇAMENTO. AF_07/2019</v>
      </c>
      <c r="D449" s="291" t="s">
        <v>35</v>
      </c>
      <c r="E449" s="430">
        <v>38</v>
      </c>
      <c r="F449" s="426">
        <f>IFERROR(VLOOKUP(B449,comp_nãodes,4,FALSE),VLOOKUP(B449,insnãodes,4,FALSE))</f>
        <v>36.47</v>
      </c>
      <c r="G449" s="426">
        <f t="shared" si="115"/>
        <v>36.47</v>
      </c>
      <c r="H449" s="431">
        <f t="shared" si="116"/>
        <v>1385.86</v>
      </c>
    </row>
    <row r="450" spans="1:8" ht="45" outlineLevel="2">
      <c r="A450" s="297" t="s">
        <v>13377</v>
      </c>
      <c r="B450" s="291">
        <v>94228</v>
      </c>
      <c r="C450" s="439" t="str">
        <f>IFERROR(VLOOKUP(B450,comp_nãodes,2,FALSE),VLOOKUP(B450,insnãodes,2,FALSE))</f>
        <v>CALHA EM CHAPA DE AÇO GALVANIZADO NÚMERO 24, DESENVOLVIMENTO DE 50 CM, INCLUSO TRANSPORTE VERTICAL. AF_07/2019</v>
      </c>
      <c r="D450" s="291" t="s">
        <v>35</v>
      </c>
      <c r="E450" s="430">
        <v>40</v>
      </c>
      <c r="F450" s="426">
        <f>IFERROR(VLOOKUP(B450,comp_nãodes,4,FALSE),VLOOKUP(B450,insnãodes,4,FALSE))</f>
        <v>54.31</v>
      </c>
      <c r="G450" s="426">
        <f t="shared" si="115"/>
        <v>54.31</v>
      </c>
      <c r="H450" s="431">
        <f t="shared" si="116"/>
        <v>2172.4</v>
      </c>
    </row>
    <row r="451" spans="1:8" ht="30" outlineLevel="2">
      <c r="A451" s="297" t="s">
        <v>13378</v>
      </c>
      <c r="B451" s="291" t="s">
        <v>12919</v>
      </c>
      <c r="C451" s="442" t="s">
        <v>12920</v>
      </c>
      <c r="D451" s="291" t="s">
        <v>28</v>
      </c>
      <c r="E451" s="430">
        <v>4</v>
      </c>
      <c r="F451" s="426">
        <f>'COMP. HIDRO'!G583</f>
        <v>30.189999999999998</v>
      </c>
      <c r="G451" s="426">
        <f t="shared" si="115"/>
        <v>30.19</v>
      </c>
      <c r="H451" s="431">
        <f t="shared" si="116"/>
        <v>120.76</v>
      </c>
    </row>
    <row r="452" spans="1:8" ht="60" outlineLevel="2">
      <c r="A452" s="297" t="s">
        <v>13379</v>
      </c>
      <c r="B452" s="291">
        <v>91175</v>
      </c>
      <c r="C452" s="439" t="str">
        <f>IFERROR(VLOOKUP(B452,comp_nãodes,2,FALSE),VLOOKUP(B452,insnãodes,2,FALSE))</f>
        <v>FIXAÇÃO DE TUBOS VERTICAIS DE PPR DIÂMETROS MAIORES QUE 75 MM COM ABRAÇADEIRA METÁLICA RÍGIDA TIPO D 3", FIXADA EM PERFILADO EM ALVENARIA. AF_05/2015</v>
      </c>
      <c r="D452" s="291" t="s">
        <v>35</v>
      </c>
      <c r="E452" s="430">
        <v>8</v>
      </c>
      <c r="F452" s="426">
        <f>IFERROR(VLOOKUP(B452,comp_nãodes,4,FALSE),VLOOKUP(B452,insnãodes,4,FALSE))</f>
        <v>3.86</v>
      </c>
      <c r="G452" s="426">
        <f t="shared" si="115"/>
        <v>3.86</v>
      </c>
      <c r="H452" s="431">
        <f t="shared" si="116"/>
        <v>30.88</v>
      </c>
    </row>
    <row r="453" spans="1:8" ht="15.75" outlineLevel="2">
      <c r="A453" s="297"/>
      <c r="B453" s="292"/>
      <c r="C453" s="440"/>
      <c r="D453" s="305"/>
      <c r="E453" s="428"/>
      <c r="F453" s="426"/>
      <c r="G453" s="428" t="s">
        <v>11684</v>
      </c>
      <c r="H453" s="429">
        <f>SUM(H398:H452)</f>
        <v>9896.33</v>
      </c>
    </row>
    <row r="454" spans="1:8" ht="15.75" outlineLevel="2">
      <c r="A454" s="296" t="s">
        <v>13268</v>
      </c>
      <c r="B454" s="306"/>
      <c r="C454" s="441" t="s">
        <v>12941</v>
      </c>
      <c r="D454" s="305"/>
      <c r="E454" s="428"/>
      <c r="F454" s="426"/>
      <c r="G454" s="428"/>
      <c r="H454" s="429"/>
    </row>
    <row r="455" spans="1:8" ht="45" outlineLevel="2">
      <c r="A455" s="297" t="s">
        <v>13269</v>
      </c>
      <c r="B455" s="291">
        <v>91926</v>
      </c>
      <c r="C455" s="439" t="str">
        <f t="shared" ref="C455:C489" si="123">IFERROR(VLOOKUP(B455,comp_nãodes,2,FALSE),VLOOKUP(B455,insnãodes,2,FALSE))</f>
        <v>CABO DE COBRE FLEXÍVEL ISOLADO, 2,5 MM², ANTI-CHAMA 450/750 V, PARA CIRCUITOS TERMINAIS - FORNECIMENTO E INSTALAÇÃO. AF_12/2015</v>
      </c>
      <c r="D455" s="291" t="s">
        <v>35</v>
      </c>
      <c r="E455" s="430">
        <v>1528</v>
      </c>
      <c r="F455" s="426">
        <f t="shared" ref="F455:F489" si="124">IFERROR(VLOOKUP(B455,comp_nãodes,4,FALSE),VLOOKUP(B455,insnãodes,4,FALSE))</f>
        <v>2.71</v>
      </c>
      <c r="G455" s="426">
        <f t="shared" ref="G455:G516" si="125">TRUNC(F455*(1+$E$1),2)</f>
        <v>2.71</v>
      </c>
      <c r="H455" s="431">
        <f t="shared" ref="H455:H516" si="126">TRUNC(E455*G455,2)</f>
        <v>4140.88</v>
      </c>
    </row>
    <row r="456" spans="1:8" ht="45" outlineLevel="2">
      <c r="A456" s="297" t="s">
        <v>13380</v>
      </c>
      <c r="B456" s="291">
        <v>91928</v>
      </c>
      <c r="C456" s="439" t="str">
        <f t="shared" si="123"/>
        <v>CABO DE COBRE FLEXÍVEL ISOLADO, 4 MM², ANTI-CHAMA 450/750 V, PARA CIRCUITOS TERMINAIS - FORNECIMENTO E INSTALAÇÃO. AF_12/2015</v>
      </c>
      <c r="D456" s="291" t="s">
        <v>35</v>
      </c>
      <c r="E456" s="430">
        <v>951</v>
      </c>
      <c r="F456" s="426">
        <f t="shared" si="124"/>
        <v>4.34</v>
      </c>
      <c r="G456" s="426">
        <f t="shared" si="125"/>
        <v>4.34</v>
      </c>
      <c r="H456" s="431">
        <f t="shared" si="126"/>
        <v>4127.34</v>
      </c>
    </row>
    <row r="457" spans="1:8" ht="45" outlineLevel="2">
      <c r="A457" s="297" t="s">
        <v>13381</v>
      </c>
      <c r="B457" s="291">
        <v>91953</v>
      </c>
      <c r="C457" s="439" t="str">
        <f t="shared" si="123"/>
        <v>INTERRUPTOR SIMPLES (1 MÓDULO), 10A/250V, INCLUINDO SUPORTE E PLACA - FORNECIMENTO E INSTALAÇÃO. AF_12/2015</v>
      </c>
      <c r="D457" s="291" t="s">
        <v>28</v>
      </c>
      <c r="E457" s="430">
        <v>5</v>
      </c>
      <c r="F457" s="426">
        <f t="shared" si="124"/>
        <v>18.07</v>
      </c>
      <c r="G457" s="426">
        <f t="shared" si="125"/>
        <v>18.07</v>
      </c>
      <c r="H457" s="431">
        <f t="shared" si="126"/>
        <v>90.35</v>
      </c>
    </row>
    <row r="458" spans="1:8" ht="45" outlineLevel="2">
      <c r="A458" s="297" t="s">
        <v>13382</v>
      </c>
      <c r="B458" s="291">
        <v>91959</v>
      </c>
      <c r="C458" s="439" t="str">
        <f t="shared" si="123"/>
        <v>INTERRUPTOR SIMPLES (2 MÓDULOS), 10A/250V, INCLUINDO SUPORTE E PLACA - FORNECIMENTO E INSTALAÇÃO. AF_12/2015</v>
      </c>
      <c r="D458" s="291" t="s">
        <v>28</v>
      </c>
      <c r="E458" s="430">
        <v>5</v>
      </c>
      <c r="F458" s="426">
        <f t="shared" si="124"/>
        <v>28.55</v>
      </c>
      <c r="G458" s="426">
        <f t="shared" si="125"/>
        <v>28.55</v>
      </c>
      <c r="H458" s="431">
        <f t="shared" si="126"/>
        <v>142.75</v>
      </c>
    </row>
    <row r="459" spans="1:8" ht="45" outlineLevel="2">
      <c r="A459" s="297" t="s">
        <v>13383</v>
      </c>
      <c r="B459" s="291">
        <v>91955</v>
      </c>
      <c r="C459" s="439" t="str">
        <f t="shared" si="123"/>
        <v>INTERRUPTOR PARALELO (1 MÓDULO), 10A/250V, INCLUINDO SUPORTE E PLACA - FORNECIMENTO E INSTALAÇÃO. AF_12/2015</v>
      </c>
      <c r="D459" s="291" t="s">
        <v>28</v>
      </c>
      <c r="E459" s="430">
        <v>9</v>
      </c>
      <c r="F459" s="426">
        <f t="shared" si="124"/>
        <v>22.45</v>
      </c>
      <c r="G459" s="426">
        <f t="shared" si="125"/>
        <v>22.45</v>
      </c>
      <c r="H459" s="431">
        <f t="shared" si="126"/>
        <v>202.05</v>
      </c>
    </row>
    <row r="460" spans="1:8" ht="45" outlineLevel="2">
      <c r="A460" s="297" t="s">
        <v>13384</v>
      </c>
      <c r="B460" s="291">
        <v>91963</v>
      </c>
      <c r="C460" s="439" t="str">
        <f t="shared" si="123"/>
        <v>INTERRUPTOR SIMPLES (1 MÓDULO) COM INTERRUPTOR PARALELO (2 MÓDULOS), 10A/250V, INCLUINDO SUPORTE E PLACA - FORNECIMENTO E INSTALAÇÃO. AF_12/2015</v>
      </c>
      <c r="D460" s="291" t="s">
        <v>28</v>
      </c>
      <c r="E460" s="430">
        <v>1</v>
      </c>
      <c r="F460" s="426">
        <f t="shared" si="124"/>
        <v>47.75</v>
      </c>
      <c r="G460" s="426">
        <f t="shared" si="125"/>
        <v>47.75</v>
      </c>
      <c r="H460" s="431">
        <f t="shared" si="126"/>
        <v>47.75</v>
      </c>
    </row>
    <row r="461" spans="1:8" ht="45" outlineLevel="2">
      <c r="A461" s="297" t="s">
        <v>13385</v>
      </c>
      <c r="B461" s="291">
        <v>92023</v>
      </c>
      <c r="C461" s="439" t="str">
        <f t="shared" si="123"/>
        <v>INTERRUPTOR SIMPLES (1 MÓDULO) COM 1 TOMADA DE EMBUTIR 2P+T 10 A,  INCLUINDO SUPORTE E PLACA - FORNECIMENTO E INSTALAÇÃO. AF_12/2015</v>
      </c>
      <c r="D461" s="291" t="s">
        <v>28</v>
      </c>
      <c r="E461" s="430">
        <v>2</v>
      </c>
      <c r="F461" s="426">
        <f t="shared" si="124"/>
        <v>32.15</v>
      </c>
      <c r="G461" s="426">
        <f t="shared" si="125"/>
        <v>32.15</v>
      </c>
      <c r="H461" s="431">
        <f t="shared" si="126"/>
        <v>64.3</v>
      </c>
    </row>
    <row r="462" spans="1:8" ht="45" outlineLevel="2">
      <c r="A462" s="297" t="s">
        <v>13386</v>
      </c>
      <c r="B462" s="291">
        <v>91992</v>
      </c>
      <c r="C462" s="439" t="str">
        <f t="shared" si="123"/>
        <v>TOMADA ALTA DE EMBUTIR (1 MÓDULO), 2P+T 10 A, INCLUINDO SUPORTE E PLACA - FORNECIMENTO E INSTALAÇÃO. AF_12/2015</v>
      </c>
      <c r="D462" s="291" t="s">
        <v>28</v>
      </c>
      <c r="E462" s="430">
        <v>14</v>
      </c>
      <c r="F462" s="426">
        <f t="shared" si="124"/>
        <v>28.54</v>
      </c>
      <c r="G462" s="426">
        <f t="shared" si="125"/>
        <v>28.54</v>
      </c>
      <c r="H462" s="431">
        <f t="shared" si="126"/>
        <v>399.56</v>
      </c>
    </row>
    <row r="463" spans="1:8" ht="45" outlineLevel="2">
      <c r="A463" s="297" t="s">
        <v>13387</v>
      </c>
      <c r="B463" s="291">
        <v>92000</v>
      </c>
      <c r="C463" s="439" t="str">
        <f t="shared" si="123"/>
        <v>TOMADA BAIXA DE EMBUTIR (1 MÓDULO), 2P+T 10 A, INCLUINDO SUPORTE E PLACA - FORNECIMENTO E INSTALAÇÃO. AF_12/2015</v>
      </c>
      <c r="D463" s="291" t="s">
        <v>28</v>
      </c>
      <c r="E463" s="430">
        <v>58</v>
      </c>
      <c r="F463" s="426">
        <f t="shared" si="124"/>
        <v>19.059999999999999</v>
      </c>
      <c r="G463" s="426">
        <f t="shared" si="125"/>
        <v>19.059999999999999</v>
      </c>
      <c r="H463" s="431">
        <f t="shared" si="126"/>
        <v>1105.48</v>
      </c>
    </row>
    <row r="464" spans="1:8" ht="45" outlineLevel="2">
      <c r="A464" s="297" t="s">
        <v>13388</v>
      </c>
      <c r="B464" s="291">
        <v>92001</v>
      </c>
      <c r="C464" s="439" t="str">
        <f t="shared" si="123"/>
        <v>TOMADA BAIXA DE EMBUTIR (1 MÓDULO), 2P+T 20 A, INCLUINDO SUPORTE E PLACA - FORNECIMENTO E INSTALAÇÃO. AF_12/2015</v>
      </c>
      <c r="D464" s="291" t="s">
        <v>28</v>
      </c>
      <c r="E464" s="430">
        <v>6</v>
      </c>
      <c r="F464" s="426">
        <f t="shared" si="124"/>
        <v>20.49</v>
      </c>
      <c r="G464" s="426">
        <f t="shared" si="125"/>
        <v>20.49</v>
      </c>
      <c r="H464" s="431">
        <f t="shared" si="126"/>
        <v>122.94</v>
      </c>
    </row>
    <row r="465" spans="1:8" ht="30" outlineLevel="2">
      <c r="A465" s="297" t="s">
        <v>13389</v>
      </c>
      <c r="B465" s="291">
        <v>93654</v>
      </c>
      <c r="C465" s="439" t="str">
        <f t="shared" si="123"/>
        <v>DISJUNTOR MONOPOLAR TIPO DIN, CORRENTE NOMINAL DE 16A - FORNECIMENTO E INSTALAÇÃO. AF_04/2016</v>
      </c>
      <c r="D465" s="291" t="s">
        <v>28</v>
      </c>
      <c r="E465" s="430">
        <v>4</v>
      </c>
      <c r="F465" s="426">
        <f t="shared" si="124"/>
        <v>9.67</v>
      </c>
      <c r="G465" s="426">
        <f t="shared" si="125"/>
        <v>9.67</v>
      </c>
      <c r="H465" s="431">
        <f t="shared" si="126"/>
        <v>38.68</v>
      </c>
    </row>
    <row r="466" spans="1:8" ht="30" outlineLevel="2">
      <c r="A466" s="297" t="s">
        <v>13390</v>
      </c>
      <c r="B466" s="291">
        <v>93655</v>
      </c>
      <c r="C466" s="439" t="str">
        <f t="shared" si="123"/>
        <v>DISJUNTOR MONOPOLAR TIPO DIN, CORRENTE NOMINAL DE 20A - FORNECIMENTO E INSTALAÇÃO. AF_04/2016</v>
      </c>
      <c r="D466" s="291" t="s">
        <v>28</v>
      </c>
      <c r="E466" s="430">
        <v>17</v>
      </c>
      <c r="F466" s="426">
        <f t="shared" si="124"/>
        <v>10.51</v>
      </c>
      <c r="G466" s="426">
        <f t="shared" si="125"/>
        <v>10.51</v>
      </c>
      <c r="H466" s="431">
        <f t="shared" si="126"/>
        <v>178.67</v>
      </c>
    </row>
    <row r="467" spans="1:8" ht="30" outlineLevel="2">
      <c r="A467" s="297" t="s">
        <v>13391</v>
      </c>
      <c r="B467" s="291">
        <v>93661</v>
      </c>
      <c r="C467" s="439" t="str">
        <f t="shared" si="123"/>
        <v>DISJUNTOR BIPOLAR TIPO DIN, CORRENTE NOMINAL DE 16A - FORNECIMENTO E INSTALAÇÃO. AF_04/2016</v>
      </c>
      <c r="D467" s="291" t="s">
        <v>28</v>
      </c>
      <c r="E467" s="430">
        <v>10</v>
      </c>
      <c r="F467" s="426">
        <f t="shared" si="124"/>
        <v>46.54</v>
      </c>
      <c r="G467" s="426">
        <f t="shared" si="125"/>
        <v>46.54</v>
      </c>
      <c r="H467" s="431">
        <f t="shared" si="126"/>
        <v>465.4</v>
      </c>
    </row>
    <row r="468" spans="1:8" ht="30" outlineLevel="2">
      <c r="A468" s="297" t="s">
        <v>13392</v>
      </c>
      <c r="B468" s="291">
        <v>93662</v>
      </c>
      <c r="C468" s="439" t="str">
        <f t="shared" si="123"/>
        <v>DISJUNTOR BIPOLAR TIPO DIN, CORRENTE NOMINAL DE 20A - FORNECIMENTO E INSTALAÇÃO. AF_04/2016</v>
      </c>
      <c r="D468" s="291" t="s">
        <v>28</v>
      </c>
      <c r="E468" s="430">
        <v>2</v>
      </c>
      <c r="F468" s="426">
        <f t="shared" si="124"/>
        <v>48.3</v>
      </c>
      <c r="G468" s="426">
        <f t="shared" si="125"/>
        <v>48.3</v>
      </c>
      <c r="H468" s="431">
        <f t="shared" si="126"/>
        <v>96.6</v>
      </c>
    </row>
    <row r="469" spans="1:8" ht="45" outlineLevel="2">
      <c r="A469" s="297" t="s">
        <v>13393</v>
      </c>
      <c r="B469" s="291" t="s">
        <v>3566</v>
      </c>
      <c r="C469" s="439" t="str">
        <f t="shared" si="123"/>
        <v>DISJUNTOR TERMOMAGNETICO TRIPOLAR PADRAO NEMA (AMERICANO) 60 A 100A 240V, FORNECIMENTO E INSTALACAO</v>
      </c>
      <c r="D469" s="291" t="s">
        <v>28</v>
      </c>
      <c r="E469" s="430">
        <v>1</v>
      </c>
      <c r="F469" s="426">
        <f t="shared" si="124"/>
        <v>103.9</v>
      </c>
      <c r="G469" s="426">
        <f t="shared" si="125"/>
        <v>103.9</v>
      </c>
      <c r="H469" s="431">
        <f t="shared" si="126"/>
        <v>103.9</v>
      </c>
    </row>
    <row r="470" spans="1:8" ht="30" outlineLevel="2">
      <c r="A470" s="297" t="s">
        <v>13394</v>
      </c>
      <c r="B470" s="291">
        <v>91936</v>
      </c>
      <c r="C470" s="439" t="str">
        <f t="shared" si="123"/>
        <v>CAIXA OCTOGONAL 4" X 4", PVC, INSTALADA EM LAJE - FORNECIMENTO E INSTALAÇÃO. AF_12/2015</v>
      </c>
      <c r="D470" s="291" t="s">
        <v>28</v>
      </c>
      <c r="E470" s="430">
        <v>40</v>
      </c>
      <c r="F470" s="426">
        <f t="shared" si="124"/>
        <v>9.48</v>
      </c>
      <c r="G470" s="426">
        <f t="shared" si="125"/>
        <v>9.48</v>
      </c>
      <c r="H470" s="431">
        <f t="shared" si="126"/>
        <v>379.2</v>
      </c>
    </row>
    <row r="471" spans="1:8" ht="45" outlineLevel="2">
      <c r="A471" s="297" t="s">
        <v>13395</v>
      </c>
      <c r="B471" s="291">
        <v>91939</v>
      </c>
      <c r="C471" s="439" t="str">
        <f t="shared" si="123"/>
        <v>CAIXA RETANGULAR 4" X 2" ALTA (2,00 M DO PISO), PVC, INSTALADA EM PAREDE - FORNECIMENTO E INSTALAÇÃO. AF_12/2015</v>
      </c>
      <c r="D471" s="291" t="s">
        <v>28</v>
      </c>
      <c r="E471" s="430">
        <v>29</v>
      </c>
      <c r="F471" s="426">
        <f t="shared" si="124"/>
        <v>20.91</v>
      </c>
      <c r="G471" s="426">
        <f t="shared" si="125"/>
        <v>20.91</v>
      </c>
      <c r="H471" s="431">
        <f t="shared" si="126"/>
        <v>606.39</v>
      </c>
    </row>
    <row r="472" spans="1:8" ht="45" outlineLevel="2">
      <c r="A472" s="297" t="s">
        <v>13396</v>
      </c>
      <c r="B472" s="291">
        <v>91940</v>
      </c>
      <c r="C472" s="439" t="str">
        <f t="shared" si="123"/>
        <v>CAIXA RETANGULAR 4" X 2" MÉDIA (1,30 M DO PISO), PVC, INSTALADA EM PAREDE - FORNECIMENTO E INSTALAÇÃO. AF_12/2015</v>
      </c>
      <c r="D472" s="291" t="s">
        <v>28</v>
      </c>
      <c r="E472" s="430">
        <v>22</v>
      </c>
      <c r="F472" s="426">
        <f t="shared" si="124"/>
        <v>11.02</v>
      </c>
      <c r="G472" s="426">
        <f t="shared" si="125"/>
        <v>11.02</v>
      </c>
      <c r="H472" s="431">
        <f t="shared" si="126"/>
        <v>242.44</v>
      </c>
    </row>
    <row r="473" spans="1:8" ht="45" outlineLevel="2">
      <c r="A473" s="297" t="s">
        <v>13397</v>
      </c>
      <c r="B473" s="291">
        <v>91941</v>
      </c>
      <c r="C473" s="439" t="str">
        <f t="shared" si="123"/>
        <v>CAIXA RETANGULAR 4" X 2" BAIXA (0,30 M DO PISO), PVC, INSTALADA EM PAREDE - FORNECIMENTO E INSTALAÇÃO. AF_12/2015</v>
      </c>
      <c r="D473" s="291" t="s">
        <v>28</v>
      </c>
      <c r="E473" s="430">
        <v>64</v>
      </c>
      <c r="F473" s="426">
        <f t="shared" si="124"/>
        <v>7.31</v>
      </c>
      <c r="G473" s="426">
        <f t="shared" si="125"/>
        <v>7.31</v>
      </c>
      <c r="H473" s="431">
        <f t="shared" si="126"/>
        <v>467.84</v>
      </c>
    </row>
    <row r="474" spans="1:8" ht="45" outlineLevel="2">
      <c r="A474" s="297" t="s">
        <v>13398</v>
      </c>
      <c r="B474" s="291">
        <v>91854</v>
      </c>
      <c r="C474" s="439" t="str">
        <f t="shared" si="123"/>
        <v>ELETRODUTO FLEXÍVEL CORRUGADO, PVC, DN 25 MM (3/4"), PARA CIRCUITOS TERMINAIS, INSTALADO EM PAREDE - FORNECIMENTO E INSTALAÇÃO. AF_12/2015</v>
      </c>
      <c r="D474" s="291" t="s">
        <v>35</v>
      </c>
      <c r="E474" s="430">
        <v>67</v>
      </c>
      <c r="F474" s="426">
        <f t="shared" si="124"/>
        <v>6.5</v>
      </c>
      <c r="G474" s="426">
        <f t="shared" si="125"/>
        <v>6.5</v>
      </c>
      <c r="H474" s="431">
        <f t="shared" si="126"/>
        <v>435.5</v>
      </c>
    </row>
    <row r="475" spans="1:8" ht="45" outlineLevel="2">
      <c r="A475" s="297" t="s">
        <v>13399</v>
      </c>
      <c r="B475" s="291">
        <v>91863</v>
      </c>
      <c r="C475" s="439" t="str">
        <f t="shared" si="123"/>
        <v>ELETRODUTO RÍGIDO ROSCÁVEL, PVC, DN 25 MM (3/4"), PARA CIRCUITOS TERMINAIS, INSTALADO EM FORRO - FORNECIMENTO E INSTALAÇÃO. AF_12/2015</v>
      </c>
      <c r="D475" s="291" t="s">
        <v>35</v>
      </c>
      <c r="E475" s="430">
        <v>147</v>
      </c>
      <c r="F475" s="426">
        <f t="shared" si="124"/>
        <v>7.78</v>
      </c>
      <c r="G475" s="426">
        <f t="shared" si="125"/>
        <v>7.78</v>
      </c>
      <c r="H475" s="431">
        <f t="shared" si="126"/>
        <v>1143.6600000000001</v>
      </c>
    </row>
    <row r="476" spans="1:8" ht="45" outlineLevel="2">
      <c r="A476" s="297" t="s">
        <v>13400</v>
      </c>
      <c r="B476" s="291">
        <v>91864</v>
      </c>
      <c r="C476" s="439" t="str">
        <f t="shared" si="123"/>
        <v>ELETRODUTO RÍGIDO ROSCÁVEL, PVC, DN 32 MM (1"), PARA CIRCUITOS TERMINAIS, INSTALADO EM FORRO - FORNECIMENTO E INSTALAÇÃO. AF_12/2015</v>
      </c>
      <c r="D476" s="291" t="s">
        <v>35</v>
      </c>
      <c r="E476" s="430">
        <v>26</v>
      </c>
      <c r="F476" s="426">
        <f t="shared" si="124"/>
        <v>10.01</v>
      </c>
      <c r="G476" s="426">
        <f t="shared" si="125"/>
        <v>10.01</v>
      </c>
      <c r="H476" s="431">
        <f t="shared" si="126"/>
        <v>260.26</v>
      </c>
    </row>
    <row r="477" spans="1:8" ht="45" outlineLevel="2">
      <c r="A477" s="297" t="s">
        <v>13401</v>
      </c>
      <c r="B477" s="291">
        <v>91865</v>
      </c>
      <c r="C477" s="439" t="str">
        <f t="shared" si="123"/>
        <v>ELETRODUTO RÍGIDO ROSCÁVEL, PVC, DN 40 MM (1 1/4"), PARA CIRCUITOS TERMINAIS, INSTALADO EM FORRO - FORNECIMENTO E INSTALAÇÃO. AF_12/2015</v>
      </c>
      <c r="D477" s="291" t="s">
        <v>35</v>
      </c>
      <c r="E477" s="430">
        <v>3</v>
      </c>
      <c r="F477" s="426">
        <f t="shared" si="124"/>
        <v>12.29</v>
      </c>
      <c r="G477" s="426">
        <f t="shared" si="125"/>
        <v>12.29</v>
      </c>
      <c r="H477" s="431">
        <f t="shared" si="126"/>
        <v>36.869999999999997</v>
      </c>
    </row>
    <row r="478" spans="1:8" ht="45" outlineLevel="2">
      <c r="A478" s="297" t="s">
        <v>13402</v>
      </c>
      <c r="B478" s="291">
        <v>91871</v>
      </c>
      <c r="C478" s="439" t="str">
        <f t="shared" si="123"/>
        <v>ELETRODUTO RÍGIDO ROSCÁVEL, PVC, DN 25 MM (3/4"), PARA CIRCUITOS TERMINAIS, INSTALADO EM PAREDE - FORNECIMENTO E INSTALAÇÃO. AF_12/2015</v>
      </c>
      <c r="D478" s="291" t="s">
        <v>35</v>
      </c>
      <c r="E478" s="430">
        <v>97</v>
      </c>
      <c r="F478" s="426">
        <f t="shared" si="124"/>
        <v>8.6</v>
      </c>
      <c r="G478" s="426">
        <f t="shared" si="125"/>
        <v>8.6</v>
      </c>
      <c r="H478" s="431">
        <f t="shared" si="126"/>
        <v>834.2</v>
      </c>
    </row>
    <row r="479" spans="1:8" ht="30" outlineLevel="2">
      <c r="A479" s="297" t="s">
        <v>13403</v>
      </c>
      <c r="B479" s="291">
        <v>93008</v>
      </c>
      <c r="C479" s="439" t="str">
        <f t="shared" si="123"/>
        <v>ELETRODUTO RÍGIDO ROSCÁVEL, PVC, DN 50 MM (1 1/2") - FORNECIMENTO E INSTALAÇÃO. AF_12/2015</v>
      </c>
      <c r="D479" s="291" t="s">
        <v>35</v>
      </c>
      <c r="E479" s="430">
        <v>4</v>
      </c>
      <c r="F479" s="426">
        <f t="shared" si="124"/>
        <v>10.06</v>
      </c>
      <c r="G479" s="426">
        <f t="shared" si="125"/>
        <v>10.06</v>
      </c>
      <c r="H479" s="431">
        <f t="shared" si="126"/>
        <v>40.24</v>
      </c>
    </row>
    <row r="480" spans="1:8" ht="45" outlineLevel="2">
      <c r="A480" s="297" t="s">
        <v>13404</v>
      </c>
      <c r="B480" s="291">
        <v>91877</v>
      </c>
      <c r="C480" s="439" t="str">
        <f t="shared" si="123"/>
        <v>LUVA PARA ELETRODUTO, PVC, ROSCÁVEL, DN 40 MM (1 1/4"), PARA CIRCUITOS TERMINAIS, INSTALADA EM FORRO - FORNECIMENTO E INSTALAÇÃO. AF_12/2015</v>
      </c>
      <c r="D480" s="291" t="s">
        <v>28</v>
      </c>
      <c r="E480" s="430">
        <v>2</v>
      </c>
      <c r="F480" s="426">
        <f t="shared" si="124"/>
        <v>8.1999999999999993</v>
      </c>
      <c r="G480" s="426">
        <f t="shared" si="125"/>
        <v>8.1999999999999993</v>
      </c>
      <c r="H480" s="431">
        <f t="shared" si="126"/>
        <v>16.399999999999999</v>
      </c>
    </row>
    <row r="481" spans="1:8" ht="45" outlineLevel="2">
      <c r="A481" s="297" t="s">
        <v>13405</v>
      </c>
      <c r="B481" s="291">
        <v>91875</v>
      </c>
      <c r="C481" s="439" t="str">
        <f t="shared" si="123"/>
        <v>LUVA PARA ELETRODUTO, PVC, ROSCÁVEL, DN 25 MM (3/4"), PARA CIRCUITOS TERMINAIS, INSTALADA EM FORRO - FORNECIMENTO E INSTALAÇÃO. AF_12/2015</v>
      </c>
      <c r="D481" s="291" t="s">
        <v>28</v>
      </c>
      <c r="E481" s="430">
        <v>29</v>
      </c>
      <c r="F481" s="426">
        <f t="shared" si="124"/>
        <v>4.71</v>
      </c>
      <c r="G481" s="426">
        <f t="shared" si="125"/>
        <v>4.71</v>
      </c>
      <c r="H481" s="431">
        <f t="shared" si="126"/>
        <v>136.59</v>
      </c>
    </row>
    <row r="482" spans="1:8" ht="45" outlineLevel="2">
      <c r="A482" s="297" t="s">
        <v>13406</v>
      </c>
      <c r="B482" s="291">
        <v>91876</v>
      </c>
      <c r="C482" s="439" t="str">
        <f t="shared" si="123"/>
        <v>LUVA PARA ELETRODUTO, PVC, ROSCÁVEL, DN 32 MM (1"), PARA CIRCUITOS TERMINAIS, INSTALADA EM FORRO - FORNECIMENTO E INSTALAÇÃO. AF_12/2015</v>
      </c>
      <c r="D482" s="291" t="s">
        <v>28</v>
      </c>
      <c r="E482" s="430">
        <v>2</v>
      </c>
      <c r="F482" s="426">
        <f t="shared" si="124"/>
        <v>6.21</v>
      </c>
      <c r="G482" s="426">
        <f t="shared" si="125"/>
        <v>6.21</v>
      </c>
      <c r="H482" s="431">
        <f t="shared" si="126"/>
        <v>12.42</v>
      </c>
    </row>
    <row r="483" spans="1:8" ht="30" outlineLevel="2">
      <c r="A483" s="297" t="s">
        <v>13407</v>
      </c>
      <c r="B483" s="291">
        <v>93013</v>
      </c>
      <c r="C483" s="439" t="str">
        <f t="shared" si="123"/>
        <v>LUVA PARA ELETRODUTO, PVC, ROSCÁVEL, DN 50 MM (1 1/2") - FORNECIMENTO E INSTALAÇÃO. AF_12/2015</v>
      </c>
      <c r="D483" s="291" t="s">
        <v>28</v>
      </c>
      <c r="E483" s="430">
        <v>4</v>
      </c>
      <c r="F483" s="426">
        <f t="shared" si="124"/>
        <v>10.61</v>
      </c>
      <c r="G483" s="426">
        <f t="shared" si="125"/>
        <v>10.61</v>
      </c>
      <c r="H483" s="431">
        <f t="shared" si="126"/>
        <v>42.44</v>
      </c>
    </row>
    <row r="484" spans="1:8" ht="45" outlineLevel="2">
      <c r="A484" s="297" t="s">
        <v>13408</v>
      </c>
      <c r="B484" s="291">
        <v>91890</v>
      </c>
      <c r="C484" s="439" t="str">
        <f t="shared" si="123"/>
        <v>CURVA 90 GRAUS PARA ELETRODUTO, PVC, ROSCÁVEL, DN 25 MM (3/4"), PARA CIRCUITOS TERMINAIS, INSTALADA EM FORRO - FORNECIMENTO E INSTALAÇÃO. AF_12/2015</v>
      </c>
      <c r="D484" s="291" t="s">
        <v>28</v>
      </c>
      <c r="E484" s="430">
        <v>55</v>
      </c>
      <c r="F484" s="426">
        <f t="shared" si="124"/>
        <v>7.73</v>
      </c>
      <c r="G484" s="426">
        <f t="shared" si="125"/>
        <v>7.73</v>
      </c>
      <c r="H484" s="431">
        <f t="shared" si="126"/>
        <v>425.15</v>
      </c>
    </row>
    <row r="485" spans="1:8" ht="45" outlineLevel="2">
      <c r="A485" s="297" t="s">
        <v>13409</v>
      </c>
      <c r="B485" s="291">
        <v>95787</v>
      </c>
      <c r="C485" s="439" t="str">
        <f t="shared" si="123"/>
        <v>CONDULETE DE ALUMÍNIO, TIPO LR, PARA ELETRODUTO DE AÇO GALVANIZADO DN 20 MM (3/4''), APARENTE - FORNECIMENTO E INSTALAÇÃO. AF_11/2016_P</v>
      </c>
      <c r="D485" s="291" t="s">
        <v>28</v>
      </c>
      <c r="E485" s="430">
        <v>1</v>
      </c>
      <c r="F485" s="426">
        <f t="shared" si="124"/>
        <v>19.91</v>
      </c>
      <c r="G485" s="426">
        <f t="shared" si="125"/>
        <v>19.91</v>
      </c>
      <c r="H485" s="431">
        <f t="shared" si="126"/>
        <v>19.91</v>
      </c>
    </row>
    <row r="486" spans="1:8" ht="45" outlineLevel="2">
      <c r="A486" s="297" t="s">
        <v>13410</v>
      </c>
      <c r="B486" s="291">
        <v>95789</v>
      </c>
      <c r="C486" s="439" t="str">
        <f t="shared" si="123"/>
        <v>CONDULETE DE ALUMÍNIO, TIPO LR, PARA ELETRODUTO DE AÇO GALVANIZADO DN 25 MM (1''), APARENTE - FORNECIMENTO E INSTALAÇÃO. AF_11/2016_P</v>
      </c>
      <c r="D486" s="291" t="s">
        <v>28</v>
      </c>
      <c r="E486" s="430">
        <v>1</v>
      </c>
      <c r="F486" s="426">
        <f t="shared" si="124"/>
        <v>24.1</v>
      </c>
      <c r="G486" s="426">
        <f t="shared" si="125"/>
        <v>24.1</v>
      </c>
      <c r="H486" s="431">
        <f t="shared" si="126"/>
        <v>24.1</v>
      </c>
    </row>
    <row r="487" spans="1:8" ht="30" outlineLevel="2">
      <c r="A487" s="297" t="s">
        <v>13411</v>
      </c>
      <c r="B487" s="291">
        <v>97607</v>
      </c>
      <c r="C487" s="439" t="str">
        <f t="shared" si="123"/>
        <v>LUMINÁRIA ARANDELA TIPO TARTARUGA PARA 1 LÂMPADA LED - FORNECIMENTO E INSTALAÇÃO. AF_11/2017</v>
      </c>
      <c r="D487" s="291" t="s">
        <v>28</v>
      </c>
      <c r="E487" s="430">
        <v>3</v>
      </c>
      <c r="F487" s="426">
        <f t="shared" si="124"/>
        <v>71.27</v>
      </c>
      <c r="G487" s="426">
        <f t="shared" si="125"/>
        <v>71.27</v>
      </c>
      <c r="H487" s="431">
        <f t="shared" si="126"/>
        <v>213.81</v>
      </c>
    </row>
    <row r="488" spans="1:8" ht="30" outlineLevel="2">
      <c r="A488" s="297" t="s">
        <v>13412</v>
      </c>
      <c r="B488" s="291">
        <v>93043</v>
      </c>
      <c r="C488" s="439" t="str">
        <f t="shared" si="123"/>
        <v>LÂMPADA LED 10 W BIVOLT BRANCA, FORMATO TRADICIONAL (BASE E27) - FORNECIMENTO E INSTALAÇÃO</v>
      </c>
      <c r="D488" s="291" t="s">
        <v>28</v>
      </c>
      <c r="E488" s="430">
        <v>3</v>
      </c>
      <c r="F488" s="426">
        <f t="shared" si="124"/>
        <v>24.61</v>
      </c>
      <c r="G488" s="426">
        <f t="shared" si="125"/>
        <v>24.61</v>
      </c>
      <c r="H488" s="431">
        <f t="shared" si="126"/>
        <v>73.83</v>
      </c>
    </row>
    <row r="489" spans="1:8" ht="30" outlineLevel="2">
      <c r="A489" s="297" t="s">
        <v>13413</v>
      </c>
      <c r="B489" s="291">
        <v>90443</v>
      </c>
      <c r="C489" s="439" t="str">
        <f t="shared" si="123"/>
        <v>RASGO EM ALVENARIA PARA RAMAIS/ DISTRIBUIÇÃO COM DIAMETROS MENORES OU IGUAIS A 40 MM. AF_05/2015</v>
      </c>
      <c r="D489" s="291" t="s">
        <v>35</v>
      </c>
      <c r="E489" s="430">
        <v>168</v>
      </c>
      <c r="F489" s="426">
        <f t="shared" si="124"/>
        <v>10</v>
      </c>
      <c r="G489" s="426">
        <f t="shared" si="125"/>
        <v>10</v>
      </c>
      <c r="H489" s="431">
        <f t="shared" si="126"/>
        <v>1680</v>
      </c>
    </row>
    <row r="490" spans="1:8" ht="30" outlineLevel="2">
      <c r="A490" s="297" t="s">
        <v>13414</v>
      </c>
      <c r="B490" s="412" t="s">
        <v>12865</v>
      </c>
      <c r="C490" s="439" t="s">
        <v>12866</v>
      </c>
      <c r="D490" s="291" t="s">
        <v>28</v>
      </c>
      <c r="E490" s="430">
        <v>1</v>
      </c>
      <c r="F490" s="426">
        <f>'COMP. ELETRICO '!G24</f>
        <v>16.02</v>
      </c>
      <c r="G490" s="426">
        <f t="shared" si="125"/>
        <v>16.02</v>
      </c>
      <c r="H490" s="431">
        <f t="shared" si="126"/>
        <v>16.02</v>
      </c>
    </row>
    <row r="491" spans="1:8" ht="45" outlineLevel="2">
      <c r="A491" s="297" t="s">
        <v>13415</v>
      </c>
      <c r="B491" s="412" t="s">
        <v>12867</v>
      </c>
      <c r="C491" s="439" t="s">
        <v>12868</v>
      </c>
      <c r="D491" s="291" t="s">
        <v>28</v>
      </c>
      <c r="E491" s="430">
        <v>4</v>
      </c>
      <c r="F491" s="426">
        <f>'COMP. ELETRICO '!G15</f>
        <v>89.49</v>
      </c>
      <c r="G491" s="426">
        <f t="shared" si="125"/>
        <v>89.49</v>
      </c>
      <c r="H491" s="431">
        <f t="shared" si="126"/>
        <v>357.96</v>
      </c>
    </row>
    <row r="492" spans="1:8" ht="30" outlineLevel="2">
      <c r="A492" s="297" t="s">
        <v>13416</v>
      </c>
      <c r="B492" s="412" t="s">
        <v>12871</v>
      </c>
      <c r="C492" s="439" t="s">
        <v>12872</v>
      </c>
      <c r="D492" s="291" t="s">
        <v>28</v>
      </c>
      <c r="E492" s="430">
        <v>98</v>
      </c>
      <c r="F492" s="426">
        <f>'COMP. ELETRICO '!G201</f>
        <v>6.13</v>
      </c>
      <c r="G492" s="426">
        <f t="shared" si="125"/>
        <v>6.13</v>
      </c>
      <c r="H492" s="431">
        <f t="shared" si="126"/>
        <v>600.74</v>
      </c>
    </row>
    <row r="493" spans="1:8" ht="45" outlineLevel="2">
      <c r="A493" s="297" t="s">
        <v>13417</v>
      </c>
      <c r="B493" s="412" t="s">
        <v>12873</v>
      </c>
      <c r="C493" s="439" t="s">
        <v>12874</v>
      </c>
      <c r="D493" s="291" t="s">
        <v>28</v>
      </c>
      <c r="E493" s="430">
        <v>18</v>
      </c>
      <c r="F493" s="426">
        <f>'COMP. ELETRICO '!G209</f>
        <v>6.34</v>
      </c>
      <c r="G493" s="426">
        <f t="shared" si="125"/>
        <v>6.34</v>
      </c>
      <c r="H493" s="431">
        <f t="shared" si="126"/>
        <v>114.12</v>
      </c>
    </row>
    <row r="494" spans="1:8" ht="45" outlineLevel="2">
      <c r="A494" s="297" t="s">
        <v>13418</v>
      </c>
      <c r="B494" s="412" t="s">
        <v>12875</v>
      </c>
      <c r="C494" s="439" t="s">
        <v>12876</v>
      </c>
      <c r="D494" s="291" t="s">
        <v>28</v>
      </c>
      <c r="E494" s="430">
        <v>2</v>
      </c>
      <c r="F494" s="426">
        <f>'COMP. ELETRICO '!G1001</f>
        <v>7.38</v>
      </c>
      <c r="G494" s="426">
        <f t="shared" si="125"/>
        <v>7.38</v>
      </c>
      <c r="H494" s="431">
        <f t="shared" si="126"/>
        <v>14.76</v>
      </c>
    </row>
    <row r="495" spans="1:8" ht="45" outlineLevel="2">
      <c r="A495" s="297" t="s">
        <v>13419</v>
      </c>
      <c r="B495" s="412" t="s">
        <v>12942</v>
      </c>
      <c r="C495" s="439" t="s">
        <v>12943</v>
      </c>
      <c r="D495" s="291" t="s">
        <v>28</v>
      </c>
      <c r="E495" s="430">
        <v>1</v>
      </c>
      <c r="F495" s="426">
        <f>'COMP. ELETRICO '!G325</f>
        <v>40.69</v>
      </c>
      <c r="G495" s="426">
        <f t="shared" si="125"/>
        <v>40.69</v>
      </c>
      <c r="H495" s="431">
        <f t="shared" si="126"/>
        <v>40.69</v>
      </c>
    </row>
    <row r="496" spans="1:8" ht="30" outlineLevel="2">
      <c r="A496" s="297" t="s">
        <v>13420</v>
      </c>
      <c r="B496" s="412" t="s">
        <v>12877</v>
      </c>
      <c r="C496" s="439" t="s">
        <v>12944</v>
      </c>
      <c r="D496" s="291" t="s">
        <v>35</v>
      </c>
      <c r="E496" s="430">
        <v>50</v>
      </c>
      <c r="F496" s="426">
        <f>'COMP. ELETRICO '!G343</f>
        <v>3.56</v>
      </c>
      <c r="G496" s="426">
        <f t="shared" si="125"/>
        <v>3.56</v>
      </c>
      <c r="H496" s="431">
        <f t="shared" si="126"/>
        <v>178</v>
      </c>
    </row>
    <row r="497" spans="1:8" ht="30" outlineLevel="2">
      <c r="A497" s="297" t="s">
        <v>13421</v>
      </c>
      <c r="B497" s="412" t="s">
        <v>12945</v>
      </c>
      <c r="C497" s="439" t="s">
        <v>12946</v>
      </c>
      <c r="D497" s="291" t="s">
        <v>28</v>
      </c>
      <c r="E497" s="430">
        <v>32</v>
      </c>
      <c r="F497" s="426">
        <f>'COMP. ELETRICO '!G645</f>
        <v>128.54999999999998</v>
      </c>
      <c r="G497" s="426">
        <f t="shared" si="125"/>
        <v>128.55000000000001</v>
      </c>
      <c r="H497" s="431">
        <f t="shared" si="126"/>
        <v>4113.6000000000004</v>
      </c>
    </row>
    <row r="498" spans="1:8" ht="75" outlineLevel="2">
      <c r="A498" s="297" t="s">
        <v>13422</v>
      </c>
      <c r="B498" s="412" t="s">
        <v>12879</v>
      </c>
      <c r="C498" s="439" t="s">
        <v>12880</v>
      </c>
      <c r="D498" s="291" t="s">
        <v>28</v>
      </c>
      <c r="E498" s="430">
        <v>8</v>
      </c>
      <c r="F498" s="426">
        <f>'COMP. ELETRICO '!G713</f>
        <v>75.42</v>
      </c>
      <c r="G498" s="426">
        <f t="shared" si="125"/>
        <v>75.42</v>
      </c>
      <c r="H498" s="431">
        <f t="shared" si="126"/>
        <v>603.36</v>
      </c>
    </row>
    <row r="499" spans="1:8" ht="60" outlineLevel="2">
      <c r="A499" s="297" t="s">
        <v>13423</v>
      </c>
      <c r="B499" s="412" t="s">
        <v>12921</v>
      </c>
      <c r="C499" s="439" t="s">
        <v>12947</v>
      </c>
      <c r="D499" s="291" t="s">
        <v>28</v>
      </c>
      <c r="E499" s="430">
        <v>1</v>
      </c>
      <c r="F499" s="426">
        <f>'COMP. ELETRICO '!G1508</f>
        <v>887.16</v>
      </c>
      <c r="G499" s="426">
        <f t="shared" si="125"/>
        <v>887.16</v>
      </c>
      <c r="H499" s="431">
        <f t="shared" si="126"/>
        <v>887.16</v>
      </c>
    </row>
    <row r="500" spans="1:8" ht="30" outlineLevel="2">
      <c r="A500" s="297" t="s">
        <v>13424</v>
      </c>
      <c r="B500" s="412" t="s">
        <v>12948</v>
      </c>
      <c r="C500" s="439" t="s">
        <v>12949</v>
      </c>
      <c r="D500" s="291" t="s">
        <v>28</v>
      </c>
      <c r="E500" s="430">
        <v>9</v>
      </c>
      <c r="F500" s="426">
        <f>'COMP. ELETRICO '!G1018</f>
        <v>6.2299999999999995</v>
      </c>
      <c r="G500" s="426">
        <f t="shared" si="125"/>
        <v>6.23</v>
      </c>
      <c r="H500" s="431">
        <f t="shared" si="126"/>
        <v>56.07</v>
      </c>
    </row>
    <row r="501" spans="1:8" ht="30" outlineLevel="2">
      <c r="A501" s="297" t="s">
        <v>13425</v>
      </c>
      <c r="B501" s="412" t="s">
        <v>12950</v>
      </c>
      <c r="C501" s="439" t="s">
        <v>12951</v>
      </c>
      <c r="D501" s="291" t="s">
        <v>28</v>
      </c>
      <c r="E501" s="430">
        <v>7</v>
      </c>
      <c r="F501" s="426">
        <f>'COMP. ELETRICO '!G1033</f>
        <v>6.29</v>
      </c>
      <c r="G501" s="426">
        <f t="shared" si="125"/>
        <v>6.29</v>
      </c>
      <c r="H501" s="431">
        <f t="shared" si="126"/>
        <v>44.03</v>
      </c>
    </row>
    <row r="502" spans="1:8" ht="30" outlineLevel="2">
      <c r="A502" s="297" t="s">
        <v>13426</v>
      </c>
      <c r="B502" s="412" t="s">
        <v>12952</v>
      </c>
      <c r="C502" s="439" t="s">
        <v>12953</v>
      </c>
      <c r="D502" s="291" t="s">
        <v>28</v>
      </c>
      <c r="E502" s="430">
        <v>12</v>
      </c>
      <c r="F502" s="426">
        <f>'COMP. ELETRICO '!G1049</f>
        <v>20.189999999999998</v>
      </c>
      <c r="G502" s="426">
        <f t="shared" si="125"/>
        <v>20.190000000000001</v>
      </c>
      <c r="H502" s="431">
        <f t="shared" si="126"/>
        <v>242.28</v>
      </c>
    </row>
    <row r="503" spans="1:8" ht="30" outlineLevel="2">
      <c r="A503" s="297" t="s">
        <v>13427</v>
      </c>
      <c r="B503" s="412" t="s">
        <v>12954</v>
      </c>
      <c r="C503" s="439" t="s">
        <v>12955</v>
      </c>
      <c r="D503" s="291" t="s">
        <v>28</v>
      </c>
      <c r="E503" s="430">
        <v>10</v>
      </c>
      <c r="F503" s="426">
        <f>'COMP. ELETRICO '!G1065</f>
        <v>26.16</v>
      </c>
      <c r="G503" s="426">
        <f t="shared" si="125"/>
        <v>26.16</v>
      </c>
      <c r="H503" s="431">
        <f t="shared" si="126"/>
        <v>261.60000000000002</v>
      </c>
    </row>
    <row r="504" spans="1:8" ht="30" outlineLevel="2">
      <c r="A504" s="297" t="s">
        <v>13428</v>
      </c>
      <c r="B504" s="412" t="s">
        <v>12956</v>
      </c>
      <c r="C504" s="439" t="s">
        <v>12957</v>
      </c>
      <c r="D504" s="291" t="s">
        <v>28</v>
      </c>
      <c r="E504" s="430">
        <v>2</v>
      </c>
      <c r="F504" s="426">
        <f>'COMP. ELETRICO '!G1080</f>
        <v>22.94</v>
      </c>
      <c r="G504" s="426">
        <f t="shared" si="125"/>
        <v>22.94</v>
      </c>
      <c r="H504" s="431">
        <f t="shared" si="126"/>
        <v>45.88</v>
      </c>
    </row>
    <row r="505" spans="1:8" outlineLevel="2">
      <c r="A505" s="297" t="s">
        <v>13429</v>
      </c>
      <c r="B505" s="412" t="s">
        <v>12958</v>
      </c>
      <c r="C505" s="439" t="s">
        <v>12959</v>
      </c>
      <c r="D505" s="291" t="s">
        <v>28</v>
      </c>
      <c r="E505" s="430">
        <v>2</v>
      </c>
      <c r="F505" s="426">
        <f>'COMP. ELETRICO '!G1099</f>
        <v>9.39</v>
      </c>
      <c r="G505" s="426">
        <f t="shared" si="125"/>
        <v>9.39</v>
      </c>
      <c r="H505" s="431">
        <f t="shared" si="126"/>
        <v>18.78</v>
      </c>
    </row>
    <row r="506" spans="1:8" ht="30" outlineLevel="2">
      <c r="A506" s="297" t="s">
        <v>13430</v>
      </c>
      <c r="B506" s="412" t="s">
        <v>12960</v>
      </c>
      <c r="C506" s="439" t="s">
        <v>12961</v>
      </c>
      <c r="D506" s="291" t="s">
        <v>28</v>
      </c>
      <c r="E506" s="430">
        <v>2</v>
      </c>
      <c r="F506" s="426">
        <f>'COMP. ELETRICO '!G1134</f>
        <v>13.31</v>
      </c>
      <c r="G506" s="426">
        <f t="shared" si="125"/>
        <v>13.31</v>
      </c>
      <c r="H506" s="431">
        <f t="shared" si="126"/>
        <v>26.62</v>
      </c>
    </row>
    <row r="507" spans="1:8" ht="30" outlineLevel="2">
      <c r="A507" s="297" t="s">
        <v>13431</v>
      </c>
      <c r="B507" s="412" t="s">
        <v>12962</v>
      </c>
      <c r="C507" s="439" t="s">
        <v>12963</v>
      </c>
      <c r="D507" s="291" t="s">
        <v>28</v>
      </c>
      <c r="E507" s="430">
        <v>2</v>
      </c>
      <c r="F507" s="426">
        <f>'COMP. ELETRICO '!G1166</f>
        <v>17.47</v>
      </c>
      <c r="G507" s="426">
        <f t="shared" si="125"/>
        <v>17.47</v>
      </c>
      <c r="H507" s="431">
        <f t="shared" si="126"/>
        <v>34.94</v>
      </c>
    </row>
    <row r="508" spans="1:8" ht="30" outlineLevel="2">
      <c r="A508" s="297" t="s">
        <v>13432</v>
      </c>
      <c r="B508" s="412" t="s">
        <v>12964</v>
      </c>
      <c r="C508" s="439" t="s">
        <v>12965</v>
      </c>
      <c r="D508" s="291" t="s">
        <v>28</v>
      </c>
      <c r="E508" s="430">
        <v>7</v>
      </c>
      <c r="F508" s="426">
        <f>'COMP. ELETRICO '!G1196</f>
        <v>73.710000000000008</v>
      </c>
      <c r="G508" s="426">
        <f t="shared" si="125"/>
        <v>73.709999999999994</v>
      </c>
      <c r="H508" s="431">
        <f t="shared" si="126"/>
        <v>515.97</v>
      </c>
    </row>
    <row r="509" spans="1:8" ht="45" outlineLevel="2">
      <c r="A509" s="297" t="s">
        <v>13433</v>
      </c>
      <c r="B509" s="412" t="s">
        <v>12966</v>
      </c>
      <c r="C509" s="439" t="s">
        <v>12967</v>
      </c>
      <c r="D509" s="291" t="s">
        <v>28</v>
      </c>
      <c r="E509" s="430">
        <v>6</v>
      </c>
      <c r="F509" s="426">
        <f>'COMP. ELETRICO '!G1218</f>
        <v>19.37</v>
      </c>
      <c r="G509" s="426">
        <f t="shared" si="125"/>
        <v>19.37</v>
      </c>
      <c r="H509" s="431">
        <f t="shared" si="126"/>
        <v>116.22</v>
      </c>
    </row>
    <row r="510" spans="1:8" ht="30" outlineLevel="2">
      <c r="A510" s="297" t="s">
        <v>13434</v>
      </c>
      <c r="B510" s="412" t="s">
        <v>12968</v>
      </c>
      <c r="C510" s="439" t="s">
        <v>12969</v>
      </c>
      <c r="D510" s="291" t="s">
        <v>28</v>
      </c>
      <c r="E510" s="430">
        <v>7</v>
      </c>
      <c r="F510" s="426">
        <f>'COMP. ELETRICO '!G1287</f>
        <v>122.04</v>
      </c>
      <c r="G510" s="426">
        <f t="shared" si="125"/>
        <v>122.04</v>
      </c>
      <c r="H510" s="431">
        <f t="shared" si="126"/>
        <v>854.28</v>
      </c>
    </row>
    <row r="511" spans="1:8" ht="30" outlineLevel="2">
      <c r="A511" s="297" t="s">
        <v>13435</v>
      </c>
      <c r="B511" s="412" t="s">
        <v>12970</v>
      </c>
      <c r="C511" s="439" t="s">
        <v>12971</v>
      </c>
      <c r="D511" s="291" t="s">
        <v>28</v>
      </c>
      <c r="E511" s="430">
        <v>1</v>
      </c>
      <c r="F511" s="426">
        <f>'COMP. ELETRICO '!G1310</f>
        <v>70.45</v>
      </c>
      <c r="G511" s="426">
        <f t="shared" si="125"/>
        <v>70.45</v>
      </c>
      <c r="H511" s="431">
        <f t="shared" si="126"/>
        <v>70.45</v>
      </c>
    </row>
    <row r="512" spans="1:8" ht="30" outlineLevel="2">
      <c r="A512" s="297" t="s">
        <v>13436</v>
      </c>
      <c r="B512" s="412" t="s">
        <v>12972</v>
      </c>
      <c r="C512" s="439" t="s">
        <v>12973</v>
      </c>
      <c r="D512" s="291" t="s">
        <v>28</v>
      </c>
      <c r="E512" s="430">
        <v>1</v>
      </c>
      <c r="F512" s="426">
        <f>'COMP. ELETRICO '!G1347</f>
        <v>64.91</v>
      </c>
      <c r="G512" s="426">
        <f t="shared" si="125"/>
        <v>64.91</v>
      </c>
      <c r="H512" s="431">
        <f t="shared" si="126"/>
        <v>64.91</v>
      </c>
    </row>
    <row r="513" spans="1:8" ht="30" outlineLevel="2">
      <c r="A513" s="297" t="s">
        <v>13437</v>
      </c>
      <c r="B513" s="412" t="s">
        <v>12974</v>
      </c>
      <c r="C513" s="439" t="s">
        <v>12975</v>
      </c>
      <c r="D513" s="291" t="s">
        <v>28</v>
      </c>
      <c r="E513" s="430">
        <v>2</v>
      </c>
      <c r="F513" s="426">
        <f>'COMP. ELETRICO '!G1383</f>
        <v>39.17</v>
      </c>
      <c r="G513" s="426">
        <f t="shared" si="125"/>
        <v>39.17</v>
      </c>
      <c r="H513" s="431">
        <f t="shared" si="126"/>
        <v>78.34</v>
      </c>
    </row>
    <row r="514" spans="1:8" ht="30" outlineLevel="2">
      <c r="A514" s="297" t="s">
        <v>13438</v>
      </c>
      <c r="B514" s="412" t="s">
        <v>12976</v>
      </c>
      <c r="C514" s="439" t="s">
        <v>12977</v>
      </c>
      <c r="D514" s="291" t="s">
        <v>28</v>
      </c>
      <c r="E514" s="430">
        <v>6</v>
      </c>
      <c r="F514" s="426">
        <f>'COMP. ELETRICO '!G1418</f>
        <v>24.27</v>
      </c>
      <c r="G514" s="426">
        <f t="shared" si="125"/>
        <v>24.27</v>
      </c>
      <c r="H514" s="431">
        <f t="shared" si="126"/>
        <v>145.62</v>
      </c>
    </row>
    <row r="515" spans="1:8" ht="30" outlineLevel="2">
      <c r="A515" s="297" t="s">
        <v>13439</v>
      </c>
      <c r="B515" s="412" t="s">
        <v>12923</v>
      </c>
      <c r="C515" s="439" t="s">
        <v>12978</v>
      </c>
      <c r="D515" s="291" t="s">
        <v>28</v>
      </c>
      <c r="E515" s="430">
        <v>1</v>
      </c>
      <c r="F515" s="426">
        <f>'COMP. ELETRICO '!G1528</f>
        <v>71.73</v>
      </c>
      <c r="G515" s="426">
        <f t="shared" si="125"/>
        <v>71.73</v>
      </c>
      <c r="H515" s="431">
        <f t="shared" si="126"/>
        <v>71.73</v>
      </c>
    </row>
    <row r="516" spans="1:8" ht="45" outlineLevel="2">
      <c r="A516" s="297" t="s">
        <v>13440</v>
      </c>
      <c r="B516" s="412" t="s">
        <v>12924</v>
      </c>
      <c r="C516" s="439" t="s">
        <v>12979</v>
      </c>
      <c r="D516" s="291" t="s">
        <v>28</v>
      </c>
      <c r="E516" s="430">
        <v>1</v>
      </c>
      <c r="F516" s="426">
        <f>'COMP. ELETRICO '!G1563</f>
        <v>66.58</v>
      </c>
      <c r="G516" s="426">
        <f t="shared" si="125"/>
        <v>66.58</v>
      </c>
      <c r="H516" s="431">
        <f t="shared" si="126"/>
        <v>66.58</v>
      </c>
    </row>
    <row r="517" spans="1:8" ht="15.75" outlineLevel="2">
      <c r="A517" s="297"/>
      <c r="B517" s="412"/>
      <c r="C517" s="440"/>
      <c r="D517" s="305"/>
      <c r="E517" s="428"/>
      <c r="F517" s="426"/>
      <c r="G517" s="428" t="s">
        <v>11684</v>
      </c>
      <c r="H517" s="429">
        <f>SUM(H455:H516)</f>
        <v>28058.609999999997</v>
      </c>
    </row>
    <row r="518" spans="1:8" ht="15.75" outlineLevel="2">
      <c r="A518" s="296" t="s">
        <v>13270</v>
      </c>
      <c r="B518" s="306"/>
      <c r="C518" s="441" t="s">
        <v>12980</v>
      </c>
      <c r="D518" s="305"/>
      <c r="E518" s="428"/>
      <c r="F518" s="426"/>
      <c r="G518" s="428"/>
      <c r="H518" s="429"/>
    </row>
    <row r="519" spans="1:8" ht="30" outlineLevel="2">
      <c r="A519" s="297" t="s">
        <v>13271</v>
      </c>
      <c r="B519" s="412">
        <v>72315</v>
      </c>
      <c r="C519" s="439" t="str">
        <f t="shared" ref="C519:C524" si="127">IFERROR(VLOOKUP(B519,comp_nãodes,2,FALSE),VLOOKUP(B519,insnãodes,2,FALSE))</f>
        <v>TERMINAL AEREO EM ACO GALVANIZADO COM BASE DE FIXACAO H = 30CM</v>
      </c>
      <c r="D519" s="291" t="s">
        <v>28</v>
      </c>
      <c r="E519" s="430">
        <v>19</v>
      </c>
      <c r="F519" s="426">
        <f t="shared" ref="F519:F524" si="128">IFERROR(VLOOKUP(B519,comp_nãodes,4,FALSE),VLOOKUP(B519,insnãodes,4,FALSE))</f>
        <v>28.64</v>
      </c>
      <c r="G519" s="426">
        <f t="shared" ref="G519:G535" si="129">TRUNC(F519*(1+$E$1),2)</f>
        <v>28.64</v>
      </c>
      <c r="H519" s="431">
        <f t="shared" ref="H519:H535" si="130">TRUNC(E519*G519,2)</f>
        <v>544.16</v>
      </c>
    </row>
    <row r="520" spans="1:8" ht="30" outlineLevel="2">
      <c r="A520" s="297" t="s">
        <v>13272</v>
      </c>
      <c r="B520" s="412">
        <v>98111</v>
      </c>
      <c r="C520" s="439" t="str">
        <f t="shared" si="127"/>
        <v>CAIXA DE INSPEÇÃO PARA ATERRAMENTO, CIRCULAR, EM POLIETILENO, DIÂMETRO INTERNO = 0,3 M. AF_05/2018</v>
      </c>
      <c r="D520" s="291" t="s">
        <v>28</v>
      </c>
      <c r="E520" s="430">
        <v>6</v>
      </c>
      <c r="F520" s="426">
        <f t="shared" si="128"/>
        <v>20.64</v>
      </c>
      <c r="G520" s="426">
        <f t="shared" si="129"/>
        <v>20.64</v>
      </c>
      <c r="H520" s="431">
        <f t="shared" si="130"/>
        <v>123.84</v>
      </c>
    </row>
    <row r="521" spans="1:8" ht="30" outlineLevel="2">
      <c r="A521" s="297" t="s">
        <v>13273</v>
      </c>
      <c r="B521" s="412">
        <v>96985</v>
      </c>
      <c r="C521" s="439" t="str">
        <f t="shared" si="127"/>
        <v>HASTE DE ATERRAMENTO 5/8  PARA SPDA - FORNECIMENTO E INSTALAÇÃO. AF_12/2017</v>
      </c>
      <c r="D521" s="291" t="s">
        <v>28</v>
      </c>
      <c r="E521" s="430">
        <v>20</v>
      </c>
      <c r="F521" s="426">
        <f t="shared" si="128"/>
        <v>41.86</v>
      </c>
      <c r="G521" s="426">
        <f t="shared" si="129"/>
        <v>41.86</v>
      </c>
      <c r="H521" s="431">
        <f t="shared" si="130"/>
        <v>837.2</v>
      </c>
    </row>
    <row r="522" spans="1:8" ht="45" outlineLevel="2">
      <c r="A522" s="297" t="s">
        <v>13274</v>
      </c>
      <c r="B522" s="412">
        <v>91868</v>
      </c>
      <c r="C522" s="439" t="str">
        <f t="shared" si="127"/>
        <v>ELETRODUTO RÍGIDO ROSCÁVEL, PVC, DN 32 MM (1"), PARA CIRCUITOS TERMINAIS, INSTALADO EM LAJE - FORNECIMENTO E INSTALAÇÃO. AF_12/2015</v>
      </c>
      <c r="D522" s="291" t="s">
        <v>35</v>
      </c>
      <c r="E522" s="430">
        <v>18</v>
      </c>
      <c r="F522" s="426">
        <f t="shared" si="128"/>
        <v>8.3800000000000008</v>
      </c>
      <c r="G522" s="426">
        <f t="shared" si="129"/>
        <v>8.3800000000000008</v>
      </c>
      <c r="H522" s="431">
        <f t="shared" si="130"/>
        <v>150.84</v>
      </c>
    </row>
    <row r="523" spans="1:8" ht="30" outlineLevel="2">
      <c r="A523" s="297" t="s">
        <v>13275</v>
      </c>
      <c r="B523" s="412">
        <v>93358</v>
      </c>
      <c r="C523" s="439" t="str">
        <f t="shared" si="127"/>
        <v>ESCAVAÇÃO MANUAL DE VALA COM PROFUNDIDADE MENOR OU IGUAL A 1,30 M. AF_03/2016</v>
      </c>
      <c r="D523" s="291" t="s">
        <v>60</v>
      </c>
      <c r="E523" s="430">
        <v>10.95</v>
      </c>
      <c r="F523" s="426">
        <f t="shared" si="128"/>
        <v>62.93</v>
      </c>
      <c r="G523" s="426">
        <f t="shared" si="129"/>
        <v>62.93</v>
      </c>
      <c r="H523" s="431">
        <f t="shared" si="130"/>
        <v>689.08</v>
      </c>
    </row>
    <row r="524" spans="1:8" ht="30" outlineLevel="2">
      <c r="A524" s="297" t="s">
        <v>13276</v>
      </c>
      <c r="B524" s="412">
        <v>93382</v>
      </c>
      <c r="C524" s="439" t="str">
        <f t="shared" si="127"/>
        <v>REATERRO MANUAL DE VALAS COM COMPACTAÇÃO MECANIZADA. AF_04/2016</v>
      </c>
      <c r="D524" s="291" t="s">
        <v>60</v>
      </c>
      <c r="E524" s="430">
        <v>10.95</v>
      </c>
      <c r="F524" s="426">
        <f t="shared" si="128"/>
        <v>21.52</v>
      </c>
      <c r="G524" s="426">
        <f t="shared" si="129"/>
        <v>21.52</v>
      </c>
      <c r="H524" s="431">
        <f t="shared" si="130"/>
        <v>235.64</v>
      </c>
    </row>
    <row r="525" spans="1:8" ht="30" outlineLevel="2">
      <c r="A525" s="297" t="s">
        <v>13277</v>
      </c>
      <c r="B525" s="412" t="s">
        <v>12981</v>
      </c>
      <c r="C525" s="439" t="s">
        <v>12982</v>
      </c>
      <c r="D525" s="291" t="s">
        <v>28</v>
      </c>
      <c r="E525" s="430">
        <v>6</v>
      </c>
      <c r="F525" s="426">
        <f>'COMP. SPDA '!G30</f>
        <v>22.14</v>
      </c>
      <c r="G525" s="426">
        <f t="shared" si="129"/>
        <v>22.14</v>
      </c>
      <c r="H525" s="431">
        <f t="shared" si="130"/>
        <v>132.84</v>
      </c>
    </row>
    <row r="526" spans="1:8" ht="45" outlineLevel="2">
      <c r="A526" s="297" t="s">
        <v>13278</v>
      </c>
      <c r="B526" s="412" t="s">
        <v>12983</v>
      </c>
      <c r="C526" s="439" t="s">
        <v>12984</v>
      </c>
      <c r="D526" s="291" t="s">
        <v>28</v>
      </c>
      <c r="E526" s="430">
        <v>6</v>
      </c>
      <c r="F526" s="426">
        <f>'COMP. SPDA '!G48</f>
        <v>14.450000000000001</v>
      </c>
      <c r="G526" s="426">
        <f t="shared" si="129"/>
        <v>14.45</v>
      </c>
      <c r="H526" s="431">
        <f t="shared" si="130"/>
        <v>86.7</v>
      </c>
    </row>
    <row r="527" spans="1:8" ht="45" outlineLevel="2">
      <c r="A527" s="297" t="s">
        <v>13441</v>
      </c>
      <c r="B527" s="412" t="s">
        <v>12985</v>
      </c>
      <c r="C527" s="439" t="s">
        <v>12986</v>
      </c>
      <c r="D527" s="291" t="s">
        <v>28</v>
      </c>
      <c r="E527" s="430">
        <v>20</v>
      </c>
      <c r="F527" s="426">
        <f>'COMP. SPDA '!G80</f>
        <v>17.66</v>
      </c>
      <c r="G527" s="426">
        <f t="shared" si="129"/>
        <v>17.66</v>
      </c>
      <c r="H527" s="431">
        <f t="shared" si="130"/>
        <v>353.2</v>
      </c>
    </row>
    <row r="528" spans="1:8" ht="45" outlineLevel="2">
      <c r="A528" s="297" t="s">
        <v>13442</v>
      </c>
      <c r="B528" s="412" t="s">
        <v>12987</v>
      </c>
      <c r="C528" s="439" t="s">
        <v>12988</v>
      </c>
      <c r="D528" s="291" t="s">
        <v>28</v>
      </c>
      <c r="E528" s="430">
        <v>4</v>
      </c>
      <c r="F528" s="426">
        <f>'COMP. SPDA '!G112</f>
        <v>10.08</v>
      </c>
      <c r="G528" s="426">
        <f t="shared" si="129"/>
        <v>10.08</v>
      </c>
      <c r="H528" s="431">
        <f t="shared" si="130"/>
        <v>40.32</v>
      </c>
    </row>
    <row r="529" spans="1:15" ht="45" outlineLevel="2">
      <c r="A529" s="297" t="s">
        <v>13443</v>
      </c>
      <c r="B529" s="412" t="s">
        <v>12989</v>
      </c>
      <c r="C529" s="439" t="s">
        <v>12990</v>
      </c>
      <c r="D529" s="291" t="s">
        <v>28</v>
      </c>
      <c r="E529" s="430">
        <v>12</v>
      </c>
      <c r="F529" s="426">
        <f>'COMP. SPDA '!G178</f>
        <v>12.95</v>
      </c>
      <c r="G529" s="426">
        <f t="shared" si="129"/>
        <v>12.95</v>
      </c>
      <c r="H529" s="431">
        <f t="shared" si="130"/>
        <v>155.4</v>
      </c>
    </row>
    <row r="530" spans="1:15" ht="45" outlineLevel="2">
      <c r="A530" s="297" t="s">
        <v>13444</v>
      </c>
      <c r="B530" s="412" t="s">
        <v>12991</v>
      </c>
      <c r="C530" s="439" t="s">
        <v>12874</v>
      </c>
      <c r="D530" s="291" t="s">
        <v>28</v>
      </c>
      <c r="E530" s="430">
        <v>12</v>
      </c>
      <c r="F530" s="426">
        <f>'COMP. SPDA '!G205</f>
        <v>6.34</v>
      </c>
      <c r="G530" s="426">
        <f t="shared" si="129"/>
        <v>6.34</v>
      </c>
      <c r="H530" s="431">
        <f t="shared" si="130"/>
        <v>76.08</v>
      </c>
    </row>
    <row r="531" spans="1:15" ht="30" outlineLevel="2">
      <c r="A531" s="297" t="s">
        <v>13445</v>
      </c>
      <c r="B531" s="412" t="s">
        <v>12992</v>
      </c>
      <c r="C531" s="439" t="s">
        <v>12993</v>
      </c>
      <c r="D531" s="291" t="s">
        <v>28</v>
      </c>
      <c r="E531" s="430">
        <v>2</v>
      </c>
      <c r="F531" s="426">
        <f>'COMP. SPDA '!G288</f>
        <v>15.47</v>
      </c>
      <c r="G531" s="426">
        <f t="shared" si="129"/>
        <v>15.47</v>
      </c>
      <c r="H531" s="431">
        <f t="shared" si="130"/>
        <v>30.94</v>
      </c>
    </row>
    <row r="532" spans="1:15" ht="30" outlineLevel="2">
      <c r="A532" s="297" t="s">
        <v>13446</v>
      </c>
      <c r="B532" s="412" t="s">
        <v>12994</v>
      </c>
      <c r="C532" s="439" t="s">
        <v>12995</v>
      </c>
      <c r="D532" s="291" t="s">
        <v>28</v>
      </c>
      <c r="E532" s="430">
        <v>67</v>
      </c>
      <c r="F532" s="426">
        <f>'COMP. SPDA '!G317</f>
        <v>1.1200000000000001</v>
      </c>
      <c r="G532" s="426">
        <f t="shared" si="129"/>
        <v>1.1200000000000001</v>
      </c>
      <c r="H532" s="431">
        <f t="shared" si="130"/>
        <v>75.040000000000006</v>
      </c>
    </row>
    <row r="533" spans="1:15" ht="30" outlineLevel="2">
      <c r="A533" s="297" t="s">
        <v>13447</v>
      </c>
      <c r="B533" s="412" t="s">
        <v>12996</v>
      </c>
      <c r="C533" s="439" t="s">
        <v>12997</v>
      </c>
      <c r="D533" s="291" t="s">
        <v>28</v>
      </c>
      <c r="E533" s="430">
        <v>48</v>
      </c>
      <c r="F533" s="426">
        <f>'COMP. SPDA '!G334</f>
        <v>3.4000000000000004</v>
      </c>
      <c r="G533" s="426">
        <f t="shared" si="129"/>
        <v>3.4</v>
      </c>
      <c r="H533" s="431">
        <f t="shared" si="130"/>
        <v>163.19999999999999</v>
      </c>
    </row>
    <row r="534" spans="1:15" ht="30" outlineLevel="2">
      <c r="A534" s="297" t="s">
        <v>13448</v>
      </c>
      <c r="B534" s="412" t="s">
        <v>12998</v>
      </c>
      <c r="C534" s="439" t="s">
        <v>160</v>
      </c>
      <c r="D534" s="291" t="s">
        <v>35</v>
      </c>
      <c r="E534" s="430">
        <v>105</v>
      </c>
      <c r="F534" s="426">
        <f>'COMP. SPDA '!G720</f>
        <v>25.48</v>
      </c>
      <c r="G534" s="426">
        <f t="shared" si="129"/>
        <v>25.48</v>
      </c>
      <c r="H534" s="431">
        <f t="shared" si="130"/>
        <v>2675.4</v>
      </c>
    </row>
    <row r="535" spans="1:15" ht="30" outlineLevel="2">
      <c r="A535" s="297" t="s">
        <v>13449</v>
      </c>
      <c r="B535" s="412" t="s">
        <v>12999</v>
      </c>
      <c r="C535" s="439" t="s">
        <v>161</v>
      </c>
      <c r="D535" s="291" t="s">
        <v>35</v>
      </c>
      <c r="E535" s="430">
        <v>73</v>
      </c>
      <c r="F535" s="426">
        <f>'COMP. SPDA '!G729</f>
        <v>36.14</v>
      </c>
      <c r="G535" s="426">
        <f t="shared" si="129"/>
        <v>36.14</v>
      </c>
      <c r="H535" s="431">
        <f t="shared" si="130"/>
        <v>2638.22</v>
      </c>
    </row>
    <row r="536" spans="1:15" ht="15.75" outlineLevel="2">
      <c r="A536" s="297"/>
      <c r="B536" s="292"/>
      <c r="C536" s="440"/>
      <c r="D536" s="305"/>
      <c r="E536" s="428"/>
      <c r="F536" s="428"/>
      <c r="G536" s="428" t="s">
        <v>11684</v>
      </c>
      <c r="H536" s="429">
        <f>SUM(H519:H535)</f>
        <v>9008.0999999999985</v>
      </c>
    </row>
    <row r="537" spans="1:15" ht="15.75" outlineLevel="2">
      <c r="A537" s="296" t="s">
        <v>14246</v>
      </c>
      <c r="B537" s="306"/>
      <c r="C537" s="441" t="s">
        <v>12733</v>
      </c>
      <c r="D537" s="345"/>
      <c r="E537" s="432"/>
      <c r="F537" s="426"/>
      <c r="G537" s="432"/>
      <c r="H537" s="431"/>
    </row>
    <row r="538" spans="1:15" ht="30" outlineLevel="2">
      <c r="A538" s="297" t="s">
        <v>14247</v>
      </c>
      <c r="B538" s="291">
        <v>84665</v>
      </c>
      <c r="C538" s="442" t="s">
        <v>110</v>
      </c>
      <c r="D538" s="291" t="s">
        <v>117</v>
      </c>
      <c r="E538" s="430">
        <v>6.76</v>
      </c>
      <c r="F538" s="426">
        <f t="shared" ref="F538" si="131">IFERROR(VLOOKUP(B538,comp_nãodes,4,FALSE),VLOOKUP(B538,insnãodes,4,FALSE))</f>
        <v>18.28</v>
      </c>
      <c r="G538" s="426">
        <f>TRUNC(F538*(1+$G$2),2)</f>
        <v>22.85</v>
      </c>
      <c r="H538" s="431">
        <f t="shared" ref="H538:H542" si="132">TRUNC(E538*G538,2)</f>
        <v>154.46</v>
      </c>
      <c r="J538" s="6">
        <f>4*1.3*1.3</f>
        <v>6.7600000000000007</v>
      </c>
    </row>
    <row r="539" spans="1:15" ht="75" outlineLevel="2">
      <c r="A539" s="297" t="s">
        <v>14248</v>
      </c>
      <c r="B539" s="291" t="s">
        <v>12927</v>
      </c>
      <c r="C539" s="442" t="s">
        <v>12928</v>
      </c>
      <c r="D539" s="291" t="s">
        <v>28</v>
      </c>
      <c r="E539" s="430">
        <v>6</v>
      </c>
      <c r="F539" s="426">
        <f>'COMP. INC'!G117</f>
        <v>9.3000000000000007</v>
      </c>
      <c r="G539" s="426">
        <f>TRUNC(F539*(1+$G$2),2)</f>
        <v>11.62</v>
      </c>
      <c r="H539" s="431">
        <f t="shared" si="132"/>
        <v>69.72</v>
      </c>
    </row>
    <row r="540" spans="1:15" ht="75" outlineLevel="2">
      <c r="A540" s="297" t="s">
        <v>14249</v>
      </c>
      <c r="B540" s="291" t="s">
        <v>12929</v>
      </c>
      <c r="C540" s="442" t="s">
        <v>12930</v>
      </c>
      <c r="D540" s="291" t="s">
        <v>28</v>
      </c>
      <c r="E540" s="430">
        <v>11</v>
      </c>
      <c r="F540" s="426">
        <f>'COMP. INC'!G94</f>
        <v>13.43</v>
      </c>
      <c r="G540" s="426">
        <f>TRUNC(F540*(1+$G$2),2)</f>
        <v>16.78</v>
      </c>
      <c r="H540" s="431">
        <f t="shared" si="132"/>
        <v>184.58</v>
      </c>
    </row>
    <row r="541" spans="1:15" ht="30" outlineLevel="2">
      <c r="A541" s="297" t="s">
        <v>14250</v>
      </c>
      <c r="B541" s="291">
        <v>83635</v>
      </c>
      <c r="C541" s="442" t="s">
        <v>996</v>
      </c>
      <c r="D541" s="291" t="s">
        <v>28</v>
      </c>
      <c r="E541" s="430">
        <v>4</v>
      </c>
      <c r="F541" s="426">
        <f t="shared" ref="F541:F542" si="133">IFERROR(VLOOKUP(B541,comp_nãodes,4,FALSE),VLOOKUP(B541,insnãodes,4,FALSE))</f>
        <v>165.13</v>
      </c>
      <c r="G541" s="426">
        <f>TRUNC(F541*(1+$G$2),2)</f>
        <v>206.41</v>
      </c>
      <c r="H541" s="431">
        <f t="shared" si="132"/>
        <v>825.64</v>
      </c>
    </row>
    <row r="542" spans="1:15" outlineLevel="2">
      <c r="A542" s="297" t="s">
        <v>14251</v>
      </c>
      <c r="B542" s="291">
        <v>72554</v>
      </c>
      <c r="C542" s="442" t="s">
        <v>3784</v>
      </c>
      <c r="D542" s="291" t="s">
        <v>28</v>
      </c>
      <c r="E542" s="430">
        <v>2</v>
      </c>
      <c r="F542" s="426">
        <f t="shared" si="133"/>
        <v>453.02</v>
      </c>
      <c r="G542" s="426">
        <f>TRUNC(F542*(1+$G$2),2)</f>
        <v>566.27</v>
      </c>
      <c r="H542" s="431">
        <f t="shared" si="132"/>
        <v>1132.54</v>
      </c>
    </row>
    <row r="543" spans="1:15" ht="15.75" outlineLevel="2">
      <c r="A543" s="297"/>
      <c r="B543" s="292"/>
      <c r="C543" s="440"/>
      <c r="D543" s="305"/>
      <c r="E543" s="428"/>
      <c r="F543" s="428"/>
      <c r="G543" s="428" t="s">
        <v>11684</v>
      </c>
      <c r="H543" s="429">
        <f>SUM(H538:H542)</f>
        <v>2366.94</v>
      </c>
    </row>
    <row r="544" spans="1:15" ht="16.5" outlineLevel="2" thickBot="1">
      <c r="A544" s="452"/>
      <c r="B544" s="453"/>
      <c r="C544" s="1101" t="s">
        <v>14241</v>
      </c>
      <c r="D544" s="453"/>
      <c r="E544" s="454"/>
      <c r="F544" s="454"/>
      <c r="G544" s="455"/>
      <c r="H544" s="1103">
        <f>H306+H313+H321+H339+H342+H352+H359+H367+H375+H383+H389+H393+H396+H453+H517+H536+H543</f>
        <v>299222.10849999997</v>
      </c>
      <c r="O544" s="433"/>
    </row>
    <row r="545" spans="1:15" ht="16.5" outlineLevel="2" thickBot="1">
      <c r="A545" s="1079"/>
      <c r="B545" s="1080"/>
      <c r="C545" s="1102" t="s">
        <v>14242</v>
      </c>
      <c r="D545" s="1080"/>
      <c r="E545" s="1081"/>
      <c r="F545" s="1081"/>
      <c r="G545" s="1082"/>
      <c r="H545" s="1104">
        <f>H544+H299+H15</f>
        <v>840263.81250000012</v>
      </c>
      <c r="O545" s="433"/>
    </row>
    <row r="547" spans="1:15" ht="15.75">
      <c r="A547" s="1183" t="s">
        <v>14275</v>
      </c>
    </row>
    <row r="548" spans="1:15">
      <c r="B548" s="1182" t="s">
        <v>14276</v>
      </c>
    </row>
    <row r="557" spans="1:15">
      <c r="C557" s="349" t="s">
        <v>12862</v>
      </c>
    </row>
    <row r="558" spans="1:15">
      <c r="C558" s="351" t="s">
        <v>12863</v>
      </c>
    </row>
    <row r="559" spans="1:15">
      <c r="C559" s="351" t="s">
        <v>12864</v>
      </c>
    </row>
  </sheetData>
  <phoneticPr fontId="55" type="noConversion"/>
  <conditionalFormatting sqref="B12">
    <cfRule type="duplicateValues" dxfId="26" priority="1"/>
  </conditionalFormatting>
  <printOptions horizontalCentered="1"/>
  <pageMargins left="0.59055118110236227" right="0.59055118110236227" top="1.7716535433070868" bottom="0.98425196850393704" header="0.31496062992125984" footer="0.31496062992125984"/>
  <pageSetup paperSize="9" scale="55" orientation="portrait" r:id="rId1"/>
  <headerFooter>
    <oddFooter>Página &amp;P de &amp;N</oddFooter>
  </headerFooter>
  <rowBreaks count="3" manualBreakCount="3">
    <brk id="352" max="7" man="1"/>
    <brk id="375" max="7" man="1"/>
    <brk id="536" max="7" man="1"/>
  </rowBreaks>
</worksheet>
</file>

<file path=xl/worksheets/sheet5.xml><?xml version="1.0" encoding="utf-8"?>
<worksheet xmlns="http://schemas.openxmlformats.org/spreadsheetml/2006/main" xmlns:r="http://schemas.openxmlformats.org/officeDocument/2006/relationships">
  <sheetPr codeName="Plan3">
    <tabColor theme="8" tint="0.59999389629810485"/>
  </sheetPr>
  <dimension ref="A1:Z73"/>
  <sheetViews>
    <sheetView showGridLines="0" view="pageBreakPreview" topLeftCell="A40" zoomScale="70" zoomScaleNormal="70" zoomScaleSheetLayoutView="70" zoomScalePageLayoutView="40" workbookViewId="0">
      <selection activeCell="C55" sqref="C55"/>
    </sheetView>
  </sheetViews>
  <sheetFormatPr defaultColWidth="9.140625" defaultRowHeight="12.75"/>
  <cols>
    <col min="1" max="1" width="12.85546875" style="2" bestFit="1" customWidth="1"/>
    <col min="2" max="2" width="37.7109375" style="3" customWidth="1"/>
    <col min="3" max="3" width="18.140625" style="2" bestFit="1" customWidth="1"/>
    <col min="4" max="4" width="13.28515625" style="4" bestFit="1" customWidth="1"/>
    <col min="5" max="5" width="15.28515625" style="3" bestFit="1" customWidth="1"/>
    <col min="6" max="6" width="11.7109375" style="3" bestFit="1" customWidth="1"/>
    <col min="7" max="7" width="18.140625" style="3" bestFit="1" customWidth="1"/>
    <col min="8" max="8" width="10.28515625" style="3" customWidth="1"/>
    <col min="9" max="9" width="15.28515625" style="3" bestFit="1" customWidth="1"/>
    <col min="10" max="10" width="10.28515625" style="3" customWidth="1"/>
    <col min="11" max="11" width="18.5703125" style="3" bestFit="1" customWidth="1"/>
    <col min="12" max="12" width="10" style="3" bestFit="1" customWidth="1"/>
    <col min="13" max="13" width="15.7109375" style="3" hidden="1" customWidth="1"/>
    <col min="14" max="14" width="10.28515625" style="3" hidden="1" customWidth="1"/>
    <col min="15" max="15" width="15.7109375" style="3" hidden="1" customWidth="1"/>
    <col min="16" max="16" width="9.5703125" style="3" hidden="1" customWidth="1"/>
    <col min="17" max="17" width="13.42578125" style="3" hidden="1" customWidth="1"/>
    <col min="18" max="18" width="0" style="3" hidden="1" customWidth="1"/>
    <col min="19" max="19" width="14" style="3" hidden="1" customWidth="1"/>
    <col min="20" max="22" width="0" style="3" hidden="1" customWidth="1"/>
    <col min="23" max="25" width="9.140625" style="3"/>
    <col min="26" max="26" width="11.5703125" style="3" bestFit="1" customWidth="1"/>
    <col min="27" max="16384" width="9.140625" style="3"/>
  </cols>
  <sheetData>
    <row r="1" spans="1:24" ht="18.75" customHeight="1">
      <c r="A1" s="1105" t="str">
        <f>RESUMO!A1</f>
        <v>OBRA:</v>
      </c>
      <c r="B1" s="1193" t="str">
        <f>RESUMO!B1</f>
        <v>Construção da Lavanderia e Predio Sede da Secretaria Municipal de Saúde de Barra do Bugres - MT</v>
      </c>
      <c r="C1" s="1193"/>
      <c r="D1" s="1193"/>
      <c r="E1" s="1193"/>
      <c r="F1" s="1193"/>
      <c r="G1" s="1193"/>
      <c r="H1" s="1193"/>
      <c r="I1" s="1193"/>
      <c r="J1" s="1193"/>
      <c r="K1" s="1193"/>
      <c r="L1" s="1193"/>
      <c r="M1" s="1193"/>
      <c r="N1" s="286"/>
      <c r="O1" s="286"/>
      <c r="P1" s="354"/>
    </row>
    <row r="2" spans="1:24" ht="15.75">
      <c r="A2" s="1105" t="str">
        <f>RESUMO!A2</f>
        <v>Endereço:</v>
      </c>
      <c r="B2" s="238" t="str">
        <f>'PLANILHA ORÇAMENTARIA'!B2</f>
        <v>Rua Voluntários da Pátria, 861 - Bairro Maracanã</v>
      </c>
      <c r="C2" s="239"/>
      <c r="D2" s="240"/>
      <c r="E2" s="237"/>
      <c r="F2" s="237"/>
      <c r="G2" s="1107" t="str">
        <f>'PLANILHA ORÇAMENTARIA'!E2</f>
        <v>BDI:</v>
      </c>
      <c r="H2" s="1108">
        <f>RESUMO!D2</f>
        <v>0.25</v>
      </c>
      <c r="I2" s="237"/>
      <c r="J2" s="237"/>
      <c r="K2" s="237"/>
      <c r="L2" s="237"/>
      <c r="M2" s="237"/>
      <c r="N2" s="237"/>
      <c r="O2" s="237"/>
      <c r="P2" s="355"/>
    </row>
    <row r="3" spans="1:24" ht="15.75">
      <c r="A3" s="1105" t="str">
        <f>RESUMO!A3</f>
        <v>Município:</v>
      </c>
      <c r="B3" s="238" t="str">
        <f>'PLANILHA ORÇAMENTARIA'!B3</f>
        <v>Barra do Bugres - MT</v>
      </c>
      <c r="C3" s="239"/>
      <c r="D3" s="240"/>
      <c r="E3" s="237"/>
      <c r="F3" s="237"/>
      <c r="G3" s="1107" t="str">
        <f>'PLANILHA ORÇAMENTARIA'!E3</f>
        <v>Referência:</v>
      </c>
      <c r="H3" s="1109" t="str">
        <f>RESUMO!D3</f>
        <v>SINAPI -01/2020 não deson.</v>
      </c>
      <c r="I3" s="237"/>
      <c r="J3" s="237"/>
      <c r="K3" s="237"/>
      <c r="L3" s="237"/>
      <c r="M3" s="237"/>
      <c r="N3" s="237"/>
      <c r="O3" s="237"/>
      <c r="P3" s="355"/>
    </row>
    <row r="4" spans="1:24" ht="15.75">
      <c r="A4" s="1105" t="str">
        <f>RESUMO!A4</f>
        <v>Data:</v>
      </c>
      <c r="B4" s="1106">
        <f>RESUMO!B4</f>
        <v>43952</v>
      </c>
      <c r="C4" s="241"/>
      <c r="D4" s="240"/>
      <c r="E4" s="237"/>
      <c r="F4" s="237"/>
      <c r="G4" s="1107" t="str">
        <f>'PLANILHA ORÇAMENTARIA'!E4</f>
        <v>Execução:</v>
      </c>
      <c r="H4" s="1110" t="str">
        <f>RESUMO!D4</f>
        <v>120 Dias</v>
      </c>
      <c r="I4" s="237"/>
      <c r="J4" s="237"/>
      <c r="K4" s="237"/>
      <c r="L4" s="237"/>
      <c r="M4" s="237"/>
      <c r="N4" s="237"/>
      <c r="O4" s="237"/>
      <c r="P4" s="355"/>
    </row>
    <row r="5" spans="1:24" ht="15">
      <c r="A5" s="1130"/>
      <c r="B5" s="1131"/>
      <c r="C5" s="1132"/>
      <c r="D5" s="1133"/>
      <c r="E5" s="1134"/>
      <c r="F5" s="1134"/>
      <c r="G5" s="1134"/>
      <c r="H5" s="1134"/>
      <c r="I5" s="1134"/>
      <c r="J5" s="1134"/>
      <c r="K5" s="1134"/>
      <c r="L5" s="1134"/>
      <c r="M5" s="1134"/>
      <c r="N5" s="1134"/>
      <c r="O5" s="1134"/>
      <c r="P5" s="355"/>
    </row>
    <row r="6" spans="1:24" ht="15">
      <c r="A6" s="1204" t="s">
        <v>56</v>
      </c>
      <c r="B6" s="1204"/>
      <c r="C6" s="1204"/>
      <c r="D6" s="1204"/>
      <c r="E6" s="1204"/>
      <c r="F6" s="1204"/>
      <c r="G6" s="1204"/>
      <c r="H6" s="1204"/>
      <c r="I6" s="1204"/>
      <c r="J6" s="1204"/>
      <c r="K6" s="1204"/>
      <c r="L6" s="1204"/>
      <c r="M6" s="1204"/>
      <c r="N6" s="1204"/>
      <c r="O6" s="1204"/>
      <c r="P6" s="1204"/>
    </row>
    <row r="7" spans="1:24" ht="15.75" thickBot="1">
      <c r="A7" s="1135"/>
      <c r="B7" s="1135"/>
      <c r="C7" s="1135"/>
      <c r="D7" s="1135"/>
      <c r="E7" s="1135"/>
      <c r="F7" s="1135"/>
      <c r="G7" s="1135"/>
      <c r="H7" s="1135"/>
      <c r="I7" s="1135"/>
      <c r="J7" s="1135"/>
      <c r="K7" s="1135"/>
      <c r="L7" s="1135"/>
      <c r="M7" s="1135"/>
      <c r="N7" s="1135"/>
      <c r="O7" s="1135"/>
      <c r="P7" s="1135"/>
    </row>
    <row r="8" spans="1:24" s="2" customFormat="1" ht="15">
      <c r="A8" s="1196" t="s">
        <v>0</v>
      </c>
      <c r="B8" s="1198" t="s">
        <v>1</v>
      </c>
      <c r="C8" s="1198" t="s">
        <v>20</v>
      </c>
      <c r="D8" s="1200" t="s">
        <v>3</v>
      </c>
      <c r="E8" s="1202" t="s">
        <v>11526</v>
      </c>
      <c r="F8" s="1203"/>
      <c r="G8" s="1202" t="s">
        <v>11527</v>
      </c>
      <c r="H8" s="1203"/>
      <c r="I8" s="1202" t="s">
        <v>11528</v>
      </c>
      <c r="J8" s="1203"/>
      <c r="K8" s="1202" t="s">
        <v>11529</v>
      </c>
      <c r="L8" s="1203"/>
      <c r="M8" s="1194" t="s">
        <v>11530</v>
      </c>
      <c r="N8" s="1195"/>
      <c r="O8" s="1194" t="s">
        <v>11531</v>
      </c>
      <c r="P8" s="1205"/>
    </row>
    <row r="9" spans="1:24" s="2" customFormat="1" ht="15">
      <c r="A9" s="1197"/>
      <c r="B9" s="1199"/>
      <c r="C9" s="1199"/>
      <c r="D9" s="1201"/>
      <c r="E9" s="274" t="s">
        <v>21</v>
      </c>
      <c r="F9" s="275" t="s">
        <v>3</v>
      </c>
      <c r="G9" s="274" t="s">
        <v>21</v>
      </c>
      <c r="H9" s="275" t="s">
        <v>3</v>
      </c>
      <c r="I9" s="274" t="s">
        <v>21</v>
      </c>
      <c r="J9" s="275" t="s">
        <v>3</v>
      </c>
      <c r="K9" s="274" t="s">
        <v>21</v>
      </c>
      <c r="L9" s="275" t="s">
        <v>3</v>
      </c>
      <c r="M9" s="274" t="s">
        <v>21</v>
      </c>
      <c r="N9" s="275" t="s">
        <v>3</v>
      </c>
      <c r="O9" s="274" t="s">
        <v>21</v>
      </c>
      <c r="P9" s="356" t="s">
        <v>3</v>
      </c>
    </row>
    <row r="10" spans="1:24" s="2" customFormat="1" ht="15">
      <c r="A10" s="1191"/>
      <c r="B10" s="1192"/>
      <c r="C10" s="1192"/>
      <c r="D10" s="1192"/>
      <c r="E10" s="276"/>
      <c r="F10" s="276"/>
      <c r="G10" s="276"/>
      <c r="H10" s="276"/>
      <c r="I10" s="276"/>
      <c r="J10" s="276"/>
      <c r="K10" s="276"/>
      <c r="L10" s="276"/>
      <c r="M10" s="276"/>
      <c r="N10" s="276"/>
      <c r="O10" s="276"/>
      <c r="P10" s="357"/>
    </row>
    <row r="11" spans="1:24" ht="30" customHeight="1">
      <c r="A11" s="1111">
        <f>RESUMO!A9</f>
        <v>1</v>
      </c>
      <c r="B11" s="1112" t="str">
        <f>RESUMO!B9</f>
        <v>ADMINISTRAÇÃO LOCAL DE OBRA</v>
      </c>
      <c r="C11" s="1113"/>
      <c r="D11" s="1114"/>
      <c r="E11" s="1115"/>
      <c r="F11" s="1116"/>
      <c r="G11" s="1117"/>
      <c r="H11" s="1116"/>
      <c r="I11" s="1117"/>
      <c r="J11" s="1116"/>
      <c r="K11" s="1117"/>
      <c r="L11" s="1116"/>
      <c r="M11" s="281"/>
      <c r="N11" s="282"/>
      <c r="O11" s="281"/>
      <c r="P11" s="358"/>
      <c r="Q11" s="157"/>
      <c r="R11" s="156"/>
      <c r="S11" s="236"/>
      <c r="X11" s="156"/>
    </row>
    <row r="12" spans="1:24" ht="28.5">
      <c r="A12" s="287" t="str">
        <f>RESUMO!A10</f>
        <v>1.1</v>
      </c>
      <c r="B12" s="311" t="str">
        <f>RESUMO!B10</f>
        <v>ADMINISTRAÇÃO LOCAL E CANTEIRO DE OBRA</v>
      </c>
      <c r="C12" s="279">
        <f>RESUMO!D10</f>
        <v>64759.840000000004</v>
      </c>
      <c r="D12" s="280">
        <f>C12/$C$55</f>
        <v>7.7070842557556876E-2</v>
      </c>
      <c r="E12" s="281">
        <f t="shared" ref="E12" si="0">F12*$C12</f>
        <v>28818.128800000002</v>
      </c>
      <c r="F12" s="282">
        <v>0.44500000000000001</v>
      </c>
      <c r="G12" s="281">
        <f t="shared" ref="G12" si="1">H12*$C12</f>
        <v>11980.570400000001</v>
      </c>
      <c r="H12" s="282">
        <v>0.185</v>
      </c>
      <c r="I12" s="281">
        <f t="shared" ref="I12" si="2">J12*$C12</f>
        <v>11980.570400000001</v>
      </c>
      <c r="J12" s="282">
        <v>0.185</v>
      </c>
      <c r="K12" s="281">
        <f t="shared" ref="K12" si="3">L12*$C12</f>
        <v>11980.570400000001</v>
      </c>
      <c r="L12" s="282">
        <v>0.185</v>
      </c>
      <c r="M12" s="281">
        <f t="shared" ref="M12" si="4">N12*$C12</f>
        <v>0</v>
      </c>
      <c r="N12" s="282"/>
      <c r="O12" s="281">
        <f t="shared" ref="O12" si="5">P12*$C12</f>
        <v>0</v>
      </c>
      <c r="P12" s="358"/>
      <c r="Q12" s="157"/>
      <c r="R12" s="156">
        <f t="shared" ref="R12" si="6">F12+H12+J12+L12+N12+P12</f>
        <v>1</v>
      </c>
      <c r="X12" s="156">
        <f t="shared" ref="X12" si="7">F12+H12+J12+L12</f>
        <v>1</v>
      </c>
    </row>
    <row r="13" spans="1:24" ht="24.95" customHeight="1">
      <c r="A13" s="1111"/>
      <c r="B13" s="1112" t="str">
        <f>RESUMO!B11</f>
        <v>TOTAL GERAL DO ITEM 1:</v>
      </c>
      <c r="C13" s="1118">
        <f>SUM(C12)</f>
        <v>64759.840000000004</v>
      </c>
      <c r="D13" s="1119">
        <f>C13/$C$55</f>
        <v>7.7070842557556876E-2</v>
      </c>
      <c r="E13" s="1118">
        <f t="shared" ref="E13:L13" si="8">SUM(E12)</f>
        <v>28818.128800000002</v>
      </c>
      <c r="F13" s="1119">
        <f t="shared" si="8"/>
        <v>0.44500000000000001</v>
      </c>
      <c r="G13" s="1118">
        <f t="shared" si="8"/>
        <v>11980.570400000001</v>
      </c>
      <c r="H13" s="1119">
        <f t="shared" si="8"/>
        <v>0.185</v>
      </c>
      <c r="I13" s="1118">
        <f t="shared" si="8"/>
        <v>11980.570400000001</v>
      </c>
      <c r="J13" s="1119">
        <f t="shared" si="8"/>
        <v>0.185</v>
      </c>
      <c r="K13" s="1118">
        <f t="shared" si="8"/>
        <v>11980.570400000001</v>
      </c>
      <c r="L13" s="1119">
        <f t="shared" si="8"/>
        <v>0.185</v>
      </c>
      <c r="M13" s="281"/>
      <c r="N13" s="283"/>
      <c r="O13" s="281"/>
      <c r="P13" s="359"/>
      <c r="Q13" s="157"/>
      <c r="R13" s="156"/>
      <c r="X13" s="156"/>
    </row>
    <row r="14" spans="1:24" ht="14.25">
      <c r="A14" s="287"/>
      <c r="B14" s="311"/>
      <c r="C14" s="312"/>
      <c r="D14" s="313"/>
      <c r="E14" s="314"/>
      <c r="F14" s="282"/>
      <c r="G14" s="281"/>
      <c r="H14" s="282"/>
      <c r="I14" s="281"/>
      <c r="J14" s="283"/>
      <c r="K14" s="281"/>
      <c r="L14" s="283"/>
      <c r="M14" s="281"/>
      <c r="N14" s="283"/>
      <c r="O14" s="281"/>
      <c r="P14" s="359"/>
      <c r="Q14" s="157"/>
      <c r="R14" s="156"/>
      <c r="X14" s="156"/>
    </row>
    <row r="15" spans="1:24" ht="24.95" customHeight="1">
      <c r="A15" s="1111">
        <f>RESUMO!A13</f>
        <v>2</v>
      </c>
      <c r="B15" s="1112" t="str">
        <f>RESUMO!B13</f>
        <v>LAVANDERIA</v>
      </c>
      <c r="C15" s="1118"/>
      <c r="D15" s="1119"/>
      <c r="E15" s="1117"/>
      <c r="F15" s="1116"/>
      <c r="G15" s="1117"/>
      <c r="H15" s="1116"/>
      <c r="I15" s="1117"/>
      <c r="J15" s="1120"/>
      <c r="K15" s="1117"/>
      <c r="L15" s="1120"/>
      <c r="M15" s="281">
        <f t="shared" ref="E15:O38" si="9">N15*$C15</f>
        <v>0</v>
      </c>
      <c r="N15" s="283"/>
      <c r="O15" s="281">
        <f t="shared" si="9"/>
        <v>0</v>
      </c>
      <c r="P15" s="359"/>
      <c r="Q15" s="157"/>
      <c r="R15" s="156">
        <f t="shared" ref="R15:R55" si="10">F15+H15+J15+L15+N15+P15</f>
        <v>0</v>
      </c>
      <c r="X15" s="156"/>
    </row>
    <row r="16" spans="1:24" ht="24.95" customHeight="1">
      <c r="A16" s="287" t="str">
        <f>RESUMO!A14</f>
        <v>2.1</v>
      </c>
      <c r="B16" s="311" t="str">
        <f>RESUMO!B14</f>
        <v>SERVIÇOS PRELIMINARES</v>
      </c>
      <c r="C16" s="279">
        <f>RESUMO!D14</f>
        <v>5254.8799999999992</v>
      </c>
      <c r="D16" s="280">
        <f>C16/$C$55</f>
        <v>6.2538454254805823E-3</v>
      </c>
      <c r="E16" s="281">
        <f t="shared" si="9"/>
        <v>1313.7199999999998</v>
      </c>
      <c r="F16" s="282">
        <v>0.25</v>
      </c>
      <c r="G16" s="281">
        <f t="shared" si="9"/>
        <v>1313.7199999999998</v>
      </c>
      <c r="H16" s="282">
        <v>0.25</v>
      </c>
      <c r="I16" s="281">
        <f t="shared" si="9"/>
        <v>1313.7199999999998</v>
      </c>
      <c r="J16" s="282">
        <v>0.25</v>
      </c>
      <c r="K16" s="281">
        <f t="shared" si="9"/>
        <v>1313.7199999999998</v>
      </c>
      <c r="L16" s="282">
        <v>0.25</v>
      </c>
      <c r="M16" s="281">
        <f t="shared" si="9"/>
        <v>0</v>
      </c>
      <c r="N16" s="282"/>
      <c r="O16" s="281">
        <f t="shared" si="9"/>
        <v>0</v>
      </c>
      <c r="P16" s="358"/>
      <c r="Q16" s="157"/>
      <c r="R16" s="156">
        <f t="shared" si="10"/>
        <v>1</v>
      </c>
      <c r="X16" s="156">
        <f t="shared" ref="X16:X52" si="11">F16+H16+J16+L16</f>
        <v>1</v>
      </c>
    </row>
    <row r="17" spans="1:24" ht="24.95" customHeight="1">
      <c r="A17" s="287" t="str">
        <f>RESUMO!A15</f>
        <v>2.2</v>
      </c>
      <c r="B17" s="311" t="str">
        <f>RESUMO!B15</f>
        <v>MOVIMENTO DE SOLOS</v>
      </c>
      <c r="C17" s="279">
        <f>RESUMO!D15</f>
        <v>8794.119999999999</v>
      </c>
      <c r="D17" s="280">
        <f t="shared" ref="D17:D32" si="12">C17/$C$55</f>
        <v>1.0465903528363596E-2</v>
      </c>
      <c r="E17" s="281">
        <f t="shared" si="9"/>
        <v>5276.4719999999988</v>
      </c>
      <c r="F17" s="282">
        <v>0.6</v>
      </c>
      <c r="G17" s="281">
        <f t="shared" si="9"/>
        <v>3517.6479999999997</v>
      </c>
      <c r="H17" s="282">
        <v>0.4</v>
      </c>
      <c r="I17" s="281">
        <f t="shared" si="9"/>
        <v>0</v>
      </c>
      <c r="J17" s="282"/>
      <c r="K17" s="281">
        <f t="shared" si="9"/>
        <v>0</v>
      </c>
      <c r="L17" s="282"/>
      <c r="M17" s="281">
        <f t="shared" si="9"/>
        <v>0</v>
      </c>
      <c r="N17" s="283"/>
      <c r="O17" s="281">
        <f t="shared" si="9"/>
        <v>0</v>
      </c>
      <c r="P17" s="359"/>
      <c r="Q17" s="157"/>
      <c r="R17" s="156">
        <f t="shared" si="10"/>
        <v>1</v>
      </c>
      <c r="X17" s="156">
        <f t="shared" si="11"/>
        <v>1</v>
      </c>
    </row>
    <row r="18" spans="1:24" ht="24.95" customHeight="1">
      <c r="A18" s="287" t="str">
        <f>RESUMO!A16</f>
        <v>2.3</v>
      </c>
      <c r="B18" s="311" t="str">
        <f>RESUMO!B16</f>
        <v>INFRAESTRUTURA</v>
      </c>
      <c r="C18" s="279">
        <f>RESUMO!D16</f>
        <v>9339.7799999999988</v>
      </c>
      <c r="D18" s="280">
        <f t="shared" si="12"/>
        <v>1.1115294817007244E-2</v>
      </c>
      <c r="E18" s="281">
        <f t="shared" si="9"/>
        <v>5603.8679999999995</v>
      </c>
      <c r="F18" s="282">
        <v>0.6</v>
      </c>
      <c r="G18" s="281">
        <f t="shared" si="9"/>
        <v>3735.9119999999998</v>
      </c>
      <c r="H18" s="282">
        <v>0.4</v>
      </c>
      <c r="I18" s="281">
        <f t="shared" si="9"/>
        <v>0</v>
      </c>
      <c r="J18" s="282"/>
      <c r="K18" s="281">
        <f t="shared" si="9"/>
        <v>0</v>
      </c>
      <c r="L18" s="282"/>
      <c r="M18" s="281">
        <f t="shared" si="9"/>
        <v>0</v>
      </c>
      <c r="N18" s="282"/>
      <c r="O18" s="281">
        <f t="shared" si="9"/>
        <v>0</v>
      </c>
      <c r="P18" s="358"/>
      <c r="Q18" s="157"/>
      <c r="R18" s="156">
        <f t="shared" si="10"/>
        <v>1</v>
      </c>
      <c r="X18" s="156">
        <f t="shared" si="11"/>
        <v>1</v>
      </c>
    </row>
    <row r="19" spans="1:24" ht="24.95" customHeight="1">
      <c r="A19" s="287" t="str">
        <f>RESUMO!A17</f>
        <v>2.4</v>
      </c>
      <c r="B19" s="311" t="str">
        <f>RESUMO!B17</f>
        <v>ESTRUTURA</v>
      </c>
      <c r="C19" s="279">
        <f>RESUMO!D17</f>
        <v>60885.48</v>
      </c>
      <c r="D19" s="280">
        <f t="shared" si="12"/>
        <v>7.2459957330365213E-2</v>
      </c>
      <c r="E19" s="281">
        <f t="shared" si="9"/>
        <v>36531.288</v>
      </c>
      <c r="F19" s="282">
        <v>0.6</v>
      </c>
      <c r="G19" s="281">
        <f t="shared" si="9"/>
        <v>24354.192000000003</v>
      </c>
      <c r="H19" s="282">
        <v>0.4</v>
      </c>
      <c r="I19" s="281">
        <f t="shared" si="9"/>
        <v>0</v>
      </c>
      <c r="J19" s="282"/>
      <c r="K19" s="281">
        <f t="shared" si="9"/>
        <v>0</v>
      </c>
      <c r="L19" s="282"/>
      <c r="M19" s="281">
        <f t="shared" si="9"/>
        <v>0</v>
      </c>
      <c r="N19" s="282"/>
      <c r="O19" s="281">
        <f t="shared" si="9"/>
        <v>0</v>
      </c>
      <c r="P19" s="358"/>
      <c r="Q19" s="157"/>
      <c r="R19" s="156">
        <f t="shared" si="10"/>
        <v>1</v>
      </c>
      <c r="X19" s="156">
        <f t="shared" si="11"/>
        <v>1</v>
      </c>
    </row>
    <row r="20" spans="1:24" ht="24.95" customHeight="1">
      <c r="A20" s="287" t="str">
        <f>RESUMO!A18</f>
        <v>2.5</v>
      </c>
      <c r="B20" s="311" t="str">
        <f>RESUMO!B18</f>
        <v>IMPERMEABILIZAÇÃO</v>
      </c>
      <c r="C20" s="279">
        <f>RESUMO!D18</f>
        <v>6212.09</v>
      </c>
      <c r="D20" s="280">
        <f t="shared" si="12"/>
        <v>7.3930233666941346E-3</v>
      </c>
      <c r="E20" s="281">
        <f t="shared" si="9"/>
        <v>1863.627</v>
      </c>
      <c r="F20" s="282">
        <v>0.3</v>
      </c>
      <c r="G20" s="281">
        <f t="shared" si="9"/>
        <v>4348.4629999999997</v>
      </c>
      <c r="H20" s="282">
        <v>0.7</v>
      </c>
      <c r="I20" s="281">
        <f t="shared" si="9"/>
        <v>0</v>
      </c>
      <c r="J20" s="282"/>
      <c r="K20" s="281">
        <f t="shared" si="9"/>
        <v>0</v>
      </c>
      <c r="L20" s="282"/>
      <c r="M20" s="281">
        <f t="shared" si="9"/>
        <v>0</v>
      </c>
      <c r="N20" s="282"/>
      <c r="O20" s="281">
        <f t="shared" si="9"/>
        <v>0</v>
      </c>
      <c r="P20" s="358"/>
      <c r="Q20" s="157"/>
      <c r="R20" s="156">
        <f t="shared" si="10"/>
        <v>1</v>
      </c>
      <c r="X20" s="156">
        <f t="shared" si="11"/>
        <v>1</v>
      </c>
    </row>
    <row r="21" spans="1:24" ht="24.95" customHeight="1">
      <c r="A21" s="287" t="str">
        <f>RESUMO!A19</f>
        <v>2.6</v>
      </c>
      <c r="B21" s="311" t="str">
        <f>RESUMO!B19</f>
        <v>COBERTURA</v>
      </c>
      <c r="C21" s="279">
        <f>RESUMO!D19</f>
        <v>44062.76</v>
      </c>
      <c r="D21" s="280">
        <f t="shared" si="12"/>
        <v>5.2439197481207719E-2</v>
      </c>
      <c r="E21" s="281">
        <f t="shared" si="9"/>
        <v>13218.828</v>
      </c>
      <c r="F21" s="282">
        <v>0.3</v>
      </c>
      <c r="G21" s="281">
        <f t="shared" si="9"/>
        <v>30843.932000000001</v>
      </c>
      <c r="H21" s="282">
        <v>0.7</v>
      </c>
      <c r="I21" s="281">
        <f t="shared" si="9"/>
        <v>0</v>
      </c>
      <c r="J21" s="282"/>
      <c r="K21" s="281">
        <f t="shared" si="9"/>
        <v>0</v>
      </c>
      <c r="L21" s="282"/>
      <c r="M21" s="281">
        <f t="shared" si="9"/>
        <v>0</v>
      </c>
      <c r="N21" s="282"/>
      <c r="O21" s="281">
        <f t="shared" si="9"/>
        <v>0</v>
      </c>
      <c r="P21" s="358"/>
      <c r="Q21" s="157"/>
      <c r="R21" s="156">
        <f t="shared" si="10"/>
        <v>1</v>
      </c>
      <c r="X21" s="156">
        <f t="shared" si="11"/>
        <v>1</v>
      </c>
    </row>
    <row r="22" spans="1:24" ht="24.95" customHeight="1">
      <c r="A22" s="287" t="str">
        <f>RESUMO!A20</f>
        <v>2.7</v>
      </c>
      <c r="B22" s="311" t="str">
        <f>RESUMO!B20</f>
        <v>VEDAÇAO</v>
      </c>
      <c r="C22" s="279">
        <f>RESUMO!D20</f>
        <v>58385.140000000007</v>
      </c>
      <c r="D22" s="280">
        <f t="shared" si="12"/>
        <v>6.9484296635706891E-2</v>
      </c>
      <c r="E22" s="281">
        <f t="shared" si="9"/>
        <v>0</v>
      </c>
      <c r="F22" s="282"/>
      <c r="G22" s="281">
        <f t="shared" si="9"/>
        <v>0</v>
      </c>
      <c r="H22" s="282"/>
      <c r="I22" s="281">
        <f t="shared" si="9"/>
        <v>46708.112000000008</v>
      </c>
      <c r="J22" s="282">
        <v>0.8</v>
      </c>
      <c r="K22" s="281">
        <f t="shared" si="9"/>
        <v>11677.028000000002</v>
      </c>
      <c r="L22" s="282">
        <v>0.2</v>
      </c>
      <c r="M22" s="281">
        <f t="shared" si="9"/>
        <v>0</v>
      </c>
      <c r="N22" s="282"/>
      <c r="O22" s="281">
        <f t="shared" si="9"/>
        <v>0</v>
      </c>
      <c r="P22" s="358"/>
      <c r="Q22" s="157"/>
      <c r="R22" s="156">
        <f t="shared" si="10"/>
        <v>1</v>
      </c>
      <c r="X22" s="156">
        <f t="shared" si="11"/>
        <v>1</v>
      </c>
    </row>
    <row r="23" spans="1:24" ht="24.95" customHeight="1">
      <c r="A23" s="287" t="str">
        <f>RESUMO!A21</f>
        <v>2.8</v>
      </c>
      <c r="B23" s="311" t="str">
        <f>RESUMO!B21</f>
        <v>ESQUADRIAS</v>
      </c>
      <c r="C23" s="279">
        <f>RESUMO!D21</f>
        <v>48738.010000000009</v>
      </c>
      <c r="D23" s="280">
        <f t="shared" si="12"/>
        <v>5.8003223838703634E-2</v>
      </c>
      <c r="E23" s="281">
        <f t="shared" ref="E23:E32" si="13">F23*$C23</f>
        <v>0</v>
      </c>
      <c r="F23" s="282"/>
      <c r="G23" s="281">
        <f t="shared" ref="G23:G32" si="14">H23*$C23</f>
        <v>43864.20900000001</v>
      </c>
      <c r="H23" s="282">
        <v>0.9</v>
      </c>
      <c r="I23" s="281">
        <f t="shared" ref="I23:I32" si="15">J23*$C23</f>
        <v>4873.8010000000013</v>
      </c>
      <c r="J23" s="282">
        <v>0.1</v>
      </c>
      <c r="K23" s="281">
        <f t="shared" ref="K23:K32" si="16">L23*$C23</f>
        <v>0</v>
      </c>
      <c r="L23" s="282"/>
      <c r="M23" s="281"/>
      <c r="N23" s="282"/>
      <c r="O23" s="281"/>
      <c r="P23" s="358"/>
      <c r="Q23" s="157"/>
      <c r="R23" s="156"/>
      <c r="X23" s="156">
        <f t="shared" si="11"/>
        <v>1</v>
      </c>
    </row>
    <row r="24" spans="1:24" ht="24.95" customHeight="1">
      <c r="A24" s="287" t="str">
        <f>RESUMO!A22</f>
        <v>2.9</v>
      </c>
      <c r="B24" s="311" t="str">
        <f>RESUMO!B22</f>
        <v xml:space="preserve">REVESTIMENTO </v>
      </c>
      <c r="C24" s="279">
        <f>RESUMO!D22</f>
        <v>45524.899999999994</v>
      </c>
      <c r="D24" s="280">
        <f t="shared" si="12"/>
        <v>5.4179293839338095E-2</v>
      </c>
      <c r="E24" s="281">
        <f t="shared" si="13"/>
        <v>0</v>
      </c>
      <c r="F24" s="282"/>
      <c r="G24" s="281">
        <f t="shared" si="14"/>
        <v>0</v>
      </c>
      <c r="H24" s="282"/>
      <c r="I24" s="281">
        <f t="shared" si="15"/>
        <v>27314.939999999995</v>
      </c>
      <c r="J24" s="282">
        <v>0.6</v>
      </c>
      <c r="K24" s="281">
        <f t="shared" si="16"/>
        <v>18209.96</v>
      </c>
      <c r="L24" s="282">
        <v>0.4</v>
      </c>
      <c r="M24" s="281"/>
      <c r="N24" s="282"/>
      <c r="O24" s="281"/>
      <c r="P24" s="358"/>
      <c r="Q24" s="157"/>
      <c r="R24" s="156"/>
      <c r="X24" s="156">
        <f t="shared" si="11"/>
        <v>1</v>
      </c>
    </row>
    <row r="25" spans="1:24" ht="24.95" customHeight="1">
      <c r="A25" s="287" t="str">
        <f>RESUMO!A23</f>
        <v>2.10</v>
      </c>
      <c r="B25" s="311" t="str">
        <f>RESUMO!B23</f>
        <v>PISOS</v>
      </c>
      <c r="C25" s="279">
        <f>RESUMO!D23</f>
        <v>68441.364000000001</v>
      </c>
      <c r="D25" s="280">
        <f t="shared" si="12"/>
        <v>8.1452233193726867E-2</v>
      </c>
      <c r="E25" s="281">
        <f t="shared" si="13"/>
        <v>0</v>
      </c>
      <c r="F25" s="282"/>
      <c r="G25" s="281">
        <f t="shared" si="14"/>
        <v>0</v>
      </c>
      <c r="H25" s="282"/>
      <c r="I25" s="281">
        <f t="shared" si="15"/>
        <v>41064.818399999996</v>
      </c>
      <c r="J25" s="282">
        <v>0.6</v>
      </c>
      <c r="K25" s="281">
        <f t="shared" si="16"/>
        <v>27376.545600000001</v>
      </c>
      <c r="L25" s="282">
        <v>0.4</v>
      </c>
      <c r="M25" s="281"/>
      <c r="N25" s="282"/>
      <c r="O25" s="281"/>
      <c r="P25" s="358"/>
      <c r="Q25" s="157"/>
      <c r="R25" s="156"/>
      <c r="X25" s="156">
        <f t="shared" si="11"/>
        <v>1</v>
      </c>
    </row>
    <row r="26" spans="1:24" ht="24.95" customHeight="1">
      <c r="A26" s="287" t="str">
        <f>RESUMO!A24</f>
        <v>2.11</v>
      </c>
      <c r="B26" s="311" t="str">
        <f>RESUMO!B24</f>
        <v>PINTURAS</v>
      </c>
      <c r="C26" s="279">
        <f>RESUMO!D24</f>
        <v>16297.8</v>
      </c>
      <c r="D26" s="280">
        <f t="shared" si="12"/>
        <v>1.9396051284786227E-2</v>
      </c>
      <c r="E26" s="281">
        <f t="shared" si="13"/>
        <v>0</v>
      </c>
      <c r="F26" s="282"/>
      <c r="G26" s="281">
        <f t="shared" si="14"/>
        <v>0</v>
      </c>
      <c r="H26" s="282"/>
      <c r="I26" s="281">
        <f t="shared" si="15"/>
        <v>4889.3399999999992</v>
      </c>
      <c r="J26" s="282">
        <v>0.3</v>
      </c>
      <c r="K26" s="281">
        <f t="shared" si="16"/>
        <v>11408.46</v>
      </c>
      <c r="L26" s="282">
        <v>0.7</v>
      </c>
      <c r="M26" s="281"/>
      <c r="N26" s="282"/>
      <c r="O26" s="281"/>
      <c r="P26" s="358"/>
      <c r="Q26" s="157"/>
      <c r="R26" s="156"/>
      <c r="X26" s="156">
        <f t="shared" si="11"/>
        <v>1</v>
      </c>
    </row>
    <row r="27" spans="1:24" ht="24.95" customHeight="1">
      <c r="A27" s="287" t="str">
        <f>RESUMO!A25</f>
        <v>2.12</v>
      </c>
      <c r="B27" s="311" t="str">
        <f>RESUMO!B25</f>
        <v>FORRO</v>
      </c>
      <c r="C27" s="279">
        <f>RESUMO!D25</f>
        <v>13467.52</v>
      </c>
      <c r="D27" s="280">
        <f t="shared" si="12"/>
        <v>1.602772819637523E-2</v>
      </c>
      <c r="E27" s="281">
        <f t="shared" si="13"/>
        <v>0</v>
      </c>
      <c r="F27" s="282"/>
      <c r="G27" s="281">
        <f t="shared" si="14"/>
        <v>0</v>
      </c>
      <c r="H27" s="282"/>
      <c r="I27" s="281">
        <f t="shared" si="15"/>
        <v>2693.5040000000004</v>
      </c>
      <c r="J27" s="282">
        <v>0.2</v>
      </c>
      <c r="K27" s="281">
        <f t="shared" si="16"/>
        <v>10774.016000000001</v>
      </c>
      <c r="L27" s="282">
        <v>0.8</v>
      </c>
      <c r="M27" s="281"/>
      <c r="N27" s="282"/>
      <c r="O27" s="281"/>
      <c r="P27" s="358"/>
      <c r="Q27" s="157"/>
      <c r="R27" s="156"/>
      <c r="X27" s="156">
        <f t="shared" si="11"/>
        <v>1</v>
      </c>
    </row>
    <row r="28" spans="1:24" ht="24.95" customHeight="1">
      <c r="A28" s="287" t="str">
        <f>RESUMO!A26</f>
        <v>2.13</v>
      </c>
      <c r="B28" s="311" t="str">
        <f>RESUMO!B26</f>
        <v xml:space="preserve">LIMPEZA FINAL DA OBRA </v>
      </c>
      <c r="C28" s="279">
        <f>RESUMO!D26</f>
        <v>967.21</v>
      </c>
      <c r="D28" s="280">
        <f t="shared" si="12"/>
        <v>1.1510789654528885E-3</v>
      </c>
      <c r="E28" s="281">
        <f t="shared" si="13"/>
        <v>0</v>
      </c>
      <c r="F28" s="282"/>
      <c r="G28" s="281">
        <f t="shared" si="14"/>
        <v>0</v>
      </c>
      <c r="H28" s="282"/>
      <c r="I28" s="281">
        <f t="shared" si="15"/>
        <v>290.16300000000001</v>
      </c>
      <c r="J28" s="282">
        <v>0.3</v>
      </c>
      <c r="K28" s="281">
        <f t="shared" si="16"/>
        <v>677.04700000000003</v>
      </c>
      <c r="L28" s="282">
        <v>0.7</v>
      </c>
      <c r="M28" s="281"/>
      <c r="N28" s="282"/>
      <c r="O28" s="281"/>
      <c r="P28" s="358"/>
      <c r="Q28" s="157"/>
      <c r="R28" s="156"/>
      <c r="X28" s="156">
        <f t="shared" si="11"/>
        <v>1</v>
      </c>
    </row>
    <row r="29" spans="1:24" ht="28.5">
      <c r="A29" s="287" t="str">
        <f>RESUMO!A27</f>
        <v>2.14</v>
      </c>
      <c r="B29" s="311" t="str">
        <f>RESUMO!B27</f>
        <v>INSTALAÇÕES HIDROSSANITÁRIAS / DRENAGEM PLUVIAL</v>
      </c>
      <c r="C29" s="279">
        <f>RESUMO!D27</f>
        <v>49802.770000000011</v>
      </c>
      <c r="D29" s="280">
        <f t="shared" si="12"/>
        <v>5.927039729561126E-2</v>
      </c>
      <c r="E29" s="281">
        <f t="shared" si="13"/>
        <v>0</v>
      </c>
      <c r="F29" s="282"/>
      <c r="G29" s="281">
        <f t="shared" si="14"/>
        <v>0</v>
      </c>
      <c r="H29" s="282"/>
      <c r="I29" s="281">
        <f t="shared" si="15"/>
        <v>0</v>
      </c>
      <c r="J29" s="282"/>
      <c r="K29" s="281">
        <f t="shared" si="16"/>
        <v>49802.770000000011</v>
      </c>
      <c r="L29" s="282">
        <v>1</v>
      </c>
      <c r="M29" s="281"/>
      <c r="N29" s="282"/>
      <c r="O29" s="281"/>
      <c r="P29" s="358"/>
      <c r="Q29" s="157"/>
      <c r="R29" s="156"/>
      <c r="X29" s="156">
        <f t="shared" si="11"/>
        <v>1</v>
      </c>
    </row>
    <row r="30" spans="1:24" ht="24.95" customHeight="1">
      <c r="A30" s="287" t="str">
        <f>RESUMO!A28</f>
        <v>2.15</v>
      </c>
      <c r="B30" s="311" t="str">
        <f>RESUMO!B28</f>
        <v>INSTALAÇÕES ELÉTRICAS</v>
      </c>
      <c r="C30" s="279">
        <f>RESUMO!D28</f>
        <v>25412.760000000006</v>
      </c>
      <c r="D30" s="280">
        <f t="shared" si="12"/>
        <v>3.0243787274844711E-2</v>
      </c>
      <c r="E30" s="281">
        <f t="shared" si="13"/>
        <v>0</v>
      </c>
      <c r="F30" s="282"/>
      <c r="G30" s="281">
        <f t="shared" si="14"/>
        <v>0</v>
      </c>
      <c r="H30" s="282"/>
      <c r="I30" s="281">
        <f t="shared" si="15"/>
        <v>2541.2760000000007</v>
      </c>
      <c r="J30" s="282">
        <v>0.1</v>
      </c>
      <c r="K30" s="281">
        <f t="shared" si="16"/>
        <v>22871.484000000004</v>
      </c>
      <c r="L30" s="282">
        <v>0.9</v>
      </c>
      <c r="M30" s="281"/>
      <c r="N30" s="282"/>
      <c r="O30" s="281"/>
      <c r="P30" s="358"/>
      <c r="Q30" s="157"/>
      <c r="R30" s="156"/>
      <c r="X30" s="156">
        <f t="shared" si="11"/>
        <v>1</v>
      </c>
    </row>
    <row r="31" spans="1:24" ht="24.95" customHeight="1">
      <c r="A31" s="287" t="str">
        <f>RESUMO!A29</f>
        <v>2.16</v>
      </c>
      <c r="B31" s="311" t="str">
        <f>RESUMO!B29</f>
        <v>SPDA LAVANDERIA</v>
      </c>
      <c r="C31" s="279">
        <f>RESUMO!D29</f>
        <v>12328.340000000002</v>
      </c>
      <c r="D31" s="280">
        <f t="shared" si="12"/>
        <v>1.4671987317078469E-2</v>
      </c>
      <c r="E31" s="281">
        <f t="shared" si="13"/>
        <v>0</v>
      </c>
      <c r="F31" s="282"/>
      <c r="G31" s="281">
        <f t="shared" si="14"/>
        <v>0</v>
      </c>
      <c r="H31" s="282"/>
      <c r="I31" s="281">
        <f t="shared" si="15"/>
        <v>1232.8340000000003</v>
      </c>
      <c r="J31" s="282">
        <v>0.1</v>
      </c>
      <c r="K31" s="281">
        <f t="shared" si="16"/>
        <v>11095.506000000001</v>
      </c>
      <c r="L31" s="282">
        <v>0.9</v>
      </c>
      <c r="M31" s="281"/>
      <c r="N31" s="282"/>
      <c r="O31" s="281"/>
      <c r="P31" s="358"/>
      <c r="Q31" s="157"/>
      <c r="R31" s="156"/>
      <c r="X31" s="156">
        <f t="shared" si="11"/>
        <v>1</v>
      </c>
    </row>
    <row r="32" spans="1:24" ht="24.95" customHeight="1">
      <c r="A32" s="287" t="str">
        <f>RESUMO!A30</f>
        <v>2.17</v>
      </c>
      <c r="B32" s="311" t="str">
        <f>RESUMO!B30</f>
        <v>INCÊNDIO</v>
      </c>
      <c r="C32" s="279">
        <f>RESUMO!D30</f>
        <v>2366.94</v>
      </c>
      <c r="D32" s="280">
        <f t="shared" si="12"/>
        <v>2.8169010313055694E-3</v>
      </c>
      <c r="E32" s="281">
        <f t="shared" si="13"/>
        <v>0</v>
      </c>
      <c r="F32" s="282"/>
      <c r="G32" s="281">
        <f t="shared" si="14"/>
        <v>0</v>
      </c>
      <c r="H32" s="282"/>
      <c r="I32" s="281">
        <f t="shared" si="15"/>
        <v>236.69400000000002</v>
      </c>
      <c r="J32" s="282">
        <v>0.1</v>
      </c>
      <c r="K32" s="281">
        <f t="shared" si="16"/>
        <v>2130.2460000000001</v>
      </c>
      <c r="L32" s="282">
        <v>0.9</v>
      </c>
      <c r="M32" s="281"/>
      <c r="N32" s="282"/>
      <c r="O32" s="281"/>
      <c r="P32" s="358"/>
      <c r="Q32" s="157"/>
      <c r="R32" s="156"/>
      <c r="X32" s="156">
        <f t="shared" si="11"/>
        <v>1</v>
      </c>
    </row>
    <row r="33" spans="1:24" ht="24.95" customHeight="1">
      <c r="A33" s="1111"/>
      <c r="B33" s="1112" t="str">
        <f>RESUMO!B31</f>
        <v>TOTAL GERAL DO ITEM 2:</v>
      </c>
      <c r="C33" s="1118">
        <f>SUM(C16:C32)</f>
        <v>476281.86400000012</v>
      </c>
      <c r="D33" s="1119">
        <f>C33/$C$55</f>
        <v>0.56682420082204843</v>
      </c>
      <c r="E33" s="1118">
        <f>SUM(E16:E32)</f>
        <v>63807.803</v>
      </c>
      <c r="F33" s="1119">
        <f>E33/$C$33</f>
        <v>0.13397067539821333</v>
      </c>
      <c r="G33" s="1118">
        <f>SUM(G16:G32)</f>
        <v>111978.076</v>
      </c>
      <c r="H33" s="1119">
        <f>G33/$C$33</f>
        <v>0.23510883882826153</v>
      </c>
      <c r="I33" s="1118">
        <f>SUM(I16:I32)</f>
        <v>133159.20239999998</v>
      </c>
      <c r="J33" s="1119">
        <f>I33/$C$33</f>
        <v>0.27958066948356436</v>
      </c>
      <c r="K33" s="1118">
        <f>SUM(K16:K32)</f>
        <v>167336.78260000001</v>
      </c>
      <c r="L33" s="1119">
        <f>K33/$C$33</f>
        <v>0.35133981628996053</v>
      </c>
      <c r="M33" s="281"/>
      <c r="N33" s="283"/>
      <c r="O33" s="281"/>
      <c r="P33" s="359"/>
      <c r="Q33" s="157"/>
      <c r="R33" s="156"/>
      <c r="X33" s="156"/>
    </row>
    <row r="34" spans="1:24" ht="14.25">
      <c r="A34" s="287"/>
      <c r="B34" s="311"/>
      <c r="C34" s="279"/>
      <c r="D34" s="280"/>
      <c r="E34" s="281"/>
      <c r="F34" s="282"/>
      <c r="G34" s="281"/>
      <c r="H34" s="284"/>
      <c r="I34" s="281"/>
      <c r="J34" s="282"/>
      <c r="K34" s="281"/>
      <c r="L34" s="282"/>
      <c r="M34" s="281"/>
      <c r="N34" s="282"/>
      <c r="O34" s="281"/>
      <c r="P34" s="358"/>
      <c r="Q34" s="157"/>
      <c r="R34" s="156"/>
      <c r="X34" s="156"/>
    </row>
    <row r="35" spans="1:24" ht="24.95" customHeight="1">
      <c r="A35" s="1111" t="str">
        <f>RESUMO!A33</f>
        <v>3.0</v>
      </c>
      <c r="B35" s="1112" t="str">
        <f>RESUMO!B33</f>
        <v>PREDIO SEDE SECRETARIA</v>
      </c>
      <c r="C35" s="1118"/>
      <c r="D35" s="1119"/>
      <c r="E35" s="1117"/>
      <c r="F35" s="1116"/>
      <c r="G35" s="1117"/>
      <c r="H35" s="1116"/>
      <c r="I35" s="1117"/>
      <c r="J35" s="1120"/>
      <c r="K35" s="1117"/>
      <c r="L35" s="1120"/>
      <c r="M35" s="281">
        <f t="shared" si="9"/>
        <v>0</v>
      </c>
      <c r="N35" s="283"/>
      <c r="O35" s="281">
        <f t="shared" si="9"/>
        <v>0</v>
      </c>
      <c r="P35" s="359"/>
      <c r="Q35" s="157"/>
      <c r="R35" s="156">
        <f t="shared" si="10"/>
        <v>0</v>
      </c>
      <c r="X35" s="156">
        <f t="shared" si="11"/>
        <v>0</v>
      </c>
    </row>
    <row r="36" spans="1:24" ht="24.95" customHeight="1">
      <c r="A36" s="287" t="str">
        <f>RESUMO!A34</f>
        <v>3.1</v>
      </c>
      <c r="B36" s="311" t="str">
        <f>RESUMO!B34</f>
        <v>SERVIÇOS PRELIMINARES</v>
      </c>
      <c r="C36" s="279">
        <f>RESUMO!D34</f>
        <v>4122.38</v>
      </c>
      <c r="D36" s="280">
        <f t="shared" ref="D36:D52" si="17">C36/$C$55</f>
        <v>4.9060544303756977E-3</v>
      </c>
      <c r="E36" s="281">
        <f t="shared" si="9"/>
        <v>1030.595</v>
      </c>
      <c r="F36" s="282">
        <v>0.25</v>
      </c>
      <c r="G36" s="281">
        <f t="shared" si="9"/>
        <v>1030.595</v>
      </c>
      <c r="H36" s="282">
        <v>0.25</v>
      </c>
      <c r="I36" s="281">
        <f t="shared" si="9"/>
        <v>1030.595</v>
      </c>
      <c r="J36" s="282">
        <v>0.25</v>
      </c>
      <c r="K36" s="281">
        <f t="shared" si="9"/>
        <v>1030.595</v>
      </c>
      <c r="L36" s="282">
        <v>0.25</v>
      </c>
      <c r="M36" s="281">
        <f t="shared" si="9"/>
        <v>0</v>
      </c>
      <c r="N36" s="284"/>
      <c r="O36" s="281">
        <f t="shared" si="9"/>
        <v>0</v>
      </c>
      <c r="P36" s="358"/>
      <c r="Q36" s="157"/>
      <c r="R36" s="156">
        <f t="shared" si="10"/>
        <v>1</v>
      </c>
      <c r="X36" s="156">
        <f t="shared" si="11"/>
        <v>1</v>
      </c>
    </row>
    <row r="37" spans="1:24" ht="24.95" customHeight="1">
      <c r="A37" s="287" t="str">
        <f>RESUMO!A35</f>
        <v>3.2</v>
      </c>
      <c r="B37" s="311" t="str">
        <f>RESUMO!B35</f>
        <v>MOVIMENTO DE SOLOS</v>
      </c>
      <c r="C37" s="279">
        <f>RESUMO!D35</f>
        <v>5833.4100000000008</v>
      </c>
      <c r="D37" s="280">
        <f t="shared" si="17"/>
        <v>6.9423553807989322E-3</v>
      </c>
      <c r="E37" s="281">
        <f t="shared" si="9"/>
        <v>3500.0460000000003</v>
      </c>
      <c r="F37" s="282">
        <v>0.6</v>
      </c>
      <c r="G37" s="281">
        <f t="shared" si="9"/>
        <v>2333.3640000000005</v>
      </c>
      <c r="H37" s="282">
        <v>0.4</v>
      </c>
      <c r="I37" s="281">
        <f t="shared" si="9"/>
        <v>0</v>
      </c>
      <c r="J37" s="282"/>
      <c r="K37" s="281">
        <f t="shared" si="9"/>
        <v>0</v>
      </c>
      <c r="L37" s="282"/>
      <c r="M37" s="281">
        <f t="shared" si="9"/>
        <v>0</v>
      </c>
      <c r="N37" s="285"/>
      <c r="O37" s="281">
        <f t="shared" si="9"/>
        <v>0</v>
      </c>
      <c r="P37" s="360"/>
      <c r="Q37" s="157"/>
      <c r="R37" s="156">
        <f t="shared" si="10"/>
        <v>1</v>
      </c>
      <c r="X37" s="156">
        <f t="shared" si="11"/>
        <v>1</v>
      </c>
    </row>
    <row r="38" spans="1:24" ht="14.25">
      <c r="A38" s="287" t="str">
        <f>RESUMO!A36</f>
        <v>3.3</v>
      </c>
      <c r="B38" s="311" t="str">
        <f>RESUMO!B36</f>
        <v>INFRAESTRUTURA</v>
      </c>
      <c r="C38" s="279">
        <f>RESUMO!D36</f>
        <v>5884.23</v>
      </c>
      <c r="D38" s="280">
        <f t="shared" si="17"/>
        <v>7.0028363859832403E-3</v>
      </c>
      <c r="E38" s="281">
        <f t="shared" si="9"/>
        <v>3530.5379999999996</v>
      </c>
      <c r="F38" s="282">
        <v>0.6</v>
      </c>
      <c r="G38" s="281">
        <f t="shared" si="9"/>
        <v>2353.692</v>
      </c>
      <c r="H38" s="282">
        <v>0.4</v>
      </c>
      <c r="I38" s="281">
        <f t="shared" si="9"/>
        <v>0</v>
      </c>
      <c r="J38" s="282"/>
      <c r="K38" s="281">
        <f t="shared" si="9"/>
        <v>0</v>
      </c>
      <c r="L38" s="282"/>
      <c r="M38" s="281">
        <f t="shared" si="9"/>
        <v>0</v>
      </c>
      <c r="N38" s="282"/>
      <c r="O38" s="281">
        <f t="shared" si="9"/>
        <v>0</v>
      </c>
      <c r="P38" s="360"/>
      <c r="Q38" s="157"/>
      <c r="R38" s="156">
        <f t="shared" si="10"/>
        <v>1</v>
      </c>
      <c r="X38" s="156">
        <f t="shared" si="11"/>
        <v>1</v>
      </c>
    </row>
    <row r="39" spans="1:24" ht="14.25">
      <c r="A39" s="287" t="str">
        <f>RESUMO!A37</f>
        <v>3.4</v>
      </c>
      <c r="B39" s="311" t="str">
        <f>RESUMO!B37</f>
        <v>ESTRUTURA</v>
      </c>
      <c r="C39" s="279">
        <f>RESUMO!D37</f>
        <v>52533.29</v>
      </c>
      <c r="D39" s="280">
        <f t="shared" si="17"/>
        <v>6.2519995766210618E-2</v>
      </c>
      <c r="E39" s="281">
        <f t="shared" ref="E39:E52" si="18">F39*$C39</f>
        <v>31519.973999999998</v>
      </c>
      <c r="F39" s="282">
        <v>0.6</v>
      </c>
      <c r="G39" s="281">
        <f t="shared" ref="G39:G52" si="19">H39*$C39</f>
        <v>21013.316000000003</v>
      </c>
      <c r="H39" s="282">
        <v>0.4</v>
      </c>
      <c r="I39" s="281">
        <f t="shared" ref="I39:I52" si="20">J39*$C39</f>
        <v>0</v>
      </c>
      <c r="J39" s="282"/>
      <c r="K39" s="281">
        <f t="shared" ref="K39:K52" si="21">L39*$C39</f>
        <v>0</v>
      </c>
      <c r="L39" s="282"/>
      <c r="M39" s="281"/>
      <c r="N39" s="282"/>
      <c r="O39" s="281"/>
      <c r="P39" s="360"/>
      <c r="Q39" s="157"/>
      <c r="R39" s="156"/>
      <c r="X39" s="156">
        <f t="shared" si="11"/>
        <v>1</v>
      </c>
    </row>
    <row r="40" spans="1:24" ht="14.25">
      <c r="A40" s="287" t="str">
        <f>RESUMO!A38</f>
        <v>3.5</v>
      </c>
      <c r="B40" s="311" t="str">
        <f>RESUMO!B38</f>
        <v>IMPERMEABILIZAÇÃO</v>
      </c>
      <c r="C40" s="279">
        <f>RESUMO!D38</f>
        <v>1020.64</v>
      </c>
      <c r="D40" s="280">
        <f t="shared" si="17"/>
        <v>1.2146661379636647E-3</v>
      </c>
      <c r="E40" s="281">
        <f t="shared" si="18"/>
        <v>306.19200000000001</v>
      </c>
      <c r="F40" s="282">
        <v>0.3</v>
      </c>
      <c r="G40" s="281">
        <f t="shared" si="19"/>
        <v>714.44799999999998</v>
      </c>
      <c r="H40" s="282">
        <v>0.7</v>
      </c>
      <c r="I40" s="281">
        <f t="shared" si="20"/>
        <v>0</v>
      </c>
      <c r="J40" s="282"/>
      <c r="K40" s="281">
        <f t="shared" si="21"/>
        <v>0</v>
      </c>
      <c r="L40" s="282"/>
      <c r="M40" s="281"/>
      <c r="N40" s="282"/>
      <c r="O40" s="281"/>
      <c r="P40" s="360"/>
      <c r="Q40" s="157"/>
      <c r="R40" s="156"/>
      <c r="X40" s="156">
        <f t="shared" si="11"/>
        <v>1</v>
      </c>
    </row>
    <row r="41" spans="1:24" ht="14.25">
      <c r="A41" s="287" t="str">
        <f>RESUMO!A39</f>
        <v>3.6</v>
      </c>
      <c r="B41" s="311" t="str">
        <f>RESUMO!B39</f>
        <v>COBERTURA</v>
      </c>
      <c r="C41" s="279">
        <f>RESUMO!D39</f>
        <v>29972.22</v>
      </c>
      <c r="D41" s="280">
        <f t="shared" si="17"/>
        <v>3.5670011672673335E-2</v>
      </c>
      <c r="E41" s="281">
        <f t="shared" si="18"/>
        <v>8991.6659999999993</v>
      </c>
      <c r="F41" s="282">
        <v>0.3</v>
      </c>
      <c r="G41" s="281">
        <f t="shared" si="19"/>
        <v>20980.554</v>
      </c>
      <c r="H41" s="282">
        <v>0.7</v>
      </c>
      <c r="I41" s="281">
        <f t="shared" si="20"/>
        <v>0</v>
      </c>
      <c r="J41" s="282"/>
      <c r="K41" s="281">
        <f t="shared" si="21"/>
        <v>0</v>
      </c>
      <c r="L41" s="282"/>
      <c r="M41" s="281"/>
      <c r="N41" s="282"/>
      <c r="O41" s="281"/>
      <c r="P41" s="360"/>
      <c r="Q41" s="157"/>
      <c r="R41" s="156"/>
      <c r="X41" s="156">
        <f t="shared" si="11"/>
        <v>1</v>
      </c>
    </row>
    <row r="42" spans="1:24" ht="14.25">
      <c r="A42" s="287" t="str">
        <f>RESUMO!A40</f>
        <v>3.7</v>
      </c>
      <c r="B42" s="311" t="str">
        <f>RESUMO!B40</f>
        <v>VEDAÇAO</v>
      </c>
      <c r="C42" s="279">
        <f>RESUMO!D40</f>
        <v>33749.89</v>
      </c>
      <c r="D42" s="280">
        <f t="shared" si="17"/>
        <v>4.0165825896494853E-2</v>
      </c>
      <c r="E42" s="281">
        <f t="shared" si="18"/>
        <v>0</v>
      </c>
      <c r="F42" s="282"/>
      <c r="G42" s="281">
        <f t="shared" si="19"/>
        <v>0</v>
      </c>
      <c r="H42" s="282"/>
      <c r="I42" s="281">
        <f t="shared" si="20"/>
        <v>26999.912</v>
      </c>
      <c r="J42" s="282">
        <v>0.8</v>
      </c>
      <c r="K42" s="281">
        <f t="shared" si="21"/>
        <v>6749.9780000000001</v>
      </c>
      <c r="L42" s="282">
        <v>0.2</v>
      </c>
      <c r="M42" s="281"/>
      <c r="N42" s="282"/>
      <c r="O42" s="281"/>
      <c r="P42" s="360"/>
      <c r="Q42" s="157"/>
      <c r="R42" s="156"/>
      <c r="X42" s="156">
        <f t="shared" si="11"/>
        <v>1</v>
      </c>
    </row>
    <row r="43" spans="1:24" ht="14.25">
      <c r="A43" s="287" t="str">
        <f>RESUMO!A41</f>
        <v>3.8</v>
      </c>
      <c r="B43" s="311" t="str">
        <f>RESUMO!B41</f>
        <v>ESQUADRIAS</v>
      </c>
      <c r="C43" s="279">
        <f>RESUMO!D41</f>
        <v>28652.560000000001</v>
      </c>
      <c r="D43" s="280">
        <f t="shared" si="17"/>
        <v>3.4099481107905019E-2</v>
      </c>
      <c r="E43" s="281">
        <f t="shared" si="18"/>
        <v>0</v>
      </c>
      <c r="F43" s="282"/>
      <c r="G43" s="281">
        <f t="shared" si="19"/>
        <v>25787.304</v>
      </c>
      <c r="H43" s="282">
        <v>0.9</v>
      </c>
      <c r="I43" s="281">
        <f t="shared" si="20"/>
        <v>2865.2560000000003</v>
      </c>
      <c r="J43" s="282">
        <v>0.1</v>
      </c>
      <c r="K43" s="281">
        <f t="shared" si="21"/>
        <v>0</v>
      </c>
      <c r="L43" s="282"/>
      <c r="M43" s="281"/>
      <c r="N43" s="282"/>
      <c r="O43" s="281"/>
      <c r="P43" s="360"/>
      <c r="Q43" s="157"/>
      <c r="R43" s="156"/>
      <c r="X43" s="156">
        <f t="shared" si="11"/>
        <v>1</v>
      </c>
    </row>
    <row r="44" spans="1:24" ht="14.25">
      <c r="A44" s="287" t="str">
        <f>RESUMO!A42</f>
        <v>3.9</v>
      </c>
      <c r="B44" s="311" t="str">
        <f>RESUMO!B42</f>
        <v>REVESTIMENTO PAREDE</v>
      </c>
      <c r="C44" s="279">
        <f>RESUMO!D42</f>
        <v>24755.820000000003</v>
      </c>
      <c r="D44" s="280">
        <f t="shared" si="17"/>
        <v>2.946196138846572E-2</v>
      </c>
      <c r="E44" s="281">
        <f t="shared" si="18"/>
        <v>0</v>
      </c>
      <c r="F44" s="282"/>
      <c r="G44" s="281">
        <f t="shared" si="19"/>
        <v>0</v>
      </c>
      <c r="H44" s="282"/>
      <c r="I44" s="281">
        <f t="shared" si="20"/>
        <v>14853.492000000002</v>
      </c>
      <c r="J44" s="282">
        <v>0.6</v>
      </c>
      <c r="K44" s="281">
        <f t="shared" si="21"/>
        <v>9902.3280000000013</v>
      </c>
      <c r="L44" s="282">
        <v>0.4</v>
      </c>
      <c r="M44" s="281"/>
      <c r="N44" s="282"/>
      <c r="O44" s="281"/>
      <c r="P44" s="360"/>
      <c r="Q44" s="157"/>
      <c r="R44" s="156"/>
      <c r="X44" s="156">
        <f t="shared" si="11"/>
        <v>1</v>
      </c>
    </row>
    <row r="45" spans="1:24" ht="14.25">
      <c r="A45" s="287" t="str">
        <f>RESUMO!A43</f>
        <v>3.10</v>
      </c>
      <c r="B45" s="311" t="str">
        <f>RESUMO!B43</f>
        <v>PISOS</v>
      </c>
      <c r="C45" s="279">
        <f>RESUMO!D43</f>
        <v>40313.3485</v>
      </c>
      <c r="D45" s="280">
        <f t="shared" si="17"/>
        <v>4.7977013766732926E-2</v>
      </c>
      <c r="E45" s="281">
        <f t="shared" si="18"/>
        <v>0</v>
      </c>
      <c r="F45" s="282"/>
      <c r="G45" s="281">
        <f t="shared" si="19"/>
        <v>0</v>
      </c>
      <c r="H45" s="282"/>
      <c r="I45" s="281">
        <f t="shared" si="20"/>
        <v>24188.009099999999</v>
      </c>
      <c r="J45" s="282">
        <v>0.6</v>
      </c>
      <c r="K45" s="281">
        <f t="shared" si="21"/>
        <v>16125.339400000001</v>
      </c>
      <c r="L45" s="282">
        <v>0.4</v>
      </c>
      <c r="M45" s="281"/>
      <c r="N45" s="282"/>
      <c r="O45" s="281"/>
      <c r="P45" s="360"/>
      <c r="Q45" s="157"/>
      <c r="R45" s="156"/>
      <c r="X45" s="156">
        <f t="shared" si="11"/>
        <v>1</v>
      </c>
    </row>
    <row r="46" spans="1:24" ht="14.25">
      <c r="A46" s="287" t="str">
        <f>RESUMO!A44</f>
        <v>3.11</v>
      </c>
      <c r="B46" s="311" t="str">
        <f>RESUMO!B44</f>
        <v>PINTURAS</v>
      </c>
      <c r="C46" s="279">
        <f>RESUMO!D44</f>
        <v>11799.09</v>
      </c>
      <c r="D46" s="280">
        <f t="shared" si="17"/>
        <v>1.4042125609211569E-2</v>
      </c>
      <c r="E46" s="281">
        <f t="shared" si="18"/>
        <v>0</v>
      </c>
      <c r="F46" s="282"/>
      <c r="G46" s="281">
        <f t="shared" si="19"/>
        <v>0</v>
      </c>
      <c r="H46" s="282"/>
      <c r="I46" s="281">
        <f t="shared" si="20"/>
        <v>3539.7269999999999</v>
      </c>
      <c r="J46" s="282">
        <v>0.3</v>
      </c>
      <c r="K46" s="281">
        <f t="shared" si="21"/>
        <v>8259.3629999999994</v>
      </c>
      <c r="L46" s="282">
        <v>0.7</v>
      </c>
      <c r="M46" s="281"/>
      <c r="N46" s="282"/>
      <c r="O46" s="281"/>
      <c r="P46" s="360"/>
      <c r="Q46" s="157"/>
      <c r="R46" s="156"/>
      <c r="X46" s="156">
        <f t="shared" si="11"/>
        <v>1</v>
      </c>
    </row>
    <row r="47" spans="1:24" ht="14.25">
      <c r="A47" s="287" t="str">
        <f>RESUMO!A45</f>
        <v>3.12</v>
      </c>
      <c r="B47" s="311" t="str">
        <f>RESUMO!B45</f>
        <v>FORRO</v>
      </c>
      <c r="C47" s="279">
        <f>RESUMO!D45</f>
        <v>10770.66</v>
      </c>
      <c r="D47" s="280">
        <f t="shared" si="17"/>
        <v>1.281818857336546E-2</v>
      </c>
      <c r="E47" s="281">
        <f t="shared" si="18"/>
        <v>0</v>
      </c>
      <c r="F47" s="282"/>
      <c r="G47" s="281">
        <f t="shared" si="19"/>
        <v>0</v>
      </c>
      <c r="H47" s="282"/>
      <c r="I47" s="281">
        <f t="shared" si="20"/>
        <v>2154.1320000000001</v>
      </c>
      <c r="J47" s="282">
        <v>0.2</v>
      </c>
      <c r="K47" s="281">
        <f t="shared" si="21"/>
        <v>8616.5280000000002</v>
      </c>
      <c r="L47" s="282">
        <v>0.8</v>
      </c>
      <c r="M47" s="281"/>
      <c r="N47" s="282"/>
      <c r="O47" s="281"/>
      <c r="P47" s="360"/>
      <c r="Q47" s="157"/>
      <c r="R47" s="156"/>
      <c r="X47" s="156">
        <f t="shared" si="11"/>
        <v>1</v>
      </c>
    </row>
    <row r="48" spans="1:24" ht="14.25">
      <c r="A48" s="287" t="str">
        <f>RESUMO!A46</f>
        <v>3.13</v>
      </c>
      <c r="B48" s="311" t="str">
        <f>RESUMO!B46</f>
        <v xml:space="preserve">LIMPEZA FINAL DA OBRA </v>
      </c>
      <c r="C48" s="279">
        <f>RESUMO!D46</f>
        <v>484.59</v>
      </c>
      <c r="D48" s="280">
        <f t="shared" si="17"/>
        <v>5.7671173361401886E-4</v>
      </c>
      <c r="E48" s="281">
        <f t="shared" si="18"/>
        <v>0</v>
      </c>
      <c r="F48" s="282"/>
      <c r="G48" s="281">
        <f t="shared" si="19"/>
        <v>0</v>
      </c>
      <c r="H48" s="282"/>
      <c r="I48" s="281">
        <f t="shared" si="20"/>
        <v>145.37699999999998</v>
      </c>
      <c r="J48" s="282">
        <v>0.3</v>
      </c>
      <c r="K48" s="281">
        <f t="shared" si="21"/>
        <v>339.21299999999997</v>
      </c>
      <c r="L48" s="282">
        <v>0.7</v>
      </c>
      <c r="M48" s="281"/>
      <c r="N48" s="282"/>
      <c r="O48" s="281"/>
      <c r="P48" s="360"/>
      <c r="Q48" s="157"/>
      <c r="R48" s="156"/>
      <c r="X48" s="156">
        <f t="shared" si="11"/>
        <v>1</v>
      </c>
    </row>
    <row r="49" spans="1:26" ht="28.5">
      <c r="A49" s="287" t="str">
        <f>RESUMO!A47</f>
        <v>3.14</v>
      </c>
      <c r="B49" s="311" t="str">
        <f>RESUMO!B47</f>
        <v>INSTALAÇÕES HIDROSSANITÁRIAS / DRENAGEM PLUVIAL</v>
      </c>
      <c r="C49" s="279">
        <f>RESUMO!D47</f>
        <v>9896.33</v>
      </c>
      <c r="D49" s="280">
        <f t="shared" si="17"/>
        <v>1.1777646321047532E-2</v>
      </c>
      <c r="E49" s="281">
        <f t="shared" si="18"/>
        <v>0</v>
      </c>
      <c r="F49" s="282"/>
      <c r="G49" s="281">
        <f t="shared" si="19"/>
        <v>0</v>
      </c>
      <c r="H49" s="282"/>
      <c r="I49" s="281">
        <f t="shared" si="20"/>
        <v>0</v>
      </c>
      <c r="J49" s="282"/>
      <c r="K49" s="281">
        <f t="shared" si="21"/>
        <v>9896.33</v>
      </c>
      <c r="L49" s="282">
        <v>1</v>
      </c>
      <c r="M49" s="281"/>
      <c r="N49" s="282"/>
      <c r="O49" s="281"/>
      <c r="P49" s="360"/>
      <c r="Q49" s="157"/>
      <c r="R49" s="156"/>
      <c r="X49" s="156">
        <f t="shared" si="11"/>
        <v>1</v>
      </c>
    </row>
    <row r="50" spans="1:26" ht="14.25">
      <c r="A50" s="287" t="str">
        <f>RESUMO!A48</f>
        <v>3.15</v>
      </c>
      <c r="B50" s="311" t="str">
        <f>RESUMO!B48</f>
        <v>INSTALAÇÕES ELÉTRICAS</v>
      </c>
      <c r="C50" s="279">
        <f>RESUMO!D48</f>
        <v>28058.609999999997</v>
      </c>
      <c r="D50" s="280">
        <f t="shared" si="17"/>
        <v>3.3392619773209613E-2</v>
      </c>
      <c r="E50" s="281">
        <f t="shared" si="18"/>
        <v>0</v>
      </c>
      <c r="F50" s="282"/>
      <c r="G50" s="281">
        <f t="shared" si="19"/>
        <v>0</v>
      </c>
      <c r="H50" s="282"/>
      <c r="I50" s="281">
        <f t="shared" si="20"/>
        <v>2805.8609999999999</v>
      </c>
      <c r="J50" s="282">
        <v>0.1</v>
      </c>
      <c r="K50" s="281">
        <f t="shared" si="21"/>
        <v>25252.748999999996</v>
      </c>
      <c r="L50" s="282">
        <v>0.9</v>
      </c>
      <c r="M50" s="281"/>
      <c r="N50" s="282"/>
      <c r="O50" s="281"/>
      <c r="P50" s="360"/>
      <c r="Q50" s="157"/>
      <c r="R50" s="156"/>
      <c r="X50" s="156">
        <f t="shared" si="11"/>
        <v>1</v>
      </c>
    </row>
    <row r="51" spans="1:26" ht="14.25">
      <c r="A51" s="287" t="str">
        <f>RESUMO!A49</f>
        <v>3.16</v>
      </c>
      <c r="B51" s="311" t="str">
        <f>RESUMO!B49</f>
        <v>S P D A - SECRETARIA</v>
      </c>
      <c r="C51" s="279">
        <f>RESUMO!D49</f>
        <v>9008.0999999999985</v>
      </c>
      <c r="D51" s="280">
        <f t="shared" si="17"/>
        <v>1.0720561645036923E-2</v>
      </c>
      <c r="E51" s="281">
        <f t="shared" si="18"/>
        <v>0</v>
      </c>
      <c r="F51" s="282"/>
      <c r="G51" s="281">
        <f t="shared" si="19"/>
        <v>0</v>
      </c>
      <c r="H51" s="282"/>
      <c r="I51" s="281">
        <f t="shared" si="20"/>
        <v>900.81</v>
      </c>
      <c r="J51" s="282">
        <v>0.1</v>
      </c>
      <c r="K51" s="281">
        <f t="shared" si="21"/>
        <v>8107.2899999999991</v>
      </c>
      <c r="L51" s="282">
        <v>0.9</v>
      </c>
      <c r="M51" s="281"/>
      <c r="N51" s="282"/>
      <c r="O51" s="281"/>
      <c r="P51" s="360"/>
      <c r="Q51" s="157"/>
      <c r="R51" s="156"/>
      <c r="X51" s="156">
        <f t="shared" si="11"/>
        <v>1</v>
      </c>
    </row>
    <row r="52" spans="1:26" ht="14.25">
      <c r="A52" s="287" t="str">
        <f>RESUMO!A50</f>
        <v>3.17</v>
      </c>
      <c r="B52" s="311" t="str">
        <f>RESUMO!B50</f>
        <v>INCÊNDIO</v>
      </c>
      <c r="C52" s="279">
        <f>RESUMO!D50</f>
        <v>2366.94</v>
      </c>
      <c r="D52" s="280">
        <f t="shared" si="17"/>
        <v>2.8169010313055694E-3</v>
      </c>
      <c r="E52" s="281">
        <f t="shared" si="18"/>
        <v>0</v>
      </c>
      <c r="F52" s="282"/>
      <c r="G52" s="281">
        <f t="shared" si="19"/>
        <v>0</v>
      </c>
      <c r="H52" s="282"/>
      <c r="I52" s="281">
        <f t="shared" si="20"/>
        <v>236.69400000000002</v>
      </c>
      <c r="J52" s="282">
        <v>0.1</v>
      </c>
      <c r="K52" s="281">
        <f t="shared" si="21"/>
        <v>2130.2460000000001</v>
      </c>
      <c r="L52" s="282">
        <v>0.9</v>
      </c>
      <c r="M52" s="281"/>
      <c r="N52" s="282"/>
      <c r="O52" s="281"/>
      <c r="P52" s="360"/>
      <c r="Q52" s="157"/>
      <c r="R52" s="156"/>
      <c r="X52" s="156">
        <f t="shared" si="11"/>
        <v>1</v>
      </c>
    </row>
    <row r="53" spans="1:26" ht="24.95" customHeight="1">
      <c r="A53" s="1111"/>
      <c r="B53" s="1112" t="str">
        <f>RESUMO!B51</f>
        <v>TOTAL GERAL DO ITEM 3:</v>
      </c>
      <c r="C53" s="1118">
        <f>SUM(C36:C52)</f>
        <v>299222.10849999997</v>
      </c>
      <c r="D53" s="1119">
        <f>C53/$C$55</f>
        <v>0.35610495662039465</v>
      </c>
      <c r="E53" s="1118">
        <f>SUM(E36:E52)</f>
        <v>48879.010999999999</v>
      </c>
      <c r="F53" s="1119">
        <f>E53/$C$53</f>
        <v>0.16335360794371251</v>
      </c>
      <c r="G53" s="1118">
        <f>SUM(G36:G52)</f>
        <v>74213.273000000001</v>
      </c>
      <c r="H53" s="1119">
        <f>G53/$C$53</f>
        <v>0.2480206872815349</v>
      </c>
      <c r="I53" s="1118">
        <f>SUM(I36:I52)</f>
        <v>79719.865099999995</v>
      </c>
      <c r="J53" s="1119">
        <f>I53/$C$53</f>
        <v>0.26642371280529897</v>
      </c>
      <c r="K53" s="1118">
        <f>SUM(K36:K52)</f>
        <v>96409.959399999992</v>
      </c>
      <c r="L53" s="1119">
        <f>K53/$C$53</f>
        <v>0.3222019919694537</v>
      </c>
      <c r="M53" s="281"/>
      <c r="N53" s="283"/>
      <c r="O53" s="281"/>
      <c r="P53" s="359"/>
      <c r="Q53" s="157"/>
      <c r="R53" s="156"/>
      <c r="X53" s="156"/>
    </row>
    <row r="54" spans="1:26" ht="14.25">
      <c r="A54" s="1121"/>
      <c r="B54" s="1122"/>
      <c r="C54" s="1123"/>
      <c r="D54" s="1124"/>
      <c r="E54" s="1125"/>
      <c r="F54" s="1126"/>
      <c r="G54" s="1125"/>
      <c r="H54" s="1126"/>
      <c r="I54" s="1125"/>
      <c r="J54" s="1126"/>
      <c r="K54" s="1125"/>
      <c r="L54" s="1126"/>
      <c r="M54" s="1125"/>
      <c r="N54" s="1126"/>
      <c r="O54" s="1125"/>
      <c r="P54" s="1127"/>
      <c r="Q54" s="157"/>
      <c r="R54" s="156"/>
      <c r="X54" s="156"/>
    </row>
    <row r="55" spans="1:26" ht="24.95" customHeight="1" thickBot="1">
      <c r="A55" s="1111"/>
      <c r="B55" s="1112" t="str">
        <f>RESUMO!B53</f>
        <v>TOTAL GERAL DAS OBRAS</v>
      </c>
      <c r="C55" s="1118">
        <f>C53+C33+C13</f>
        <v>840263.81250000012</v>
      </c>
      <c r="D55" s="1119">
        <f>D13+D33+D53</f>
        <v>1</v>
      </c>
      <c r="E55" s="1118">
        <f>E53+E33+E13</f>
        <v>141504.94279999999</v>
      </c>
      <c r="F55" s="1119">
        <f>E55/$C$55</f>
        <v>0.16840537542487583</v>
      </c>
      <c r="G55" s="1118">
        <f>G53+G33+G13</f>
        <v>198171.91939999998</v>
      </c>
      <c r="H55" s="1119">
        <f>G55/$C$55</f>
        <v>0.2358448816335286</v>
      </c>
      <c r="I55" s="1118">
        <f>I53+I33+I13</f>
        <v>224859.63789999997</v>
      </c>
      <c r="J55" s="1119">
        <f>I55/$C$55</f>
        <v>0.26760600010963814</v>
      </c>
      <c r="K55" s="1118">
        <f>K53+K33+K13</f>
        <v>275727.3124</v>
      </c>
      <c r="L55" s="1119">
        <f>K55/$C$55</f>
        <v>0.32814374283195724</v>
      </c>
      <c r="M55" s="281">
        <f>SUM(M11:M52)</f>
        <v>0</v>
      </c>
      <c r="N55" s="283">
        <f>M55/$C$55</f>
        <v>0</v>
      </c>
      <c r="O55" s="281">
        <f>SUM(O11:O52)</f>
        <v>0</v>
      </c>
      <c r="P55" s="359">
        <f>O55/$C$55</f>
        <v>0</v>
      </c>
      <c r="Q55" s="157">
        <f>E55+G55+I55+K55+M55+O55</f>
        <v>840263.8125</v>
      </c>
      <c r="R55" s="156">
        <f t="shared" si="10"/>
        <v>0.99999999999999989</v>
      </c>
      <c r="S55" s="3">
        <f>F55+H55+J55+L55+N55+P55</f>
        <v>0.99999999999999989</v>
      </c>
      <c r="X55" s="156">
        <f>F55+H55+J55+L55</f>
        <v>0.99999999999999989</v>
      </c>
      <c r="Z55" s="278">
        <f>+E55+G55+I55+K55</f>
        <v>840263.8125</v>
      </c>
    </row>
    <row r="56" spans="1:26">
      <c r="A56" s="361"/>
      <c r="B56" s="362"/>
      <c r="C56" s="361"/>
      <c r="D56" s="363"/>
      <c r="E56" s="362"/>
      <c r="F56" s="362"/>
      <c r="G56" s="362"/>
      <c r="H56" s="362"/>
      <c r="I56" s="362"/>
      <c r="J56" s="362"/>
      <c r="K56" s="362"/>
      <c r="L56" s="362"/>
      <c r="M56" s="362"/>
      <c r="N56" s="362"/>
      <c r="O56" s="362"/>
      <c r="P56" s="362"/>
    </row>
    <row r="57" spans="1:26">
      <c r="A57" s="273"/>
      <c r="C57" s="273"/>
    </row>
    <row r="58" spans="1:26">
      <c r="A58" s="3"/>
      <c r="B58" s="5"/>
      <c r="C58" s="3"/>
      <c r="D58" s="3"/>
    </row>
    <row r="59" spans="1:26">
      <c r="A59" s="273"/>
      <c r="C59" s="273"/>
      <c r="I59" s="278"/>
      <c r="Q59" s="278">
        <f>Q55+C11</f>
        <v>840263.8125</v>
      </c>
    </row>
    <row r="60" spans="1:26">
      <c r="A60" s="1096"/>
      <c r="C60" s="1096"/>
      <c r="I60" s="278"/>
      <c r="Q60" s="278"/>
    </row>
    <row r="61" spans="1:26">
      <c r="A61" s="1096"/>
      <c r="C61" s="1096"/>
      <c r="I61" s="278"/>
      <c r="Q61" s="278"/>
    </row>
    <row r="62" spans="1:26">
      <c r="A62" s="1096"/>
      <c r="C62" s="1096"/>
      <c r="I62" s="278"/>
      <c r="Q62" s="278"/>
    </row>
    <row r="63" spans="1:26">
      <c r="A63" s="1096"/>
      <c r="C63" s="1096"/>
      <c r="I63" s="278"/>
      <c r="Q63" s="278"/>
    </row>
    <row r="64" spans="1:26">
      <c r="A64" s="1096"/>
      <c r="C64" s="1096"/>
      <c r="I64" s="278"/>
      <c r="Q64" s="278"/>
    </row>
    <row r="65" spans="1:16">
      <c r="A65" s="273"/>
      <c r="C65" s="273"/>
    </row>
    <row r="66" spans="1:16">
      <c r="A66" s="273"/>
      <c r="B66" s="352"/>
      <c r="C66" s="273"/>
    </row>
    <row r="67" spans="1:16">
      <c r="A67" s="273"/>
      <c r="B67" s="353" t="str">
        <f>RESUMO!B61</f>
        <v>ORGPLAN ENGENHARIA LTDA.</v>
      </c>
      <c r="C67" s="273"/>
    </row>
    <row r="68" spans="1:16">
      <c r="A68" s="273"/>
      <c r="B68" s="353" t="str">
        <f>RESUMO!B62</f>
        <v>Eng. Jean Martins e Silva Nunes</v>
      </c>
      <c r="C68" s="273"/>
    </row>
    <row r="69" spans="1:16">
      <c r="A69" s="273"/>
      <c r="B69" s="353" t="str">
        <f>RESUMO!B63</f>
        <v>CREA - 9398-VD/MT</v>
      </c>
      <c r="C69" s="273"/>
    </row>
    <row r="70" spans="1:16" ht="14.25">
      <c r="A70" s="1190"/>
      <c r="B70" s="1190"/>
      <c r="C70" s="1190"/>
      <c r="D70" s="1190"/>
      <c r="E70" s="1190"/>
      <c r="F70" s="1190"/>
      <c r="G70" s="1190"/>
      <c r="H70" s="1190"/>
      <c r="I70" s="1190"/>
      <c r="J70" s="1190"/>
      <c r="K70" s="1190"/>
      <c r="L70" s="1190"/>
      <c r="M70" s="1190"/>
      <c r="N70" s="1190"/>
      <c r="O70" s="1190"/>
      <c r="P70" s="1190"/>
    </row>
    <row r="71" spans="1:16" ht="14.25">
      <c r="A71" s="1190"/>
      <c r="B71" s="1190"/>
      <c r="C71" s="1190"/>
      <c r="D71" s="1190"/>
      <c r="E71" s="1190"/>
      <c r="F71" s="1190"/>
      <c r="G71" s="1190"/>
      <c r="H71" s="1190"/>
      <c r="I71" s="1190"/>
      <c r="J71" s="1190"/>
      <c r="K71" s="1190"/>
      <c r="L71" s="1190"/>
      <c r="M71" s="1190"/>
      <c r="N71" s="1190"/>
      <c r="O71" s="1190"/>
      <c r="P71" s="1190"/>
    </row>
    <row r="72" spans="1:16">
      <c r="A72" s="3"/>
      <c r="C72" s="3"/>
      <c r="D72" s="3"/>
    </row>
    <row r="73" spans="1:16">
      <c r="A73" s="1189"/>
      <c r="B73" s="1189"/>
      <c r="C73" s="1189"/>
      <c r="D73" s="1189"/>
      <c r="E73" s="1189"/>
      <c r="F73" s="1189"/>
      <c r="G73" s="1189"/>
      <c r="H73" s="1189"/>
      <c r="I73" s="1189"/>
      <c r="J73" s="1189"/>
      <c r="K73" s="1189"/>
      <c r="L73" s="1189"/>
      <c r="M73" s="1189"/>
      <c r="N73" s="1189"/>
      <c r="O73" s="1189"/>
      <c r="P73" s="1189"/>
    </row>
  </sheetData>
  <mergeCells count="16">
    <mergeCell ref="A73:P73"/>
    <mergeCell ref="A70:P70"/>
    <mergeCell ref="A71:P71"/>
    <mergeCell ref="A10:D10"/>
    <mergeCell ref="B1:M1"/>
    <mergeCell ref="M8:N8"/>
    <mergeCell ref="A8:A9"/>
    <mergeCell ref="B8:B9"/>
    <mergeCell ref="C8:C9"/>
    <mergeCell ref="D8:D9"/>
    <mergeCell ref="E8:F8"/>
    <mergeCell ref="G8:H8"/>
    <mergeCell ref="I8:J8"/>
    <mergeCell ref="K8:L8"/>
    <mergeCell ref="A6:P6"/>
    <mergeCell ref="O8:P8"/>
  </mergeCells>
  <printOptions horizontalCentered="1"/>
  <pageMargins left="0.78740157480314965" right="1.7716535433070868" top="0.59055118110236227" bottom="0.59055118110236227" header="0.31496062992125984" footer="0.31496062992125984"/>
  <pageSetup paperSize="9" scale="60" fitToWidth="0" fitToHeight="0" orientation="landscape" r:id="rId1"/>
  <rowBreaks count="1" manualBreakCount="1">
    <brk id="34" max="15" man="1"/>
  </rowBreaks>
</worksheet>
</file>

<file path=xl/worksheets/sheet6.xml><?xml version="1.0" encoding="utf-8"?>
<worksheet xmlns="http://schemas.openxmlformats.org/spreadsheetml/2006/main" xmlns:r="http://schemas.openxmlformats.org/officeDocument/2006/relationships">
  <dimension ref="A1:K158"/>
  <sheetViews>
    <sheetView showOutlineSymbols="0" view="pageBreakPreview" topLeftCell="B1" zoomScaleSheetLayoutView="100" workbookViewId="0">
      <selection activeCell="C4" sqref="C4"/>
    </sheetView>
  </sheetViews>
  <sheetFormatPr defaultColWidth="9.140625" defaultRowHeight="14.25"/>
  <cols>
    <col min="1" max="1" width="6.5703125" style="154" hidden="1" customWidth="1"/>
    <col min="2" max="2" width="10.85546875" style="154" bestFit="1" customWidth="1"/>
    <col min="3" max="3" width="7.85546875" style="154" bestFit="1" customWidth="1"/>
    <col min="4" max="4" width="68.5703125" style="154" bestFit="1" customWidth="1"/>
    <col min="5" max="5" width="8.42578125" style="154" bestFit="1" customWidth="1"/>
    <col min="6" max="6" width="11.85546875" style="154" bestFit="1" customWidth="1"/>
    <col min="7" max="7" width="9" style="154" bestFit="1" customWidth="1"/>
    <col min="8" max="8" width="12" style="154" customWidth="1"/>
    <col min="9" max="9" width="0" style="154" hidden="1" customWidth="1"/>
    <col min="10" max="11" width="12.85546875" style="154" hidden="1" customWidth="1"/>
    <col min="12" max="12" width="0" style="154" hidden="1" customWidth="1"/>
    <col min="13" max="16384" width="9.140625" style="154"/>
  </cols>
  <sheetData>
    <row r="1" spans="1:10" ht="15">
      <c r="A1" s="244"/>
      <c r="B1" s="242" t="str">
        <f>RESUMO!A1</f>
        <v>OBRA:</v>
      </c>
      <c r="C1" s="1212" t="str">
        <f>RESUMO!B1</f>
        <v>Construção da Lavanderia e Predio Sede da Secretaria Municipal de Saúde de Barra do Bugres - MT</v>
      </c>
      <c r="D1" s="1212"/>
      <c r="E1" s="1212"/>
      <c r="F1" s="1212"/>
      <c r="G1" s="1212"/>
      <c r="H1" s="1212"/>
    </row>
    <row r="2" spans="1:10" ht="15">
      <c r="A2" s="244"/>
      <c r="B2" s="242" t="str">
        <f>RESUMO!A2</f>
        <v>Endereço:</v>
      </c>
      <c r="C2" s="1097" t="str">
        <f>RESUMO!B2</f>
        <v>Rua Voluntários da Pátria, 861 - Bairro Maracanã</v>
      </c>
      <c r="D2" s="1097"/>
      <c r="F2" s="1097"/>
      <c r="G2" s="1097"/>
      <c r="H2" s="1097"/>
    </row>
    <row r="3" spans="1:10" ht="15">
      <c r="A3" s="244"/>
      <c r="B3" s="242" t="str">
        <f>RESUMO!A3</f>
        <v>Município:</v>
      </c>
      <c r="C3" s="1097" t="str">
        <f>RESUMO!B3</f>
        <v>Barra do Bugres - MT</v>
      </c>
      <c r="D3" s="1097"/>
      <c r="E3" s="1097"/>
      <c r="F3" s="1097"/>
      <c r="G3" s="1097"/>
      <c r="H3" s="1097"/>
    </row>
    <row r="4" spans="1:10" ht="15">
      <c r="A4" s="244"/>
      <c r="B4" s="242" t="str">
        <f>RESUMO!A4</f>
        <v>Data:</v>
      </c>
      <c r="C4" s="1171">
        <f>RESUMO!B4</f>
        <v>43952</v>
      </c>
      <c r="D4" s="244"/>
      <c r="E4" s="1169" t="str">
        <f>RESUMO!C3</f>
        <v>Referência:</v>
      </c>
      <c r="F4" s="1170" t="str">
        <f>RESUMO!D3</f>
        <v>SINAPI -01/2020 não deson.</v>
      </c>
      <c r="H4" s="1098"/>
    </row>
    <row r="5" spans="1:10" ht="15">
      <c r="A5" s="244"/>
      <c r="B5" s="242"/>
      <c r="C5" s="1168"/>
      <c r="D5" s="244"/>
      <c r="E5" s="1169"/>
      <c r="F5" s="1170"/>
      <c r="H5" s="1098"/>
    </row>
    <row r="6" spans="1:10" ht="15">
      <c r="A6" s="244"/>
      <c r="B6" s="1165"/>
      <c r="D6" s="1167" t="s">
        <v>11719</v>
      </c>
      <c r="E6" s="1166"/>
      <c r="F6" s="1166"/>
      <c r="G6" s="1166"/>
      <c r="H6" s="1166"/>
    </row>
    <row r="7" spans="1:10" ht="15.75" thickBot="1">
      <c r="A7" s="244"/>
      <c r="B7" s="244"/>
      <c r="C7" s="244"/>
      <c r="D7" s="245"/>
      <c r="E7" s="244"/>
      <c r="F7" s="244"/>
      <c r="G7" s="244"/>
      <c r="H7" s="244"/>
    </row>
    <row r="8" spans="1:10" ht="30">
      <c r="A8" s="246"/>
      <c r="B8" s="383" t="s">
        <v>11717</v>
      </c>
      <c r="C8" s="384"/>
      <c r="D8" s="384" t="s">
        <v>11682</v>
      </c>
      <c r="E8" s="1164" t="s">
        <v>11689</v>
      </c>
      <c r="F8" s="380" t="s">
        <v>11690</v>
      </c>
      <c r="G8" s="381" t="s">
        <v>11691</v>
      </c>
      <c r="H8" s="382" t="s">
        <v>11692</v>
      </c>
    </row>
    <row r="9" spans="1:10" ht="28.5">
      <c r="A9" s="244"/>
      <c r="B9" s="365">
        <v>90777</v>
      </c>
      <c r="C9" s="250" t="s">
        <v>751</v>
      </c>
      <c r="D9" s="251" t="str">
        <f>IFERROR(VLOOKUP(B9,comp_nãodes,2,FALSE),VLOOKUP(B9,insnãodes,2,FALSE))</f>
        <v>ENGENHEIRO CIVIL DE OBRA JUNIOR COM ENCARGOS COMPLEMENTARES</v>
      </c>
      <c r="E9" s="252" t="str">
        <f>IFERROR(VLOOKUP(B9,comp_nãodes,3,FALSE),VLOOKUP(B9,insnãodes,3,FALSE))</f>
        <v>H</v>
      </c>
      <c r="F9" s="254">
        <v>110</v>
      </c>
      <c r="G9" s="253">
        <f>IFERROR(VLOOKUP(B9,comp_nãodes,4,FALSE),VLOOKUP(B9,insnãodes,4,FALSE))</f>
        <v>91.55</v>
      </c>
      <c r="H9" s="366">
        <f>TRUNC((F9*G9),2)</f>
        <v>10070.5</v>
      </c>
      <c r="J9" s="154">
        <f>4*2*6</f>
        <v>48</v>
      </c>
    </row>
    <row r="10" spans="1:10">
      <c r="A10" s="244"/>
      <c r="B10" s="365">
        <v>90780</v>
      </c>
      <c r="C10" s="250" t="s">
        <v>751</v>
      </c>
      <c r="D10" s="251" t="str">
        <f>IFERROR(VLOOKUP(B10,comp_nãodes,2,FALSE),VLOOKUP(B10,insnãodes,2,FALSE))</f>
        <v>MESTRE DE OBRAS COM ENCARGOS COMPLEMENTARES</v>
      </c>
      <c r="E10" s="252" t="str">
        <f>IFERROR(VLOOKUP(B10,comp_nãodes,3,FALSE),VLOOKUP(B10,insnãodes,3,FALSE))</f>
        <v>H</v>
      </c>
      <c r="F10" s="254">
        <f>220*4</f>
        <v>880</v>
      </c>
      <c r="G10" s="253">
        <f>IFERROR(VLOOKUP(B10,comp_nãodes,4,FALSE),VLOOKUP(B10,insnãodes,4,FALSE))</f>
        <v>32</v>
      </c>
      <c r="H10" s="366">
        <f>TRUNC((F10*G10),2)</f>
        <v>28160</v>
      </c>
      <c r="J10" s="154">
        <f>22*4*6</f>
        <v>528</v>
      </c>
    </row>
    <row r="11" spans="1:10" ht="15.75" thickBot="1">
      <c r="A11" s="288"/>
      <c r="B11" s="315"/>
      <c r="C11" s="316"/>
      <c r="D11" s="1206" t="s">
        <v>11697</v>
      </c>
      <c r="E11" s="1207"/>
      <c r="F11" s="1207"/>
      <c r="G11" s="1208"/>
      <c r="H11" s="317">
        <f>SUM(H8:H10)</f>
        <v>38230.5</v>
      </c>
    </row>
    <row r="12" spans="1:10">
      <c r="A12" s="288"/>
      <c r="B12" s="367"/>
      <c r="C12" s="244"/>
      <c r="D12" s="244"/>
      <c r="E12" s="244"/>
      <c r="F12" s="244"/>
      <c r="G12" s="244"/>
      <c r="H12" s="368"/>
    </row>
    <row r="13" spans="1:10" ht="15" thickBot="1">
      <c r="A13" s="288"/>
      <c r="B13" s="367"/>
      <c r="C13" s="244"/>
      <c r="D13" s="244"/>
      <c r="E13" s="244"/>
      <c r="F13" s="244"/>
      <c r="G13" s="244"/>
      <c r="H13" s="368"/>
    </row>
    <row r="14" spans="1:10" ht="15">
      <c r="A14" s="288"/>
      <c r="B14" s="318" t="s">
        <v>11706</v>
      </c>
      <c r="C14" s="319"/>
      <c r="D14" s="320" t="s">
        <v>12853</v>
      </c>
      <c r="E14" s="321" t="s">
        <v>52</v>
      </c>
      <c r="F14" s="321"/>
      <c r="G14" s="322"/>
      <c r="H14" s="323"/>
    </row>
    <row r="15" spans="1:10" ht="30">
      <c r="A15" s="288"/>
      <c r="B15" s="255" t="s">
        <v>11686</v>
      </c>
      <c r="C15" s="256" t="s">
        <v>11687</v>
      </c>
      <c r="D15" s="248" t="s">
        <v>11688</v>
      </c>
      <c r="E15" s="248" t="s">
        <v>11689</v>
      </c>
      <c r="F15" s="257" t="s">
        <v>11690</v>
      </c>
      <c r="G15" s="249" t="s">
        <v>11691</v>
      </c>
      <c r="H15" s="258" t="s">
        <v>11692</v>
      </c>
    </row>
    <row r="16" spans="1:10" ht="42.75">
      <c r="A16" s="288"/>
      <c r="B16" s="259"/>
      <c r="C16" s="260"/>
      <c r="D16" s="261" t="s">
        <v>12852</v>
      </c>
      <c r="E16" s="262"/>
      <c r="F16" s="262"/>
      <c r="G16" s="262"/>
      <c r="H16" s="263"/>
    </row>
    <row r="17" spans="1:10" ht="42.75">
      <c r="A17" s="288"/>
      <c r="B17" s="369">
        <v>4314</v>
      </c>
      <c r="C17" s="250" t="s">
        <v>751</v>
      </c>
      <c r="D17" s="251" t="str">
        <f t="shared" ref="D17:D22" si="0">IFERROR(VLOOKUP(B17,comp_nãodes,2,FALSE),VLOOKUP(B17,insnãodes,2,FALSE))</f>
        <v>HASTE RETA PARA GANCHO DE FERRO GALVANIZADO, COM ROSCA 5/16" X 45 CM PARA FIXACAO DE TELHA DE FIBROCIMENTO, INCLUI PORCA E ARRUELAS DE VEDACAO</v>
      </c>
      <c r="E17" s="252" t="str">
        <f t="shared" ref="E17:E22" si="1">IFERROR(VLOOKUP(B17,comp_nãodes,3,FALSE),VLOOKUP(B17,insnãodes,3,FALSE))</f>
        <v xml:space="preserve">CJ    </v>
      </c>
      <c r="F17" s="260" t="s">
        <v>11698</v>
      </c>
      <c r="G17" s="253">
        <f t="shared" ref="G17:G22" si="2">IFERROR(VLOOKUP(B17,comp_nãodes,4,FALSE),VLOOKUP(B17,insnãodes,4,FALSE))</f>
        <v>2.2599999999999998</v>
      </c>
      <c r="H17" s="324">
        <f t="shared" ref="H17:H22" si="3">TRUNC((F17*G17),2)</f>
        <v>9.3699999999999992</v>
      </c>
    </row>
    <row r="18" spans="1:10" ht="33" customHeight="1">
      <c r="A18" s="288"/>
      <c r="B18" s="370">
        <v>11049</v>
      </c>
      <c r="C18" s="250" t="s">
        <v>751</v>
      </c>
      <c r="D18" s="251" t="str">
        <f t="shared" si="0"/>
        <v>CHAPA DE ACO GALVANIZADA BITOLA GSG 22, E = 0,80 MM (6,40 KG/M2)</v>
      </c>
      <c r="E18" s="252" t="str">
        <f t="shared" si="1"/>
        <v xml:space="preserve">KG    </v>
      </c>
      <c r="F18" s="254">
        <v>6.4</v>
      </c>
      <c r="G18" s="253">
        <f t="shared" si="2"/>
        <v>8.35</v>
      </c>
      <c r="H18" s="324">
        <f t="shared" si="3"/>
        <v>53.44</v>
      </c>
    </row>
    <row r="19" spans="1:10">
      <c r="A19" s="288"/>
      <c r="B19" s="371">
        <v>88316</v>
      </c>
      <c r="C19" s="250" t="s">
        <v>751</v>
      </c>
      <c r="D19" s="251" t="str">
        <f t="shared" si="0"/>
        <v>SERVENTE COM ENCARGOS COMPLEMENTARES</v>
      </c>
      <c r="E19" s="252" t="str">
        <f t="shared" si="1"/>
        <v>H</v>
      </c>
      <c r="F19" s="260" t="s">
        <v>11699</v>
      </c>
      <c r="G19" s="253">
        <f t="shared" si="2"/>
        <v>15.91</v>
      </c>
      <c r="H19" s="324">
        <f t="shared" si="3"/>
        <v>1.71</v>
      </c>
    </row>
    <row r="20" spans="1:10">
      <c r="A20" s="288"/>
      <c r="B20" s="371">
        <v>88323</v>
      </c>
      <c r="C20" s="250" t="s">
        <v>751</v>
      </c>
      <c r="D20" s="251" t="str">
        <f t="shared" si="0"/>
        <v>TELHADISTA COM ENCARGOS COMPLEMENTARES</v>
      </c>
      <c r="E20" s="252" t="str">
        <f t="shared" si="1"/>
        <v>H</v>
      </c>
      <c r="F20" s="260" t="s">
        <v>11700</v>
      </c>
      <c r="G20" s="253">
        <f t="shared" si="2"/>
        <v>21.02</v>
      </c>
      <c r="H20" s="324">
        <f t="shared" si="3"/>
        <v>1.99</v>
      </c>
    </row>
    <row r="21" spans="1:10" ht="42.75">
      <c r="A21" s="288"/>
      <c r="B21" s="371">
        <v>93281</v>
      </c>
      <c r="C21" s="250" t="s">
        <v>751</v>
      </c>
      <c r="D21" s="251" t="str">
        <f t="shared" si="0"/>
        <v>GUINCHO ELÉTRICO DE COLUNA, CAPACIDADE 400 KG, COM MOTO FREIO, MOTOR TRIFÁSICO DE 1,25 CV - CHP DIURNO. AF_03/2016</v>
      </c>
      <c r="E21" s="252" t="str">
        <f t="shared" si="1"/>
        <v>CHP</v>
      </c>
      <c r="F21" s="260" t="s">
        <v>11701</v>
      </c>
      <c r="G21" s="253">
        <f t="shared" si="2"/>
        <v>15.42</v>
      </c>
      <c r="H21" s="324">
        <f t="shared" si="3"/>
        <v>0.02</v>
      </c>
    </row>
    <row r="22" spans="1:10" ht="42.75">
      <c r="A22" s="288"/>
      <c r="B22" s="371">
        <v>93282</v>
      </c>
      <c r="C22" s="250" t="s">
        <v>751</v>
      </c>
      <c r="D22" s="251" t="str">
        <f t="shared" si="0"/>
        <v>GUINCHO ELÉTRICO DE COLUNA, CAPACIDADE 400 KG, COM MOTO FREIO, MOTOR TRIFÁSICO DE 1,25 CV - CHI DIURNO. AF_03/2016</v>
      </c>
      <c r="E22" s="252" t="str">
        <f t="shared" si="1"/>
        <v>CHI</v>
      </c>
      <c r="F22" s="260" t="s">
        <v>11702</v>
      </c>
      <c r="G22" s="253">
        <f t="shared" si="2"/>
        <v>14.7</v>
      </c>
      <c r="H22" s="324">
        <f t="shared" si="3"/>
        <v>0.03</v>
      </c>
    </row>
    <row r="23" spans="1:10" ht="15.75" thickBot="1">
      <c r="A23" s="288"/>
      <c r="B23" s="265"/>
      <c r="C23" s="266"/>
      <c r="D23" s="1213" t="s">
        <v>11697</v>
      </c>
      <c r="E23" s="1213"/>
      <c r="F23" s="1213"/>
      <c r="G23" s="1213"/>
      <c r="H23" s="267">
        <f>SUM(H17:H22)</f>
        <v>66.559999999999988</v>
      </c>
    </row>
    <row r="24" spans="1:10" ht="15" thickBot="1">
      <c r="A24" s="288"/>
      <c r="B24" s="367"/>
      <c r="C24" s="244"/>
      <c r="D24" s="244"/>
      <c r="E24" s="244"/>
      <c r="F24" s="244"/>
      <c r="G24" s="244"/>
      <c r="H24" s="368"/>
    </row>
    <row r="25" spans="1:10" ht="30">
      <c r="A25" s="288"/>
      <c r="B25" s="318" t="s">
        <v>11707</v>
      </c>
      <c r="C25" s="319"/>
      <c r="D25" s="320" t="s">
        <v>11704</v>
      </c>
      <c r="E25" s="321" t="s">
        <v>36</v>
      </c>
      <c r="F25" s="321"/>
      <c r="G25" s="322"/>
      <c r="H25" s="323"/>
    </row>
    <row r="26" spans="1:10" ht="30">
      <c r="A26" s="288"/>
      <c r="B26" s="255" t="s">
        <v>11686</v>
      </c>
      <c r="C26" s="256" t="s">
        <v>11687</v>
      </c>
      <c r="D26" s="248" t="s">
        <v>11688</v>
      </c>
      <c r="E26" s="248" t="s">
        <v>11689</v>
      </c>
      <c r="F26" s="257" t="s">
        <v>11690</v>
      </c>
      <c r="G26" s="249" t="s">
        <v>11691</v>
      </c>
      <c r="H26" s="258" t="s">
        <v>11692</v>
      </c>
    </row>
    <row r="27" spans="1:10" ht="42.75">
      <c r="A27" s="288"/>
      <c r="B27" s="259"/>
      <c r="C27" s="260"/>
      <c r="D27" s="261" t="s">
        <v>11705</v>
      </c>
      <c r="E27" s="262"/>
      <c r="F27" s="262"/>
      <c r="G27" s="262"/>
      <c r="H27" s="263"/>
    </row>
    <row r="28" spans="1:10">
      <c r="A28" s="288"/>
      <c r="B28" s="371">
        <v>88316</v>
      </c>
      <c r="C28" s="250" t="s">
        <v>751</v>
      </c>
      <c r="D28" s="251" t="str">
        <f t="shared" ref="D28:D33" si="4">IFERROR(VLOOKUP(B28,comp_nãodes,2,FALSE),VLOOKUP(B28,insnãodes,2,FALSE))</f>
        <v>SERVENTE COM ENCARGOS COMPLEMENTARES</v>
      </c>
      <c r="E28" s="252" t="str">
        <f t="shared" ref="E28:E33" si="5">IFERROR(VLOOKUP(B28,comp_nãodes,3,FALSE),VLOOKUP(B28,insnãodes,3,FALSE))</f>
        <v>H</v>
      </c>
      <c r="F28" s="260">
        <v>0.35</v>
      </c>
      <c r="G28" s="253">
        <f t="shared" ref="G28:G33" si="6">IFERROR(VLOOKUP(B28,comp_nãodes,4,FALSE),VLOOKUP(B28,insnãodes,4,FALSE))</f>
        <v>15.91</v>
      </c>
      <c r="H28" s="324">
        <f t="shared" ref="H28:H33" si="7">TRUNC((F28*G28),2)</f>
        <v>5.56</v>
      </c>
    </row>
    <row r="29" spans="1:10">
      <c r="A29" s="288"/>
      <c r="B29" s="371">
        <v>88323</v>
      </c>
      <c r="C29" s="250" t="s">
        <v>751</v>
      </c>
      <c r="D29" s="251" t="str">
        <f t="shared" si="4"/>
        <v>TELHADISTA COM ENCARGOS COMPLEMENTARES</v>
      </c>
      <c r="E29" s="252" t="str">
        <f t="shared" si="5"/>
        <v>H</v>
      </c>
      <c r="F29" s="254">
        <v>0.35</v>
      </c>
      <c r="G29" s="253">
        <f t="shared" si="6"/>
        <v>21.02</v>
      </c>
      <c r="H29" s="324">
        <f t="shared" si="7"/>
        <v>7.35</v>
      </c>
    </row>
    <row r="30" spans="1:10" ht="28.5">
      <c r="A30" s="288"/>
      <c r="B30" s="371">
        <v>40552</v>
      </c>
      <c r="C30" s="250" t="s">
        <v>751</v>
      </c>
      <c r="D30" s="251" t="str">
        <f t="shared" si="4"/>
        <v>PARAFUSO, AUTO ATARRACHANTE, CABECA CHATA, FENDA SIMPLES, 1/4 (6,35 MM) X 25 MM</v>
      </c>
      <c r="E30" s="252" t="str">
        <f t="shared" si="5"/>
        <v xml:space="preserve">CENTO </v>
      </c>
      <c r="F30" s="260">
        <v>0.04</v>
      </c>
      <c r="G30" s="253">
        <f t="shared" si="6"/>
        <v>32.46</v>
      </c>
      <c r="H30" s="324">
        <f t="shared" si="7"/>
        <v>1.29</v>
      </c>
      <c r="J30" s="154">
        <f>4/100</f>
        <v>0.04</v>
      </c>
    </row>
    <row r="31" spans="1:10" ht="42.75">
      <c r="A31" s="288"/>
      <c r="B31" s="371">
        <v>7243</v>
      </c>
      <c r="C31" s="250" t="s">
        <v>751</v>
      </c>
      <c r="D31" s="251" t="str">
        <f t="shared" si="4"/>
        <v>TELHA TRAPEZOIDAL EM ACO ZINCADO, SEM PINTURA, ALTURA DE APROXIMADAMENTE 40 MM, ESPESSURA DE 0,50 MM E LARGURA UTIL DE 980 MM</v>
      </c>
      <c r="E31" s="252" t="str">
        <f t="shared" si="5"/>
        <v xml:space="preserve">M2    </v>
      </c>
      <c r="F31" s="260">
        <v>1</v>
      </c>
      <c r="G31" s="253">
        <f t="shared" si="6"/>
        <v>28.82</v>
      </c>
      <c r="H31" s="324">
        <f t="shared" si="7"/>
        <v>28.82</v>
      </c>
    </row>
    <row r="32" spans="1:10" ht="42.75">
      <c r="A32" s="288"/>
      <c r="B32" s="371">
        <v>93281</v>
      </c>
      <c r="C32" s="250" t="s">
        <v>751</v>
      </c>
      <c r="D32" s="251" t="str">
        <f t="shared" si="4"/>
        <v>GUINCHO ELÉTRICO DE COLUNA, CAPACIDADE 400 KG, COM MOTO FREIO, MOTOR TRIFÁSICO DE 1,25 CV - CHP DIURNO. AF_03/2016</v>
      </c>
      <c r="E32" s="252" t="str">
        <f t="shared" si="5"/>
        <v>CHP</v>
      </c>
      <c r="F32" s="260" t="s">
        <v>11701</v>
      </c>
      <c r="G32" s="253">
        <f t="shared" si="6"/>
        <v>15.42</v>
      </c>
      <c r="H32" s="324">
        <f t="shared" si="7"/>
        <v>0.02</v>
      </c>
    </row>
    <row r="33" spans="1:8" ht="42.75">
      <c r="A33" s="288"/>
      <c r="B33" s="371">
        <v>93282</v>
      </c>
      <c r="C33" s="250" t="s">
        <v>751</v>
      </c>
      <c r="D33" s="251" t="str">
        <f t="shared" si="4"/>
        <v>GUINCHO ELÉTRICO DE COLUNA, CAPACIDADE 400 KG, COM MOTO FREIO, MOTOR TRIFÁSICO DE 1,25 CV - CHI DIURNO. AF_03/2016</v>
      </c>
      <c r="E33" s="252" t="str">
        <f t="shared" si="5"/>
        <v>CHI</v>
      </c>
      <c r="F33" s="260" t="s">
        <v>11702</v>
      </c>
      <c r="G33" s="253">
        <f t="shared" si="6"/>
        <v>14.7</v>
      </c>
      <c r="H33" s="324">
        <f t="shared" si="7"/>
        <v>0.03</v>
      </c>
    </row>
    <row r="34" spans="1:8" ht="15.75" thickBot="1">
      <c r="A34" s="288"/>
      <c r="B34" s="265"/>
      <c r="C34" s="266"/>
      <c r="D34" s="1213" t="s">
        <v>11697</v>
      </c>
      <c r="E34" s="1213"/>
      <c r="F34" s="1213"/>
      <c r="G34" s="1213"/>
      <c r="H34" s="267">
        <f>SUM(H28:H33)</f>
        <v>43.07</v>
      </c>
    </row>
    <row r="35" spans="1:8" ht="15" thickBot="1">
      <c r="A35" s="288"/>
      <c r="B35" s="367"/>
      <c r="C35" s="244"/>
      <c r="D35" s="244"/>
      <c r="E35" s="244"/>
      <c r="F35" s="244"/>
      <c r="G35" s="244"/>
      <c r="H35" s="368"/>
    </row>
    <row r="36" spans="1:8" ht="45">
      <c r="A36" s="288"/>
      <c r="B36" s="318" t="s">
        <v>11709</v>
      </c>
      <c r="C36" s="319"/>
      <c r="D36" s="320" t="s">
        <v>11681</v>
      </c>
      <c r="E36" s="321" t="s">
        <v>51</v>
      </c>
      <c r="F36" s="321"/>
      <c r="G36" s="322"/>
      <c r="H36" s="323"/>
    </row>
    <row r="37" spans="1:8" ht="30">
      <c r="A37" s="288"/>
      <c r="B37" s="255" t="s">
        <v>11686</v>
      </c>
      <c r="C37" s="256" t="s">
        <v>11687</v>
      </c>
      <c r="D37" s="248" t="s">
        <v>11688</v>
      </c>
      <c r="E37" s="248" t="s">
        <v>11689</v>
      </c>
      <c r="F37" s="257" t="s">
        <v>11690</v>
      </c>
      <c r="G37" s="249" t="s">
        <v>11691</v>
      </c>
      <c r="H37" s="258" t="s">
        <v>11692</v>
      </c>
    </row>
    <row r="38" spans="1:8" ht="28.5">
      <c r="A38" s="288"/>
      <c r="B38" s="259"/>
      <c r="C38" s="260"/>
      <c r="D38" s="261" t="s">
        <v>11708</v>
      </c>
      <c r="E38" s="262"/>
      <c r="F38" s="262"/>
      <c r="G38" s="262"/>
      <c r="H38" s="263"/>
    </row>
    <row r="39" spans="1:8" ht="28.5">
      <c r="A39" s="288"/>
      <c r="B39" s="372" t="s">
        <v>5492</v>
      </c>
      <c r="C39" s="250" t="s">
        <v>751</v>
      </c>
      <c r="D39" s="251" t="str">
        <f>IFERROR(VLOOKUP(B39,comp_nãodes,2,FALSE),VLOOKUP(B39,insnãodes,2,FALSE))</f>
        <v>COMPACTACAO MECANICA, SEM CONTROLE DO GC (C/COMPACTADOR PLACA 400 KG)</v>
      </c>
      <c r="E39" s="252" t="str">
        <f>IFERROR(VLOOKUP(B39,comp_nãodes,3,FALSE),VLOOKUP(B39,insnãodes,3,FALSE))</f>
        <v>M3</v>
      </c>
      <c r="F39" s="260">
        <v>1</v>
      </c>
      <c r="G39" s="253">
        <f>IFERROR(VLOOKUP(B39,comp_nãodes,4,FALSE),VLOOKUP(B39,insnãodes,4,FALSE))</f>
        <v>4.9400000000000004</v>
      </c>
      <c r="H39" s="264">
        <f t="shared" ref="H39:H40" si="8">TRUNC(F39*G39,2)</f>
        <v>4.9400000000000004</v>
      </c>
    </row>
    <row r="40" spans="1:8" ht="28.5">
      <c r="A40" s="288"/>
      <c r="B40" s="369">
        <v>6081</v>
      </c>
      <c r="C40" s="250" t="s">
        <v>751</v>
      </c>
      <c r="D40" s="251" t="str">
        <f>IFERROR(VLOOKUP(B40,comp_nãodes,2,FALSE),VLOOKUP(B40,insnãodes,2,FALSE))</f>
        <v>ARGILA OU BARRO PARA ATERRO/REATERRO (COM TRANSPORTE ATE 10 KM)</v>
      </c>
      <c r="E40" s="252" t="str">
        <f>IFERROR(VLOOKUP(B40,comp_nãodes,3,FALSE),VLOOKUP(B40,insnãodes,3,FALSE))</f>
        <v xml:space="preserve">M3    </v>
      </c>
      <c r="F40" s="260">
        <v>1</v>
      </c>
      <c r="G40" s="253">
        <f>IFERROR(VLOOKUP(B40,comp_nãodes,4,FALSE),VLOOKUP(B40,insnãodes,4,FALSE))</f>
        <v>28.26</v>
      </c>
      <c r="H40" s="264">
        <f t="shared" si="8"/>
        <v>28.26</v>
      </c>
    </row>
    <row r="41" spans="1:8" ht="15.75" thickBot="1">
      <c r="A41" s="288"/>
      <c r="B41" s="265"/>
      <c r="C41" s="266"/>
      <c r="D41" s="1213" t="s">
        <v>11697</v>
      </c>
      <c r="E41" s="1213"/>
      <c r="F41" s="1213"/>
      <c r="G41" s="1213"/>
      <c r="H41" s="267">
        <f>SUM(H39:H40)</f>
        <v>33.200000000000003</v>
      </c>
    </row>
    <row r="42" spans="1:8" ht="15" thickBot="1">
      <c r="A42" s="288"/>
      <c r="B42" s="367"/>
      <c r="C42" s="244"/>
      <c r="D42" s="244"/>
      <c r="E42" s="244"/>
      <c r="F42" s="244"/>
      <c r="G42" s="244"/>
      <c r="H42" s="368"/>
    </row>
    <row r="43" spans="1:8" ht="15">
      <c r="A43" s="288"/>
      <c r="B43" s="318" t="s">
        <v>11710</v>
      </c>
      <c r="C43" s="319"/>
      <c r="D43" s="320" t="s">
        <v>11711</v>
      </c>
      <c r="E43" s="321" t="s">
        <v>52</v>
      </c>
      <c r="F43" s="321"/>
      <c r="G43" s="322"/>
      <c r="H43" s="323"/>
    </row>
    <row r="44" spans="1:8" ht="30">
      <c r="A44" s="288"/>
      <c r="B44" s="255" t="s">
        <v>11686</v>
      </c>
      <c r="C44" s="256" t="s">
        <v>11687</v>
      </c>
      <c r="D44" s="248" t="s">
        <v>11688</v>
      </c>
      <c r="E44" s="248" t="s">
        <v>11689</v>
      </c>
      <c r="F44" s="257" t="s">
        <v>11690</v>
      </c>
      <c r="G44" s="249" t="s">
        <v>11691</v>
      </c>
      <c r="H44" s="258" t="s">
        <v>11692</v>
      </c>
    </row>
    <row r="45" spans="1:8" ht="28.5">
      <c r="A45" s="288"/>
      <c r="B45" s="259"/>
      <c r="C45" s="260"/>
      <c r="D45" s="261" t="s">
        <v>11712</v>
      </c>
      <c r="E45" s="262"/>
      <c r="F45" s="262"/>
      <c r="G45" s="262"/>
      <c r="H45" s="263"/>
    </row>
    <row r="46" spans="1:8" ht="28.5">
      <c r="A46" s="288"/>
      <c r="B46" s="372">
        <v>34680</v>
      </c>
      <c r="C46" s="250" t="s">
        <v>751</v>
      </c>
      <c r="D46" s="251" t="str">
        <f t="shared" ref="D46:D52" si="9">IFERROR(VLOOKUP(B46,comp_nãodes,2,FALSE),VLOOKUP(B46,insnãodes,2,FALSE))</f>
        <v>RODAPE PRE-MOLDADO DE GRANILITE, MARMORITE OU GRANITINA L = 10 CM</v>
      </c>
      <c r="E46" s="252" t="str">
        <f t="shared" ref="E46:E52" si="10">IFERROR(VLOOKUP(B46,comp_nãodes,3,FALSE),VLOOKUP(B46,insnãodes,3,FALSE))</f>
        <v xml:space="preserve">M     </v>
      </c>
      <c r="F46" s="260">
        <v>1</v>
      </c>
      <c r="G46" s="253">
        <f t="shared" ref="G46:G52" si="11">IFERROR(VLOOKUP(B46,comp_nãodes,4,FALSE),VLOOKUP(B46,insnãodes,4,FALSE))</f>
        <v>27.99</v>
      </c>
      <c r="H46" s="264">
        <f t="shared" ref="H46:H52" si="12">TRUNC(F46*G46,2)</f>
        <v>27.99</v>
      </c>
    </row>
    <row r="47" spans="1:8">
      <c r="A47" s="288"/>
      <c r="B47" s="372">
        <v>1380</v>
      </c>
      <c r="C47" s="250" t="s">
        <v>751</v>
      </c>
      <c r="D47" s="251" t="str">
        <f t="shared" si="9"/>
        <v>CIMENTO BRANCO</v>
      </c>
      <c r="E47" s="252" t="str">
        <f t="shared" si="10"/>
        <v xml:space="preserve">KG    </v>
      </c>
      <c r="F47" s="260">
        <v>0.33</v>
      </c>
      <c r="G47" s="253">
        <f t="shared" si="11"/>
        <v>2.92</v>
      </c>
      <c r="H47" s="264">
        <f t="shared" si="12"/>
        <v>0.96</v>
      </c>
    </row>
    <row r="48" spans="1:8">
      <c r="A48" s="288"/>
      <c r="B48" s="372">
        <v>1106</v>
      </c>
      <c r="C48" s="250" t="s">
        <v>751</v>
      </c>
      <c r="D48" s="251" t="str">
        <f t="shared" si="9"/>
        <v>CAL HIDRATADA CH-I PARA ARGAMASSAS</v>
      </c>
      <c r="E48" s="252" t="str">
        <f t="shared" si="10"/>
        <v xml:space="preserve">KG    </v>
      </c>
      <c r="F48" s="260">
        <v>0.38</v>
      </c>
      <c r="G48" s="253">
        <f t="shared" si="11"/>
        <v>0.57999999999999996</v>
      </c>
      <c r="H48" s="264">
        <f t="shared" si="12"/>
        <v>0.22</v>
      </c>
    </row>
    <row r="49" spans="1:8">
      <c r="A49" s="288"/>
      <c r="B49" s="372">
        <v>1379</v>
      </c>
      <c r="C49" s="250" t="s">
        <v>751</v>
      </c>
      <c r="D49" s="251" t="str">
        <f t="shared" si="9"/>
        <v>CIMENTO PORTLAND COMPOSTO CP II-32</v>
      </c>
      <c r="E49" s="252" t="str">
        <f t="shared" si="10"/>
        <v xml:space="preserve">KG    </v>
      </c>
      <c r="F49" s="260">
        <v>0.76</v>
      </c>
      <c r="G49" s="253">
        <f t="shared" si="11"/>
        <v>0.49</v>
      </c>
      <c r="H49" s="264">
        <f t="shared" si="12"/>
        <v>0.37</v>
      </c>
    </row>
    <row r="50" spans="1:8" ht="28.5">
      <c r="A50" s="288"/>
      <c r="B50" s="372">
        <v>370</v>
      </c>
      <c r="C50" s="250" t="s">
        <v>751</v>
      </c>
      <c r="D50" s="251" t="str">
        <f t="shared" si="9"/>
        <v>AREIA MEDIA - POSTO JAZIDA/FORNECEDOR (RETIRADO NA JAZIDA, SEM TRANSPORTE)</v>
      </c>
      <c r="E50" s="252" t="str">
        <f t="shared" si="10"/>
        <v xml:space="preserve">M3    </v>
      </c>
      <c r="F50" s="260">
        <v>2.3E-3</v>
      </c>
      <c r="G50" s="253">
        <f t="shared" si="11"/>
        <v>62.5</v>
      </c>
      <c r="H50" s="264">
        <f t="shared" si="12"/>
        <v>0.14000000000000001</v>
      </c>
    </row>
    <row r="51" spans="1:8" ht="28.5">
      <c r="A51" s="288"/>
      <c r="B51" s="372">
        <v>88274</v>
      </c>
      <c r="C51" s="250" t="s">
        <v>751</v>
      </c>
      <c r="D51" s="251" t="str">
        <f t="shared" si="9"/>
        <v>MARMORISTA/GRANITEIRO COM ENCARGOS COMPLEMENTARES</v>
      </c>
      <c r="E51" s="252" t="str">
        <f t="shared" si="10"/>
        <v>H</v>
      </c>
      <c r="F51" s="260">
        <v>0.8</v>
      </c>
      <c r="G51" s="253">
        <f t="shared" si="11"/>
        <v>20.07</v>
      </c>
      <c r="H51" s="264">
        <f t="shared" si="12"/>
        <v>16.05</v>
      </c>
    </row>
    <row r="52" spans="1:8">
      <c r="A52" s="288"/>
      <c r="B52" s="369">
        <v>88316</v>
      </c>
      <c r="C52" s="250" t="s">
        <v>751</v>
      </c>
      <c r="D52" s="251" t="str">
        <f t="shared" si="9"/>
        <v>SERVENTE COM ENCARGOS COMPLEMENTARES</v>
      </c>
      <c r="E52" s="252" t="str">
        <f t="shared" si="10"/>
        <v>H</v>
      </c>
      <c r="F52" s="260">
        <v>0.53</v>
      </c>
      <c r="G52" s="253">
        <f t="shared" si="11"/>
        <v>15.91</v>
      </c>
      <c r="H52" s="264">
        <f t="shared" si="12"/>
        <v>8.43</v>
      </c>
    </row>
    <row r="53" spans="1:8" ht="15.75" thickBot="1">
      <c r="A53" s="288"/>
      <c r="B53" s="265"/>
      <c r="C53" s="266"/>
      <c r="D53" s="1213" t="s">
        <v>11697</v>
      </c>
      <c r="E53" s="1213"/>
      <c r="F53" s="1213"/>
      <c r="G53" s="1213"/>
      <c r="H53" s="267">
        <f>SUM(H46:H52)</f>
        <v>54.160000000000004</v>
      </c>
    </row>
    <row r="54" spans="1:8" ht="15" thickBot="1">
      <c r="A54" s="288"/>
      <c r="B54" s="367"/>
      <c r="C54" s="244"/>
      <c r="D54" s="244"/>
      <c r="E54" s="244"/>
      <c r="F54" s="244"/>
      <c r="G54" s="244"/>
      <c r="H54" s="368"/>
    </row>
    <row r="55" spans="1:8" ht="15">
      <c r="A55" s="288"/>
      <c r="B55" s="318" t="s">
        <v>11715</v>
      </c>
      <c r="C55" s="319"/>
      <c r="D55" s="320" t="s">
        <v>442</v>
      </c>
      <c r="E55" s="321" t="s">
        <v>36</v>
      </c>
      <c r="F55" s="321"/>
      <c r="G55" s="322"/>
      <c r="H55" s="323"/>
    </row>
    <row r="56" spans="1:8" ht="30">
      <c r="A56" s="288"/>
      <c r="B56" s="255" t="s">
        <v>11686</v>
      </c>
      <c r="C56" s="256" t="s">
        <v>11687</v>
      </c>
      <c r="D56" s="248" t="s">
        <v>11688</v>
      </c>
      <c r="E56" s="248" t="s">
        <v>11689</v>
      </c>
      <c r="F56" s="257" t="s">
        <v>11690</v>
      </c>
      <c r="G56" s="249" t="s">
        <v>11691</v>
      </c>
      <c r="H56" s="258" t="s">
        <v>11692</v>
      </c>
    </row>
    <row r="57" spans="1:8" ht="28.5">
      <c r="A57" s="288"/>
      <c r="B57" s="259"/>
      <c r="C57" s="260"/>
      <c r="D57" s="261" t="s">
        <v>11713</v>
      </c>
      <c r="E57" s="262"/>
      <c r="F57" s="262"/>
      <c r="G57" s="262"/>
      <c r="H57" s="263"/>
    </row>
    <row r="58" spans="1:8">
      <c r="A58" s="288"/>
      <c r="B58" s="369">
        <v>88316</v>
      </c>
      <c r="C58" s="250" t="s">
        <v>751</v>
      </c>
      <c r="D58" s="251" t="str">
        <f>IFERROR(VLOOKUP(B58,comp_nãodes,2,FALSE),VLOOKUP(B58,insnãodes,2,FALSE))</f>
        <v>SERVENTE COM ENCARGOS COMPLEMENTARES</v>
      </c>
      <c r="E58" s="252" t="str">
        <f>IFERROR(VLOOKUP(B58,comp_nãodes,3,FALSE),VLOOKUP(B58,insnãodes,3,FALSE))</f>
        <v>H</v>
      </c>
      <c r="F58" s="260">
        <v>0.15</v>
      </c>
      <c r="G58" s="253">
        <f>IFERROR(VLOOKUP(B58,comp_nãodes,4,FALSE),VLOOKUP(B58,insnãodes,4,FALSE))</f>
        <v>15.91</v>
      </c>
      <c r="H58" s="324">
        <f t="shared" ref="H58:H61" si="13">TRUNC((F58*G58),2)</f>
        <v>2.38</v>
      </c>
    </row>
    <row r="59" spans="1:8">
      <c r="A59" s="288"/>
      <c r="B59" s="369">
        <v>3</v>
      </c>
      <c r="C59" s="250" t="s">
        <v>751</v>
      </c>
      <c r="D59" s="251" t="str">
        <f>IFERROR(VLOOKUP(B59,comp_nãodes,2,FALSE),VLOOKUP(B59,insnãodes,2,FALSE))</f>
        <v>ACIDO MURIATICO, DILUICAO 10% A 12% PARA USO EM LIMPEZA</v>
      </c>
      <c r="E59" s="252" t="str">
        <f>IFERROR(VLOOKUP(B59,comp_nãodes,3,FALSE),VLOOKUP(B59,insnãodes,3,FALSE))</f>
        <v xml:space="preserve">L     </v>
      </c>
      <c r="F59" s="260">
        <v>0.05</v>
      </c>
      <c r="G59" s="253">
        <f>IFERROR(VLOOKUP(B59,comp_nãodes,4,FALSE),VLOOKUP(B59,insnãodes,4,FALSE))</f>
        <v>4.74</v>
      </c>
      <c r="H59" s="324">
        <f t="shared" si="13"/>
        <v>0.23</v>
      </c>
    </row>
    <row r="60" spans="1:8">
      <c r="A60" s="288"/>
      <c r="B60" s="369">
        <v>16</v>
      </c>
      <c r="C60" s="250" t="s">
        <v>751</v>
      </c>
      <c r="D60" s="251" t="str">
        <f>IFERROR(VLOOKUP(B60,comp_nãodes,2,FALSE),VLOOKUP(B60,insnãodes,2,FALSE))</f>
        <v>SABAO EM PO</v>
      </c>
      <c r="E60" s="252" t="str">
        <f>IFERROR(VLOOKUP(B60,comp_nãodes,3,FALSE),VLOOKUP(B60,insnãodes,3,FALSE))</f>
        <v xml:space="preserve">KG    </v>
      </c>
      <c r="F60" s="260">
        <v>0.05</v>
      </c>
      <c r="G60" s="253">
        <f>IFERROR(VLOOKUP(B60,comp_nãodes,4,FALSE),VLOOKUP(B60,insnãodes,4,FALSE))</f>
        <v>6.6</v>
      </c>
      <c r="H60" s="324">
        <f t="shared" si="13"/>
        <v>0.33</v>
      </c>
    </row>
    <row r="61" spans="1:8">
      <c r="A61" s="288"/>
      <c r="B61" s="369">
        <v>6</v>
      </c>
      <c r="C61" s="250" t="s">
        <v>751</v>
      </c>
      <c r="D61" s="251" t="str">
        <f>IFERROR(VLOOKUP(B61,comp_nãodes,2,FALSE),VLOOKUP(B61,insnãodes,2,FALSE))</f>
        <v>DETERGENTE AMONIACO (AMONIA DILUIDA)</v>
      </c>
      <c r="E61" s="252" t="str">
        <f>IFERROR(VLOOKUP(B61,comp_nãodes,3,FALSE),VLOOKUP(B61,insnãodes,3,FALSE))</f>
        <v xml:space="preserve">L     </v>
      </c>
      <c r="F61" s="260">
        <v>7.7399999999999997E-2</v>
      </c>
      <c r="G61" s="253">
        <f>IFERROR(VLOOKUP(B61,comp_nãodes,4,FALSE),VLOOKUP(B61,insnãodes,4,FALSE))</f>
        <v>3.32</v>
      </c>
      <c r="H61" s="324">
        <f t="shared" si="13"/>
        <v>0.25</v>
      </c>
    </row>
    <row r="62" spans="1:8" ht="15.75" thickBot="1">
      <c r="A62" s="288"/>
      <c r="B62" s="265"/>
      <c r="C62" s="266"/>
      <c r="D62" s="1213" t="s">
        <v>11697</v>
      </c>
      <c r="E62" s="1213"/>
      <c r="F62" s="1213"/>
      <c r="G62" s="1213"/>
      <c r="H62" s="267">
        <f>SUM(H58:H61)</f>
        <v>3.19</v>
      </c>
    </row>
    <row r="63" spans="1:8">
      <c r="A63" s="288"/>
      <c r="B63" s="268"/>
      <c r="C63" s="269"/>
      <c r="D63" s="269"/>
      <c r="E63" s="269"/>
      <c r="F63" s="243"/>
      <c r="G63" s="243"/>
      <c r="H63" s="270"/>
    </row>
    <row r="64" spans="1:8" ht="42.75">
      <c r="A64" s="288"/>
      <c r="B64" s="268"/>
      <c r="C64" s="269"/>
      <c r="D64" s="271" t="s">
        <v>11714</v>
      </c>
      <c r="E64" s="269"/>
      <c r="F64" s="243"/>
      <c r="G64" s="243"/>
      <c r="H64" s="270"/>
    </row>
    <row r="65" spans="1:8">
      <c r="A65" s="288"/>
      <c r="B65" s="367"/>
      <c r="C65" s="244"/>
      <c r="D65" s="244"/>
      <c r="E65" s="244"/>
      <c r="F65" s="244"/>
      <c r="G65" s="244"/>
      <c r="H65" s="368"/>
    </row>
    <row r="66" spans="1:8" ht="15" thickBot="1">
      <c r="B66" s="373"/>
      <c r="C66" s="374"/>
      <c r="D66" s="374"/>
      <c r="E66" s="374"/>
      <c r="F66" s="374"/>
      <c r="G66" s="374"/>
      <c r="H66" s="375"/>
    </row>
    <row r="67" spans="1:8" ht="60">
      <c r="B67" s="318" t="s">
        <v>12742</v>
      </c>
      <c r="C67" s="319"/>
      <c r="D67" s="320" t="s">
        <v>169</v>
      </c>
      <c r="E67" s="321" t="s">
        <v>36</v>
      </c>
      <c r="F67" s="321"/>
      <c r="G67" s="322"/>
      <c r="H67" s="323"/>
    </row>
    <row r="68" spans="1:8" ht="30">
      <c r="B68" s="255" t="s">
        <v>11686</v>
      </c>
      <c r="C68" s="256" t="s">
        <v>11687</v>
      </c>
      <c r="D68" s="248" t="s">
        <v>11688</v>
      </c>
      <c r="E68" s="248" t="s">
        <v>11689</v>
      </c>
      <c r="F68" s="257" t="s">
        <v>11690</v>
      </c>
      <c r="G68" s="249" t="s">
        <v>11691</v>
      </c>
      <c r="H68" s="258" t="s">
        <v>11692</v>
      </c>
    </row>
    <row r="69" spans="1:8" ht="28.5">
      <c r="B69" s="259"/>
      <c r="C69" s="260"/>
      <c r="D69" s="261" t="s">
        <v>12743</v>
      </c>
      <c r="E69" s="262"/>
      <c r="F69" s="262"/>
      <c r="G69" s="262"/>
      <c r="H69" s="263"/>
    </row>
    <row r="70" spans="1:8">
      <c r="B70" s="376">
        <v>88310</v>
      </c>
      <c r="C70" s="250" t="s">
        <v>751</v>
      </c>
      <c r="D70" s="251" t="str">
        <f t="shared" ref="D70:D75" si="14">IFERROR(VLOOKUP(B70,comp_nãodes,2,FALSE),VLOOKUP(B70,insnãodes,2,FALSE))</f>
        <v>PINTOR COM ENCARGOS COMPLEMENTARES</v>
      </c>
      <c r="E70" s="252" t="str">
        <f t="shared" ref="E70:E75" si="15">IFERROR(VLOOKUP(B70,comp_nãodes,3,FALSE),VLOOKUP(B70,insnãodes,3,FALSE))</f>
        <v>H</v>
      </c>
      <c r="F70" s="254">
        <v>0.21</v>
      </c>
      <c r="G70" s="253">
        <f t="shared" ref="G70:G75" si="16">IFERROR(VLOOKUP(B70,comp_nãodes,4,FALSE),VLOOKUP(B70,insnãodes,4,FALSE))</f>
        <v>20.92</v>
      </c>
      <c r="H70" s="324">
        <f t="shared" ref="H70:H75" si="17">TRUNC((F70*G70),2)</f>
        <v>4.3899999999999997</v>
      </c>
    </row>
    <row r="71" spans="1:8">
      <c r="B71" s="376">
        <v>88316</v>
      </c>
      <c r="C71" s="250" t="s">
        <v>751</v>
      </c>
      <c r="D71" s="251" t="str">
        <f t="shared" si="14"/>
        <v>SERVENTE COM ENCARGOS COMPLEMENTARES</v>
      </c>
      <c r="E71" s="252" t="str">
        <f t="shared" si="15"/>
        <v>H</v>
      </c>
      <c r="F71" s="254">
        <v>0.11</v>
      </c>
      <c r="G71" s="253">
        <f t="shared" si="16"/>
        <v>15.91</v>
      </c>
      <c r="H71" s="324">
        <f t="shared" si="17"/>
        <v>1.75</v>
      </c>
    </row>
    <row r="72" spans="1:8">
      <c r="B72" s="376">
        <v>3768</v>
      </c>
      <c r="C72" s="250" t="s">
        <v>751</v>
      </c>
      <c r="D72" s="251" t="str">
        <f t="shared" si="14"/>
        <v>LIXA EM FOLHA PARA FERRO, NUMERO 150</v>
      </c>
      <c r="E72" s="252" t="str">
        <f t="shared" si="15"/>
        <v xml:space="preserve">UN    </v>
      </c>
      <c r="F72" s="254">
        <v>0.55000000000000004</v>
      </c>
      <c r="G72" s="253">
        <f t="shared" si="16"/>
        <v>2.71</v>
      </c>
      <c r="H72" s="324">
        <f t="shared" si="17"/>
        <v>1.49</v>
      </c>
    </row>
    <row r="73" spans="1:8">
      <c r="B73" s="376">
        <v>5320</v>
      </c>
      <c r="C73" s="250" t="s">
        <v>751</v>
      </c>
      <c r="D73" s="251" t="str">
        <f t="shared" si="14"/>
        <v>REMOVEDOR DE TINTA OLEO/ESMALTE VERNIZ</v>
      </c>
      <c r="E73" s="252" t="str">
        <f t="shared" si="15"/>
        <v xml:space="preserve">L     </v>
      </c>
      <c r="F73" s="254">
        <v>4.3999999999999997E-2</v>
      </c>
      <c r="G73" s="253">
        <f t="shared" si="16"/>
        <v>31.65</v>
      </c>
      <c r="H73" s="324">
        <f t="shared" si="17"/>
        <v>1.39</v>
      </c>
    </row>
    <row r="74" spans="1:8">
      <c r="B74" s="376">
        <v>7288</v>
      </c>
      <c r="C74" s="250" t="s">
        <v>751</v>
      </c>
      <c r="D74" s="251" t="str">
        <f t="shared" si="14"/>
        <v>TINTA ESMALTE SINTETICO PREMIUM FOSCO</v>
      </c>
      <c r="E74" s="252" t="str">
        <f t="shared" si="15"/>
        <v xml:space="preserve">L     </v>
      </c>
      <c r="F74" s="254">
        <v>0.17599999999999999</v>
      </c>
      <c r="G74" s="253">
        <f t="shared" si="16"/>
        <v>24.52</v>
      </c>
      <c r="H74" s="324">
        <f t="shared" si="17"/>
        <v>4.3099999999999996</v>
      </c>
    </row>
    <row r="75" spans="1:8">
      <c r="B75" s="376">
        <v>7307</v>
      </c>
      <c r="C75" s="250" t="s">
        <v>751</v>
      </c>
      <c r="D75" s="251" t="str">
        <f t="shared" si="14"/>
        <v>FUNDO ANTICORROSIVO PARA METAIS FERROSOS (ZARCAO)</v>
      </c>
      <c r="E75" s="252" t="str">
        <f t="shared" si="15"/>
        <v xml:space="preserve">L     </v>
      </c>
      <c r="F75" s="254">
        <v>0.13200000000000001</v>
      </c>
      <c r="G75" s="253">
        <f t="shared" si="16"/>
        <v>22.48</v>
      </c>
      <c r="H75" s="324">
        <f t="shared" si="17"/>
        <v>2.96</v>
      </c>
    </row>
    <row r="76" spans="1:8" ht="15.75" thickBot="1">
      <c r="B76" s="315"/>
      <c r="C76" s="316"/>
      <c r="D76" s="1206" t="s">
        <v>11697</v>
      </c>
      <c r="E76" s="1207"/>
      <c r="F76" s="1207"/>
      <c r="G76" s="1208"/>
      <c r="H76" s="317">
        <f>SUM(H70:H75)</f>
        <v>16.29</v>
      </c>
    </row>
    <row r="77" spans="1:8" ht="10.5" customHeight="1" thickBot="1">
      <c r="B77" s="373"/>
      <c r="C77" s="374"/>
      <c r="D77" s="374"/>
      <c r="E77" s="374"/>
      <c r="F77" s="374"/>
      <c r="G77" s="374"/>
      <c r="H77" s="375"/>
    </row>
    <row r="78" spans="1:8" ht="30">
      <c r="B78" s="318" t="s">
        <v>12748</v>
      </c>
      <c r="C78" s="319"/>
      <c r="D78" s="320" t="s">
        <v>12745</v>
      </c>
      <c r="E78" s="321" t="s">
        <v>11716</v>
      </c>
      <c r="F78" s="321"/>
      <c r="G78" s="322"/>
      <c r="H78" s="323"/>
    </row>
    <row r="79" spans="1:8" ht="30">
      <c r="B79" s="255" t="s">
        <v>11686</v>
      </c>
      <c r="C79" s="256" t="s">
        <v>11687</v>
      </c>
      <c r="D79" s="248" t="s">
        <v>11688</v>
      </c>
      <c r="E79" s="248" t="s">
        <v>11689</v>
      </c>
      <c r="F79" s="257" t="s">
        <v>11690</v>
      </c>
      <c r="G79" s="249" t="s">
        <v>11691</v>
      </c>
      <c r="H79" s="258" t="s">
        <v>11692</v>
      </c>
    </row>
    <row r="80" spans="1:8" ht="28.5">
      <c r="B80" s="259"/>
      <c r="C80" s="260"/>
      <c r="D80" s="261" t="s">
        <v>12746</v>
      </c>
      <c r="E80" s="262"/>
      <c r="F80" s="262"/>
      <c r="G80" s="262"/>
      <c r="H80" s="263"/>
    </row>
    <row r="81" spans="2:8">
      <c r="B81" s="376">
        <v>88325</v>
      </c>
      <c r="C81" s="250" t="s">
        <v>751</v>
      </c>
      <c r="D81" s="251" t="str">
        <f>IFERROR(VLOOKUP(B81,comp_nãodes,2,FALSE),VLOOKUP(B81,insnãodes,2,FALSE))</f>
        <v>VIDRACEIRO COM ENCARGOS COMPLEMENTARES</v>
      </c>
      <c r="E81" s="252" t="str">
        <f>IFERROR(VLOOKUP(B81,comp_nãodes,3,FALSE),VLOOKUP(B81,insnãodes,3,FALSE))</f>
        <v>H</v>
      </c>
      <c r="F81" s="254">
        <v>0.3</v>
      </c>
      <c r="G81" s="253">
        <f>IFERROR(VLOOKUP(B81,comp_nãodes,4,FALSE),VLOOKUP(B81,insnãodes,4,FALSE))</f>
        <v>19.100000000000001</v>
      </c>
      <c r="H81" s="324">
        <f t="shared" ref="H81:H85" si="18">TRUNC((F81*G81),2)</f>
        <v>5.73</v>
      </c>
    </row>
    <row r="82" spans="2:8" ht="57">
      <c r="B82" s="376">
        <v>3104</v>
      </c>
      <c r="C82" s="250" t="s">
        <v>751</v>
      </c>
      <c r="D82" s="251" t="str">
        <f>IFERROR(VLOOKUP(B82,comp_nãodes,2,FALSE),VLOOKUP(B82,insnãodes,2,FALSE))</f>
        <v>JOGO DE FERRAGENS CROMADAS P/ PORTA DE VIDRO TEMPERADO, UMA FOLHA COMPOSTA: DOBRADICA SUPERIOR (101) E INFERIOR (103),TRINCO (502), FECHADURA (520),CONTRA FECHADURA (531),COM CAPUCHINHO</v>
      </c>
      <c r="E82" s="252" t="str">
        <f>IFERROR(VLOOKUP(B82,comp_nãodes,3,FALSE),VLOOKUP(B82,insnãodes,3,FALSE))</f>
        <v xml:space="preserve">CJ    </v>
      </c>
      <c r="F82" s="254">
        <v>1</v>
      </c>
      <c r="G82" s="253">
        <f>IFERROR(VLOOKUP(B82,comp_nãodes,4,FALSE),VLOOKUP(B82,insnãodes,4,FALSE))</f>
        <v>378.76</v>
      </c>
      <c r="H82" s="324">
        <f t="shared" si="18"/>
        <v>378.76</v>
      </c>
    </row>
    <row r="83" spans="2:8">
      <c r="B83" s="376">
        <v>10507</v>
      </c>
      <c r="C83" s="250" t="s">
        <v>751</v>
      </c>
      <c r="D83" s="251" t="str">
        <f>IFERROR(VLOOKUP(B83,comp_nãodes,2,FALSE),VLOOKUP(B83,insnãodes,2,FALSE))</f>
        <v>VIDRO TEMPERADO INCOLOR E = 10 MM, SEM COLOCACAO</v>
      </c>
      <c r="E83" s="252" t="str">
        <f>IFERROR(VLOOKUP(B83,comp_nãodes,3,FALSE),VLOOKUP(B83,insnãodes,3,FALSE))</f>
        <v xml:space="preserve">M2    </v>
      </c>
      <c r="F83" s="254">
        <v>2.52</v>
      </c>
      <c r="G83" s="253">
        <f>IFERROR(VLOOKUP(B83,comp_nãodes,4,FALSE),VLOOKUP(B83,insnãodes,4,FALSE))</f>
        <v>274.02999999999997</v>
      </c>
      <c r="H83" s="324">
        <f t="shared" si="18"/>
        <v>690.55</v>
      </c>
    </row>
    <row r="84" spans="2:8">
      <c r="B84" s="376">
        <v>11499</v>
      </c>
      <c r="C84" s="250" t="s">
        <v>751</v>
      </c>
      <c r="D84" s="251" t="str">
        <f>IFERROR(VLOOKUP(B84,comp_nãodes,2,FALSE),VLOOKUP(B84,insnãodes,2,FALSE))</f>
        <v>MOLA HIDRAULICA DE PISO P/ VIDRO TEMPERADO 10MM</v>
      </c>
      <c r="E84" s="252" t="str">
        <f>IFERROR(VLOOKUP(B84,comp_nãodes,3,FALSE),VLOOKUP(B84,insnãodes,3,FALSE))</f>
        <v xml:space="preserve">UN    </v>
      </c>
      <c r="F84" s="254">
        <v>1</v>
      </c>
      <c r="G84" s="253">
        <f>IFERROR(VLOOKUP(B84,comp_nãodes,4,FALSE),VLOOKUP(B84,insnãodes,4,FALSE))</f>
        <v>1130.28</v>
      </c>
      <c r="H84" s="324">
        <f t="shared" si="18"/>
        <v>1130.28</v>
      </c>
    </row>
    <row r="85" spans="2:8" ht="57">
      <c r="B85" s="376">
        <v>11523</v>
      </c>
      <c r="C85" s="250" t="s">
        <v>751</v>
      </c>
      <c r="D85" s="251" t="str">
        <f>IFERROR(VLOOKUP(B85,comp_nãodes,2,FALSE),VLOOKUP(B85,insnãodes,2,FALSE))</f>
        <v>PUXADOR CONCHA DE EMBUTIR, EM LATAO CROMADO, PARA PORTA / JANELA DE CORRER, LISO, SEM FURO PARA CHAVE, COM FUROS PARA FIXAR PARAFUSOS, *30 X 90* MM (LARGURA X ALTURA)</v>
      </c>
      <c r="E85" s="252" t="str">
        <f>IFERROR(VLOOKUP(B85,comp_nãodes,3,FALSE),VLOOKUP(B85,insnãodes,3,FALSE))</f>
        <v xml:space="preserve">UN    </v>
      </c>
      <c r="F85" s="254">
        <v>1</v>
      </c>
      <c r="G85" s="253">
        <f>IFERROR(VLOOKUP(B85,comp_nãodes,4,FALSE),VLOOKUP(B85,insnãodes,4,FALSE))</f>
        <v>13.65</v>
      </c>
      <c r="H85" s="324">
        <f t="shared" si="18"/>
        <v>13.65</v>
      </c>
    </row>
    <row r="86" spans="2:8" ht="15.75" thickBot="1">
      <c r="B86" s="315"/>
      <c r="C86" s="316"/>
      <c r="D86" s="1206" t="s">
        <v>11697</v>
      </c>
      <c r="E86" s="1207"/>
      <c r="F86" s="1207"/>
      <c r="G86" s="1208"/>
      <c r="H86" s="317">
        <f>SUM(H81:H85)</f>
        <v>2218.9699999999998</v>
      </c>
    </row>
    <row r="87" spans="2:8">
      <c r="B87" s="373"/>
      <c r="C87" s="374"/>
      <c r="D87" s="374" t="s">
        <v>12747</v>
      </c>
      <c r="E87" s="374">
        <f>1.2*2.1</f>
        <v>2.52</v>
      </c>
      <c r="F87" s="374"/>
      <c r="G87" s="374"/>
      <c r="H87" s="375"/>
    </row>
    <row r="88" spans="2:8" ht="10.5" customHeight="1" thickBot="1">
      <c r="B88" s="373"/>
      <c r="C88" s="374"/>
      <c r="D88" s="374"/>
      <c r="E88" s="374"/>
      <c r="F88" s="374"/>
      <c r="G88" s="374"/>
      <c r="H88" s="375"/>
    </row>
    <row r="89" spans="2:8" ht="75">
      <c r="B89" s="318" t="s">
        <v>12749</v>
      </c>
      <c r="C89" s="319"/>
      <c r="D89" s="320" t="s">
        <v>12768</v>
      </c>
      <c r="E89" s="321" t="s">
        <v>11716</v>
      </c>
      <c r="F89" s="321"/>
      <c r="G89" s="322"/>
      <c r="H89" s="323"/>
    </row>
    <row r="90" spans="2:8" ht="30">
      <c r="B90" s="255" t="s">
        <v>11686</v>
      </c>
      <c r="C90" s="256" t="s">
        <v>11687</v>
      </c>
      <c r="D90" s="248" t="s">
        <v>11688</v>
      </c>
      <c r="E90" s="248" t="s">
        <v>11689</v>
      </c>
      <c r="F90" s="257" t="s">
        <v>11690</v>
      </c>
      <c r="G90" s="249" t="s">
        <v>11691</v>
      </c>
      <c r="H90" s="258" t="s">
        <v>11692</v>
      </c>
    </row>
    <row r="91" spans="2:8" ht="28.5">
      <c r="B91" s="259"/>
      <c r="C91" s="260"/>
      <c r="D91" s="261" t="s">
        <v>12750</v>
      </c>
      <c r="E91" s="262"/>
      <c r="F91" s="262"/>
      <c r="G91" s="262"/>
      <c r="H91" s="263"/>
    </row>
    <row r="92" spans="2:8" ht="36.75" customHeight="1">
      <c r="B92" s="376">
        <v>90806</v>
      </c>
      <c r="C92" s="250" t="s">
        <v>751</v>
      </c>
      <c r="D92" s="251" t="str">
        <f>IFERROR(VLOOKUP(B92,comp_nãodes,2,FALSE),VLOOKUP(B92,insnãodes,2,FALSE))</f>
        <v>BATENTE PARA PORTA DE MADEIRA, FIXAÇÃO COM ARGAMASSA, PADRÃO MÉDIO - FORNECIMENTO E INSTALAÇÃO. AF_12/2019_P</v>
      </c>
      <c r="E92" s="252" t="str">
        <f>IFERROR(VLOOKUP(B92,comp_nãodes,3,FALSE),VLOOKUP(B92,insnãodes,3,FALSE))</f>
        <v>UN</v>
      </c>
      <c r="F92" s="254">
        <v>1</v>
      </c>
      <c r="G92" s="253">
        <f>IFERROR(VLOOKUP(B92,comp_nãodes,4,FALSE),VLOOKUP(B92,insnãodes,4,FALSE))</f>
        <v>258.57</v>
      </c>
      <c r="H92" s="324">
        <f t="shared" ref="H92:H95" si="19">TRUNC((F92*G92),2)</f>
        <v>258.57</v>
      </c>
    </row>
    <row r="93" spans="2:8" ht="51" customHeight="1">
      <c r="B93" s="376">
        <v>90830</v>
      </c>
      <c r="C93" s="250" t="s">
        <v>751</v>
      </c>
      <c r="D93" s="251" t="str">
        <f>IFERROR(VLOOKUP(B93,comp_nãodes,2,FALSE),VLOOKUP(B93,insnãodes,2,FALSE))</f>
        <v>FECHADURA DE EMBUTIR COM CILINDRO, EXTERNA, COMPLETA, ACABAMENTO PADRÃO MÉDIO, INCLUSO EXECUÇÃO DE FURO - FORNECIMENTO E INSTALAÇÃO. AF_12/2019</v>
      </c>
      <c r="E93" s="252" t="str">
        <f>IFERROR(VLOOKUP(B93,comp_nãodes,3,FALSE),VLOOKUP(B93,insnãodes,3,FALSE))</f>
        <v>UN</v>
      </c>
      <c r="F93" s="254">
        <v>1</v>
      </c>
      <c r="G93" s="253">
        <f>IFERROR(VLOOKUP(B93,comp_nãodes,4,FALSE),VLOOKUP(B93,insnãodes,4,FALSE))</f>
        <v>96.89</v>
      </c>
      <c r="H93" s="324">
        <f t="shared" si="19"/>
        <v>96.89</v>
      </c>
    </row>
    <row r="94" spans="2:8" ht="42.75">
      <c r="B94" s="376" t="s">
        <v>12752</v>
      </c>
      <c r="C94" s="250"/>
      <c r="D94" s="251" t="s">
        <v>12753</v>
      </c>
      <c r="E94" s="252" t="s">
        <v>11525</v>
      </c>
      <c r="F94" s="254">
        <v>1</v>
      </c>
      <c r="G94" s="272">
        <f>H107</f>
        <v>400.24</v>
      </c>
      <c r="H94" s="324">
        <f t="shared" si="19"/>
        <v>400.24</v>
      </c>
    </row>
    <row r="95" spans="2:8" ht="28.5">
      <c r="B95" s="376">
        <v>100659</v>
      </c>
      <c r="C95" s="250" t="s">
        <v>751</v>
      </c>
      <c r="D95" s="251" t="str">
        <f>IFERROR(VLOOKUP(B95,comp_nãodes,2,FALSE),VLOOKUP(B95,insnãodes,2,FALSE))</f>
        <v>ALIZAR DE 5X1,5CM PARA PORTA FIXADO COM PREGOS, PADRÃO MÉDIO - FORNECIMENTO E INSTALAÇÃO. AF_12/2019</v>
      </c>
      <c r="E95" s="252" t="str">
        <f>IFERROR(VLOOKUP(B95,comp_nãodes,3,FALSE),VLOOKUP(B95,insnãodes,3,FALSE))</f>
        <v>M</v>
      </c>
      <c r="F95" s="254">
        <v>10.4</v>
      </c>
      <c r="G95" s="253">
        <f>IFERROR(VLOOKUP(B95,comp_nãodes,4,FALSE),VLOOKUP(B95,insnãodes,4,FALSE))</f>
        <v>5.95</v>
      </c>
      <c r="H95" s="324">
        <f t="shared" si="19"/>
        <v>61.88</v>
      </c>
    </row>
    <row r="96" spans="2:8" ht="15.75" thickBot="1">
      <c r="B96" s="315"/>
      <c r="C96" s="316"/>
      <c r="D96" s="1206" t="s">
        <v>11697</v>
      </c>
      <c r="E96" s="1207"/>
      <c r="F96" s="1207"/>
      <c r="G96" s="1208"/>
      <c r="H96" s="317">
        <f>SUM(H92:H95)</f>
        <v>817.58</v>
      </c>
    </row>
    <row r="97" spans="2:8">
      <c r="B97" s="373"/>
      <c r="C97" s="374"/>
      <c r="D97" s="374" t="s">
        <v>12751</v>
      </c>
      <c r="E97" s="374">
        <f>( 2.1*2+1)*2</f>
        <v>10.4</v>
      </c>
      <c r="F97" s="374"/>
      <c r="G97" s="374"/>
      <c r="H97" s="375"/>
    </row>
    <row r="98" spans="2:8" ht="11.25" customHeight="1" thickBot="1">
      <c r="B98" s="373"/>
      <c r="C98" s="374"/>
      <c r="D98" s="374"/>
      <c r="E98" s="374"/>
      <c r="F98" s="374"/>
      <c r="G98" s="374"/>
      <c r="H98" s="375"/>
    </row>
    <row r="99" spans="2:8" ht="45">
      <c r="B99" s="318" t="s">
        <v>12752</v>
      </c>
      <c r="C99" s="319"/>
      <c r="D99" s="320" t="s">
        <v>12753</v>
      </c>
      <c r="E99" s="321" t="s">
        <v>11716</v>
      </c>
      <c r="F99" s="321"/>
      <c r="G99" s="322"/>
      <c r="H99" s="323"/>
    </row>
    <row r="100" spans="2:8" ht="30">
      <c r="B100" s="255" t="s">
        <v>11686</v>
      </c>
      <c r="C100" s="256" t="s">
        <v>11687</v>
      </c>
      <c r="D100" s="248" t="s">
        <v>11688</v>
      </c>
      <c r="E100" s="248" t="s">
        <v>11689</v>
      </c>
      <c r="F100" s="257" t="s">
        <v>11690</v>
      </c>
      <c r="G100" s="249" t="s">
        <v>11691</v>
      </c>
      <c r="H100" s="258" t="s">
        <v>11692</v>
      </c>
    </row>
    <row r="101" spans="2:8" ht="28.5">
      <c r="B101" s="259"/>
      <c r="C101" s="260"/>
      <c r="D101" s="261" t="s">
        <v>12750</v>
      </c>
      <c r="E101" s="262"/>
      <c r="F101" s="262"/>
      <c r="G101" s="262"/>
      <c r="H101" s="263"/>
    </row>
    <row r="102" spans="2:8" ht="28.5">
      <c r="B102" s="377">
        <v>2432</v>
      </c>
      <c r="C102" s="250" t="s">
        <v>751</v>
      </c>
      <c r="D102" s="251" t="str">
        <f>IFERROR(VLOOKUP(B102,comp_nãodes,2,FALSE),VLOOKUP(B102,insnãodes,2,FALSE))</f>
        <v>DOBRADICA EM ACO/FERRO, 3 1/2" X  3", E= 1,9  A 2 MM, COM ANEL,  CROMADO OU ZINCADO, TAMPA BOLA, COM PARAFUSOS</v>
      </c>
      <c r="E102" s="252" t="str">
        <f>IFERROR(VLOOKUP(B102,comp_nãodes,3,FALSE),VLOOKUP(B102,insnãodes,3,FALSE))</f>
        <v xml:space="preserve">UN    </v>
      </c>
      <c r="F102" s="325">
        <v>3</v>
      </c>
      <c r="G102" s="253">
        <f>IFERROR(VLOOKUP(B102,comp_nãodes,4,FALSE),VLOOKUP(B102,insnãodes,4,FALSE))</f>
        <v>19.68</v>
      </c>
      <c r="H102" s="324">
        <f t="shared" ref="H102:H105" si="20">TRUNC((F102*G102),2)</f>
        <v>59.04</v>
      </c>
    </row>
    <row r="103" spans="2:8" ht="42.75">
      <c r="B103" s="377">
        <v>4989</v>
      </c>
      <c r="C103" s="250" t="s">
        <v>751</v>
      </c>
      <c r="D103" s="251" t="str">
        <f>IFERROR(VLOOKUP(B103,comp_nãodes,2,FALSE),VLOOKUP(B103,insnãodes,2,FALSE))</f>
        <v>PORTA DE MADEIRA, FOLHA MEDIA (NBR 15930) DE 100 X 210 CM, E = 35 MM, NUCLEO SARRAFEADO, CAPA LISA EM HDF, ACABAMENTO EM LAMINADO NATURAL PARA VERNIZ</v>
      </c>
      <c r="E103" s="252" t="str">
        <f>IFERROR(VLOOKUP(B103,comp_nãodes,3,FALSE),VLOOKUP(B103,insnãodes,3,FALSE))</f>
        <v xml:space="preserve">UN    </v>
      </c>
      <c r="F103" s="325">
        <v>1</v>
      </c>
      <c r="G103" s="253">
        <f>IFERROR(VLOOKUP(B103,comp_nãodes,4,FALSE),VLOOKUP(B103,insnãodes,4,FALSE))</f>
        <v>291.74</v>
      </c>
      <c r="H103" s="324">
        <f t="shared" si="20"/>
        <v>291.74</v>
      </c>
    </row>
    <row r="104" spans="2:8" ht="28.5">
      <c r="B104" s="377">
        <v>11055</v>
      </c>
      <c r="C104" s="250" t="s">
        <v>751</v>
      </c>
      <c r="D104" s="251" t="str">
        <f>IFERROR(VLOOKUP(B104,comp_nãodes,2,FALSE),VLOOKUP(B104,insnãodes,2,FALSE))</f>
        <v>PARAFUSO ROSCA SOBERBA ZINCADO CABECA CHATA FENDA SIMPLES 3,5 X 25 MM (1 ")</v>
      </c>
      <c r="E104" s="252" t="str">
        <f>IFERROR(VLOOKUP(B104,comp_nãodes,3,FALSE),VLOOKUP(B104,insnãodes,3,FALSE))</f>
        <v xml:space="preserve">UN    </v>
      </c>
      <c r="F104" s="325">
        <v>19.8</v>
      </c>
      <c r="G104" s="253">
        <f>IFERROR(VLOOKUP(B104,comp_nãodes,4,FALSE),VLOOKUP(B104,insnãodes,4,FALSE))</f>
        <v>0.04</v>
      </c>
      <c r="H104" s="324">
        <f t="shared" si="20"/>
        <v>0.79</v>
      </c>
    </row>
    <row r="105" spans="2:8" ht="28.5">
      <c r="B105" s="377">
        <v>88261</v>
      </c>
      <c r="C105" s="250" t="s">
        <v>751</v>
      </c>
      <c r="D105" s="251" t="str">
        <f>IFERROR(VLOOKUP(B105,comp_nãodes,2,FALSE),VLOOKUP(B105,insnãodes,2,FALSE))</f>
        <v>CARPINTEIRO DE ESQUADRIA COM ENCARGOS COMPLEMENTARES</v>
      </c>
      <c r="E105" s="252" t="str">
        <f>IFERROR(VLOOKUP(B105,comp_nãodes,3,FALSE),VLOOKUP(B105,insnãodes,3,FALSE))</f>
        <v>H</v>
      </c>
      <c r="F105" s="325">
        <v>1.6779999999999999</v>
      </c>
      <c r="G105" s="253">
        <f>IFERROR(VLOOKUP(B105,comp_nãodes,4,FALSE),VLOOKUP(B105,insnãodes,4,FALSE))</f>
        <v>21.06</v>
      </c>
      <c r="H105" s="324">
        <f t="shared" si="20"/>
        <v>35.33</v>
      </c>
    </row>
    <row r="106" spans="2:8">
      <c r="B106" s="377">
        <v>88316</v>
      </c>
      <c r="C106" s="250" t="s">
        <v>751</v>
      </c>
      <c r="D106" s="251" t="str">
        <f>IFERROR(VLOOKUP(B106,comp_nãodes,2,FALSE),VLOOKUP(B106,insnãodes,2,FALSE))</f>
        <v>SERVENTE COM ENCARGOS COMPLEMENTARES</v>
      </c>
      <c r="E106" s="252" t="str">
        <f>IFERROR(VLOOKUP(B106,comp_nãodes,3,FALSE),VLOOKUP(B106,insnãodes,3,FALSE))</f>
        <v>H</v>
      </c>
      <c r="F106" s="325">
        <v>0.83899999999999997</v>
      </c>
      <c r="G106" s="253">
        <f>IFERROR(VLOOKUP(B106,comp_nãodes,4,FALSE),VLOOKUP(B106,insnãodes,4,FALSE))</f>
        <v>15.91</v>
      </c>
      <c r="H106" s="324">
        <f t="shared" ref="H106" si="21">TRUNC((F106*G106),2)</f>
        <v>13.34</v>
      </c>
    </row>
    <row r="107" spans="2:8" ht="15.75" thickBot="1">
      <c r="B107" s="315"/>
      <c r="C107" s="316"/>
      <c r="D107" s="1206" t="s">
        <v>11697</v>
      </c>
      <c r="E107" s="1207"/>
      <c r="F107" s="1207"/>
      <c r="G107" s="1208"/>
      <c r="H107" s="317">
        <f>SUM(H102:H106)</f>
        <v>400.24</v>
      </c>
    </row>
    <row r="108" spans="2:8" ht="15" thickBot="1">
      <c r="B108" s="373"/>
      <c r="C108" s="374"/>
      <c r="D108" s="374"/>
      <c r="E108" s="374"/>
      <c r="F108" s="374"/>
      <c r="G108" s="374"/>
      <c r="H108" s="375"/>
    </row>
    <row r="109" spans="2:8" ht="30">
      <c r="B109" s="318" t="s">
        <v>12754</v>
      </c>
      <c r="C109" s="319"/>
      <c r="D109" s="320" t="s">
        <v>12756</v>
      </c>
      <c r="E109" s="321" t="s">
        <v>36</v>
      </c>
      <c r="F109" s="321"/>
      <c r="G109" s="322"/>
      <c r="H109" s="323"/>
    </row>
    <row r="110" spans="2:8" ht="30">
      <c r="B110" s="255" t="s">
        <v>11686</v>
      </c>
      <c r="C110" s="256" t="s">
        <v>11687</v>
      </c>
      <c r="D110" s="248" t="s">
        <v>11688</v>
      </c>
      <c r="E110" s="248" t="s">
        <v>11689</v>
      </c>
      <c r="F110" s="257" t="s">
        <v>11690</v>
      </c>
      <c r="G110" s="249" t="s">
        <v>11691</v>
      </c>
      <c r="H110" s="258" t="s">
        <v>11692</v>
      </c>
    </row>
    <row r="111" spans="2:8" ht="28.5">
      <c r="B111" s="259"/>
      <c r="C111" s="260"/>
      <c r="D111" s="261" t="s">
        <v>12755</v>
      </c>
      <c r="E111" s="262"/>
      <c r="F111" s="262"/>
      <c r="G111" s="262"/>
      <c r="H111" s="263"/>
    </row>
    <row r="112" spans="2:8" ht="28.5">
      <c r="B112" s="377">
        <v>88239</v>
      </c>
      <c r="C112" s="250" t="s">
        <v>751</v>
      </c>
      <c r="D112" s="251" t="str">
        <f t="shared" ref="D112:D123" si="22">IFERROR(VLOOKUP(B112,comp_nãodes,2,FALSE),VLOOKUP(B112,insnãodes,2,FALSE))</f>
        <v>AJUDANTE DE CARPINTEIRO COM ENCARGOS COMPLEMENTARES</v>
      </c>
      <c r="E112" s="252" t="str">
        <f t="shared" ref="E112:E123" si="23">IFERROR(VLOOKUP(B112,comp_nãodes,3,FALSE),VLOOKUP(B112,insnãodes,3,FALSE))</f>
        <v>H</v>
      </c>
      <c r="F112" s="325">
        <v>1</v>
      </c>
      <c r="G112" s="253">
        <f t="shared" ref="G112:G123" si="24">IFERROR(VLOOKUP(B112,comp_nãodes,4,FALSE),VLOOKUP(B112,insnãodes,4,FALSE))</f>
        <v>16.52</v>
      </c>
      <c r="H112" s="324">
        <f t="shared" ref="H112:H123" si="25">TRUNC((F112*G112),2)</f>
        <v>16.52</v>
      </c>
    </row>
    <row r="113" spans="2:10" ht="28.5">
      <c r="B113" s="377">
        <v>88261</v>
      </c>
      <c r="C113" s="250" t="s">
        <v>751</v>
      </c>
      <c r="D113" s="251" t="str">
        <f t="shared" si="22"/>
        <v>CARPINTEIRO DE ESQUADRIA COM ENCARGOS COMPLEMENTARES</v>
      </c>
      <c r="E113" s="252" t="str">
        <f t="shared" si="23"/>
        <v>H</v>
      </c>
      <c r="F113" s="325">
        <v>1</v>
      </c>
      <c r="G113" s="253">
        <f t="shared" si="24"/>
        <v>21.06</v>
      </c>
      <c r="H113" s="324">
        <f t="shared" si="25"/>
        <v>21.06</v>
      </c>
    </row>
    <row r="114" spans="2:10">
      <c r="B114" s="377">
        <v>88309</v>
      </c>
      <c r="C114" s="250" t="s">
        <v>751</v>
      </c>
      <c r="D114" s="251" t="str">
        <f t="shared" si="22"/>
        <v>PEDREIRO COM ENCARGOS COMPLEMENTARES</v>
      </c>
      <c r="E114" s="252" t="str">
        <f t="shared" si="23"/>
        <v>H</v>
      </c>
      <c r="F114" s="325">
        <v>0.68</v>
      </c>
      <c r="G114" s="253">
        <f t="shared" si="24"/>
        <v>19.809999999999999</v>
      </c>
      <c r="H114" s="324">
        <f t="shared" si="25"/>
        <v>13.47</v>
      </c>
    </row>
    <row r="115" spans="2:10">
      <c r="B115" s="377">
        <v>88316</v>
      </c>
      <c r="C115" s="250" t="s">
        <v>751</v>
      </c>
      <c r="D115" s="251" t="str">
        <f t="shared" si="22"/>
        <v>SERVENTE COM ENCARGOS COMPLEMENTARES</v>
      </c>
      <c r="E115" s="252" t="str">
        <f t="shared" si="23"/>
        <v>H</v>
      </c>
      <c r="F115" s="325">
        <v>0.68</v>
      </c>
      <c r="G115" s="253">
        <f t="shared" si="24"/>
        <v>15.91</v>
      </c>
      <c r="H115" s="324">
        <f t="shared" si="25"/>
        <v>10.81</v>
      </c>
    </row>
    <row r="116" spans="2:10" ht="42.75">
      <c r="B116" s="377">
        <v>88627</v>
      </c>
      <c r="C116" s="250" t="s">
        <v>751</v>
      </c>
      <c r="D116" s="251" t="str">
        <f t="shared" si="22"/>
        <v>ARGAMASSA TRAÇO 1:0,5:4,5 (EM VOLUME DE CIMENTO, CAL E AREIA MÉDIA ÚMIDA) PARA ASSENTAMENTO DE ALVENARIA, PREPARO MANUAL. AF_08/2019</v>
      </c>
      <c r="E116" s="252" t="str">
        <f t="shared" si="23"/>
        <v>M3</v>
      </c>
      <c r="F116" s="325">
        <v>6.0000000000000001E-3</v>
      </c>
      <c r="G116" s="253">
        <f t="shared" si="24"/>
        <v>420.48</v>
      </c>
      <c r="H116" s="324">
        <f t="shared" si="25"/>
        <v>2.52</v>
      </c>
    </row>
    <row r="117" spans="2:10" ht="42.75">
      <c r="B117" s="377">
        <v>184</v>
      </c>
      <c r="C117" s="250" t="s">
        <v>751</v>
      </c>
      <c r="D117" s="251" t="str">
        <f t="shared" si="22"/>
        <v>BATENTE/ PORTAL/ ADUELA/ MARCO MACICO, E= *3* CM, L= *13* CM, *60 CM A 120* CM X *210* CM, EM PINUS/ TAUARI/ VIROLA OU EQUIVALENTE DA REGIAO (NAO INCLUI ALIZARES)</v>
      </c>
      <c r="E117" s="252" t="str">
        <f t="shared" si="23"/>
        <v xml:space="preserve">JG    </v>
      </c>
      <c r="F117" s="325">
        <v>0.55000000000000004</v>
      </c>
      <c r="G117" s="253">
        <f t="shared" si="24"/>
        <v>73.739999999999995</v>
      </c>
      <c r="H117" s="324">
        <f t="shared" si="25"/>
        <v>40.549999999999997</v>
      </c>
    </row>
    <row r="118" spans="2:10" ht="28.5">
      <c r="B118" s="378">
        <v>4006</v>
      </c>
      <c r="C118" s="250" t="s">
        <v>751</v>
      </c>
      <c r="D118" s="251" t="str">
        <f t="shared" si="22"/>
        <v>MADEIRA SERRADA NAO APARELHADA DE PINUS, MISTA OU EQUIVALENTE DA REGIAO</v>
      </c>
      <c r="E118" s="252" t="str">
        <f t="shared" si="23"/>
        <v xml:space="preserve">M3    </v>
      </c>
      <c r="F118" s="325">
        <v>1E-3</v>
      </c>
      <c r="G118" s="253">
        <f t="shared" si="24"/>
        <v>1682.44</v>
      </c>
      <c r="H118" s="324">
        <f t="shared" si="25"/>
        <v>1.68</v>
      </c>
      <c r="J118" s="154">
        <f>0.1*0.1*0.03*3.57</f>
        <v>1.0710000000000001E-3</v>
      </c>
    </row>
    <row r="119" spans="2:10" ht="42.75">
      <c r="B119" s="377">
        <v>4989</v>
      </c>
      <c r="C119" s="250" t="s">
        <v>751</v>
      </c>
      <c r="D119" s="251" t="str">
        <f t="shared" si="22"/>
        <v>PORTA DE MADEIRA, FOLHA MEDIA (NBR 15930) DE 100 X 210 CM, E = 35 MM, NUCLEO SARRAFEADO, CAPA LISA EM HDF, ACABAMENTO EM LAMINADO NATURAL PARA VERNIZ</v>
      </c>
      <c r="E119" s="252" t="str">
        <f t="shared" si="23"/>
        <v xml:space="preserve">UN    </v>
      </c>
      <c r="F119" s="325">
        <v>1</v>
      </c>
      <c r="G119" s="253">
        <f t="shared" si="24"/>
        <v>291.74</v>
      </c>
      <c r="H119" s="324">
        <f t="shared" si="25"/>
        <v>291.74</v>
      </c>
    </row>
    <row r="120" spans="2:10">
      <c r="B120" s="377">
        <v>5067</v>
      </c>
      <c r="C120" s="250" t="s">
        <v>751</v>
      </c>
      <c r="D120" s="251" t="str">
        <f t="shared" si="22"/>
        <v>PREGO DE ACO POLIDO COM CABECA 16 X 24 (2 1/4 X 12)</v>
      </c>
      <c r="E120" s="252" t="str">
        <f t="shared" si="23"/>
        <v xml:space="preserve">KG    </v>
      </c>
      <c r="F120" s="325">
        <v>0.15</v>
      </c>
      <c r="G120" s="253">
        <f t="shared" si="24"/>
        <v>11.91</v>
      </c>
      <c r="H120" s="324">
        <f t="shared" si="25"/>
        <v>1.78</v>
      </c>
    </row>
    <row r="121" spans="2:10" ht="28.5">
      <c r="B121" s="377">
        <v>11573</v>
      </c>
      <c r="C121" s="250" t="s">
        <v>751</v>
      </c>
      <c r="D121" s="251" t="str">
        <f t="shared" si="22"/>
        <v>RODIZIO PARA TRILHO (TIPO NAPOLEAO),  EM LATAO, COM ROLAMENTO EM ACO, 6 MM, PARA JANELA DE CORRER</v>
      </c>
      <c r="E121" s="252" t="str">
        <f t="shared" si="23"/>
        <v xml:space="preserve">UN    </v>
      </c>
      <c r="F121" s="325">
        <v>2</v>
      </c>
      <c r="G121" s="253">
        <f t="shared" si="24"/>
        <v>6.6</v>
      </c>
      <c r="H121" s="324">
        <f t="shared" si="25"/>
        <v>13.2</v>
      </c>
    </row>
    <row r="122" spans="2:10" ht="28.5">
      <c r="B122" s="377">
        <v>11580</v>
      </c>
      <c r="C122" s="250" t="s">
        <v>751</v>
      </c>
      <c r="D122" s="251" t="str">
        <f t="shared" si="22"/>
        <v>TRILHO QUADRADO, EM ALUMINIO (VERGALHAO MACICO), 1/4", (*6 X 6* CM), PARA RODIZIOS</v>
      </c>
      <c r="E122" s="252" t="str">
        <f t="shared" si="23"/>
        <v xml:space="preserve">M     </v>
      </c>
      <c r="F122" s="325">
        <v>1.2</v>
      </c>
      <c r="G122" s="253">
        <f t="shared" si="24"/>
        <v>11.62</v>
      </c>
      <c r="H122" s="324">
        <f t="shared" si="25"/>
        <v>13.94</v>
      </c>
    </row>
    <row r="123" spans="2:10" ht="42.75">
      <c r="B123" s="377">
        <v>20017</v>
      </c>
      <c r="C123" s="250" t="s">
        <v>751</v>
      </c>
      <c r="D123" s="251" t="str">
        <f t="shared" si="22"/>
        <v>GUARNICAO/ ALIZAR/ VISTA MACICA, E= *1* CM, L= *4,5* CM, EM CEDRINHO/ ANGELIM COMERCIAL/  EUCALIPTO/ CURUPIXA/ PEROBA/ CUMARU OU EQUIVALENTE DA REGIAO</v>
      </c>
      <c r="E123" s="252" t="str">
        <f t="shared" si="23"/>
        <v xml:space="preserve">M     </v>
      </c>
      <c r="F123" s="325">
        <v>5.96</v>
      </c>
      <c r="G123" s="253">
        <f t="shared" si="24"/>
        <v>3.37</v>
      </c>
      <c r="H123" s="324">
        <f t="shared" si="25"/>
        <v>20.079999999999998</v>
      </c>
    </row>
    <row r="124" spans="2:10" ht="15.75" thickBot="1">
      <c r="B124" s="315"/>
      <c r="C124" s="316"/>
      <c r="D124" s="1206" t="s">
        <v>11697</v>
      </c>
      <c r="E124" s="1207"/>
      <c r="F124" s="1207"/>
      <c r="G124" s="1208"/>
      <c r="H124" s="317">
        <f>SUM(H112:H123)</f>
        <v>447.34999999999997</v>
      </c>
    </row>
    <row r="125" spans="2:10" ht="15" thickBot="1">
      <c r="B125" s="373"/>
      <c r="C125" s="374"/>
      <c r="D125" s="374"/>
      <c r="E125" s="374"/>
      <c r="F125" s="374"/>
      <c r="G125" s="374"/>
      <c r="H125" s="375"/>
    </row>
    <row r="126" spans="2:10" ht="15">
      <c r="B126" s="318" t="s">
        <v>12758</v>
      </c>
      <c r="C126" s="319"/>
      <c r="D126" s="320" t="s">
        <v>12760</v>
      </c>
      <c r="E126" s="321" t="s">
        <v>36</v>
      </c>
      <c r="F126" s="321"/>
      <c r="G126" s="322"/>
      <c r="H126" s="323"/>
    </row>
    <row r="127" spans="2:10" ht="30">
      <c r="B127" s="255" t="s">
        <v>11686</v>
      </c>
      <c r="C127" s="256" t="s">
        <v>11687</v>
      </c>
      <c r="D127" s="248" t="s">
        <v>11688</v>
      </c>
      <c r="E127" s="248" t="s">
        <v>11689</v>
      </c>
      <c r="F127" s="257" t="s">
        <v>11690</v>
      </c>
      <c r="G127" s="249" t="s">
        <v>11691</v>
      </c>
      <c r="H127" s="258" t="s">
        <v>11692</v>
      </c>
    </row>
    <row r="128" spans="2:10" ht="28.5">
      <c r="B128" s="259"/>
      <c r="C128" s="260"/>
      <c r="D128" s="261" t="s">
        <v>12759</v>
      </c>
      <c r="E128" s="262"/>
      <c r="F128" s="262"/>
      <c r="G128" s="262"/>
      <c r="H128" s="263"/>
    </row>
    <row r="129" spans="2:8" ht="28.5">
      <c r="B129" s="369">
        <v>142</v>
      </c>
      <c r="C129" s="250" t="s">
        <v>751</v>
      </c>
      <c r="D129" s="251" t="str">
        <f t="shared" ref="D129:D134" si="26">IFERROR(VLOOKUP(B129,comp_nãodes,2,FALSE),VLOOKUP(B129,insnãodes,2,FALSE))</f>
        <v>SELANTE ELASTICO MONOCOMPONENTE A BASE DE POLIURETANO (PU) PARA JUNTAS DIVERSAS</v>
      </c>
      <c r="E129" s="252" t="str">
        <f t="shared" ref="E129:E134" si="27">IFERROR(VLOOKUP(B129,comp_nãodes,3,FALSE),VLOOKUP(B129,insnãodes,3,FALSE))</f>
        <v xml:space="preserve">310ML </v>
      </c>
      <c r="F129" s="260" t="s">
        <v>11693</v>
      </c>
      <c r="G129" s="253">
        <f t="shared" ref="G129:G134" si="28">IFERROR(VLOOKUP(B129,comp_nãodes,4,FALSE),VLOOKUP(B129,insnãodes,4,FALSE))</f>
        <v>23.02</v>
      </c>
      <c r="H129" s="324">
        <f t="shared" ref="H129:H134" si="29">TRUNC((F129*G129),2)</f>
        <v>13.58</v>
      </c>
    </row>
    <row r="130" spans="2:8" ht="42.75">
      <c r="B130" s="379">
        <v>11950</v>
      </c>
      <c r="C130" s="250" t="s">
        <v>751</v>
      </c>
      <c r="D130" s="251" t="str">
        <f t="shared" si="26"/>
        <v>BUCHA DE NYLON SEM ABA S6, COM PARAFUSO DE 4,20 X 40 MM EM ACO ZINCADO COM ROSCA SOBERBA, CABECA CHATA E FENDA PHILLIPS</v>
      </c>
      <c r="E130" s="252" t="str">
        <f t="shared" si="27"/>
        <v xml:space="preserve">UN    </v>
      </c>
      <c r="F130" s="309" t="s">
        <v>11694</v>
      </c>
      <c r="G130" s="253">
        <f t="shared" si="28"/>
        <v>0.1</v>
      </c>
      <c r="H130" s="324">
        <f t="shared" si="29"/>
        <v>2.44</v>
      </c>
    </row>
    <row r="131" spans="2:8">
      <c r="B131" s="369">
        <v>88309</v>
      </c>
      <c r="C131" s="250" t="s">
        <v>751</v>
      </c>
      <c r="D131" s="251" t="str">
        <f t="shared" si="26"/>
        <v>PEDREIRO COM ENCARGOS COMPLEMENTARES</v>
      </c>
      <c r="E131" s="252" t="str">
        <f t="shared" si="27"/>
        <v>H</v>
      </c>
      <c r="F131" s="260" t="s">
        <v>11695</v>
      </c>
      <c r="G131" s="253">
        <f t="shared" si="28"/>
        <v>19.809999999999999</v>
      </c>
      <c r="H131" s="324">
        <f t="shared" si="29"/>
        <v>58.41</v>
      </c>
    </row>
    <row r="132" spans="2:8">
      <c r="B132" s="369">
        <v>88316</v>
      </c>
      <c r="C132" s="250" t="s">
        <v>751</v>
      </c>
      <c r="D132" s="251" t="str">
        <f t="shared" si="26"/>
        <v>SERVENTE COM ENCARGOS COMPLEMENTARES</v>
      </c>
      <c r="E132" s="252" t="str">
        <f t="shared" si="27"/>
        <v>H</v>
      </c>
      <c r="F132" s="260" t="s">
        <v>11696</v>
      </c>
      <c r="G132" s="253">
        <f t="shared" si="28"/>
        <v>15.91</v>
      </c>
      <c r="H132" s="324">
        <f t="shared" si="29"/>
        <v>23.45</v>
      </c>
    </row>
    <row r="133" spans="2:8" ht="42.75">
      <c r="B133" s="369">
        <v>72118</v>
      </c>
      <c r="C133" s="250" t="s">
        <v>751</v>
      </c>
      <c r="D133" s="251" t="str">
        <f t="shared" si="26"/>
        <v>VIDRO TEMPERADO INCOLOR, ESPESSURA 6MM, FORNECIMENTO E INSTALACAO, INCLUSIVE MASSA PARA VEDACAO</v>
      </c>
      <c r="E133" s="252" t="str">
        <f t="shared" si="27"/>
        <v>M2</v>
      </c>
      <c r="F133" s="260">
        <v>2.1</v>
      </c>
      <c r="G133" s="253">
        <f t="shared" si="28"/>
        <v>189.11</v>
      </c>
      <c r="H133" s="324">
        <f t="shared" si="29"/>
        <v>397.13</v>
      </c>
    </row>
    <row r="134" spans="2:8" ht="42.75">
      <c r="B134" s="377">
        <v>599</v>
      </c>
      <c r="C134" s="250" t="s">
        <v>751</v>
      </c>
      <c r="D134" s="251" t="str">
        <f t="shared" si="26"/>
        <v>JANELA FIXA EM ALUMINIO, 60  X 80 CM (A X L), BATENTE/REQUADRO DE 3 A 14 CM, COM VIDRO, SEM GUARNICAO/ALIZAR</v>
      </c>
      <c r="E134" s="252" t="str">
        <f t="shared" si="27"/>
        <v xml:space="preserve">M2    </v>
      </c>
      <c r="F134" s="325">
        <v>1.05</v>
      </c>
      <c r="G134" s="253">
        <f t="shared" si="28"/>
        <v>268.75</v>
      </c>
      <c r="H134" s="324">
        <f t="shared" si="29"/>
        <v>282.18</v>
      </c>
    </row>
    <row r="135" spans="2:8" ht="15.75" thickBot="1">
      <c r="B135" s="315"/>
      <c r="C135" s="316"/>
      <c r="D135" s="1206" t="s">
        <v>11697</v>
      </c>
      <c r="E135" s="1207"/>
      <c r="F135" s="1207"/>
      <c r="G135" s="1208"/>
      <c r="H135" s="317">
        <f>SUM(H129:H134)</f>
        <v>777.19</v>
      </c>
    </row>
    <row r="136" spans="2:8" ht="15" thickBot="1"/>
    <row r="137" spans="2:8" ht="15">
      <c r="B137" s="318" t="s">
        <v>12933</v>
      </c>
      <c r="C137" s="319"/>
      <c r="D137" s="320" t="s">
        <v>12934</v>
      </c>
      <c r="E137" s="321" t="s">
        <v>36</v>
      </c>
      <c r="F137" s="321"/>
      <c r="G137" s="322"/>
      <c r="H137" s="323"/>
    </row>
    <row r="138" spans="2:8" ht="30">
      <c r="B138" s="1064" t="s">
        <v>11686</v>
      </c>
      <c r="C138" s="1065" t="s">
        <v>11687</v>
      </c>
      <c r="D138" s="248" t="s">
        <v>11688</v>
      </c>
      <c r="E138" s="1066" t="s">
        <v>11689</v>
      </c>
      <c r="F138" s="1067" t="s">
        <v>11690</v>
      </c>
      <c r="G138" s="249" t="s">
        <v>11691</v>
      </c>
      <c r="H138" s="1068" t="s">
        <v>11692</v>
      </c>
    </row>
    <row r="139" spans="2:8" ht="42.75">
      <c r="B139" s="1069"/>
      <c r="C139" s="1070"/>
      <c r="D139" s="1071" t="s">
        <v>14238</v>
      </c>
      <c r="E139" s="1072"/>
      <c r="F139" s="1072"/>
      <c r="G139" s="1072"/>
      <c r="H139" s="1073"/>
    </row>
    <row r="140" spans="2:8" ht="28.5">
      <c r="B140" s="260">
        <v>142</v>
      </c>
      <c r="C140" s="250" t="s">
        <v>751</v>
      </c>
      <c r="D140" s="251" t="str">
        <f t="shared" ref="D140:D145" si="30">IFERROR(VLOOKUP(B140,comp_nãodes,2,FALSE),VLOOKUP(B140,insnãodes,2,FALSE))</f>
        <v>SELANTE ELASTICO MONOCOMPONENTE A BASE DE POLIURETANO (PU) PARA JUNTAS DIVERSAS</v>
      </c>
      <c r="E140" s="252" t="str">
        <f t="shared" ref="E140:E145" si="31">IFERROR(VLOOKUP(B140,comp_nãodes,3,FALSE),VLOOKUP(B140,insnãodes,3,FALSE))</f>
        <v xml:space="preserve">310ML </v>
      </c>
      <c r="F140" s="260" t="s">
        <v>11693</v>
      </c>
      <c r="G140" s="253">
        <f t="shared" ref="G140:G145" si="32">IFERROR(VLOOKUP(B140,comp_nãodes,4,FALSE),VLOOKUP(B140,insnãodes,4,FALSE))</f>
        <v>23.02</v>
      </c>
      <c r="H140" s="1074">
        <f t="shared" ref="H140:H146" si="33">TRUNC((F140*G140),2)</f>
        <v>13.58</v>
      </c>
    </row>
    <row r="141" spans="2:8" ht="42.75">
      <c r="B141" s="1075">
        <v>11950</v>
      </c>
      <c r="C141" s="250" t="s">
        <v>751</v>
      </c>
      <c r="D141" s="251" t="str">
        <f t="shared" si="30"/>
        <v>BUCHA DE NYLON SEM ABA S6, COM PARAFUSO DE 4,20 X 40 MM EM ACO ZINCADO COM ROSCA SOBERBA, CABECA CHATA E FENDA PHILLIPS</v>
      </c>
      <c r="E141" s="252" t="str">
        <f t="shared" si="31"/>
        <v xml:space="preserve">UN    </v>
      </c>
      <c r="F141" s="309" t="s">
        <v>11694</v>
      </c>
      <c r="G141" s="253">
        <f t="shared" si="32"/>
        <v>0.1</v>
      </c>
      <c r="H141" s="1074">
        <f t="shared" si="33"/>
        <v>2.44</v>
      </c>
    </row>
    <row r="142" spans="2:8">
      <c r="B142" s="260">
        <v>88309</v>
      </c>
      <c r="C142" s="250" t="s">
        <v>751</v>
      </c>
      <c r="D142" s="251" t="str">
        <f t="shared" si="30"/>
        <v>PEDREIRO COM ENCARGOS COMPLEMENTARES</v>
      </c>
      <c r="E142" s="252" t="str">
        <f t="shared" si="31"/>
        <v>H</v>
      </c>
      <c r="F142" s="260">
        <v>1.5</v>
      </c>
      <c r="G142" s="253">
        <f t="shared" si="32"/>
        <v>19.809999999999999</v>
      </c>
      <c r="H142" s="1074">
        <f t="shared" si="33"/>
        <v>29.71</v>
      </c>
    </row>
    <row r="143" spans="2:8">
      <c r="B143" s="260">
        <v>88316</v>
      </c>
      <c r="C143" s="250" t="s">
        <v>751</v>
      </c>
      <c r="D143" s="251" t="str">
        <f t="shared" si="30"/>
        <v>SERVENTE COM ENCARGOS COMPLEMENTARES</v>
      </c>
      <c r="E143" s="252" t="str">
        <f t="shared" si="31"/>
        <v>H</v>
      </c>
      <c r="F143" s="260">
        <v>0.73</v>
      </c>
      <c r="G143" s="253">
        <f t="shared" si="32"/>
        <v>15.91</v>
      </c>
      <c r="H143" s="1074">
        <f t="shared" si="33"/>
        <v>11.61</v>
      </c>
    </row>
    <row r="144" spans="2:8" ht="57">
      <c r="B144" s="260">
        <v>87292</v>
      </c>
      <c r="C144" s="250" t="s">
        <v>751</v>
      </c>
      <c r="D144" s="251" t="str">
        <f t="shared" si="30"/>
        <v>ARGAMASSA TRAÇO 1:2:8 (EM VOLUME DE CIMENTO, CAL E AREIA MÉDIA ÚMIDA) PARA EMBOÇO/MASSA ÚNICA/ASSENTAMENTO DE ALVENARIA DE VEDAÇÃO, PREPARO MECÂNICO COM BETONEIRA 400 L. AF_08/2019</v>
      </c>
      <c r="E144" s="252" t="str">
        <f t="shared" si="31"/>
        <v>M3</v>
      </c>
      <c r="F144" s="260">
        <v>6.4999999999999997E-3</v>
      </c>
      <c r="G144" s="253">
        <f t="shared" si="32"/>
        <v>335.87</v>
      </c>
      <c r="H144" s="1074">
        <f t="shared" si="33"/>
        <v>2.1800000000000002</v>
      </c>
    </row>
    <row r="145" spans="2:8" ht="42.75">
      <c r="B145" s="260">
        <v>72118</v>
      </c>
      <c r="C145" s="250" t="s">
        <v>751</v>
      </c>
      <c r="D145" s="251" t="str">
        <f t="shared" si="30"/>
        <v>VIDRO TEMPERADO INCOLOR, ESPESSURA 6MM, FORNECIMENTO E INSTALACAO, INCLUSIVE MASSA PARA VEDACAO</v>
      </c>
      <c r="E145" s="252" t="str">
        <f t="shared" si="31"/>
        <v>M2</v>
      </c>
      <c r="F145" s="260">
        <v>1</v>
      </c>
      <c r="G145" s="253">
        <f t="shared" si="32"/>
        <v>189.11</v>
      </c>
      <c r="H145" s="1074">
        <f t="shared" si="33"/>
        <v>189.11</v>
      </c>
    </row>
    <row r="146" spans="2:8">
      <c r="B146" s="260"/>
      <c r="C146" s="250"/>
      <c r="D146" s="251" t="s">
        <v>14239</v>
      </c>
      <c r="E146" s="252" t="s">
        <v>14240</v>
      </c>
      <c r="F146" s="260">
        <v>1</v>
      </c>
      <c r="G146" s="253">
        <v>616.97</v>
      </c>
      <c r="H146" s="1074">
        <f t="shared" si="33"/>
        <v>616.97</v>
      </c>
    </row>
    <row r="147" spans="2:8" ht="15.75" thickBot="1">
      <c r="B147" s="1076"/>
      <c r="C147" s="1077"/>
      <c r="D147" s="1209" t="s">
        <v>11697</v>
      </c>
      <c r="E147" s="1210"/>
      <c r="F147" s="1210"/>
      <c r="G147" s="1211"/>
      <c r="H147" s="1078">
        <f>SUM(H140:H146)</f>
        <v>865.6</v>
      </c>
    </row>
    <row r="155" spans="2:8">
      <c r="D155" s="364"/>
    </row>
    <row r="156" spans="2:8">
      <c r="D156" s="154" t="str">
        <f>RESUMO!B61</f>
        <v>ORGPLAN ENGENHARIA LTDA.</v>
      </c>
    </row>
    <row r="157" spans="2:8">
      <c r="D157" s="154" t="str">
        <f>RESUMO!B62</f>
        <v>Eng. Jean Martins e Silva Nunes</v>
      </c>
    </row>
    <row r="158" spans="2:8">
      <c r="D158" s="154" t="str">
        <f>RESUMO!B63</f>
        <v>CREA - 9398-VD/MT</v>
      </c>
    </row>
  </sheetData>
  <mergeCells count="14">
    <mergeCell ref="D107:G107"/>
    <mergeCell ref="D124:G124"/>
    <mergeCell ref="D147:G147"/>
    <mergeCell ref="C1:H1"/>
    <mergeCell ref="D11:G11"/>
    <mergeCell ref="D41:G41"/>
    <mergeCell ref="D53:G53"/>
    <mergeCell ref="D62:G62"/>
    <mergeCell ref="D23:G23"/>
    <mergeCell ref="D34:G34"/>
    <mergeCell ref="D135:G135"/>
    <mergeCell ref="D76:G76"/>
    <mergeCell ref="D86:G86"/>
    <mergeCell ref="D96:G96"/>
  </mergeCells>
  <conditionalFormatting sqref="B70:B75 B81:B85 B92:B95 F112:F123 B120:B123 F134 B134">
    <cfRule type="expression" dxfId="25" priority="217" stopIfTrue="1">
      <formula>AND($A70&lt;&gt;"COMPOSICAO",$A70&lt;&gt;"INSUMO",$A70&lt;&gt;"")</formula>
    </cfRule>
    <cfRule type="expression" dxfId="24" priority="218" stopIfTrue="1">
      <formula>AND(OR($A70="COMPOSICAO",$A70="INSUMO",$A70&lt;&gt;""),$A70&lt;&gt;"")</formula>
    </cfRule>
  </conditionalFormatting>
  <conditionalFormatting sqref="B102:B106">
    <cfRule type="expression" dxfId="23" priority="29" stopIfTrue="1">
      <formula>AND($A102&lt;&gt;"COMPOSICAO",$A102&lt;&gt;"INSUMO",$A102&lt;&gt;"")</formula>
    </cfRule>
    <cfRule type="expression" dxfId="22" priority="30" stopIfTrue="1">
      <formula>AND(OR($A102="COMPOSICAO",$A102="INSUMO",$A102&lt;&gt;""),$A102&lt;&gt;"")</formula>
    </cfRule>
  </conditionalFormatting>
  <conditionalFormatting sqref="F102:F106">
    <cfRule type="expression" dxfId="21" priority="27" stopIfTrue="1">
      <formula>AND($A102&lt;&gt;"COMPOSICAO",$A102&lt;&gt;"INSUMO",$A102&lt;&gt;"")</formula>
    </cfRule>
    <cfRule type="expression" dxfId="20" priority="28" stopIfTrue="1">
      <formula>AND(OR($A102="COMPOSICAO",$A102="INSUMO",$A102&lt;&gt;""),$A102&lt;&gt;"")</formula>
    </cfRule>
  </conditionalFormatting>
  <conditionalFormatting sqref="B112:B118">
    <cfRule type="expression" dxfId="19" priority="25" stopIfTrue="1">
      <formula>AND($A112&lt;&gt;"COMPOSICAO",$A112&lt;&gt;"INSUMO",$A112&lt;&gt;"")</formula>
    </cfRule>
    <cfRule type="expression" dxfId="18" priority="26" stopIfTrue="1">
      <formula>AND(OR($A112="COMPOSICAO",$A112="INSUMO",$A112&lt;&gt;""),$A112&lt;&gt;"")</formula>
    </cfRule>
  </conditionalFormatting>
  <conditionalFormatting sqref="B119">
    <cfRule type="expression" dxfId="17" priority="21" stopIfTrue="1">
      <formula>AND($A119&lt;&gt;"COMPOSICAO",$A119&lt;&gt;"INSUMO",$A119&lt;&gt;"")</formula>
    </cfRule>
    <cfRule type="expression" dxfId="16" priority="22" stopIfTrue="1">
      <formula>AND(OR($A119="COMPOSICAO",$A119="INSUMO",$A119&lt;&gt;""),$A119&lt;&gt;"")</formula>
    </cfRule>
  </conditionalFormatting>
  <conditionalFormatting sqref="B130">
    <cfRule type="expression" dxfId="15" priority="13" stopIfTrue="1">
      <formula>AND($A130&lt;&gt;"COMPOSICAO",$A130&lt;&gt;"INSUMO",$A130&lt;&gt;"")</formula>
    </cfRule>
    <cfRule type="expression" dxfId="14" priority="14" stopIfTrue="1">
      <formula>AND(OR($A130="COMPOSICAO",$A130="INSUMO",$A130&lt;&gt;""),$A130&lt;&gt;"")</formula>
    </cfRule>
  </conditionalFormatting>
  <conditionalFormatting sqref="F130">
    <cfRule type="expression" dxfId="13" priority="11" stopIfTrue="1">
      <formula>AND($A130&lt;&gt;"COMPOSICAO",$A130&lt;&gt;"INSUMO",$A130&lt;&gt;"")</formula>
    </cfRule>
    <cfRule type="expression" dxfId="12" priority="12" stopIfTrue="1">
      <formula>AND(OR($A130="COMPOSICAO",$A130="INSUMO",$A130&lt;&gt;""),$A130&lt;&gt;"")</formula>
    </cfRule>
  </conditionalFormatting>
  <conditionalFormatting sqref="B141">
    <cfRule type="expression" dxfId="11" priority="3" stopIfTrue="1">
      <formula>AND($A141&lt;&gt;"COMPOSICAO",$A141&lt;&gt;"INSUMO",$A141&lt;&gt;"")</formula>
    </cfRule>
    <cfRule type="expression" dxfId="10" priority="4" stopIfTrue="1">
      <formula>AND(OR($A141="COMPOSICAO",$A141="INSUMO",$A141&lt;&gt;""),$A141&lt;&gt;"")</formula>
    </cfRule>
  </conditionalFormatting>
  <conditionalFormatting sqref="F141">
    <cfRule type="expression" dxfId="9" priority="1" stopIfTrue="1">
      <formula>AND($A141&lt;&gt;"COMPOSICAO",$A141&lt;&gt;"INSUMO",$A141&lt;&gt;"")</formula>
    </cfRule>
    <cfRule type="expression" dxfId="8" priority="2" stopIfTrue="1">
      <formula>AND(OR($A141="COMPOSICAO",$A141="INSUMO",$A141&lt;&gt;""),$A141&lt;&gt;"")</formula>
    </cfRule>
  </conditionalFormatting>
  <printOptions horizontalCentered="1"/>
  <pageMargins left="0.59055118110236227" right="0.59055118110236227" top="1.7716535433070868" bottom="0.98425196850393704" header="0.51181102362204722" footer="0.51181102362204722"/>
  <pageSetup paperSize="9" scale="70" orientation="portrait" r:id="rId1"/>
  <headerFooter>
    <oddFooter>Página &amp;P de &amp;N</oddFooter>
  </headerFooter>
  <rowBreaks count="3" manualBreakCount="3">
    <brk id="35" max="7" man="1"/>
    <brk id="66" max="7" man="1"/>
    <brk id="125" max="7" man="1"/>
  </rowBreaks>
</worksheet>
</file>

<file path=xl/worksheets/sheet7.xml><?xml version="1.0" encoding="utf-8"?>
<worksheet xmlns="http://schemas.openxmlformats.org/spreadsheetml/2006/main" xmlns:r="http://schemas.openxmlformats.org/officeDocument/2006/relationships">
  <sheetPr codeName="Planilha12">
    <tabColor theme="5" tint="0.39997558519241921"/>
  </sheetPr>
  <dimension ref="A1:N1040"/>
  <sheetViews>
    <sheetView view="pageBreakPreview" topLeftCell="B1" zoomScale="70" zoomScaleSheetLayoutView="70" workbookViewId="0">
      <selection activeCell="C21" sqref="C21:F21"/>
    </sheetView>
  </sheetViews>
  <sheetFormatPr defaultRowHeight="15"/>
  <cols>
    <col min="1" max="1" width="17.5703125" hidden="1" customWidth="1"/>
    <col min="2" max="2" width="21.7109375" customWidth="1"/>
    <col min="3" max="3" width="80.28515625" customWidth="1"/>
    <col min="4" max="4" width="15.7109375" customWidth="1"/>
    <col min="5" max="5" width="23.42578125" customWidth="1"/>
    <col min="6" max="7" width="20.7109375" customWidth="1"/>
    <col min="8" max="8" width="18.42578125" customWidth="1"/>
    <col min="9" max="9" width="16.5703125" bestFit="1" customWidth="1"/>
    <col min="258" max="258" width="24.5703125" customWidth="1"/>
    <col min="259" max="259" width="71.7109375" customWidth="1"/>
    <col min="260" max="260" width="17.140625" bestFit="1" customWidth="1"/>
    <col min="261" max="261" width="16.7109375" bestFit="1" customWidth="1"/>
    <col min="262" max="262" width="16.85546875" bestFit="1" customWidth="1"/>
    <col min="263" max="263" width="21.42578125" customWidth="1"/>
    <col min="265" max="265" width="16.5703125" bestFit="1" customWidth="1"/>
    <col min="514" max="514" width="24.5703125" customWidth="1"/>
    <col min="515" max="515" width="71.7109375" customWidth="1"/>
    <col min="516" max="516" width="17.140625" bestFit="1" customWidth="1"/>
    <col min="517" max="517" width="16.7109375" bestFit="1" customWidth="1"/>
    <col min="518" max="518" width="16.85546875" bestFit="1" customWidth="1"/>
    <col min="519" max="519" width="21.42578125" customWidth="1"/>
    <col min="521" max="521" width="16.5703125" bestFit="1" customWidth="1"/>
    <col min="770" max="770" width="24.5703125" customWidth="1"/>
    <col min="771" max="771" width="71.7109375" customWidth="1"/>
    <col min="772" max="772" width="17.140625" bestFit="1" customWidth="1"/>
    <col min="773" max="773" width="16.7109375" bestFit="1" customWidth="1"/>
    <col min="774" max="774" width="16.85546875" bestFit="1" customWidth="1"/>
    <col min="775" max="775" width="21.42578125" customWidth="1"/>
    <col min="777" max="777" width="16.5703125" bestFit="1" customWidth="1"/>
    <col min="1026" max="1026" width="24.5703125" customWidth="1"/>
    <col min="1027" max="1027" width="71.7109375" customWidth="1"/>
    <col min="1028" max="1028" width="17.140625" bestFit="1" customWidth="1"/>
    <col min="1029" max="1029" width="16.7109375" bestFit="1" customWidth="1"/>
    <col min="1030" max="1030" width="16.85546875" bestFit="1" customWidth="1"/>
    <col min="1031" max="1031" width="21.42578125" customWidth="1"/>
    <col min="1033" max="1033" width="16.5703125" bestFit="1" customWidth="1"/>
    <col min="1282" max="1282" width="24.5703125" customWidth="1"/>
    <col min="1283" max="1283" width="71.7109375" customWidth="1"/>
    <col min="1284" max="1284" width="17.140625" bestFit="1" customWidth="1"/>
    <col min="1285" max="1285" width="16.7109375" bestFit="1" customWidth="1"/>
    <col min="1286" max="1286" width="16.85546875" bestFit="1" customWidth="1"/>
    <col min="1287" max="1287" width="21.42578125" customWidth="1"/>
    <col min="1289" max="1289" width="16.5703125" bestFit="1" customWidth="1"/>
    <col min="1538" max="1538" width="24.5703125" customWidth="1"/>
    <col min="1539" max="1539" width="71.7109375" customWidth="1"/>
    <col min="1540" max="1540" width="17.140625" bestFit="1" customWidth="1"/>
    <col min="1541" max="1541" width="16.7109375" bestFit="1" customWidth="1"/>
    <col min="1542" max="1542" width="16.85546875" bestFit="1" customWidth="1"/>
    <col min="1543" max="1543" width="21.42578125" customWidth="1"/>
    <col min="1545" max="1545" width="16.5703125" bestFit="1" customWidth="1"/>
    <col min="1794" max="1794" width="24.5703125" customWidth="1"/>
    <col min="1795" max="1795" width="71.7109375" customWidth="1"/>
    <col min="1796" max="1796" width="17.140625" bestFit="1" customWidth="1"/>
    <col min="1797" max="1797" width="16.7109375" bestFit="1" customWidth="1"/>
    <col min="1798" max="1798" width="16.85546875" bestFit="1" customWidth="1"/>
    <col min="1799" max="1799" width="21.42578125" customWidth="1"/>
    <col min="1801" max="1801" width="16.5703125" bestFit="1" customWidth="1"/>
    <col min="2050" max="2050" width="24.5703125" customWidth="1"/>
    <col min="2051" max="2051" width="71.7109375" customWidth="1"/>
    <col min="2052" max="2052" width="17.140625" bestFit="1" customWidth="1"/>
    <col min="2053" max="2053" width="16.7109375" bestFit="1" customWidth="1"/>
    <col min="2054" max="2054" width="16.85546875" bestFit="1" customWidth="1"/>
    <col min="2055" max="2055" width="21.42578125" customWidth="1"/>
    <col min="2057" max="2057" width="16.5703125" bestFit="1" customWidth="1"/>
    <col min="2306" max="2306" width="24.5703125" customWidth="1"/>
    <col min="2307" max="2307" width="71.7109375" customWidth="1"/>
    <col min="2308" max="2308" width="17.140625" bestFit="1" customWidth="1"/>
    <col min="2309" max="2309" width="16.7109375" bestFit="1" customWidth="1"/>
    <col min="2310" max="2310" width="16.85546875" bestFit="1" customWidth="1"/>
    <col min="2311" max="2311" width="21.42578125" customWidth="1"/>
    <col min="2313" max="2313" width="16.5703125" bestFit="1" customWidth="1"/>
    <col min="2562" max="2562" width="24.5703125" customWidth="1"/>
    <col min="2563" max="2563" width="71.7109375" customWidth="1"/>
    <col min="2564" max="2564" width="17.140625" bestFit="1" customWidth="1"/>
    <col min="2565" max="2565" width="16.7109375" bestFit="1" customWidth="1"/>
    <col min="2566" max="2566" width="16.85546875" bestFit="1" customWidth="1"/>
    <col min="2567" max="2567" width="21.42578125" customWidth="1"/>
    <col min="2569" max="2569" width="16.5703125" bestFit="1" customWidth="1"/>
    <col min="2818" max="2818" width="24.5703125" customWidth="1"/>
    <col min="2819" max="2819" width="71.7109375" customWidth="1"/>
    <col min="2820" max="2820" width="17.140625" bestFit="1" customWidth="1"/>
    <col min="2821" max="2821" width="16.7109375" bestFit="1" customWidth="1"/>
    <col min="2822" max="2822" width="16.85546875" bestFit="1" customWidth="1"/>
    <col min="2823" max="2823" width="21.42578125" customWidth="1"/>
    <col min="2825" max="2825" width="16.5703125" bestFit="1" customWidth="1"/>
    <col min="3074" max="3074" width="24.5703125" customWidth="1"/>
    <col min="3075" max="3075" width="71.7109375" customWidth="1"/>
    <col min="3076" max="3076" width="17.140625" bestFit="1" customWidth="1"/>
    <col min="3077" max="3077" width="16.7109375" bestFit="1" customWidth="1"/>
    <col min="3078" max="3078" width="16.85546875" bestFit="1" customWidth="1"/>
    <col min="3079" max="3079" width="21.42578125" customWidth="1"/>
    <col min="3081" max="3081" width="16.5703125" bestFit="1" customWidth="1"/>
    <col min="3330" max="3330" width="24.5703125" customWidth="1"/>
    <col min="3331" max="3331" width="71.7109375" customWidth="1"/>
    <col min="3332" max="3332" width="17.140625" bestFit="1" customWidth="1"/>
    <col min="3333" max="3333" width="16.7109375" bestFit="1" customWidth="1"/>
    <col min="3334" max="3334" width="16.85546875" bestFit="1" customWidth="1"/>
    <col min="3335" max="3335" width="21.42578125" customWidth="1"/>
    <col min="3337" max="3337" width="16.5703125" bestFit="1" customWidth="1"/>
    <col min="3586" max="3586" width="24.5703125" customWidth="1"/>
    <col min="3587" max="3587" width="71.7109375" customWidth="1"/>
    <col min="3588" max="3588" width="17.140625" bestFit="1" customWidth="1"/>
    <col min="3589" max="3589" width="16.7109375" bestFit="1" customWidth="1"/>
    <col min="3590" max="3590" width="16.85546875" bestFit="1" customWidth="1"/>
    <col min="3591" max="3591" width="21.42578125" customWidth="1"/>
    <col min="3593" max="3593" width="16.5703125" bestFit="1" customWidth="1"/>
    <col min="3842" max="3842" width="24.5703125" customWidth="1"/>
    <col min="3843" max="3843" width="71.7109375" customWidth="1"/>
    <col min="3844" max="3844" width="17.140625" bestFit="1" customWidth="1"/>
    <col min="3845" max="3845" width="16.7109375" bestFit="1" customWidth="1"/>
    <col min="3846" max="3846" width="16.85546875" bestFit="1" customWidth="1"/>
    <col min="3847" max="3847" width="21.42578125" customWidth="1"/>
    <col min="3849" max="3849" width="16.5703125" bestFit="1" customWidth="1"/>
    <col min="4098" max="4098" width="24.5703125" customWidth="1"/>
    <col min="4099" max="4099" width="71.7109375" customWidth="1"/>
    <col min="4100" max="4100" width="17.140625" bestFit="1" customWidth="1"/>
    <col min="4101" max="4101" width="16.7109375" bestFit="1" customWidth="1"/>
    <col min="4102" max="4102" width="16.85546875" bestFit="1" customWidth="1"/>
    <col min="4103" max="4103" width="21.42578125" customWidth="1"/>
    <col min="4105" max="4105" width="16.5703125" bestFit="1" customWidth="1"/>
    <col min="4354" max="4354" width="24.5703125" customWidth="1"/>
    <col min="4355" max="4355" width="71.7109375" customWidth="1"/>
    <col min="4356" max="4356" width="17.140625" bestFit="1" customWidth="1"/>
    <col min="4357" max="4357" width="16.7109375" bestFit="1" customWidth="1"/>
    <col min="4358" max="4358" width="16.85546875" bestFit="1" customWidth="1"/>
    <col min="4359" max="4359" width="21.42578125" customWidth="1"/>
    <col min="4361" max="4361" width="16.5703125" bestFit="1" customWidth="1"/>
    <col min="4610" max="4610" width="24.5703125" customWidth="1"/>
    <col min="4611" max="4611" width="71.7109375" customWidth="1"/>
    <col min="4612" max="4612" width="17.140625" bestFit="1" customWidth="1"/>
    <col min="4613" max="4613" width="16.7109375" bestFit="1" customWidth="1"/>
    <col min="4614" max="4614" width="16.85546875" bestFit="1" customWidth="1"/>
    <col min="4615" max="4615" width="21.42578125" customWidth="1"/>
    <col min="4617" max="4617" width="16.5703125" bestFit="1" customWidth="1"/>
    <col min="4866" max="4866" width="24.5703125" customWidth="1"/>
    <col min="4867" max="4867" width="71.7109375" customWidth="1"/>
    <col min="4868" max="4868" width="17.140625" bestFit="1" customWidth="1"/>
    <col min="4869" max="4869" width="16.7109375" bestFit="1" customWidth="1"/>
    <col min="4870" max="4870" width="16.85546875" bestFit="1" customWidth="1"/>
    <col min="4871" max="4871" width="21.42578125" customWidth="1"/>
    <col min="4873" max="4873" width="16.5703125" bestFit="1" customWidth="1"/>
    <col min="5122" max="5122" width="24.5703125" customWidth="1"/>
    <col min="5123" max="5123" width="71.7109375" customWidth="1"/>
    <col min="5124" max="5124" width="17.140625" bestFit="1" customWidth="1"/>
    <col min="5125" max="5125" width="16.7109375" bestFit="1" customWidth="1"/>
    <col min="5126" max="5126" width="16.85546875" bestFit="1" customWidth="1"/>
    <col min="5127" max="5127" width="21.42578125" customWidth="1"/>
    <col min="5129" max="5129" width="16.5703125" bestFit="1" customWidth="1"/>
    <col min="5378" max="5378" width="24.5703125" customWidth="1"/>
    <col min="5379" max="5379" width="71.7109375" customWidth="1"/>
    <col min="5380" max="5380" width="17.140625" bestFit="1" customWidth="1"/>
    <col min="5381" max="5381" width="16.7109375" bestFit="1" customWidth="1"/>
    <col min="5382" max="5382" width="16.85546875" bestFit="1" customWidth="1"/>
    <col min="5383" max="5383" width="21.42578125" customWidth="1"/>
    <col min="5385" max="5385" width="16.5703125" bestFit="1" customWidth="1"/>
    <col min="5634" max="5634" width="24.5703125" customWidth="1"/>
    <col min="5635" max="5635" width="71.7109375" customWidth="1"/>
    <col min="5636" max="5636" width="17.140625" bestFit="1" customWidth="1"/>
    <col min="5637" max="5637" width="16.7109375" bestFit="1" customWidth="1"/>
    <col min="5638" max="5638" width="16.85546875" bestFit="1" customWidth="1"/>
    <col min="5639" max="5639" width="21.42578125" customWidth="1"/>
    <col min="5641" max="5641" width="16.5703125" bestFit="1" customWidth="1"/>
    <col min="5890" max="5890" width="24.5703125" customWidth="1"/>
    <col min="5891" max="5891" width="71.7109375" customWidth="1"/>
    <col min="5892" max="5892" width="17.140625" bestFit="1" customWidth="1"/>
    <col min="5893" max="5893" width="16.7109375" bestFit="1" customWidth="1"/>
    <col min="5894" max="5894" width="16.85546875" bestFit="1" customWidth="1"/>
    <col min="5895" max="5895" width="21.42578125" customWidth="1"/>
    <col min="5897" max="5897" width="16.5703125" bestFit="1" customWidth="1"/>
    <col min="6146" max="6146" width="24.5703125" customWidth="1"/>
    <col min="6147" max="6147" width="71.7109375" customWidth="1"/>
    <col min="6148" max="6148" width="17.140625" bestFit="1" customWidth="1"/>
    <col min="6149" max="6149" width="16.7109375" bestFit="1" customWidth="1"/>
    <col min="6150" max="6150" width="16.85546875" bestFit="1" customWidth="1"/>
    <col min="6151" max="6151" width="21.42578125" customWidth="1"/>
    <col min="6153" max="6153" width="16.5703125" bestFit="1" customWidth="1"/>
    <col min="6402" max="6402" width="24.5703125" customWidth="1"/>
    <col min="6403" max="6403" width="71.7109375" customWidth="1"/>
    <col min="6404" max="6404" width="17.140625" bestFit="1" customWidth="1"/>
    <col min="6405" max="6405" width="16.7109375" bestFit="1" customWidth="1"/>
    <col min="6406" max="6406" width="16.85546875" bestFit="1" customWidth="1"/>
    <col min="6407" max="6407" width="21.42578125" customWidth="1"/>
    <col min="6409" max="6409" width="16.5703125" bestFit="1" customWidth="1"/>
    <col min="6658" max="6658" width="24.5703125" customWidth="1"/>
    <col min="6659" max="6659" width="71.7109375" customWidth="1"/>
    <col min="6660" max="6660" width="17.140625" bestFit="1" customWidth="1"/>
    <col min="6661" max="6661" width="16.7109375" bestFit="1" customWidth="1"/>
    <col min="6662" max="6662" width="16.85546875" bestFit="1" customWidth="1"/>
    <col min="6663" max="6663" width="21.42578125" customWidth="1"/>
    <col min="6665" max="6665" width="16.5703125" bestFit="1" customWidth="1"/>
    <col min="6914" max="6914" width="24.5703125" customWidth="1"/>
    <col min="6915" max="6915" width="71.7109375" customWidth="1"/>
    <col min="6916" max="6916" width="17.140625" bestFit="1" customWidth="1"/>
    <col min="6917" max="6917" width="16.7109375" bestFit="1" customWidth="1"/>
    <col min="6918" max="6918" width="16.85546875" bestFit="1" customWidth="1"/>
    <col min="6919" max="6919" width="21.42578125" customWidth="1"/>
    <col min="6921" max="6921" width="16.5703125" bestFit="1" customWidth="1"/>
    <col min="7170" max="7170" width="24.5703125" customWidth="1"/>
    <col min="7171" max="7171" width="71.7109375" customWidth="1"/>
    <col min="7172" max="7172" width="17.140625" bestFit="1" customWidth="1"/>
    <col min="7173" max="7173" width="16.7109375" bestFit="1" customWidth="1"/>
    <col min="7174" max="7174" width="16.85546875" bestFit="1" customWidth="1"/>
    <col min="7175" max="7175" width="21.42578125" customWidth="1"/>
    <col min="7177" max="7177" width="16.5703125" bestFit="1" customWidth="1"/>
    <col min="7426" max="7426" width="24.5703125" customWidth="1"/>
    <col min="7427" max="7427" width="71.7109375" customWidth="1"/>
    <col min="7428" max="7428" width="17.140625" bestFit="1" customWidth="1"/>
    <col min="7429" max="7429" width="16.7109375" bestFit="1" customWidth="1"/>
    <col min="7430" max="7430" width="16.85546875" bestFit="1" customWidth="1"/>
    <col min="7431" max="7431" width="21.42578125" customWidth="1"/>
    <col min="7433" max="7433" width="16.5703125" bestFit="1" customWidth="1"/>
    <col min="7682" max="7682" width="24.5703125" customWidth="1"/>
    <col min="7683" max="7683" width="71.7109375" customWidth="1"/>
    <col min="7684" max="7684" width="17.140625" bestFit="1" customWidth="1"/>
    <col min="7685" max="7685" width="16.7109375" bestFit="1" customWidth="1"/>
    <col min="7686" max="7686" width="16.85546875" bestFit="1" customWidth="1"/>
    <col min="7687" max="7687" width="21.42578125" customWidth="1"/>
    <col min="7689" max="7689" width="16.5703125" bestFit="1" customWidth="1"/>
    <col min="7938" max="7938" width="24.5703125" customWidth="1"/>
    <col min="7939" max="7939" width="71.7109375" customWidth="1"/>
    <col min="7940" max="7940" width="17.140625" bestFit="1" customWidth="1"/>
    <col min="7941" max="7941" width="16.7109375" bestFit="1" customWidth="1"/>
    <col min="7942" max="7942" width="16.85546875" bestFit="1" customWidth="1"/>
    <col min="7943" max="7943" width="21.42578125" customWidth="1"/>
    <col min="7945" max="7945" width="16.5703125" bestFit="1" customWidth="1"/>
    <col min="8194" max="8194" width="24.5703125" customWidth="1"/>
    <col min="8195" max="8195" width="71.7109375" customWidth="1"/>
    <col min="8196" max="8196" width="17.140625" bestFit="1" customWidth="1"/>
    <col min="8197" max="8197" width="16.7109375" bestFit="1" customWidth="1"/>
    <col min="8198" max="8198" width="16.85546875" bestFit="1" customWidth="1"/>
    <col min="8199" max="8199" width="21.42578125" customWidth="1"/>
    <col min="8201" max="8201" width="16.5703125" bestFit="1" customWidth="1"/>
    <col min="8450" max="8450" width="24.5703125" customWidth="1"/>
    <col min="8451" max="8451" width="71.7109375" customWidth="1"/>
    <col min="8452" max="8452" width="17.140625" bestFit="1" customWidth="1"/>
    <col min="8453" max="8453" width="16.7109375" bestFit="1" customWidth="1"/>
    <col min="8454" max="8454" width="16.85546875" bestFit="1" customWidth="1"/>
    <col min="8455" max="8455" width="21.42578125" customWidth="1"/>
    <col min="8457" max="8457" width="16.5703125" bestFit="1" customWidth="1"/>
    <col min="8706" max="8706" width="24.5703125" customWidth="1"/>
    <col min="8707" max="8707" width="71.7109375" customWidth="1"/>
    <col min="8708" max="8708" width="17.140625" bestFit="1" customWidth="1"/>
    <col min="8709" max="8709" width="16.7109375" bestFit="1" customWidth="1"/>
    <col min="8710" max="8710" width="16.85546875" bestFit="1" customWidth="1"/>
    <col min="8711" max="8711" width="21.42578125" customWidth="1"/>
    <col min="8713" max="8713" width="16.5703125" bestFit="1" customWidth="1"/>
    <col min="8962" max="8962" width="24.5703125" customWidth="1"/>
    <col min="8963" max="8963" width="71.7109375" customWidth="1"/>
    <col min="8964" max="8964" width="17.140625" bestFit="1" customWidth="1"/>
    <col min="8965" max="8965" width="16.7109375" bestFit="1" customWidth="1"/>
    <col min="8966" max="8966" width="16.85546875" bestFit="1" customWidth="1"/>
    <col min="8967" max="8967" width="21.42578125" customWidth="1"/>
    <col min="8969" max="8969" width="16.5703125" bestFit="1" customWidth="1"/>
    <col min="9218" max="9218" width="24.5703125" customWidth="1"/>
    <col min="9219" max="9219" width="71.7109375" customWidth="1"/>
    <col min="9220" max="9220" width="17.140625" bestFit="1" customWidth="1"/>
    <col min="9221" max="9221" width="16.7109375" bestFit="1" customWidth="1"/>
    <col min="9222" max="9222" width="16.85546875" bestFit="1" customWidth="1"/>
    <col min="9223" max="9223" width="21.42578125" customWidth="1"/>
    <col min="9225" max="9225" width="16.5703125" bestFit="1" customWidth="1"/>
    <col min="9474" max="9474" width="24.5703125" customWidth="1"/>
    <col min="9475" max="9475" width="71.7109375" customWidth="1"/>
    <col min="9476" max="9476" width="17.140625" bestFit="1" customWidth="1"/>
    <col min="9477" max="9477" width="16.7109375" bestFit="1" customWidth="1"/>
    <col min="9478" max="9478" width="16.85546875" bestFit="1" customWidth="1"/>
    <col min="9479" max="9479" width="21.42578125" customWidth="1"/>
    <col min="9481" max="9481" width="16.5703125" bestFit="1" customWidth="1"/>
    <col min="9730" max="9730" width="24.5703125" customWidth="1"/>
    <col min="9731" max="9731" width="71.7109375" customWidth="1"/>
    <col min="9732" max="9732" width="17.140625" bestFit="1" customWidth="1"/>
    <col min="9733" max="9733" width="16.7109375" bestFit="1" customWidth="1"/>
    <col min="9734" max="9734" width="16.85546875" bestFit="1" customWidth="1"/>
    <col min="9735" max="9735" width="21.42578125" customWidth="1"/>
    <col min="9737" max="9737" width="16.5703125" bestFit="1" customWidth="1"/>
    <col min="9986" max="9986" width="24.5703125" customWidth="1"/>
    <col min="9987" max="9987" width="71.7109375" customWidth="1"/>
    <col min="9988" max="9988" width="17.140625" bestFit="1" customWidth="1"/>
    <col min="9989" max="9989" width="16.7109375" bestFit="1" customWidth="1"/>
    <col min="9990" max="9990" width="16.85546875" bestFit="1" customWidth="1"/>
    <col min="9991" max="9991" width="21.42578125" customWidth="1"/>
    <col min="9993" max="9993" width="16.5703125" bestFit="1" customWidth="1"/>
    <col min="10242" max="10242" width="24.5703125" customWidth="1"/>
    <col min="10243" max="10243" width="71.7109375" customWidth="1"/>
    <col min="10244" max="10244" width="17.140625" bestFit="1" customWidth="1"/>
    <col min="10245" max="10245" width="16.7109375" bestFit="1" customWidth="1"/>
    <col min="10246" max="10246" width="16.85546875" bestFit="1" customWidth="1"/>
    <col min="10247" max="10247" width="21.42578125" customWidth="1"/>
    <col min="10249" max="10249" width="16.5703125" bestFit="1" customWidth="1"/>
    <col min="10498" max="10498" width="24.5703125" customWidth="1"/>
    <col min="10499" max="10499" width="71.7109375" customWidth="1"/>
    <col min="10500" max="10500" width="17.140625" bestFit="1" customWidth="1"/>
    <col min="10501" max="10501" width="16.7109375" bestFit="1" customWidth="1"/>
    <col min="10502" max="10502" width="16.85546875" bestFit="1" customWidth="1"/>
    <col min="10503" max="10503" width="21.42578125" customWidth="1"/>
    <col min="10505" max="10505" width="16.5703125" bestFit="1" customWidth="1"/>
    <col min="10754" max="10754" width="24.5703125" customWidth="1"/>
    <col min="10755" max="10755" width="71.7109375" customWidth="1"/>
    <col min="10756" max="10756" width="17.140625" bestFit="1" customWidth="1"/>
    <col min="10757" max="10757" width="16.7109375" bestFit="1" customWidth="1"/>
    <col min="10758" max="10758" width="16.85546875" bestFit="1" customWidth="1"/>
    <col min="10759" max="10759" width="21.42578125" customWidth="1"/>
    <col min="10761" max="10761" width="16.5703125" bestFit="1" customWidth="1"/>
    <col min="11010" max="11010" width="24.5703125" customWidth="1"/>
    <col min="11011" max="11011" width="71.7109375" customWidth="1"/>
    <col min="11012" max="11012" width="17.140625" bestFit="1" customWidth="1"/>
    <col min="11013" max="11013" width="16.7109375" bestFit="1" customWidth="1"/>
    <col min="11014" max="11014" width="16.85546875" bestFit="1" customWidth="1"/>
    <col min="11015" max="11015" width="21.42578125" customWidth="1"/>
    <col min="11017" max="11017" width="16.5703125" bestFit="1" customWidth="1"/>
    <col min="11266" max="11266" width="24.5703125" customWidth="1"/>
    <col min="11267" max="11267" width="71.7109375" customWidth="1"/>
    <col min="11268" max="11268" width="17.140625" bestFit="1" customWidth="1"/>
    <col min="11269" max="11269" width="16.7109375" bestFit="1" customWidth="1"/>
    <col min="11270" max="11270" width="16.85546875" bestFit="1" customWidth="1"/>
    <col min="11271" max="11271" width="21.42578125" customWidth="1"/>
    <col min="11273" max="11273" width="16.5703125" bestFit="1" customWidth="1"/>
    <col min="11522" max="11522" width="24.5703125" customWidth="1"/>
    <col min="11523" max="11523" width="71.7109375" customWidth="1"/>
    <col min="11524" max="11524" width="17.140625" bestFit="1" customWidth="1"/>
    <col min="11525" max="11525" width="16.7109375" bestFit="1" customWidth="1"/>
    <col min="11526" max="11526" width="16.85546875" bestFit="1" customWidth="1"/>
    <col min="11527" max="11527" width="21.42578125" customWidth="1"/>
    <col min="11529" max="11529" width="16.5703125" bestFit="1" customWidth="1"/>
    <col min="11778" max="11778" width="24.5703125" customWidth="1"/>
    <col min="11779" max="11779" width="71.7109375" customWidth="1"/>
    <col min="11780" max="11780" width="17.140625" bestFit="1" customWidth="1"/>
    <col min="11781" max="11781" width="16.7109375" bestFit="1" customWidth="1"/>
    <col min="11782" max="11782" width="16.85546875" bestFit="1" customWidth="1"/>
    <col min="11783" max="11783" width="21.42578125" customWidth="1"/>
    <col min="11785" max="11785" width="16.5703125" bestFit="1" customWidth="1"/>
    <col min="12034" max="12034" width="24.5703125" customWidth="1"/>
    <col min="12035" max="12035" width="71.7109375" customWidth="1"/>
    <col min="12036" max="12036" width="17.140625" bestFit="1" customWidth="1"/>
    <col min="12037" max="12037" width="16.7109375" bestFit="1" customWidth="1"/>
    <col min="12038" max="12038" width="16.85546875" bestFit="1" customWidth="1"/>
    <col min="12039" max="12039" width="21.42578125" customWidth="1"/>
    <col min="12041" max="12041" width="16.5703125" bestFit="1" customWidth="1"/>
    <col min="12290" max="12290" width="24.5703125" customWidth="1"/>
    <col min="12291" max="12291" width="71.7109375" customWidth="1"/>
    <col min="12292" max="12292" width="17.140625" bestFit="1" customWidth="1"/>
    <col min="12293" max="12293" width="16.7109375" bestFit="1" customWidth="1"/>
    <col min="12294" max="12294" width="16.85546875" bestFit="1" customWidth="1"/>
    <col min="12295" max="12295" width="21.42578125" customWidth="1"/>
    <col min="12297" max="12297" width="16.5703125" bestFit="1" customWidth="1"/>
    <col min="12546" max="12546" width="24.5703125" customWidth="1"/>
    <col min="12547" max="12547" width="71.7109375" customWidth="1"/>
    <col min="12548" max="12548" width="17.140625" bestFit="1" customWidth="1"/>
    <col min="12549" max="12549" width="16.7109375" bestFit="1" customWidth="1"/>
    <col min="12550" max="12550" width="16.85546875" bestFit="1" customWidth="1"/>
    <col min="12551" max="12551" width="21.42578125" customWidth="1"/>
    <col min="12553" max="12553" width="16.5703125" bestFit="1" customWidth="1"/>
    <col min="12802" max="12802" width="24.5703125" customWidth="1"/>
    <col min="12803" max="12803" width="71.7109375" customWidth="1"/>
    <col min="12804" max="12804" width="17.140625" bestFit="1" customWidth="1"/>
    <col min="12805" max="12805" width="16.7109375" bestFit="1" customWidth="1"/>
    <col min="12806" max="12806" width="16.85546875" bestFit="1" customWidth="1"/>
    <col min="12807" max="12807" width="21.42578125" customWidth="1"/>
    <col min="12809" max="12809" width="16.5703125" bestFit="1" customWidth="1"/>
    <col min="13058" max="13058" width="24.5703125" customWidth="1"/>
    <col min="13059" max="13059" width="71.7109375" customWidth="1"/>
    <col min="13060" max="13060" width="17.140625" bestFit="1" customWidth="1"/>
    <col min="13061" max="13061" width="16.7109375" bestFit="1" customWidth="1"/>
    <col min="13062" max="13062" width="16.85546875" bestFit="1" customWidth="1"/>
    <col min="13063" max="13063" width="21.42578125" customWidth="1"/>
    <col min="13065" max="13065" width="16.5703125" bestFit="1" customWidth="1"/>
    <col min="13314" max="13314" width="24.5703125" customWidth="1"/>
    <col min="13315" max="13315" width="71.7109375" customWidth="1"/>
    <col min="13316" max="13316" width="17.140625" bestFit="1" customWidth="1"/>
    <col min="13317" max="13317" width="16.7109375" bestFit="1" customWidth="1"/>
    <col min="13318" max="13318" width="16.85546875" bestFit="1" customWidth="1"/>
    <col min="13319" max="13319" width="21.42578125" customWidth="1"/>
    <col min="13321" max="13321" width="16.5703125" bestFit="1" customWidth="1"/>
    <col min="13570" max="13570" width="24.5703125" customWidth="1"/>
    <col min="13571" max="13571" width="71.7109375" customWidth="1"/>
    <col min="13572" max="13572" width="17.140625" bestFit="1" customWidth="1"/>
    <col min="13573" max="13573" width="16.7109375" bestFit="1" customWidth="1"/>
    <col min="13574" max="13574" width="16.85546875" bestFit="1" customWidth="1"/>
    <col min="13575" max="13575" width="21.42578125" customWidth="1"/>
    <col min="13577" max="13577" width="16.5703125" bestFit="1" customWidth="1"/>
    <col min="13826" max="13826" width="24.5703125" customWidth="1"/>
    <col min="13827" max="13827" width="71.7109375" customWidth="1"/>
    <col min="13828" max="13828" width="17.140625" bestFit="1" customWidth="1"/>
    <col min="13829" max="13829" width="16.7109375" bestFit="1" customWidth="1"/>
    <col min="13830" max="13830" width="16.85546875" bestFit="1" customWidth="1"/>
    <col min="13831" max="13831" width="21.42578125" customWidth="1"/>
    <col min="13833" max="13833" width="16.5703125" bestFit="1" customWidth="1"/>
    <col min="14082" max="14082" width="24.5703125" customWidth="1"/>
    <col min="14083" max="14083" width="71.7109375" customWidth="1"/>
    <col min="14084" max="14084" width="17.140625" bestFit="1" customWidth="1"/>
    <col min="14085" max="14085" width="16.7109375" bestFit="1" customWidth="1"/>
    <col min="14086" max="14086" width="16.85546875" bestFit="1" customWidth="1"/>
    <col min="14087" max="14087" width="21.42578125" customWidth="1"/>
    <col min="14089" max="14089" width="16.5703125" bestFit="1" customWidth="1"/>
    <col min="14338" max="14338" width="24.5703125" customWidth="1"/>
    <col min="14339" max="14339" width="71.7109375" customWidth="1"/>
    <col min="14340" max="14340" width="17.140625" bestFit="1" customWidth="1"/>
    <col min="14341" max="14341" width="16.7109375" bestFit="1" customWidth="1"/>
    <col min="14342" max="14342" width="16.85546875" bestFit="1" customWidth="1"/>
    <col min="14343" max="14343" width="21.42578125" customWidth="1"/>
    <col min="14345" max="14345" width="16.5703125" bestFit="1" customWidth="1"/>
    <col min="14594" max="14594" width="24.5703125" customWidth="1"/>
    <col min="14595" max="14595" width="71.7109375" customWidth="1"/>
    <col min="14596" max="14596" width="17.140625" bestFit="1" customWidth="1"/>
    <col min="14597" max="14597" width="16.7109375" bestFit="1" customWidth="1"/>
    <col min="14598" max="14598" width="16.85546875" bestFit="1" customWidth="1"/>
    <col min="14599" max="14599" width="21.42578125" customWidth="1"/>
    <col min="14601" max="14601" width="16.5703125" bestFit="1" customWidth="1"/>
    <col min="14850" max="14850" width="24.5703125" customWidth="1"/>
    <col min="14851" max="14851" width="71.7109375" customWidth="1"/>
    <col min="14852" max="14852" width="17.140625" bestFit="1" customWidth="1"/>
    <col min="14853" max="14853" width="16.7109375" bestFit="1" customWidth="1"/>
    <col min="14854" max="14854" width="16.85546875" bestFit="1" customWidth="1"/>
    <col min="14855" max="14855" width="21.42578125" customWidth="1"/>
    <col min="14857" max="14857" width="16.5703125" bestFit="1" customWidth="1"/>
    <col min="15106" max="15106" width="24.5703125" customWidth="1"/>
    <col min="15107" max="15107" width="71.7109375" customWidth="1"/>
    <col min="15108" max="15108" width="17.140625" bestFit="1" customWidth="1"/>
    <col min="15109" max="15109" width="16.7109375" bestFit="1" customWidth="1"/>
    <col min="15110" max="15110" width="16.85546875" bestFit="1" customWidth="1"/>
    <col min="15111" max="15111" width="21.42578125" customWidth="1"/>
    <col min="15113" max="15113" width="16.5703125" bestFit="1" customWidth="1"/>
    <col min="15362" max="15362" width="24.5703125" customWidth="1"/>
    <col min="15363" max="15363" width="71.7109375" customWidth="1"/>
    <col min="15364" max="15364" width="17.140625" bestFit="1" customWidth="1"/>
    <col min="15365" max="15365" width="16.7109375" bestFit="1" customWidth="1"/>
    <col min="15366" max="15366" width="16.85546875" bestFit="1" customWidth="1"/>
    <col min="15367" max="15367" width="21.42578125" customWidth="1"/>
    <col min="15369" max="15369" width="16.5703125" bestFit="1" customWidth="1"/>
    <col min="15618" max="15618" width="24.5703125" customWidth="1"/>
    <col min="15619" max="15619" width="71.7109375" customWidth="1"/>
    <col min="15620" max="15620" width="17.140625" bestFit="1" customWidth="1"/>
    <col min="15621" max="15621" width="16.7109375" bestFit="1" customWidth="1"/>
    <col min="15622" max="15622" width="16.85546875" bestFit="1" customWidth="1"/>
    <col min="15623" max="15623" width="21.42578125" customWidth="1"/>
    <col min="15625" max="15625" width="16.5703125" bestFit="1" customWidth="1"/>
    <col min="15874" max="15874" width="24.5703125" customWidth="1"/>
    <col min="15875" max="15875" width="71.7109375" customWidth="1"/>
    <col min="15876" max="15876" width="17.140625" bestFit="1" customWidth="1"/>
    <col min="15877" max="15877" width="16.7109375" bestFit="1" customWidth="1"/>
    <col min="15878" max="15878" width="16.85546875" bestFit="1" customWidth="1"/>
    <col min="15879" max="15879" width="21.42578125" customWidth="1"/>
    <col min="15881" max="15881" width="16.5703125" bestFit="1" customWidth="1"/>
    <col min="16130" max="16130" width="24.5703125" customWidth="1"/>
    <col min="16131" max="16131" width="71.7109375" customWidth="1"/>
    <col min="16132" max="16132" width="17.140625" bestFit="1" customWidth="1"/>
    <col min="16133" max="16133" width="16.7109375" bestFit="1" customWidth="1"/>
    <col min="16134" max="16134" width="16.85546875" bestFit="1" customWidth="1"/>
    <col min="16135" max="16135" width="21.42578125" customWidth="1"/>
    <col min="16137" max="16137" width="16.5703125" bestFit="1" customWidth="1"/>
  </cols>
  <sheetData>
    <row r="1" spans="1:8" ht="15.75">
      <c r="B1" s="725" t="str">
        <f>'PLANILHA ORÇAMENTARIA'!A1</f>
        <v>OBRA:</v>
      </c>
      <c r="C1" s="724" t="str">
        <f>'PLANILHA ORÇAMENTARIA'!B1</f>
        <v>Construção da Lavanderia e Predio Sede da Secretaria Municipal de Saúde de Barra do Bugres - MT</v>
      </c>
    </row>
    <row r="2" spans="1:8" ht="15.75">
      <c r="B2" s="725" t="str">
        <f>'PLANILHA ORÇAMENTARIA'!A2</f>
        <v>Endereço:</v>
      </c>
      <c r="C2" s="724" t="str">
        <f>'PLANILHA ORÇAMENTARIA'!B2</f>
        <v>Rua Voluntários da Pátria, 861 - Bairro Maracanã</v>
      </c>
    </row>
    <row r="3" spans="1:8" ht="15.75">
      <c r="B3" s="725" t="str">
        <f>'PLANILHA ORÇAMENTARIA'!A3</f>
        <v>Município:</v>
      </c>
      <c r="C3" s="724" t="str">
        <f>'PLANILHA ORÇAMENTARIA'!B3</f>
        <v>Barra do Bugres - MT</v>
      </c>
    </row>
    <row r="4" spans="1:8" ht="15.75">
      <c r="B4" s="725" t="str">
        <f>'PLANILHA ORÇAMENTARIA'!A4</f>
        <v>Data:</v>
      </c>
      <c r="C4" s="414">
        <f>'PLANILHA ORÇAMENTARIA'!B4</f>
        <v>43952</v>
      </c>
      <c r="E4" s="725" t="str">
        <f>'PLANILHA ORÇAMENTARIA'!E3</f>
        <v>Referência:</v>
      </c>
      <c r="F4" s="724" t="str">
        <f>'PLANILHA ORÇAMENTARIA'!G3</f>
        <v>SINAPI -01/2020 não deson.</v>
      </c>
    </row>
    <row r="5" spans="1:8" ht="15.75" thickBot="1"/>
    <row r="6" spans="1:8" s="462" customFormat="1" ht="18" customHeight="1" thickBot="1">
      <c r="B6" s="1214" t="s">
        <v>13460</v>
      </c>
      <c r="C6" s="1215"/>
      <c r="D6" s="1215"/>
      <c r="E6" s="1215"/>
      <c r="F6" s="1215"/>
      <c r="G6" s="1216"/>
    </row>
    <row r="7" spans="1:8" s="465" customFormat="1" ht="18" customHeight="1" thickBot="1">
      <c r="A7" s="464"/>
      <c r="H7" s="464"/>
    </row>
    <row r="8" spans="1:8" s="465" customFormat="1" ht="15.75" hidden="1" customHeight="1">
      <c r="A8" s="464"/>
      <c r="B8" s="466" t="s">
        <v>13461</v>
      </c>
      <c r="C8" s="1217" t="s">
        <v>13462</v>
      </c>
      <c r="D8" s="1218"/>
      <c r="E8" s="1218"/>
      <c r="F8" s="1219"/>
      <c r="G8" s="467" t="s">
        <v>28</v>
      </c>
      <c r="H8" s="468">
        <f>G17</f>
        <v>10.309999999999999</v>
      </c>
    </row>
    <row r="9" spans="1:8" s="465" customFormat="1" ht="32.25" hidden="1" thickBot="1">
      <c r="A9" s="464"/>
      <c r="B9" s="469" t="s">
        <v>13463</v>
      </c>
      <c r="C9" s="470" t="s">
        <v>13464</v>
      </c>
      <c r="D9" s="470" t="s">
        <v>28</v>
      </c>
      <c r="E9" s="470" t="s">
        <v>13465</v>
      </c>
      <c r="F9" s="471" t="s">
        <v>13466</v>
      </c>
      <c r="G9" s="472" t="s">
        <v>13467</v>
      </c>
      <c r="H9" s="464"/>
    </row>
    <row r="10" spans="1:8" s="465" customFormat="1" ht="16.5" hidden="1" thickBot="1">
      <c r="A10" s="464"/>
      <c r="B10" s="1226" t="s">
        <v>13468</v>
      </c>
      <c r="C10" s="1227"/>
      <c r="D10" s="1227"/>
      <c r="E10" s="1227"/>
      <c r="F10" s="1227"/>
      <c r="G10" s="1228"/>
      <c r="H10" s="464"/>
    </row>
    <row r="11" spans="1:8" s="465" customFormat="1" ht="30.75" hidden="1" thickBot="1">
      <c r="A11" s="473" t="s">
        <v>13458</v>
      </c>
      <c r="B11" s="474">
        <v>819</v>
      </c>
      <c r="C11" s="475" t="s">
        <v>7233</v>
      </c>
      <c r="D11" s="476" t="s">
        <v>6636</v>
      </c>
      <c r="E11" s="477">
        <v>1</v>
      </c>
      <c r="F11" s="478">
        <v>2.2999999999999998</v>
      </c>
      <c r="G11" s="479">
        <f>TRUNC(E11*F11,2)</f>
        <v>2.2999999999999998</v>
      </c>
      <c r="H11" s="464"/>
    </row>
    <row r="12" spans="1:8" s="465" customFormat="1" ht="16.5" hidden="1" thickBot="1">
      <c r="A12" s="473" t="s">
        <v>13458</v>
      </c>
      <c r="B12" s="474">
        <v>20083</v>
      </c>
      <c r="C12" s="475" t="s">
        <v>871</v>
      </c>
      <c r="D12" s="476" t="s">
        <v>6636</v>
      </c>
      <c r="E12" s="480">
        <v>1.52E-2</v>
      </c>
      <c r="F12" s="478">
        <v>64.72</v>
      </c>
      <c r="G12" s="479">
        <f>TRUNC(E12*F12,2)</f>
        <v>0.98</v>
      </c>
      <c r="H12" s="464"/>
    </row>
    <row r="13" spans="1:8" s="465" customFormat="1" ht="16.5" hidden="1" thickBot="1">
      <c r="A13" s="473" t="s">
        <v>13458</v>
      </c>
      <c r="B13" s="474">
        <v>122</v>
      </c>
      <c r="C13" s="475" t="s">
        <v>869</v>
      </c>
      <c r="D13" s="476" t="s">
        <v>6636</v>
      </c>
      <c r="E13" s="481">
        <v>1.4E-2</v>
      </c>
      <c r="F13" s="478">
        <v>74.52</v>
      </c>
      <c r="G13" s="479">
        <f>TRUNC(E13*F13,2)</f>
        <v>1.04</v>
      </c>
      <c r="H13" s="464"/>
    </row>
    <row r="14" spans="1:8" s="465" customFormat="1" ht="16.5" hidden="1" thickBot="1">
      <c r="A14" s="464"/>
      <c r="B14" s="1226" t="s">
        <v>13469</v>
      </c>
      <c r="C14" s="1227"/>
      <c r="D14" s="1227"/>
      <c r="E14" s="1227"/>
      <c r="F14" s="1227"/>
      <c r="G14" s="1228"/>
      <c r="H14" s="464"/>
    </row>
    <row r="15" spans="1:8" s="465" customFormat="1" ht="30.75" hidden="1" thickBot="1">
      <c r="A15" s="473" t="s">
        <v>13459</v>
      </c>
      <c r="B15" s="474">
        <v>88248</v>
      </c>
      <c r="C15" s="475" t="s">
        <v>758</v>
      </c>
      <c r="D15" s="476" t="s">
        <v>753</v>
      </c>
      <c r="E15" s="482">
        <v>0.17</v>
      </c>
      <c r="F15" s="478">
        <v>15.38</v>
      </c>
      <c r="G15" s="479">
        <f>TRUNC(E15*F15,2)</f>
        <v>2.61</v>
      </c>
      <c r="H15" s="464"/>
    </row>
    <row r="16" spans="1:8" s="465" customFormat="1" ht="30.75" hidden="1" thickBot="1">
      <c r="A16" s="473" t="s">
        <v>13459</v>
      </c>
      <c r="B16" s="483">
        <v>88267</v>
      </c>
      <c r="C16" s="484" t="s">
        <v>759</v>
      </c>
      <c r="D16" s="485" t="s">
        <v>753</v>
      </c>
      <c r="E16" s="486">
        <v>0.17</v>
      </c>
      <c r="F16" s="487">
        <v>19.899999999999999</v>
      </c>
      <c r="G16" s="488">
        <f>TRUNC(E16*F16,2)</f>
        <v>3.38</v>
      </c>
      <c r="H16" s="464"/>
    </row>
    <row r="17" spans="1:8" s="489" customFormat="1" ht="16.5" hidden="1" thickBot="1">
      <c r="B17" s="490" t="s">
        <v>13470</v>
      </c>
      <c r="C17" s="490"/>
      <c r="D17" s="490"/>
      <c r="E17" s="491"/>
      <c r="F17" s="492" t="s">
        <v>22</v>
      </c>
      <c r="G17" s="493">
        <f>SUM(G11:G16)</f>
        <v>10.309999999999999</v>
      </c>
    </row>
    <row r="18" spans="1:8" s="489" customFormat="1" ht="65.25" hidden="1" customHeight="1">
      <c r="B18" s="1229" t="s">
        <v>13471</v>
      </c>
      <c r="C18" s="1229"/>
      <c r="D18" s="1229"/>
      <c r="E18" s="1229"/>
      <c r="F18" s="1229"/>
      <c r="G18" s="1229"/>
      <c r="H18" s="494"/>
    </row>
    <row r="19" spans="1:8" s="465" customFormat="1" ht="113.25" hidden="1" customHeight="1">
      <c r="A19" s="464"/>
      <c r="B19" s="1230" t="s">
        <v>13472</v>
      </c>
      <c r="C19" s="1230"/>
      <c r="D19" s="1230"/>
      <c r="E19" s="1230"/>
      <c r="F19" s="1230"/>
      <c r="G19" s="1230"/>
      <c r="H19" s="495"/>
    </row>
    <row r="20" spans="1:8" s="465" customFormat="1" ht="15.75" hidden="1" thickBot="1">
      <c r="A20" s="464"/>
      <c r="H20" s="464"/>
    </row>
    <row r="21" spans="1:8" s="465" customFormat="1" ht="47.25" customHeight="1">
      <c r="A21" s="728"/>
      <c r="B21" s="729" t="str">
        <f>IF(COUNT($H$8:H21)&lt;10,CONCATENATE("COMP HID 00",COUNT($H$8:H21)),CONCATENATE("COMP HID 0",COUNT($H$8:H21)))</f>
        <v>COMP HID 002</v>
      </c>
      <c r="C21" s="1224" t="s">
        <v>12886</v>
      </c>
      <c r="D21" s="1225"/>
      <c r="E21" s="1225"/>
      <c r="F21" s="1225"/>
      <c r="G21" s="467" t="s">
        <v>28</v>
      </c>
      <c r="H21" s="468">
        <f>G30</f>
        <v>22.68</v>
      </c>
    </row>
    <row r="22" spans="1:8" s="465" customFormat="1" ht="31.5">
      <c r="A22" s="730"/>
      <c r="B22" s="731" t="s">
        <v>13463</v>
      </c>
      <c r="C22" s="470" t="s">
        <v>13464</v>
      </c>
      <c r="D22" s="470" t="s">
        <v>28</v>
      </c>
      <c r="E22" s="470" t="s">
        <v>13465</v>
      </c>
      <c r="F22" s="471" t="s">
        <v>13466</v>
      </c>
      <c r="G22" s="472" t="s">
        <v>13467</v>
      </c>
      <c r="H22" s="464"/>
    </row>
    <row r="23" spans="1:8" s="465" customFormat="1" ht="15.75">
      <c r="A23" s="730"/>
      <c r="B23" s="1220" t="s">
        <v>13468</v>
      </c>
      <c r="C23" s="1220"/>
      <c r="D23" s="1220"/>
      <c r="E23" s="1220"/>
      <c r="F23" s="1220"/>
      <c r="G23" s="1221"/>
      <c r="H23" s="464"/>
    </row>
    <row r="24" spans="1:8" s="465" customFormat="1" ht="30">
      <c r="A24" s="732" t="s">
        <v>13458</v>
      </c>
      <c r="B24" s="476">
        <v>823</v>
      </c>
      <c r="C24" s="439" t="str">
        <f>IFERROR(VLOOKUP(B24,comp_nãodes,2,FALSE),VLOOKUP(B24,insnãodes,2,FALSE))</f>
        <v>BUCHA DE REDUCAO DE PVC, SOLDAVEL, CURTA, COM 75 X 60 MM, PARA AGUA FRIA PREDIAL</v>
      </c>
      <c r="D24" s="476" t="s">
        <v>6636</v>
      </c>
      <c r="E24" s="477">
        <v>1</v>
      </c>
      <c r="F24" s="426">
        <f t="shared" ref="F24:F29" si="0">IFERROR(VLOOKUP(B24,comp_nãodes,4,FALSE),VLOOKUP(B24,insnãodes,4,FALSE))</f>
        <v>11.73</v>
      </c>
      <c r="G24" s="479">
        <f>TRUNC(E24*F24,2)</f>
        <v>11.73</v>
      </c>
      <c r="H24" s="464"/>
    </row>
    <row r="25" spans="1:8" s="465" customFormat="1" ht="15.75">
      <c r="A25" s="732" t="s">
        <v>13458</v>
      </c>
      <c r="B25" s="476">
        <v>20083</v>
      </c>
      <c r="C25" s="439" t="str">
        <f>IFERROR(VLOOKUP(B25,comp_nãodes,2,FALSE),VLOOKUP(B25,insnãodes,2,FALSE))</f>
        <v>SOLUCAO LIMPADORA PARA PVC, FRASCO COM 1000 CM3</v>
      </c>
      <c r="D25" s="476" t="s">
        <v>6636</v>
      </c>
      <c r="E25" s="480">
        <v>4.1000000000000002E-2</v>
      </c>
      <c r="F25" s="426">
        <f t="shared" si="0"/>
        <v>60.71</v>
      </c>
      <c r="G25" s="479">
        <f>TRUNC(E25*F25,2)</f>
        <v>2.48</v>
      </c>
      <c r="H25" s="464"/>
    </row>
    <row r="26" spans="1:8" s="465" customFormat="1" ht="15.75">
      <c r="A26" s="732" t="s">
        <v>13458</v>
      </c>
      <c r="B26" s="476">
        <v>122</v>
      </c>
      <c r="C26" s="439" t="str">
        <f>IFERROR(VLOOKUP(B26,comp_nãodes,2,FALSE),VLOOKUP(B26,insnãodes,2,FALSE))</f>
        <v>ADESIVO PLASTICO PARA PVC, FRASCO COM 850 GR</v>
      </c>
      <c r="D26" s="476" t="s">
        <v>6636</v>
      </c>
      <c r="E26" s="481">
        <v>2.8000000000000001E-2</v>
      </c>
      <c r="F26" s="426">
        <f t="shared" si="0"/>
        <v>69.92</v>
      </c>
      <c r="G26" s="479">
        <f>TRUNC(E26*F26,2)</f>
        <v>1.95</v>
      </c>
      <c r="H26" s="464"/>
    </row>
    <row r="27" spans="1:8" s="465" customFormat="1" ht="15.75">
      <c r="A27" s="730"/>
      <c r="B27" s="1220" t="s">
        <v>13469</v>
      </c>
      <c r="C27" s="1220"/>
      <c r="D27" s="1220"/>
      <c r="E27" s="1220"/>
      <c r="F27" s="1220"/>
      <c r="G27" s="1221"/>
      <c r="H27" s="464"/>
    </row>
    <row r="28" spans="1:8" s="465" customFormat="1" ht="30">
      <c r="A28" s="732" t="s">
        <v>13459</v>
      </c>
      <c r="B28" s="476">
        <v>88248</v>
      </c>
      <c r="C28" s="439" t="str">
        <f>IFERROR(VLOOKUP(B28,comp_nãodes,2,FALSE),VLOOKUP(B28,insnãodes,2,FALSE))</f>
        <v>AUXILIAR DE ENCANADOR OU BOMBEIRO HIDRÁULICO COM ENCARGOS COMPLEMENTARES</v>
      </c>
      <c r="D28" s="476" t="s">
        <v>753</v>
      </c>
      <c r="E28" s="496">
        <v>0.185</v>
      </c>
      <c r="F28" s="426">
        <f t="shared" si="0"/>
        <v>15.38</v>
      </c>
      <c r="G28" s="479">
        <f>TRUNC(E28*F28,2)</f>
        <v>2.84</v>
      </c>
      <c r="H28" s="464"/>
    </row>
    <row r="29" spans="1:8" s="465" customFormat="1" ht="30.75" thickBot="1">
      <c r="A29" s="734" t="s">
        <v>13459</v>
      </c>
      <c r="B29" s="485">
        <v>88267</v>
      </c>
      <c r="C29" s="726" t="str">
        <f>IFERROR(VLOOKUP(B29,comp_nãodes,2,FALSE),VLOOKUP(B29,insnãodes,2,FALSE))</f>
        <v>ENCANADOR OU BOMBEIRO HIDRÁULICO COM ENCARGOS COMPLEMENTARES</v>
      </c>
      <c r="D29" s="485" t="s">
        <v>753</v>
      </c>
      <c r="E29" s="497">
        <v>0.185</v>
      </c>
      <c r="F29" s="727">
        <f t="shared" si="0"/>
        <v>19.899999999999999</v>
      </c>
      <c r="G29" s="488">
        <f>TRUNC(E29*F29,2)</f>
        <v>3.68</v>
      </c>
      <c r="H29" s="464"/>
    </row>
    <row r="30" spans="1:8" s="465" customFormat="1" ht="16.5" thickBot="1">
      <c r="A30" s="489"/>
      <c r="B30" s="605" t="s">
        <v>13473</v>
      </c>
      <c r="C30" s="605"/>
      <c r="D30" s="605"/>
      <c r="E30" s="606"/>
      <c r="F30" s="492" t="s">
        <v>22</v>
      </c>
      <c r="G30" s="493">
        <f>SUM(G24:G29)</f>
        <v>22.68</v>
      </c>
      <c r="H30" s="464"/>
    </row>
    <row r="31" spans="1:8" s="465" customFormat="1" ht="70.5" customHeight="1">
      <c r="A31" s="464"/>
      <c r="B31" s="1222" t="s">
        <v>13471</v>
      </c>
      <c r="C31" s="1222"/>
      <c r="D31" s="1222"/>
      <c r="E31" s="1222"/>
      <c r="F31" s="1222"/>
      <c r="G31" s="1222"/>
      <c r="H31" s="498"/>
    </row>
    <row r="32" spans="1:8" s="465" customFormat="1" ht="114" customHeight="1">
      <c r="A32" s="464"/>
      <c r="B32" s="1223" t="s">
        <v>13474</v>
      </c>
      <c r="C32" s="1223"/>
      <c r="D32" s="1223"/>
      <c r="E32" s="1223"/>
      <c r="F32" s="1223"/>
      <c r="G32" s="1223"/>
      <c r="H32" s="498"/>
    </row>
    <row r="33" spans="1:8" s="465" customFormat="1" ht="36.75" customHeight="1" thickBot="1">
      <c r="A33" s="464"/>
      <c r="B33" s="499"/>
      <c r="C33" s="499"/>
      <c r="D33" s="499"/>
      <c r="E33" s="499"/>
      <c r="F33" s="499"/>
      <c r="G33" s="499"/>
      <c r="H33" s="498"/>
    </row>
    <row r="34" spans="1:8" s="465" customFormat="1" ht="47.25" customHeight="1">
      <c r="A34" s="728"/>
      <c r="B34" s="729" t="str">
        <f>IF(COUNT($H$8:H34)&lt;10,CONCATENATE("COMP HID 00",COUNT($H$8:H34)),CONCATENATE("COMP HID 0",COUNT($H$8:H34)))</f>
        <v>COMP HID 003</v>
      </c>
      <c r="C34" s="1224" t="s">
        <v>12888</v>
      </c>
      <c r="D34" s="1225"/>
      <c r="E34" s="1225"/>
      <c r="F34" s="1225"/>
      <c r="G34" s="467" t="s">
        <v>28</v>
      </c>
      <c r="H34" s="468">
        <f>G43</f>
        <v>22.22</v>
      </c>
    </row>
    <row r="35" spans="1:8" s="465" customFormat="1" ht="31.5">
      <c r="A35" s="730"/>
      <c r="B35" s="731" t="s">
        <v>13463</v>
      </c>
      <c r="C35" s="470" t="s">
        <v>13464</v>
      </c>
      <c r="D35" s="470" t="s">
        <v>28</v>
      </c>
      <c r="E35" s="470" t="s">
        <v>13465</v>
      </c>
      <c r="F35" s="471" t="s">
        <v>13466</v>
      </c>
      <c r="G35" s="472" t="s">
        <v>13467</v>
      </c>
      <c r="H35" s="464"/>
    </row>
    <row r="36" spans="1:8" s="465" customFormat="1" ht="15.75">
      <c r="A36" s="730"/>
      <c r="B36" s="1220" t="s">
        <v>13468</v>
      </c>
      <c r="C36" s="1220"/>
      <c r="D36" s="1220"/>
      <c r="E36" s="1220"/>
      <c r="F36" s="1220"/>
      <c r="G36" s="1221"/>
      <c r="H36" s="464"/>
    </row>
    <row r="37" spans="1:8" s="465" customFormat="1" ht="30">
      <c r="A37" s="732" t="s">
        <v>13458</v>
      </c>
      <c r="B37" s="476">
        <v>830</v>
      </c>
      <c r="C37" s="439" t="str">
        <f>IFERROR(VLOOKUP(B37,comp_nãodes,2,FALSE),VLOOKUP(B37,insnãodes,2,FALSE))</f>
        <v>BUCHA DE REDUCAO DE PVC, SOLDAVEL, CURTA, COM 85 X 75 MM, PARA AGUA FRIA PREDIAL</v>
      </c>
      <c r="D37" s="476" t="s">
        <v>6636</v>
      </c>
      <c r="E37" s="477">
        <v>1</v>
      </c>
      <c r="F37" s="426">
        <f t="shared" ref="F37:F42" si="1">IFERROR(VLOOKUP(B37,comp_nãodes,4,FALSE),VLOOKUP(B37,insnãodes,4,FALSE))</f>
        <v>9.66</v>
      </c>
      <c r="G37" s="479">
        <f>TRUNC(E37*F37,2)</f>
        <v>9.66</v>
      </c>
      <c r="H37" s="464"/>
    </row>
    <row r="38" spans="1:8" s="465" customFormat="1" ht="15.75">
      <c r="A38" s="732" t="s">
        <v>13458</v>
      </c>
      <c r="B38" s="476">
        <v>20083</v>
      </c>
      <c r="C38" s="439" t="str">
        <f>IFERROR(VLOOKUP(B38,comp_nãodes,2,FALSE),VLOOKUP(B38,insnãodes,2,FALSE))</f>
        <v>SOLUCAO LIMPADORA PARA PVC, FRASCO COM 1000 CM3</v>
      </c>
      <c r="D38" s="476" t="s">
        <v>6636</v>
      </c>
      <c r="E38" s="480">
        <v>5.6000000000000001E-2</v>
      </c>
      <c r="F38" s="426">
        <f t="shared" si="1"/>
        <v>60.71</v>
      </c>
      <c r="G38" s="479">
        <f>TRUNC(E38*F38,2)</f>
        <v>3.39</v>
      </c>
      <c r="H38" s="464"/>
    </row>
    <row r="39" spans="1:8" s="465" customFormat="1" ht="15.75">
      <c r="A39" s="732" t="s">
        <v>13458</v>
      </c>
      <c r="B39" s="476">
        <v>122</v>
      </c>
      <c r="C39" s="439" t="str">
        <f>IFERROR(VLOOKUP(B39,comp_nãodes,2,FALSE),VLOOKUP(B39,insnãodes,2,FALSE))</f>
        <v>ADESIVO PLASTICO PARA PVC, FRASCO COM 850 GR</v>
      </c>
      <c r="D39" s="476" t="s">
        <v>6636</v>
      </c>
      <c r="E39" s="481">
        <v>3.7999999999999999E-2</v>
      </c>
      <c r="F39" s="426">
        <f t="shared" si="1"/>
        <v>69.92</v>
      </c>
      <c r="G39" s="479">
        <f>TRUNC(E39*F39,2)</f>
        <v>2.65</v>
      </c>
      <c r="H39" s="464"/>
    </row>
    <row r="40" spans="1:8" s="465" customFormat="1" ht="15.75">
      <c r="A40" s="730"/>
      <c r="B40" s="1220" t="s">
        <v>13469</v>
      </c>
      <c r="C40" s="1220"/>
      <c r="D40" s="1220"/>
      <c r="E40" s="1220"/>
      <c r="F40" s="1220"/>
      <c r="G40" s="1221"/>
      <c r="H40" s="464"/>
    </row>
    <row r="41" spans="1:8" s="465" customFormat="1" ht="30">
      <c r="A41" s="732" t="s">
        <v>13459</v>
      </c>
      <c r="B41" s="476">
        <v>88248</v>
      </c>
      <c r="C41" s="439" t="str">
        <f>IFERROR(VLOOKUP(B41,comp_nãodes,2,FALSE),VLOOKUP(B41,insnãodes,2,FALSE))</f>
        <v>AUXILIAR DE ENCANADOR OU BOMBEIRO HIDRÁULICO COM ENCARGOS COMPLEMENTARES</v>
      </c>
      <c r="D41" s="476" t="s">
        <v>753</v>
      </c>
      <c r="E41" s="496">
        <v>0.185</v>
      </c>
      <c r="F41" s="426">
        <f t="shared" si="1"/>
        <v>15.38</v>
      </c>
      <c r="G41" s="479">
        <f>TRUNC(E41*F41,2)</f>
        <v>2.84</v>
      </c>
      <c r="H41" s="464"/>
    </row>
    <row r="42" spans="1:8" s="465" customFormat="1" ht="30.75" thickBot="1">
      <c r="A42" s="734" t="s">
        <v>13459</v>
      </c>
      <c r="B42" s="485">
        <v>88267</v>
      </c>
      <c r="C42" s="726" t="str">
        <f>IFERROR(VLOOKUP(B42,comp_nãodes,2,FALSE),VLOOKUP(B42,insnãodes,2,FALSE))</f>
        <v>ENCANADOR OU BOMBEIRO HIDRÁULICO COM ENCARGOS COMPLEMENTARES</v>
      </c>
      <c r="D42" s="485" t="s">
        <v>753</v>
      </c>
      <c r="E42" s="497">
        <v>0.185</v>
      </c>
      <c r="F42" s="727">
        <f t="shared" si="1"/>
        <v>19.899999999999999</v>
      </c>
      <c r="G42" s="488">
        <f>TRUNC(E42*F42,2)</f>
        <v>3.68</v>
      </c>
      <c r="H42" s="464"/>
    </row>
    <row r="43" spans="1:8" s="465" customFormat="1" ht="16.5" thickBot="1">
      <c r="A43" s="489"/>
      <c r="B43" s="1233" t="s">
        <v>13475</v>
      </c>
      <c r="C43" s="1233"/>
      <c r="D43" s="1233"/>
      <c r="E43" s="1234"/>
      <c r="F43" s="492" t="s">
        <v>22</v>
      </c>
      <c r="G43" s="493">
        <f>SUM(G37:G42)</f>
        <v>22.22</v>
      </c>
      <c r="H43" s="464"/>
    </row>
    <row r="44" spans="1:8" s="465" customFormat="1" ht="56.25" customHeight="1">
      <c r="A44" s="464"/>
      <c r="B44" s="1231" t="s">
        <v>13471</v>
      </c>
      <c r="C44" s="1231"/>
      <c r="D44" s="1231"/>
      <c r="E44" s="1231"/>
      <c r="F44" s="1231"/>
      <c r="G44" s="1231"/>
      <c r="H44" s="464"/>
    </row>
    <row r="45" spans="1:8" s="465" customFormat="1" ht="113.25" customHeight="1">
      <c r="A45" s="464"/>
      <c r="B45" s="1230" t="s">
        <v>13476</v>
      </c>
      <c r="C45" s="1230"/>
      <c r="D45" s="1230"/>
      <c r="E45" s="1230"/>
      <c r="F45" s="1230"/>
      <c r="G45" s="1230"/>
      <c r="H45" s="464"/>
    </row>
    <row r="46" spans="1:8" s="465" customFormat="1">
      <c r="A46" s="464"/>
      <c r="H46" s="464"/>
    </row>
    <row r="47" spans="1:8" s="465" customFormat="1" ht="15.75" hidden="1">
      <c r="A47" s="464"/>
      <c r="B47" s="466" t="str">
        <f>IF(COUNT($H$8:H47)&lt;10,CONCATENATE("COMP HID 00",COUNT($H$8:H47)),CONCATENATE("COMP HID 0",COUNT($H$8:H47)))</f>
        <v>COMP HID 004</v>
      </c>
      <c r="C47" s="1224" t="s">
        <v>13477</v>
      </c>
      <c r="D47" s="1225"/>
      <c r="E47" s="1225"/>
      <c r="F47" s="1225"/>
      <c r="G47" s="467" t="s">
        <v>28</v>
      </c>
      <c r="H47" s="468">
        <f>G56</f>
        <v>8.94</v>
      </c>
    </row>
    <row r="48" spans="1:8" s="465" customFormat="1" ht="31.5" hidden="1">
      <c r="A48" s="464"/>
      <c r="B48" s="469" t="s">
        <v>13463</v>
      </c>
      <c r="C48" s="470" t="s">
        <v>13464</v>
      </c>
      <c r="D48" s="470" t="s">
        <v>28</v>
      </c>
      <c r="E48" s="470" t="s">
        <v>13465</v>
      </c>
      <c r="F48" s="471" t="s">
        <v>13466</v>
      </c>
      <c r="G48" s="472" t="s">
        <v>13467</v>
      </c>
      <c r="H48" s="464"/>
    </row>
    <row r="49" spans="1:8" s="465" customFormat="1" ht="15.75" hidden="1">
      <c r="A49" s="464"/>
      <c r="B49" s="1232" t="s">
        <v>13468</v>
      </c>
      <c r="C49" s="1220"/>
      <c r="D49" s="1220"/>
      <c r="E49" s="1220"/>
      <c r="F49" s="1220"/>
      <c r="G49" s="1221"/>
      <c r="H49" s="464"/>
    </row>
    <row r="50" spans="1:8" s="465" customFormat="1" ht="30" hidden="1">
      <c r="A50" s="473" t="s">
        <v>13458</v>
      </c>
      <c r="B50" s="474">
        <v>834</v>
      </c>
      <c r="C50" s="475" t="s">
        <v>7239</v>
      </c>
      <c r="D50" s="476" t="s">
        <v>6636</v>
      </c>
      <c r="E50" s="477">
        <v>1</v>
      </c>
      <c r="F50" s="478">
        <v>2.71</v>
      </c>
      <c r="G50" s="479">
        <f>TRUNC(E50*F50,2)</f>
        <v>2.71</v>
      </c>
      <c r="H50" s="464"/>
    </row>
    <row r="51" spans="1:8" s="465" customFormat="1" ht="15.75" hidden="1">
      <c r="A51" s="473" t="s">
        <v>13458</v>
      </c>
      <c r="B51" s="474">
        <v>20083</v>
      </c>
      <c r="C51" s="475" t="s">
        <v>871</v>
      </c>
      <c r="D51" s="476" t="s">
        <v>6636</v>
      </c>
      <c r="E51" s="481">
        <v>1.0999999999999999E-2</v>
      </c>
      <c r="F51" s="478">
        <v>64.72</v>
      </c>
      <c r="G51" s="479">
        <f>TRUNC(E51*F51,2)</f>
        <v>0.71</v>
      </c>
      <c r="H51" s="464"/>
    </row>
    <row r="52" spans="1:8" s="465" customFormat="1" ht="15.75" hidden="1">
      <c r="A52" s="473" t="s">
        <v>13458</v>
      </c>
      <c r="B52" s="474">
        <v>122</v>
      </c>
      <c r="C52" s="475" t="s">
        <v>869</v>
      </c>
      <c r="D52" s="476" t="s">
        <v>6636</v>
      </c>
      <c r="E52" s="481">
        <v>8.0000000000000002E-3</v>
      </c>
      <c r="F52" s="478">
        <v>74.52</v>
      </c>
      <c r="G52" s="479">
        <f>TRUNC(E52*F52,2)</f>
        <v>0.59</v>
      </c>
      <c r="H52" s="464"/>
    </row>
    <row r="53" spans="1:8" s="465" customFormat="1" ht="15.75" hidden="1">
      <c r="A53" s="464"/>
      <c r="B53" s="1232" t="s">
        <v>13469</v>
      </c>
      <c r="C53" s="1220"/>
      <c r="D53" s="1220"/>
      <c r="E53" s="1220"/>
      <c r="F53" s="1220"/>
      <c r="G53" s="1221"/>
      <c r="H53" s="464"/>
    </row>
    <row r="54" spans="1:8" s="465" customFormat="1" ht="30" hidden="1">
      <c r="A54" s="473" t="s">
        <v>13459</v>
      </c>
      <c r="B54" s="474">
        <v>88248</v>
      </c>
      <c r="C54" s="475" t="s">
        <v>758</v>
      </c>
      <c r="D54" s="476" t="s">
        <v>753</v>
      </c>
      <c r="E54" s="482">
        <v>0.14000000000000001</v>
      </c>
      <c r="F54" s="478">
        <v>15.38</v>
      </c>
      <c r="G54" s="479">
        <f>TRUNC(E54*F54,2)</f>
        <v>2.15</v>
      </c>
      <c r="H54" s="464"/>
    </row>
    <row r="55" spans="1:8" s="465" customFormat="1" ht="30.75" hidden="1" thickBot="1">
      <c r="A55" s="473" t="s">
        <v>13459</v>
      </c>
      <c r="B55" s="483">
        <v>88267</v>
      </c>
      <c r="C55" s="484" t="s">
        <v>759</v>
      </c>
      <c r="D55" s="485" t="s">
        <v>753</v>
      </c>
      <c r="E55" s="486">
        <v>0.14000000000000001</v>
      </c>
      <c r="F55" s="487">
        <v>19.899999999999999</v>
      </c>
      <c r="G55" s="488">
        <f>TRUNC(E55*F55,2)</f>
        <v>2.78</v>
      </c>
      <c r="H55" s="464"/>
    </row>
    <row r="56" spans="1:8" s="465" customFormat="1" ht="16.5" hidden="1" thickBot="1">
      <c r="A56" s="489"/>
      <c r="B56" s="500" t="s">
        <v>13478</v>
      </c>
      <c r="C56" s="500"/>
      <c r="D56" s="500"/>
      <c r="E56" s="501"/>
      <c r="F56" s="492" t="s">
        <v>22</v>
      </c>
      <c r="G56" s="493">
        <f>SUM(G50:G55)</f>
        <v>8.94</v>
      </c>
      <c r="H56" s="464"/>
    </row>
    <row r="57" spans="1:8" s="465" customFormat="1" ht="75.75" hidden="1" customHeight="1">
      <c r="A57" s="464"/>
      <c r="B57" s="1231" t="s">
        <v>13471</v>
      </c>
      <c r="C57" s="1231"/>
      <c r="D57" s="1231"/>
      <c r="E57" s="1231"/>
      <c r="F57" s="1231"/>
      <c r="G57" s="1231"/>
      <c r="H57" s="464"/>
    </row>
    <row r="58" spans="1:8" s="465" customFormat="1" ht="111.75" hidden="1" customHeight="1">
      <c r="A58" s="464"/>
      <c r="B58" s="1230" t="s">
        <v>13479</v>
      </c>
      <c r="C58" s="1230"/>
      <c r="D58" s="1230"/>
      <c r="E58" s="1230"/>
      <c r="F58" s="1230"/>
      <c r="G58" s="1230"/>
      <c r="H58" s="464"/>
    </row>
    <row r="59" spans="1:8" s="465" customFormat="1" hidden="1">
      <c r="A59" s="464"/>
      <c r="H59" s="464"/>
    </row>
    <row r="60" spans="1:8" s="465" customFormat="1" ht="15.75" hidden="1">
      <c r="A60" s="464"/>
      <c r="B60" s="466" t="str">
        <f>IF(COUNT($H$8:H60)&lt;10,CONCATENATE("COMP HID 00",COUNT($H$8:H60)),CONCATENATE("COMP HID 0",COUNT($H$8:H60)))</f>
        <v>COMP HID 005</v>
      </c>
      <c r="C60" s="1224" t="s">
        <v>13480</v>
      </c>
      <c r="D60" s="1225"/>
      <c r="E60" s="1225"/>
      <c r="F60" s="1225"/>
      <c r="G60" s="467" t="s">
        <v>28</v>
      </c>
      <c r="H60" s="502">
        <f>G69</f>
        <v>10.6</v>
      </c>
    </row>
    <row r="61" spans="1:8" s="465" customFormat="1" ht="31.5" hidden="1">
      <c r="A61" s="464"/>
      <c r="B61" s="469" t="s">
        <v>13463</v>
      </c>
      <c r="C61" s="470" t="s">
        <v>13464</v>
      </c>
      <c r="D61" s="470" t="s">
        <v>28</v>
      </c>
      <c r="E61" s="470" t="s">
        <v>13465</v>
      </c>
      <c r="F61" s="471" t="s">
        <v>13466</v>
      </c>
      <c r="G61" s="472" t="s">
        <v>13467</v>
      </c>
      <c r="H61" s="464"/>
    </row>
    <row r="62" spans="1:8" s="465" customFormat="1" ht="15.75" hidden="1">
      <c r="A62" s="464"/>
      <c r="B62" s="1232" t="s">
        <v>13468</v>
      </c>
      <c r="C62" s="1220"/>
      <c r="D62" s="1220"/>
      <c r="E62" s="1220"/>
      <c r="F62" s="1220"/>
      <c r="G62" s="1221"/>
      <c r="H62" s="464"/>
    </row>
    <row r="63" spans="1:8" s="465" customFormat="1" ht="30" hidden="1">
      <c r="A63" s="473" t="s">
        <v>13458</v>
      </c>
      <c r="B63" s="474">
        <v>820</v>
      </c>
      <c r="C63" s="475" t="s">
        <v>7240</v>
      </c>
      <c r="D63" s="476" t="s">
        <v>6636</v>
      </c>
      <c r="E63" s="477">
        <v>1</v>
      </c>
      <c r="F63" s="478">
        <v>3.77</v>
      </c>
      <c r="G63" s="479">
        <f>TRUNC(E63*F63,2)</f>
        <v>3.77</v>
      </c>
      <c r="H63" s="464"/>
    </row>
    <row r="64" spans="1:8" s="465" customFormat="1" ht="15.75" hidden="1">
      <c r="A64" s="473" t="s">
        <v>13458</v>
      </c>
      <c r="B64" s="474">
        <v>20083</v>
      </c>
      <c r="C64" s="475" t="s">
        <v>871</v>
      </c>
      <c r="D64" s="476" t="s">
        <v>6636</v>
      </c>
      <c r="E64" s="480">
        <v>1.6500000000000001E-2</v>
      </c>
      <c r="F64" s="478">
        <v>64.72</v>
      </c>
      <c r="G64" s="479">
        <f>TRUNC(E64*F64,2)</f>
        <v>1.06</v>
      </c>
      <c r="H64" s="464"/>
    </row>
    <row r="65" spans="1:8" s="465" customFormat="1" ht="15.75" hidden="1">
      <c r="A65" s="473" t="s">
        <v>13458</v>
      </c>
      <c r="B65" s="474">
        <v>122</v>
      </c>
      <c r="C65" s="475" t="s">
        <v>869</v>
      </c>
      <c r="D65" s="476" t="s">
        <v>6636</v>
      </c>
      <c r="E65" s="480">
        <v>1.14E-2</v>
      </c>
      <c r="F65" s="478">
        <v>74.52</v>
      </c>
      <c r="G65" s="479">
        <f>TRUNC(E65*F65,2)</f>
        <v>0.84</v>
      </c>
      <c r="H65" s="464"/>
    </row>
    <row r="66" spans="1:8" s="465" customFormat="1" ht="15.75" hidden="1">
      <c r="A66" s="464"/>
      <c r="B66" s="1232" t="s">
        <v>13469</v>
      </c>
      <c r="C66" s="1220"/>
      <c r="D66" s="1220"/>
      <c r="E66" s="1220"/>
      <c r="F66" s="1220"/>
      <c r="G66" s="1221"/>
      <c r="H66" s="464"/>
    </row>
    <row r="67" spans="1:8" s="465" customFormat="1" ht="30" hidden="1">
      <c r="A67" s="473" t="s">
        <v>13459</v>
      </c>
      <c r="B67" s="474">
        <v>88248</v>
      </c>
      <c r="C67" s="475" t="s">
        <v>758</v>
      </c>
      <c r="D67" s="476" t="s">
        <v>753</v>
      </c>
      <c r="E67" s="482">
        <v>0.14000000000000001</v>
      </c>
      <c r="F67" s="478">
        <v>15.38</v>
      </c>
      <c r="G67" s="479">
        <f>TRUNC(E67*F67,2)</f>
        <v>2.15</v>
      </c>
      <c r="H67" s="464"/>
    </row>
    <row r="68" spans="1:8" s="465" customFormat="1" ht="30.75" hidden="1" thickBot="1">
      <c r="A68" s="473" t="s">
        <v>13459</v>
      </c>
      <c r="B68" s="483">
        <v>88267</v>
      </c>
      <c r="C68" s="484" t="s">
        <v>759</v>
      </c>
      <c r="D68" s="485" t="s">
        <v>753</v>
      </c>
      <c r="E68" s="486">
        <v>0.14000000000000001</v>
      </c>
      <c r="F68" s="487">
        <v>19.899999999999999</v>
      </c>
      <c r="G68" s="488">
        <f>TRUNC(E68*F68,2)</f>
        <v>2.78</v>
      </c>
      <c r="H68" s="464"/>
    </row>
    <row r="69" spans="1:8" s="465" customFormat="1" ht="16.5" hidden="1" thickBot="1">
      <c r="A69" s="489"/>
      <c r="B69" s="490" t="s">
        <v>13481</v>
      </c>
      <c r="C69" s="490"/>
      <c r="D69" s="490"/>
      <c r="E69" s="491"/>
      <c r="F69" s="492" t="s">
        <v>22</v>
      </c>
      <c r="G69" s="493">
        <f>SUM(G63:G68)</f>
        <v>10.6</v>
      </c>
      <c r="H69" s="464"/>
    </row>
    <row r="70" spans="1:8" s="465" customFormat="1" ht="56.25" hidden="1" customHeight="1">
      <c r="A70" s="464"/>
      <c r="B70" s="1231" t="s">
        <v>13471</v>
      </c>
      <c r="C70" s="1231"/>
      <c r="D70" s="1231"/>
      <c r="E70" s="1231"/>
      <c r="F70" s="1231"/>
      <c r="G70" s="1231"/>
      <c r="H70" s="464"/>
    </row>
    <row r="71" spans="1:8" s="465" customFormat="1" ht="123.75" hidden="1" customHeight="1">
      <c r="A71" s="464"/>
      <c r="B71" s="1230" t="s">
        <v>13482</v>
      </c>
      <c r="C71" s="1230"/>
      <c r="D71" s="1230"/>
      <c r="E71" s="1230"/>
      <c r="F71" s="1230"/>
      <c r="G71" s="1230"/>
      <c r="H71" s="464"/>
    </row>
    <row r="72" spans="1:8" s="465" customFormat="1" ht="15.75" thickBot="1">
      <c r="A72" s="464"/>
      <c r="H72" s="464"/>
    </row>
    <row r="73" spans="1:8" s="465" customFormat="1" ht="47.25" customHeight="1">
      <c r="A73" s="728"/>
      <c r="B73" s="729" t="str">
        <f>IF(COUNT($H$8:H73)&lt;10,CONCATENATE("COMP HID 00",COUNT($H$8:H73)),CONCATENATE("COMP HID 0",COUNT($H$8:H73)))</f>
        <v>COMP HID 006</v>
      </c>
      <c r="C73" s="1224" t="s">
        <v>12882</v>
      </c>
      <c r="D73" s="1225"/>
      <c r="E73" s="1225"/>
      <c r="F73" s="1225"/>
      <c r="G73" s="467" t="s">
        <v>28</v>
      </c>
      <c r="H73" s="468">
        <f>G82</f>
        <v>13.46</v>
      </c>
    </row>
    <row r="74" spans="1:8" s="465" customFormat="1" ht="31.5">
      <c r="A74" s="730"/>
      <c r="B74" s="731" t="s">
        <v>13463</v>
      </c>
      <c r="C74" s="470" t="s">
        <v>13464</v>
      </c>
      <c r="D74" s="470" t="s">
        <v>28</v>
      </c>
      <c r="E74" s="470" t="s">
        <v>13465</v>
      </c>
      <c r="F74" s="471" t="s">
        <v>13466</v>
      </c>
      <c r="G74" s="472" t="s">
        <v>13467</v>
      </c>
      <c r="H74" s="464"/>
    </row>
    <row r="75" spans="1:8" s="465" customFormat="1" ht="15.75">
      <c r="A75" s="730"/>
      <c r="B75" s="1220" t="s">
        <v>13468</v>
      </c>
      <c r="C75" s="1220"/>
      <c r="D75" s="1220"/>
      <c r="E75" s="1220"/>
      <c r="F75" s="1220"/>
      <c r="G75" s="1221"/>
      <c r="H75" s="464"/>
    </row>
    <row r="76" spans="1:8" s="465" customFormat="1" ht="30">
      <c r="A76" s="732" t="s">
        <v>13458</v>
      </c>
      <c r="B76" s="476">
        <v>816</v>
      </c>
      <c r="C76" s="439" t="str">
        <f>IFERROR(VLOOKUP(B76,comp_nãodes,2,FALSE),VLOOKUP(B76,insnãodes,2,FALSE))</f>
        <v>BUCHA DE REDUCAO DE PVC, SOLDAVEL, LONGA, COM 60 X 25 MM, PARA AGUA FRIA PREDIAL</v>
      </c>
      <c r="D76" s="476" t="s">
        <v>6636</v>
      </c>
      <c r="E76" s="477">
        <v>1</v>
      </c>
      <c r="F76" s="426">
        <f t="shared" ref="F76:F78" si="2">IFERROR(VLOOKUP(B76,comp_nãodes,4,FALSE),VLOOKUP(B76,insnãodes,4,FALSE))</f>
        <v>6.48</v>
      </c>
      <c r="G76" s="479">
        <f>TRUNC(E76*F76,2)</f>
        <v>6.48</v>
      </c>
      <c r="H76" s="464"/>
    </row>
    <row r="77" spans="1:8" s="465" customFormat="1" ht="15.75">
      <c r="A77" s="732" t="s">
        <v>13458</v>
      </c>
      <c r="B77" s="476">
        <v>20083</v>
      </c>
      <c r="C77" s="439" t="str">
        <f>IFERROR(VLOOKUP(B77,comp_nãodes,2,FALSE),VLOOKUP(B77,insnãodes,2,FALSE))</f>
        <v>SOLUCAO LIMPADORA PARA PVC, FRASCO COM 1000 CM3</v>
      </c>
      <c r="D77" s="476" t="s">
        <v>6636</v>
      </c>
      <c r="E77" s="481">
        <v>1.9E-2</v>
      </c>
      <c r="F77" s="426">
        <f t="shared" si="2"/>
        <v>60.71</v>
      </c>
      <c r="G77" s="479">
        <f>TRUNC(E77*F77,2)</f>
        <v>1.1499999999999999</v>
      </c>
      <c r="H77" s="464"/>
    </row>
    <row r="78" spans="1:8" s="465" customFormat="1" ht="15.75">
      <c r="A78" s="732" t="s">
        <v>13458</v>
      </c>
      <c r="B78" s="476">
        <v>122</v>
      </c>
      <c r="C78" s="439" t="str">
        <f>IFERROR(VLOOKUP(B78,comp_nãodes,2,FALSE),VLOOKUP(B78,insnãodes,2,FALSE))</f>
        <v>ADESIVO PLASTICO PARA PVC, FRASCO COM 850 GR</v>
      </c>
      <c r="D78" s="476" t="s">
        <v>6636</v>
      </c>
      <c r="E78" s="481">
        <v>1.2999999999999999E-2</v>
      </c>
      <c r="F78" s="426">
        <f t="shared" si="2"/>
        <v>69.92</v>
      </c>
      <c r="G78" s="479">
        <f>TRUNC(E78*F78,2)</f>
        <v>0.9</v>
      </c>
      <c r="H78" s="464"/>
    </row>
    <row r="79" spans="1:8" s="465" customFormat="1" ht="15.75">
      <c r="A79" s="730"/>
      <c r="B79" s="1220" t="s">
        <v>13469</v>
      </c>
      <c r="C79" s="1220"/>
      <c r="D79" s="1220"/>
      <c r="E79" s="1220"/>
      <c r="F79" s="1220"/>
      <c r="G79" s="1221"/>
      <c r="H79" s="464"/>
    </row>
    <row r="80" spans="1:8" s="465" customFormat="1" ht="30">
      <c r="A80" s="732" t="s">
        <v>13459</v>
      </c>
      <c r="B80" s="476">
        <v>88248</v>
      </c>
      <c r="C80" s="439" t="str">
        <f>IFERROR(VLOOKUP(B80,comp_nãodes,2,FALSE),VLOOKUP(B80,insnãodes,2,FALSE))</f>
        <v>AUXILIAR DE ENCANADOR OU BOMBEIRO HIDRÁULICO COM ENCARGOS COMPLEMENTARES</v>
      </c>
      <c r="D80" s="476" t="s">
        <v>753</v>
      </c>
      <c r="E80" s="482">
        <v>0.14000000000000001</v>
      </c>
      <c r="F80" s="426">
        <f t="shared" ref="F80:F81" si="3">IFERROR(VLOOKUP(B80,comp_nãodes,4,FALSE),VLOOKUP(B80,insnãodes,4,FALSE))</f>
        <v>15.38</v>
      </c>
      <c r="G80" s="479">
        <f>TRUNC(E80*F80,2)</f>
        <v>2.15</v>
      </c>
      <c r="H80" s="464"/>
    </row>
    <row r="81" spans="1:8" s="465" customFormat="1" ht="30.75" thickBot="1">
      <c r="A81" s="734" t="s">
        <v>13459</v>
      </c>
      <c r="B81" s="485">
        <v>88267</v>
      </c>
      <c r="C81" s="726" t="str">
        <f>IFERROR(VLOOKUP(B81,comp_nãodes,2,FALSE),VLOOKUP(B81,insnãodes,2,FALSE))</f>
        <v>ENCANADOR OU BOMBEIRO HIDRÁULICO COM ENCARGOS COMPLEMENTARES</v>
      </c>
      <c r="D81" s="485" t="s">
        <v>753</v>
      </c>
      <c r="E81" s="486">
        <v>0.14000000000000001</v>
      </c>
      <c r="F81" s="727">
        <f t="shared" si="3"/>
        <v>19.899999999999999</v>
      </c>
      <c r="G81" s="488">
        <f>TRUNC(E81*F81,2)</f>
        <v>2.78</v>
      </c>
      <c r="H81" s="464"/>
    </row>
    <row r="82" spans="1:8" s="465" customFormat="1" ht="16.5" thickBot="1">
      <c r="A82" s="489"/>
      <c r="B82" s="605" t="s">
        <v>13483</v>
      </c>
      <c r="C82" s="605"/>
      <c r="D82" s="605"/>
      <c r="E82" s="606"/>
      <c r="F82" s="492" t="s">
        <v>22</v>
      </c>
      <c r="G82" s="493">
        <f>SUM(G76:G81)</f>
        <v>13.46</v>
      </c>
      <c r="H82" s="464"/>
    </row>
    <row r="83" spans="1:8" s="465" customFormat="1" ht="66.75" customHeight="1">
      <c r="A83" s="464"/>
      <c r="B83" s="1231" t="s">
        <v>13471</v>
      </c>
      <c r="C83" s="1231"/>
      <c r="D83" s="1231"/>
      <c r="E83" s="1231"/>
      <c r="F83" s="1231"/>
      <c r="G83" s="1231"/>
      <c r="H83" s="464"/>
    </row>
    <row r="84" spans="1:8" s="465" customFormat="1" ht="126.75" customHeight="1">
      <c r="A84" s="464"/>
      <c r="B84" s="1230" t="s">
        <v>13484</v>
      </c>
      <c r="C84" s="1230"/>
      <c r="D84" s="1230"/>
      <c r="E84" s="1230"/>
      <c r="F84" s="1230"/>
      <c r="G84" s="1230"/>
      <c r="H84" s="464"/>
    </row>
    <row r="85" spans="1:8" s="465" customFormat="1">
      <c r="A85" s="464"/>
      <c r="H85" s="464"/>
    </row>
    <row r="86" spans="1:8" s="465" customFormat="1" ht="15.75" hidden="1">
      <c r="A86" s="464"/>
      <c r="B86" s="466" t="str">
        <f>IF(COUNT($H$8:H86)&lt;10,CONCATENATE("COMP HID 00",COUNT($H$8:H86)),CONCATENATE("COMP HID 0",COUNT($H$8:H86)))</f>
        <v>COMP HID 007</v>
      </c>
      <c r="C86" s="1224" t="s">
        <v>13485</v>
      </c>
      <c r="D86" s="1225"/>
      <c r="E86" s="1225"/>
      <c r="F86" s="1225"/>
      <c r="G86" s="467" t="s">
        <v>28</v>
      </c>
      <c r="H86" s="468">
        <f>G95</f>
        <v>15.149999999999999</v>
      </c>
    </row>
    <row r="87" spans="1:8" s="465" customFormat="1" ht="31.5" hidden="1">
      <c r="A87" s="464"/>
      <c r="B87" s="469" t="s">
        <v>13463</v>
      </c>
      <c r="C87" s="470" t="s">
        <v>13464</v>
      </c>
      <c r="D87" s="470" t="s">
        <v>28</v>
      </c>
      <c r="E87" s="470" t="s">
        <v>13465</v>
      </c>
      <c r="F87" s="471" t="s">
        <v>13466</v>
      </c>
      <c r="G87" s="472" t="s">
        <v>13467</v>
      </c>
      <c r="H87" s="464"/>
    </row>
    <row r="88" spans="1:8" s="465" customFormat="1" ht="15.75" hidden="1">
      <c r="A88" s="464"/>
      <c r="B88" s="1232" t="s">
        <v>13468</v>
      </c>
      <c r="C88" s="1220"/>
      <c r="D88" s="1220"/>
      <c r="E88" s="1220"/>
      <c r="F88" s="1220"/>
      <c r="G88" s="1221"/>
      <c r="H88" s="464"/>
    </row>
    <row r="89" spans="1:8" s="465" customFormat="1" ht="30" hidden="1">
      <c r="A89" s="473" t="s">
        <v>13458</v>
      </c>
      <c r="B89" s="474">
        <v>814</v>
      </c>
      <c r="C89" s="475" t="s">
        <v>7242</v>
      </c>
      <c r="D89" s="476" t="s">
        <v>6636</v>
      </c>
      <c r="E89" s="477">
        <v>1</v>
      </c>
      <c r="F89" s="478">
        <v>7.76</v>
      </c>
      <c r="G89" s="479">
        <f>TRUNC(E89*F89,2)</f>
        <v>7.76</v>
      </c>
      <c r="H89" s="464"/>
    </row>
    <row r="90" spans="1:8" s="465" customFormat="1" ht="15.75" hidden="1">
      <c r="A90" s="473" t="s">
        <v>13458</v>
      </c>
      <c r="B90" s="474">
        <v>20083</v>
      </c>
      <c r="C90" s="475" t="s">
        <v>871</v>
      </c>
      <c r="D90" s="476" t="s">
        <v>6636</v>
      </c>
      <c r="E90" s="481">
        <v>2.1999999999999999E-2</v>
      </c>
      <c r="F90" s="478">
        <v>64.72</v>
      </c>
      <c r="G90" s="479">
        <f>TRUNC(E90*F90,2)</f>
        <v>1.42</v>
      </c>
      <c r="H90" s="464"/>
    </row>
    <row r="91" spans="1:8" s="465" customFormat="1" ht="15.75" hidden="1">
      <c r="A91" s="473" t="s">
        <v>13458</v>
      </c>
      <c r="B91" s="474">
        <v>122</v>
      </c>
      <c r="C91" s="475" t="s">
        <v>869</v>
      </c>
      <c r="D91" s="476" t="s">
        <v>6636</v>
      </c>
      <c r="E91" s="481">
        <v>1.4E-2</v>
      </c>
      <c r="F91" s="478">
        <v>74.52</v>
      </c>
      <c r="G91" s="479">
        <f>TRUNC(E91*F91,2)</f>
        <v>1.04</v>
      </c>
      <c r="H91" s="464"/>
    </row>
    <row r="92" spans="1:8" s="465" customFormat="1" ht="15.75" hidden="1">
      <c r="A92" s="464"/>
      <c r="B92" s="1232" t="s">
        <v>13469</v>
      </c>
      <c r="C92" s="1220"/>
      <c r="D92" s="1220"/>
      <c r="E92" s="1220"/>
      <c r="F92" s="1220"/>
      <c r="G92" s="1221"/>
      <c r="H92" s="464"/>
    </row>
    <row r="93" spans="1:8" s="465" customFormat="1" ht="30" hidden="1">
      <c r="A93" s="473" t="s">
        <v>13459</v>
      </c>
      <c r="B93" s="474">
        <v>88248</v>
      </c>
      <c r="C93" s="475" t="s">
        <v>758</v>
      </c>
      <c r="D93" s="476" t="s">
        <v>753</v>
      </c>
      <c r="E93" s="482">
        <v>0.14000000000000001</v>
      </c>
      <c r="F93" s="478">
        <v>15.38</v>
      </c>
      <c r="G93" s="479">
        <f>TRUNC(E93*F93,2)</f>
        <v>2.15</v>
      </c>
      <c r="H93" s="464"/>
    </row>
    <row r="94" spans="1:8" s="465" customFormat="1" ht="30.75" hidden="1" thickBot="1">
      <c r="A94" s="473" t="s">
        <v>13459</v>
      </c>
      <c r="B94" s="483">
        <v>88267</v>
      </c>
      <c r="C94" s="484" t="s">
        <v>759</v>
      </c>
      <c r="D94" s="485" t="s">
        <v>753</v>
      </c>
      <c r="E94" s="486">
        <v>0.14000000000000001</v>
      </c>
      <c r="F94" s="487">
        <v>19.899999999999999</v>
      </c>
      <c r="G94" s="488">
        <f>TRUNC(E94*F94,2)</f>
        <v>2.78</v>
      </c>
      <c r="H94" s="464"/>
    </row>
    <row r="95" spans="1:8" s="465" customFormat="1" ht="16.5" hidden="1" thickBot="1">
      <c r="A95" s="489"/>
      <c r="B95" s="1235" t="s">
        <v>13486</v>
      </c>
      <c r="C95" s="1235"/>
      <c r="D95" s="1235"/>
      <c r="E95" s="1236"/>
      <c r="F95" s="492" t="s">
        <v>22</v>
      </c>
      <c r="G95" s="493">
        <f>SUM(G89:G94)</f>
        <v>15.149999999999999</v>
      </c>
      <c r="H95" s="464"/>
    </row>
    <row r="96" spans="1:8" s="465" customFormat="1" ht="66.75" hidden="1" customHeight="1">
      <c r="A96" s="464"/>
      <c r="B96" s="1231" t="s">
        <v>13471</v>
      </c>
      <c r="C96" s="1231"/>
      <c r="D96" s="1231"/>
      <c r="E96" s="1231"/>
      <c r="F96" s="1231"/>
      <c r="G96" s="1231"/>
      <c r="H96" s="464"/>
    </row>
    <row r="97" spans="1:8" s="465" customFormat="1" ht="121.5" hidden="1" customHeight="1">
      <c r="A97" s="464"/>
      <c r="B97" s="1230" t="s">
        <v>13487</v>
      </c>
      <c r="C97" s="1230"/>
      <c r="D97" s="1230"/>
      <c r="E97" s="1230"/>
      <c r="F97" s="1230"/>
      <c r="G97" s="1230"/>
      <c r="H97" s="464"/>
    </row>
    <row r="98" spans="1:8" s="465" customFormat="1" ht="29.25" hidden="1" customHeight="1" thickBot="1">
      <c r="A98" s="464"/>
      <c r="H98" s="464"/>
    </row>
    <row r="99" spans="1:8" s="465" customFormat="1" ht="15.75" hidden="1">
      <c r="A99" s="464"/>
      <c r="B99" s="466" t="str">
        <f>IF(COUNT($H$8:H99)&lt;10,CONCATENATE("COMP HID 00",COUNT($H$8:H99)),CONCATENATE("COMP HID 0",COUNT($H$8:H99)))</f>
        <v>COMP HID 008</v>
      </c>
      <c r="C99" s="1224" t="s">
        <v>13488</v>
      </c>
      <c r="D99" s="1225"/>
      <c r="E99" s="1225"/>
      <c r="F99" s="1225"/>
      <c r="G99" s="467" t="s">
        <v>28</v>
      </c>
      <c r="H99" s="468">
        <f>G108</f>
        <v>15.85</v>
      </c>
    </row>
    <row r="100" spans="1:8" s="465" customFormat="1" ht="31.5" hidden="1">
      <c r="A100" s="464"/>
      <c r="B100" s="469" t="s">
        <v>13463</v>
      </c>
      <c r="C100" s="470" t="s">
        <v>13464</v>
      </c>
      <c r="D100" s="470" t="s">
        <v>28</v>
      </c>
      <c r="E100" s="470" t="s">
        <v>13465</v>
      </c>
      <c r="F100" s="471" t="s">
        <v>13466</v>
      </c>
      <c r="G100" s="472" t="s">
        <v>13467</v>
      </c>
      <c r="H100" s="464"/>
    </row>
    <row r="101" spans="1:8" s="465" customFormat="1" ht="15.75" hidden="1">
      <c r="A101" s="464"/>
      <c r="B101" s="1232" t="s">
        <v>13468</v>
      </c>
      <c r="C101" s="1220"/>
      <c r="D101" s="1220"/>
      <c r="E101" s="1220"/>
      <c r="F101" s="1220"/>
      <c r="G101" s="1221"/>
      <c r="H101" s="464"/>
    </row>
    <row r="102" spans="1:8" s="465" customFormat="1" ht="30" hidden="1">
      <c r="A102" s="473" t="s">
        <v>13458</v>
      </c>
      <c r="B102" s="474">
        <v>815</v>
      </c>
      <c r="C102" s="475" t="s">
        <v>7243</v>
      </c>
      <c r="D102" s="476" t="s">
        <v>6636</v>
      </c>
      <c r="E102" s="477">
        <v>1</v>
      </c>
      <c r="F102" s="478">
        <v>8.39</v>
      </c>
      <c r="G102" s="479">
        <f>TRUNC(E102*F102,2)</f>
        <v>8.39</v>
      </c>
      <c r="H102" s="464"/>
    </row>
    <row r="103" spans="1:8" s="465" customFormat="1" ht="15.75" hidden="1">
      <c r="A103" s="473" t="s">
        <v>13458</v>
      </c>
      <c r="B103" s="474">
        <v>20083</v>
      </c>
      <c r="C103" s="475" t="s">
        <v>871</v>
      </c>
      <c r="D103" s="476" t="s">
        <v>6636</v>
      </c>
      <c r="E103" s="481">
        <v>2.1999999999999999E-2</v>
      </c>
      <c r="F103" s="478">
        <v>64.72</v>
      </c>
      <c r="G103" s="479">
        <f>TRUNC(E103*F103,2)</f>
        <v>1.42</v>
      </c>
      <c r="H103" s="464"/>
    </row>
    <row r="104" spans="1:8" s="465" customFormat="1" ht="15.75" hidden="1">
      <c r="A104" s="473" t="s">
        <v>13458</v>
      </c>
      <c r="B104" s="474">
        <v>122</v>
      </c>
      <c r="C104" s="475" t="s">
        <v>869</v>
      </c>
      <c r="D104" s="476" t="s">
        <v>6636</v>
      </c>
      <c r="E104" s="481">
        <v>1.4999999999999999E-2</v>
      </c>
      <c r="F104" s="478">
        <v>74.52</v>
      </c>
      <c r="G104" s="479">
        <f>TRUNC(E104*F104,2)</f>
        <v>1.1100000000000001</v>
      </c>
      <c r="H104" s="464"/>
    </row>
    <row r="105" spans="1:8" s="465" customFormat="1" ht="15.75" hidden="1">
      <c r="A105" s="464"/>
      <c r="B105" s="1232" t="s">
        <v>13469</v>
      </c>
      <c r="C105" s="1220"/>
      <c r="D105" s="1220"/>
      <c r="E105" s="1220"/>
      <c r="F105" s="1220"/>
      <c r="G105" s="1221"/>
      <c r="H105" s="464"/>
    </row>
    <row r="106" spans="1:8" s="465" customFormat="1" ht="30" hidden="1">
      <c r="A106" s="473" t="s">
        <v>13459</v>
      </c>
      <c r="B106" s="474">
        <v>88248</v>
      </c>
      <c r="C106" s="475" t="s">
        <v>758</v>
      </c>
      <c r="D106" s="476" t="s">
        <v>753</v>
      </c>
      <c r="E106" s="482">
        <v>0.14000000000000001</v>
      </c>
      <c r="F106" s="478">
        <v>15.38</v>
      </c>
      <c r="G106" s="479">
        <f>TRUNC(E106*F106,2)</f>
        <v>2.15</v>
      </c>
      <c r="H106" s="464"/>
    </row>
    <row r="107" spans="1:8" s="465" customFormat="1" ht="30.75" hidden="1" thickBot="1">
      <c r="A107" s="473" t="s">
        <v>13459</v>
      </c>
      <c r="B107" s="483">
        <v>88267</v>
      </c>
      <c r="C107" s="484" t="s">
        <v>759</v>
      </c>
      <c r="D107" s="485" t="s">
        <v>753</v>
      </c>
      <c r="E107" s="486">
        <v>0.14000000000000001</v>
      </c>
      <c r="F107" s="487">
        <v>19.899999999999999</v>
      </c>
      <c r="G107" s="488">
        <f>TRUNC(E107*F107,2)</f>
        <v>2.78</v>
      </c>
      <c r="H107" s="464"/>
    </row>
    <row r="108" spans="1:8" s="465" customFormat="1" ht="16.5" hidden="1" thickBot="1">
      <c r="A108" s="489"/>
      <c r="B108" s="490" t="s">
        <v>13489</v>
      </c>
      <c r="C108" s="490"/>
      <c r="D108" s="490"/>
      <c r="E108" s="491"/>
      <c r="F108" s="492" t="s">
        <v>22</v>
      </c>
      <c r="G108" s="493">
        <f>SUM(G102:G107)</f>
        <v>15.85</v>
      </c>
      <c r="H108" s="464"/>
    </row>
    <row r="109" spans="1:8" s="465" customFormat="1" ht="56.25" hidden="1" customHeight="1">
      <c r="A109" s="464"/>
      <c r="B109" s="1231" t="s">
        <v>13471</v>
      </c>
      <c r="C109" s="1231"/>
      <c r="D109" s="1231"/>
      <c r="E109" s="1231"/>
      <c r="F109" s="1231"/>
      <c r="G109" s="1231"/>
      <c r="H109" s="464"/>
    </row>
    <row r="110" spans="1:8" s="465" customFormat="1" ht="108" hidden="1" customHeight="1">
      <c r="A110" s="464"/>
      <c r="B110" s="1230" t="s">
        <v>13490</v>
      </c>
      <c r="C110" s="1230"/>
      <c r="D110" s="1230"/>
      <c r="E110" s="1230"/>
      <c r="F110" s="1230"/>
      <c r="G110" s="1230"/>
      <c r="H110" s="464"/>
    </row>
    <row r="111" spans="1:8" s="465" customFormat="1" ht="15.75" thickBot="1">
      <c r="A111" s="464"/>
      <c r="H111" s="464"/>
    </row>
    <row r="112" spans="1:8" s="465" customFormat="1" ht="47.25" customHeight="1">
      <c r="A112" s="464"/>
      <c r="B112" s="466" t="str">
        <f>IF(COUNT($H$8:H112)&lt;10,CONCATENATE("COMP HID 00",COUNT($H$8:H112)),CONCATENATE("COMP HID 0",COUNT($H$8:H112)))</f>
        <v>COMP HID 009</v>
      </c>
      <c r="C112" s="1224" t="s">
        <v>12884</v>
      </c>
      <c r="D112" s="1225"/>
      <c r="E112" s="1225"/>
      <c r="F112" s="1225"/>
      <c r="G112" s="467" t="s">
        <v>28</v>
      </c>
      <c r="H112" s="468">
        <f>G121</f>
        <v>22.54</v>
      </c>
    </row>
    <row r="113" spans="1:8" s="465" customFormat="1" ht="31.5">
      <c r="A113" s="464"/>
      <c r="B113" s="469" t="s">
        <v>13463</v>
      </c>
      <c r="C113" s="470" t="s">
        <v>13464</v>
      </c>
      <c r="D113" s="470" t="s">
        <v>28</v>
      </c>
      <c r="E113" s="470" t="s">
        <v>13465</v>
      </c>
      <c r="F113" s="471" t="s">
        <v>13466</v>
      </c>
      <c r="G113" s="472" t="s">
        <v>13467</v>
      </c>
      <c r="H113" s="464"/>
    </row>
    <row r="114" spans="1:8" s="465" customFormat="1" ht="15.75">
      <c r="A114" s="464"/>
      <c r="B114" s="1232" t="s">
        <v>13468</v>
      </c>
      <c r="C114" s="1220"/>
      <c r="D114" s="1220"/>
      <c r="E114" s="1220"/>
      <c r="F114" s="1220"/>
      <c r="G114" s="1221"/>
      <c r="H114" s="464"/>
    </row>
    <row r="115" spans="1:8" s="465" customFormat="1" ht="30">
      <c r="A115" s="473" t="s">
        <v>13458</v>
      </c>
      <c r="B115" s="474">
        <v>821</v>
      </c>
      <c r="C115" s="439" t="str">
        <f>IFERROR(VLOOKUP(B115,comp_nãodes,2,FALSE),VLOOKUP(B115,insnãodes,2,FALSE))</f>
        <v>BUCHA DE REDUCAO DE PVC, SOLDAVEL, LONGA, COM 75 X 50 MM, PARA AGUA FRIA PREDIAL</v>
      </c>
      <c r="D115" s="476" t="s">
        <v>6636</v>
      </c>
      <c r="E115" s="477">
        <v>1</v>
      </c>
      <c r="F115" s="426">
        <f t="shared" ref="F115:F117" si="4">IFERROR(VLOOKUP(B115,comp_nãodes,4,FALSE),VLOOKUP(B115,insnãodes,4,FALSE))</f>
        <v>12.04</v>
      </c>
      <c r="G115" s="479">
        <f>TRUNC(E115*F115,2)</f>
        <v>12.04</v>
      </c>
      <c r="H115" s="464"/>
    </row>
    <row r="116" spans="1:8" s="465" customFormat="1" ht="15.75">
      <c r="A116" s="473" t="s">
        <v>13458</v>
      </c>
      <c r="B116" s="474">
        <v>20083</v>
      </c>
      <c r="C116" s="439" t="str">
        <f>IFERROR(VLOOKUP(B116,comp_nãodes,2,FALSE),VLOOKUP(B116,insnãodes,2,FALSE))</f>
        <v>SOLUCAO LIMPADORA PARA PVC, FRASCO COM 1000 CM3</v>
      </c>
      <c r="D116" s="476" t="s">
        <v>6636</v>
      </c>
      <c r="E116" s="481">
        <v>3.6999999999999998E-2</v>
      </c>
      <c r="F116" s="426">
        <f t="shared" si="4"/>
        <v>60.71</v>
      </c>
      <c r="G116" s="479">
        <f>TRUNC(E116*F116,2)</f>
        <v>2.2400000000000002</v>
      </c>
      <c r="H116" s="464"/>
    </row>
    <row r="117" spans="1:8" s="465" customFormat="1" ht="15.75">
      <c r="A117" s="473" t="s">
        <v>13458</v>
      </c>
      <c r="B117" s="474">
        <v>122</v>
      </c>
      <c r="C117" s="439" t="str">
        <f>IFERROR(VLOOKUP(B117,comp_nãodes,2,FALSE),VLOOKUP(B117,insnãodes,2,FALSE))</f>
        <v>ADESIVO PLASTICO PARA PVC, FRASCO COM 850 GR</v>
      </c>
      <c r="D117" s="476" t="s">
        <v>6636</v>
      </c>
      <c r="E117" s="481">
        <v>2.5000000000000001E-2</v>
      </c>
      <c r="F117" s="426">
        <f t="shared" si="4"/>
        <v>69.92</v>
      </c>
      <c r="G117" s="479">
        <f>TRUNC(E117*F117,2)</f>
        <v>1.74</v>
      </c>
      <c r="H117" s="464"/>
    </row>
    <row r="118" spans="1:8" s="465" customFormat="1" ht="15.75">
      <c r="A118" s="464"/>
      <c r="B118" s="1232" t="s">
        <v>13469</v>
      </c>
      <c r="C118" s="1220"/>
      <c r="D118" s="1220"/>
      <c r="E118" s="1220"/>
      <c r="F118" s="1220"/>
      <c r="G118" s="1221"/>
      <c r="H118" s="464"/>
    </row>
    <row r="119" spans="1:8" s="465" customFormat="1" ht="30">
      <c r="A119" s="473" t="s">
        <v>13459</v>
      </c>
      <c r="B119" s="474">
        <v>88248</v>
      </c>
      <c r="C119" s="439" t="str">
        <f>IFERROR(VLOOKUP(B119,comp_nãodes,2,FALSE),VLOOKUP(B119,insnãodes,2,FALSE))</f>
        <v>AUXILIAR DE ENCANADOR OU BOMBEIRO HIDRÁULICO COM ENCARGOS COMPLEMENTARES</v>
      </c>
      <c r="D119" s="476" t="s">
        <v>753</v>
      </c>
      <c r="E119" s="496">
        <v>0.185</v>
      </c>
      <c r="F119" s="426">
        <f t="shared" ref="F119:F120" si="5">IFERROR(VLOOKUP(B119,comp_nãodes,4,FALSE),VLOOKUP(B119,insnãodes,4,FALSE))</f>
        <v>15.38</v>
      </c>
      <c r="G119" s="479">
        <f>TRUNC(E119*F119,2)</f>
        <v>2.84</v>
      </c>
      <c r="H119" s="464"/>
    </row>
    <row r="120" spans="1:8" s="465" customFormat="1" ht="30.75" thickBot="1">
      <c r="A120" s="473" t="s">
        <v>13459</v>
      </c>
      <c r="B120" s="483">
        <v>88267</v>
      </c>
      <c r="C120" s="726" t="str">
        <f>IFERROR(VLOOKUP(B120,comp_nãodes,2,FALSE),VLOOKUP(B120,insnãodes,2,FALSE))</f>
        <v>ENCANADOR OU BOMBEIRO HIDRÁULICO COM ENCARGOS COMPLEMENTARES</v>
      </c>
      <c r="D120" s="485" t="s">
        <v>753</v>
      </c>
      <c r="E120" s="497">
        <v>0.185</v>
      </c>
      <c r="F120" s="727">
        <f t="shared" si="5"/>
        <v>19.899999999999999</v>
      </c>
      <c r="G120" s="488">
        <f>TRUNC(E120*F120,2)</f>
        <v>3.68</v>
      </c>
      <c r="H120" s="464"/>
    </row>
    <row r="121" spans="1:8" s="465" customFormat="1" ht="16.5" thickBot="1">
      <c r="A121" s="489"/>
      <c r="B121" s="605" t="s">
        <v>13491</v>
      </c>
      <c r="C121" s="605"/>
      <c r="D121" s="605"/>
      <c r="E121" s="606"/>
      <c r="F121" s="492" t="s">
        <v>22</v>
      </c>
      <c r="G121" s="493">
        <f>SUM(G115:G120)</f>
        <v>22.54</v>
      </c>
      <c r="H121" s="464"/>
    </row>
    <row r="122" spans="1:8" s="465" customFormat="1" ht="56.25" customHeight="1">
      <c r="A122" s="464"/>
      <c r="B122" s="1231" t="s">
        <v>13471</v>
      </c>
      <c r="C122" s="1231"/>
      <c r="D122" s="1231"/>
      <c r="E122" s="1231"/>
      <c r="F122" s="1231"/>
      <c r="G122" s="1231"/>
      <c r="H122" s="464"/>
    </row>
    <row r="123" spans="1:8" s="465" customFormat="1" ht="114" customHeight="1">
      <c r="A123" s="464"/>
      <c r="B123" s="1230" t="s">
        <v>13492</v>
      </c>
      <c r="C123" s="1230"/>
      <c r="D123" s="1230"/>
      <c r="E123" s="1230"/>
      <c r="F123" s="1230"/>
      <c r="G123" s="1230"/>
      <c r="H123" s="464"/>
    </row>
    <row r="124" spans="1:8" s="465" customFormat="1" hidden="1">
      <c r="A124" s="464"/>
      <c r="H124" s="464"/>
    </row>
    <row r="125" spans="1:8" s="465" customFormat="1" ht="47.25" hidden="1" customHeight="1">
      <c r="A125" s="728"/>
      <c r="B125" s="729" t="str">
        <f>IF(COUNT($H$8:H125)&lt;10,CONCATENATE("COMP HID 00",COUNT($H$8:H125)),CONCATENATE("COMP HID 0",COUNT($H$8:H125)))</f>
        <v>COMP HID 010</v>
      </c>
      <c r="C125" s="1224" t="s">
        <v>13493</v>
      </c>
      <c r="D125" s="1225"/>
      <c r="E125" s="1225"/>
      <c r="F125" s="1225"/>
      <c r="G125" s="467" t="s">
        <v>28</v>
      </c>
      <c r="H125" s="468">
        <f>G134</f>
        <v>23.45</v>
      </c>
    </row>
    <row r="126" spans="1:8" s="465" customFormat="1" ht="31.5" hidden="1">
      <c r="A126" s="730"/>
      <c r="B126" s="731" t="s">
        <v>13463</v>
      </c>
      <c r="C126" s="470" t="s">
        <v>13464</v>
      </c>
      <c r="D126" s="470" t="s">
        <v>28</v>
      </c>
      <c r="E126" s="470" t="s">
        <v>13465</v>
      </c>
      <c r="F126" s="471" t="s">
        <v>13466</v>
      </c>
      <c r="G126" s="472" t="s">
        <v>13467</v>
      </c>
      <c r="H126" s="464"/>
    </row>
    <row r="127" spans="1:8" s="465" customFormat="1" ht="15.75" hidden="1">
      <c r="A127" s="730"/>
      <c r="B127" s="1220" t="s">
        <v>13468</v>
      </c>
      <c r="C127" s="1220"/>
      <c r="D127" s="1220"/>
      <c r="E127" s="1220"/>
      <c r="F127" s="1220"/>
      <c r="G127" s="1221"/>
      <c r="H127" s="464"/>
    </row>
    <row r="128" spans="1:8" s="465" customFormat="1" ht="30" hidden="1">
      <c r="A128" s="732" t="s">
        <v>13458</v>
      </c>
      <c r="B128" s="476">
        <v>821</v>
      </c>
      <c r="C128" s="439" t="str">
        <f>IFERROR(VLOOKUP(B128,comp_nãodes,2,FALSE),VLOOKUP(B128,insnãodes,2,FALSE))</f>
        <v>BUCHA DE REDUCAO DE PVC, SOLDAVEL, LONGA, COM 75 X 50 MM, PARA AGUA FRIA PREDIAL</v>
      </c>
      <c r="D128" s="476" t="s">
        <v>6636</v>
      </c>
      <c r="E128" s="477">
        <v>1</v>
      </c>
      <c r="F128" s="426">
        <f t="shared" ref="F128:F130" si="6">IFERROR(VLOOKUP(B128,comp_nãodes,4,FALSE),VLOOKUP(B128,insnãodes,4,FALSE))</f>
        <v>12.04</v>
      </c>
      <c r="G128" s="479">
        <f>TRUNC(E128*F128,2)</f>
        <v>12.04</v>
      </c>
      <c r="H128" s="464"/>
    </row>
    <row r="129" spans="1:8" s="465" customFormat="1" ht="15.75" hidden="1">
      <c r="A129" s="732" t="s">
        <v>13458</v>
      </c>
      <c r="B129" s="476">
        <v>20083</v>
      </c>
      <c r="C129" s="439" t="str">
        <f>IFERROR(VLOOKUP(B129,comp_nãodes,2,FALSE),VLOOKUP(B129,insnãodes,2,FALSE))</f>
        <v>SOLUCAO LIMPADORA PARA PVC, FRASCO COM 1000 CM3</v>
      </c>
      <c r="D129" s="476" t="s">
        <v>6636</v>
      </c>
      <c r="E129" s="481">
        <v>4.4999999999999998E-2</v>
      </c>
      <c r="F129" s="426">
        <f t="shared" si="6"/>
        <v>60.71</v>
      </c>
      <c r="G129" s="479">
        <f>TRUNC(E129*F129,2)</f>
        <v>2.73</v>
      </c>
      <c r="H129" s="464"/>
    </row>
    <row r="130" spans="1:8" s="465" customFormat="1" ht="15.75" hidden="1">
      <c r="A130" s="732" t="s">
        <v>13458</v>
      </c>
      <c r="B130" s="476">
        <v>122</v>
      </c>
      <c r="C130" s="439" t="str">
        <f>IFERROR(VLOOKUP(B130,comp_nãodes,2,FALSE),VLOOKUP(B130,insnãodes,2,FALSE))</f>
        <v>ADESIVO PLASTICO PARA PVC, FRASCO COM 850 GR</v>
      </c>
      <c r="D130" s="476" t="s">
        <v>6636</v>
      </c>
      <c r="E130" s="481">
        <v>3.1E-2</v>
      </c>
      <c r="F130" s="426">
        <f t="shared" si="6"/>
        <v>69.92</v>
      </c>
      <c r="G130" s="479">
        <f>TRUNC(E130*F130,2)</f>
        <v>2.16</v>
      </c>
      <c r="H130" s="464"/>
    </row>
    <row r="131" spans="1:8" s="465" customFormat="1" ht="15.75" hidden="1">
      <c r="A131" s="730"/>
      <c r="B131" s="1220" t="s">
        <v>13469</v>
      </c>
      <c r="C131" s="1220"/>
      <c r="D131" s="1220"/>
      <c r="E131" s="1220"/>
      <c r="F131" s="1220"/>
      <c r="G131" s="1221"/>
      <c r="H131" s="464"/>
    </row>
    <row r="132" spans="1:8" s="503" customFormat="1" ht="30" hidden="1">
      <c r="A132" s="732" t="s">
        <v>13459</v>
      </c>
      <c r="B132" s="476">
        <v>88248</v>
      </c>
      <c r="C132" s="439" t="str">
        <f>IFERROR(VLOOKUP(B132,comp_nãodes,2,FALSE),VLOOKUP(B132,insnãodes,2,FALSE))</f>
        <v>AUXILIAR DE ENCANADOR OU BOMBEIRO HIDRÁULICO COM ENCARGOS COMPLEMENTARES</v>
      </c>
      <c r="D132" s="476" t="s">
        <v>753</v>
      </c>
      <c r="E132" s="496">
        <v>0.185</v>
      </c>
      <c r="F132" s="426">
        <f t="shared" ref="F132:F133" si="7">IFERROR(VLOOKUP(B132,comp_nãodes,4,FALSE),VLOOKUP(B132,insnãodes,4,FALSE))</f>
        <v>15.38</v>
      </c>
      <c r="G132" s="479">
        <f>TRUNC(E132*F132,2)</f>
        <v>2.84</v>
      </c>
    </row>
    <row r="133" spans="1:8" s="465" customFormat="1" ht="30.75" hidden="1" thickBot="1">
      <c r="A133" s="734" t="s">
        <v>13459</v>
      </c>
      <c r="B133" s="485">
        <v>88267</v>
      </c>
      <c r="C133" s="726" t="str">
        <f>IFERROR(VLOOKUP(B133,comp_nãodes,2,FALSE),VLOOKUP(B133,insnãodes,2,FALSE))</f>
        <v>ENCANADOR OU BOMBEIRO HIDRÁULICO COM ENCARGOS COMPLEMENTARES</v>
      </c>
      <c r="D133" s="485" t="s">
        <v>753</v>
      </c>
      <c r="E133" s="497">
        <v>0.185</v>
      </c>
      <c r="F133" s="727">
        <f t="shared" si="7"/>
        <v>19.899999999999999</v>
      </c>
      <c r="G133" s="488">
        <f>TRUNC(E133*F133,2)</f>
        <v>3.68</v>
      </c>
      <c r="H133" s="464"/>
    </row>
    <row r="134" spans="1:8" s="465" customFormat="1" ht="16.5" hidden="1" thickBot="1">
      <c r="A134" s="489"/>
      <c r="B134" s="547" t="s">
        <v>13494</v>
      </c>
      <c r="C134" s="547"/>
      <c r="D134" s="547"/>
      <c r="E134" s="741"/>
      <c r="F134" s="492" t="s">
        <v>22</v>
      </c>
      <c r="G134" s="493">
        <f>SUM(G128:G133)</f>
        <v>23.45</v>
      </c>
      <c r="H134" s="464"/>
    </row>
    <row r="135" spans="1:8" s="465" customFormat="1" ht="64.5" hidden="1" customHeight="1">
      <c r="A135" s="464"/>
      <c r="B135" s="1231" t="s">
        <v>13471</v>
      </c>
      <c r="C135" s="1231"/>
      <c r="D135" s="1231"/>
      <c r="E135" s="1231"/>
      <c r="F135" s="1231"/>
      <c r="G135" s="1231"/>
      <c r="H135" s="464"/>
    </row>
    <row r="136" spans="1:8" s="465" customFormat="1" ht="112.5" hidden="1" customHeight="1">
      <c r="A136" s="464"/>
      <c r="B136" s="1230" t="s">
        <v>13495</v>
      </c>
      <c r="C136" s="1230"/>
      <c r="D136" s="1230"/>
      <c r="E136" s="1230"/>
      <c r="F136" s="1230"/>
      <c r="G136" s="1230"/>
      <c r="H136" s="464"/>
    </row>
    <row r="137" spans="1:8" s="465" customFormat="1" hidden="1">
      <c r="A137" s="464"/>
      <c r="H137" s="464"/>
    </row>
    <row r="138" spans="1:8" s="465" customFormat="1" ht="52.5" hidden="1" customHeight="1">
      <c r="A138" s="464"/>
      <c r="B138" s="466" t="str">
        <f>IF(COUNT($H$8:H138)&lt;10,CONCATENATE("COMP HID 00",COUNT($H$8:H138)),CONCATENATE("COMP HID 0",COUNT($H$8:H138)))</f>
        <v>COMP HID 011</v>
      </c>
      <c r="C138" s="1224" t="s">
        <v>13496</v>
      </c>
      <c r="D138" s="1225"/>
      <c r="E138" s="1225"/>
      <c r="F138" s="1225"/>
      <c r="G138" s="467" t="s">
        <v>28</v>
      </c>
      <c r="H138" s="468">
        <f>G142</f>
        <v>17940.689999999999</v>
      </c>
    </row>
    <row r="139" spans="1:8" s="465" customFormat="1" ht="42" hidden="1" customHeight="1">
      <c r="A139" s="464"/>
      <c r="B139" s="469" t="s">
        <v>13463</v>
      </c>
      <c r="C139" s="470" t="s">
        <v>13464</v>
      </c>
      <c r="D139" s="470" t="s">
        <v>28</v>
      </c>
      <c r="E139" s="470" t="s">
        <v>13465</v>
      </c>
      <c r="F139" s="471" t="s">
        <v>13466</v>
      </c>
      <c r="G139" s="472" t="s">
        <v>13467</v>
      </c>
      <c r="H139" s="464"/>
    </row>
    <row r="140" spans="1:8" s="465" customFormat="1" ht="25.5" hidden="1" customHeight="1">
      <c r="A140" s="464"/>
      <c r="B140" s="1232" t="s">
        <v>13468</v>
      </c>
      <c r="C140" s="1220"/>
      <c r="D140" s="1220"/>
      <c r="E140" s="1220"/>
      <c r="F140" s="1220"/>
      <c r="G140" s="1221"/>
      <c r="H140" s="464"/>
    </row>
    <row r="141" spans="1:8" s="465" customFormat="1" ht="37.5" hidden="1" customHeight="1" thickBot="1">
      <c r="A141" s="473"/>
      <c r="B141" s="483" t="s">
        <v>13497</v>
      </c>
      <c r="C141" s="484" t="str">
        <f>C144</f>
        <v>RESERVATÓRIO EM AÇO DO TIPO TAÇA COM COLUNA SECA (ALTURA DA COLUNA: 6,00M) - V: 5.000L - INCLUSIVE INSTALAÇÃO</v>
      </c>
      <c r="D141" s="504" t="str">
        <f>G144</f>
        <v>UN</v>
      </c>
      <c r="E141" s="505">
        <v>1</v>
      </c>
      <c r="F141" s="487">
        <f>D166</f>
        <v>17940.689999999999</v>
      </c>
      <c r="G141" s="488">
        <f>TRUNC(E141*F141,2)</f>
        <v>17940.689999999999</v>
      </c>
      <c r="H141" s="464"/>
    </row>
    <row r="142" spans="1:8" s="465" customFormat="1" ht="16.5" hidden="1" thickBot="1">
      <c r="A142" s="489"/>
      <c r="B142" s="500" t="s">
        <v>13498</v>
      </c>
      <c r="C142" s="500"/>
      <c r="D142" s="500"/>
      <c r="E142" s="501"/>
      <c r="F142" s="492" t="s">
        <v>22</v>
      </c>
      <c r="G142" s="493">
        <f>SUM(G141:G141)</f>
        <v>17940.689999999999</v>
      </c>
      <c r="H142" s="464"/>
    </row>
    <row r="143" spans="1:8" s="465" customFormat="1" ht="21" hidden="1" customHeight="1" thickBot="1">
      <c r="A143" s="489"/>
      <c r="B143" s="506"/>
      <c r="C143" s="506"/>
      <c r="D143" s="506"/>
      <c r="E143" s="506"/>
      <c r="F143" s="507"/>
      <c r="G143" s="508"/>
      <c r="H143" s="464"/>
    </row>
    <row r="144" spans="1:8" s="465" customFormat="1" ht="25.5" hidden="1">
      <c r="A144" s="464"/>
      <c r="B144" s="509"/>
      <c r="C144" s="510" t="s">
        <v>13499</v>
      </c>
      <c r="D144" s="511"/>
      <c r="E144" s="512"/>
      <c r="F144" s="513" t="s">
        <v>28</v>
      </c>
      <c r="G144" s="514" t="s">
        <v>28</v>
      </c>
      <c r="H144" s="515" t="s">
        <v>13500</v>
      </c>
    </row>
    <row r="145" spans="1:11" s="465" customFormat="1" hidden="1">
      <c r="A145" s="464"/>
      <c r="B145" s="1237" t="s">
        <v>13501</v>
      </c>
      <c r="C145" s="1238"/>
      <c r="D145" s="1238"/>
      <c r="E145" s="1238"/>
      <c r="F145" s="1238"/>
      <c r="G145" s="1239"/>
      <c r="H145" s="464"/>
    </row>
    <row r="146" spans="1:11" s="465" customFormat="1" ht="27" hidden="1" customHeight="1">
      <c r="A146" s="464"/>
      <c r="B146" s="516" t="s">
        <v>13502</v>
      </c>
      <c r="C146" s="517" t="s">
        <v>13503</v>
      </c>
      <c r="D146" s="518" t="s">
        <v>13504</v>
      </c>
      <c r="E146" s="519" t="s">
        <v>13505</v>
      </c>
      <c r="F146" s="520" t="s">
        <v>13506</v>
      </c>
      <c r="G146" s="521" t="s">
        <v>13507</v>
      </c>
      <c r="H146" s="464"/>
    </row>
    <row r="147" spans="1:11" s="465" customFormat="1" ht="15.75" hidden="1">
      <c r="A147" s="464"/>
      <c r="B147" s="522">
        <v>43570</v>
      </c>
      <c r="C147" s="523" t="s">
        <v>13508</v>
      </c>
      <c r="D147" s="524">
        <v>16767</v>
      </c>
      <c r="E147" s="525"/>
      <c r="F147" s="526" t="s">
        <v>13509</v>
      </c>
      <c r="G147" s="527" t="s">
        <v>13510</v>
      </c>
      <c r="H147"/>
    </row>
    <row r="148" spans="1:11" s="465" customFormat="1" ht="15.75" hidden="1">
      <c r="A148" s="464"/>
      <c r="B148" s="522">
        <v>43566</v>
      </c>
      <c r="C148" s="523" t="s">
        <v>13511</v>
      </c>
      <c r="D148" s="524">
        <v>14500</v>
      </c>
      <c r="E148" s="526" t="s">
        <v>13512</v>
      </c>
      <c r="F148" s="528" t="s">
        <v>13513</v>
      </c>
      <c r="G148" s="527" t="s">
        <v>13514</v>
      </c>
      <c r="H148"/>
    </row>
    <row r="149" spans="1:11" s="465" customFormat="1" ht="15.75" hidden="1">
      <c r="A149" s="464"/>
      <c r="B149" s="522">
        <v>43566</v>
      </c>
      <c r="C149" s="528" t="s">
        <v>13515</v>
      </c>
      <c r="D149" s="524">
        <v>11890</v>
      </c>
      <c r="E149" s="528" t="s">
        <v>13516</v>
      </c>
      <c r="F149" s="528" t="s">
        <v>13517</v>
      </c>
      <c r="G149" s="529" t="s">
        <v>13518</v>
      </c>
      <c r="H149"/>
    </row>
    <row r="150" spans="1:11" s="465" customFormat="1" ht="15.75" hidden="1">
      <c r="A150" s="464"/>
      <c r="B150" s="1237" t="s">
        <v>13519</v>
      </c>
      <c r="C150" s="1238"/>
      <c r="D150" s="1238"/>
      <c r="E150" s="1238"/>
      <c r="F150" s="1238"/>
      <c r="G150" s="1239"/>
      <c r="H150"/>
    </row>
    <row r="151" spans="1:11" s="465" customFormat="1" ht="28.5" hidden="1" customHeight="1">
      <c r="A151" s="464"/>
      <c r="B151" s="516" t="s">
        <v>13502</v>
      </c>
      <c r="C151" s="517" t="s">
        <v>13503</v>
      </c>
      <c r="D151" s="518" t="s">
        <v>13504</v>
      </c>
      <c r="E151" s="519" t="s">
        <v>13505</v>
      </c>
      <c r="F151" s="520" t="s">
        <v>13506</v>
      </c>
      <c r="G151" s="521" t="s">
        <v>13507</v>
      </c>
      <c r="H151"/>
    </row>
    <row r="152" spans="1:11" s="465" customFormat="1" ht="15.75" hidden="1">
      <c r="A152" s="464"/>
      <c r="B152" s="522">
        <f t="shared" ref="B152:C154" si="8">B147</f>
        <v>43570</v>
      </c>
      <c r="C152" s="523" t="str">
        <f t="shared" si="8"/>
        <v>TANK METALÚRGICA</v>
      </c>
      <c r="D152" s="524">
        <v>0</v>
      </c>
      <c r="E152" s="525">
        <f t="shared" ref="E152:G154" si="9">E147</f>
        <v>0</v>
      </c>
      <c r="F152" s="526" t="str">
        <f t="shared" si="9"/>
        <v>(16) 3258-1109</v>
      </c>
      <c r="G152" s="527" t="str">
        <f t="shared" si="9"/>
        <v xml:space="preserve">FERNANDA </v>
      </c>
      <c r="H152"/>
    </row>
    <row r="153" spans="1:11" s="465" customFormat="1" ht="15.75" hidden="1">
      <c r="A153" s="464"/>
      <c r="B153" s="522">
        <f t="shared" si="8"/>
        <v>43566</v>
      </c>
      <c r="C153" s="523" t="str">
        <f t="shared" si="8"/>
        <v>ROMA RESERVATÓRIO</v>
      </c>
      <c r="D153" s="524">
        <v>0</v>
      </c>
      <c r="E153" s="526" t="str">
        <f t="shared" si="9"/>
        <v>06.942.746/0001-09</v>
      </c>
      <c r="F153" s="528" t="str">
        <f t="shared" si="9"/>
        <v>(11)2592-1156</v>
      </c>
      <c r="G153" s="527" t="str">
        <f t="shared" si="9"/>
        <v>RONALDO</v>
      </c>
      <c r="H153"/>
    </row>
    <row r="154" spans="1:11" s="465" customFormat="1" ht="15.75" hidden="1">
      <c r="A154" s="464"/>
      <c r="B154" s="522">
        <f t="shared" si="8"/>
        <v>43566</v>
      </c>
      <c r="C154" s="528" t="str">
        <f t="shared" si="8"/>
        <v>FAZ FORTE</v>
      </c>
      <c r="D154" s="524">
        <v>5630</v>
      </c>
      <c r="E154" s="528" t="str">
        <f t="shared" si="9"/>
        <v>18.399.461/0001-44</v>
      </c>
      <c r="F154" s="528" t="str">
        <f t="shared" si="9"/>
        <v>(18)3659-2673</v>
      </c>
      <c r="G154" s="529" t="str">
        <f t="shared" si="9"/>
        <v>ALAN</v>
      </c>
      <c r="H154"/>
    </row>
    <row r="155" spans="1:11" s="465" customFormat="1" ht="15.75" hidden="1">
      <c r="A155" s="464"/>
      <c r="B155" s="530" t="s">
        <v>13520</v>
      </c>
      <c r="C155" s="531"/>
      <c r="D155" s="532"/>
      <c r="E155" s="533"/>
      <c r="F155" s="534"/>
      <c r="G155" s="535"/>
      <c r="H155"/>
    </row>
    <row r="156" spans="1:11" s="465" customFormat="1" ht="15.75" hidden="1">
      <c r="A156" s="464"/>
      <c r="B156" s="1237" t="s">
        <v>13521</v>
      </c>
      <c r="C156" s="1238"/>
      <c r="D156" s="1238"/>
      <c r="E156" s="1238"/>
      <c r="F156" s="1238"/>
      <c r="G156" s="1239"/>
      <c r="H156"/>
      <c r="K156" s="465">
        <f>1186*2</f>
        <v>2372</v>
      </c>
    </row>
    <row r="157" spans="1:11" s="465" customFormat="1" ht="26.25" hidden="1" customHeight="1">
      <c r="A157" s="464"/>
      <c r="B157" s="516" t="s">
        <v>13502</v>
      </c>
      <c r="C157" s="517" t="s">
        <v>13503</v>
      </c>
      <c r="D157" s="518" t="s">
        <v>13504</v>
      </c>
      <c r="E157" s="519" t="s">
        <v>13505</v>
      </c>
      <c r="F157" s="520" t="s">
        <v>13506</v>
      </c>
      <c r="G157" s="521" t="s">
        <v>13507</v>
      </c>
      <c r="H157"/>
    </row>
    <row r="158" spans="1:11" s="465" customFormat="1" ht="15.75" hidden="1">
      <c r="A158" s="464"/>
      <c r="B158" s="522">
        <f t="shared" ref="B158:C160" si="10">B147</f>
        <v>43570</v>
      </c>
      <c r="C158" s="523" t="str">
        <f t="shared" si="10"/>
        <v>TANK METALÚRGICA</v>
      </c>
      <c r="D158" s="524">
        <f>TRUNC(((D147+D152)*0.07),2)</f>
        <v>1173.69</v>
      </c>
      <c r="E158" s="525">
        <f t="shared" ref="E158:G160" si="11">E147</f>
        <v>0</v>
      </c>
      <c r="F158" s="526" t="str">
        <f t="shared" si="11"/>
        <v>(16) 3258-1109</v>
      </c>
      <c r="G158" s="527" t="str">
        <f t="shared" si="11"/>
        <v xml:space="preserve">FERNANDA </v>
      </c>
      <c r="H158"/>
    </row>
    <row r="159" spans="1:11" s="465" customFormat="1" ht="15.75" hidden="1">
      <c r="A159" s="464"/>
      <c r="B159" s="522">
        <f t="shared" si="10"/>
        <v>43566</v>
      </c>
      <c r="C159" s="523" t="str">
        <f t="shared" si="10"/>
        <v>ROMA RESERVATÓRIO</v>
      </c>
      <c r="D159" s="524">
        <f>TRUNC(((D148+D153)*0.07),2)</f>
        <v>1015</v>
      </c>
      <c r="E159" s="526" t="str">
        <f t="shared" si="11"/>
        <v>06.942.746/0001-09</v>
      </c>
      <c r="F159" s="528" t="str">
        <f t="shared" si="11"/>
        <v>(11)2592-1156</v>
      </c>
      <c r="G159" s="527" t="str">
        <f t="shared" si="11"/>
        <v>RONALDO</v>
      </c>
      <c r="H159"/>
    </row>
    <row r="160" spans="1:11" s="465" customFormat="1" ht="15.75" hidden="1">
      <c r="A160" s="464"/>
      <c r="B160" s="522">
        <f t="shared" si="10"/>
        <v>43566</v>
      </c>
      <c r="C160" s="528" t="str">
        <f t="shared" si="10"/>
        <v>FAZ FORTE</v>
      </c>
      <c r="D160" s="524">
        <f>TRUNC(((D149+D154)*0.07),2)</f>
        <v>1226.4000000000001</v>
      </c>
      <c r="E160" s="528" t="str">
        <f t="shared" si="11"/>
        <v>18.399.461/0001-44</v>
      </c>
      <c r="F160" s="528" t="str">
        <f t="shared" si="11"/>
        <v>(18)3659-2673</v>
      </c>
      <c r="G160" s="529" t="str">
        <f t="shared" si="11"/>
        <v>ALAN</v>
      </c>
      <c r="H160"/>
    </row>
    <row r="161" spans="1:8" s="465" customFormat="1" ht="15.75" hidden="1">
      <c r="A161" s="464"/>
      <c r="B161" s="1237" t="s">
        <v>13522</v>
      </c>
      <c r="C161" s="1238"/>
      <c r="D161" s="1238"/>
      <c r="E161" s="1238"/>
      <c r="F161" s="1238"/>
      <c r="G161" s="1239"/>
      <c r="H161"/>
    </row>
    <row r="162" spans="1:8" s="465" customFormat="1" ht="26.25" hidden="1" customHeight="1">
      <c r="A162" s="464"/>
      <c r="B162" s="516" t="s">
        <v>13502</v>
      </c>
      <c r="C162" s="517" t="s">
        <v>13503</v>
      </c>
      <c r="D162" s="518" t="s">
        <v>13504</v>
      </c>
      <c r="E162" s="519" t="s">
        <v>13505</v>
      </c>
      <c r="F162" s="520" t="s">
        <v>13506</v>
      </c>
      <c r="G162" s="521" t="s">
        <v>13507</v>
      </c>
      <c r="H162"/>
    </row>
    <row r="163" spans="1:8" s="465" customFormat="1" ht="15.75" hidden="1">
      <c r="A163" s="464"/>
      <c r="B163" s="522">
        <f t="shared" ref="B163:C165" si="12">B147</f>
        <v>43570</v>
      </c>
      <c r="C163" s="523" t="str">
        <f t="shared" si="12"/>
        <v>TANK METALÚRGICA</v>
      </c>
      <c r="D163" s="524">
        <f>D147+D152+D158</f>
        <v>17940.689999999999</v>
      </c>
      <c r="E163" s="525">
        <f t="shared" ref="E163:G165" si="13">E147</f>
        <v>0</v>
      </c>
      <c r="F163" s="526" t="str">
        <f t="shared" si="13"/>
        <v>(16) 3258-1109</v>
      </c>
      <c r="G163" s="527" t="str">
        <f t="shared" si="13"/>
        <v xml:space="preserve">FERNANDA </v>
      </c>
      <c r="H163"/>
    </row>
    <row r="164" spans="1:8" s="465" customFormat="1" ht="15.75" hidden="1">
      <c r="A164" s="464"/>
      <c r="B164" s="522">
        <f t="shared" si="12"/>
        <v>43566</v>
      </c>
      <c r="C164" s="523" t="str">
        <f t="shared" si="12"/>
        <v>ROMA RESERVATÓRIO</v>
      </c>
      <c r="D164" s="524">
        <f>D148+D153+D159</f>
        <v>15515</v>
      </c>
      <c r="E164" s="526" t="str">
        <f t="shared" si="13"/>
        <v>06.942.746/0001-09</v>
      </c>
      <c r="F164" s="528" t="str">
        <f t="shared" si="13"/>
        <v>(11)2592-1156</v>
      </c>
      <c r="G164" s="527" t="str">
        <f t="shared" si="13"/>
        <v>RONALDO</v>
      </c>
      <c r="H164"/>
    </row>
    <row r="165" spans="1:8" s="465" customFormat="1" ht="15.75" hidden="1">
      <c r="A165" s="464"/>
      <c r="B165" s="522">
        <f t="shared" si="12"/>
        <v>43566</v>
      </c>
      <c r="C165" s="528" t="str">
        <f t="shared" si="12"/>
        <v>FAZ FORTE</v>
      </c>
      <c r="D165" s="524">
        <f>D149+D154+D160</f>
        <v>18746.400000000001</v>
      </c>
      <c r="E165" s="528" t="str">
        <f t="shared" si="13"/>
        <v>18.399.461/0001-44</v>
      </c>
      <c r="F165" s="528" t="str">
        <f t="shared" si="13"/>
        <v>(18)3659-2673</v>
      </c>
      <c r="G165" s="529" t="str">
        <f t="shared" si="13"/>
        <v>ALAN</v>
      </c>
      <c r="H165"/>
    </row>
    <row r="166" spans="1:8" s="465" customFormat="1" ht="16.5" hidden="1" thickBot="1">
      <c r="A166" s="464"/>
      <c r="B166" s="536"/>
      <c r="C166" s="537" t="s">
        <v>13523</v>
      </c>
      <c r="D166" s="538">
        <f>IF(COUNT(D162:D165)=3,MEDIAN(D163:D165),SMALL(D163:D165,1))</f>
        <v>17940.689999999999</v>
      </c>
      <c r="E166" s="539"/>
      <c r="F166" s="540"/>
      <c r="G166" s="541"/>
      <c r="H166" s="464"/>
    </row>
    <row r="167" spans="1:8" s="465" customFormat="1" ht="15.75" hidden="1" thickBot="1">
      <c r="A167" s="464"/>
      <c r="H167" s="464"/>
    </row>
    <row r="168" spans="1:8" s="465" customFormat="1" ht="44.25" hidden="1" customHeight="1">
      <c r="A168" s="464"/>
      <c r="B168" s="466" t="str">
        <f>IF(COUNT($H$8:H168)&lt;10,CONCATENATE("COMP HID 00",COUNT($H$8:H168)),CONCATENATE("COMP HID 0",COUNT($H$8:H168)))</f>
        <v>COMP HID 012</v>
      </c>
      <c r="C168" s="1224" t="s">
        <v>13524</v>
      </c>
      <c r="D168" s="1225"/>
      <c r="E168" s="1225"/>
      <c r="F168" s="1225"/>
      <c r="G168" s="467" t="s">
        <v>28</v>
      </c>
      <c r="H168" s="468">
        <f>G172</f>
        <v>17976</v>
      </c>
    </row>
    <row r="169" spans="1:8" s="465" customFormat="1" ht="31.5" hidden="1">
      <c r="A169" s="464"/>
      <c r="B169" s="469" t="s">
        <v>13463</v>
      </c>
      <c r="C169" s="470" t="s">
        <v>13464</v>
      </c>
      <c r="D169" s="470" t="s">
        <v>28</v>
      </c>
      <c r="E169" s="470" t="s">
        <v>13465</v>
      </c>
      <c r="F169" s="471" t="s">
        <v>13466</v>
      </c>
      <c r="G169" s="472" t="s">
        <v>13467</v>
      </c>
      <c r="H169" s="464"/>
    </row>
    <row r="170" spans="1:8" s="465" customFormat="1" ht="15.75" hidden="1">
      <c r="A170" s="464"/>
      <c r="B170" s="1232" t="s">
        <v>13468</v>
      </c>
      <c r="C170" s="1220"/>
      <c r="D170" s="1220"/>
      <c r="E170" s="1220"/>
      <c r="F170" s="1220"/>
      <c r="G170" s="1221"/>
      <c r="H170" s="464"/>
    </row>
    <row r="171" spans="1:8" s="465" customFormat="1" ht="30.75" hidden="1" thickBot="1">
      <c r="A171" s="464"/>
      <c r="B171" s="483" t="s">
        <v>13497</v>
      </c>
      <c r="C171" s="484" t="str">
        <f>C175</f>
        <v>RESERVATÓRIO EM AÇO DO TIPO TAÇA COM COLUNA SECA (ALTURA DA COLUNA: 6,00M) - V: 10.000L - INCLUSIVE INSTALAÇÃO</v>
      </c>
      <c r="D171" s="504" t="str">
        <f>G175</f>
        <v>UN</v>
      </c>
      <c r="E171" s="505">
        <v>1</v>
      </c>
      <c r="F171" s="487">
        <f>D197</f>
        <v>17976</v>
      </c>
      <c r="G171" s="488">
        <f>TRUNC(E171*F171,2)</f>
        <v>17976</v>
      </c>
      <c r="H171" s="464"/>
    </row>
    <row r="172" spans="1:8" s="465" customFormat="1" ht="16.5" hidden="1" thickBot="1">
      <c r="A172" s="464"/>
      <c r="B172" s="490" t="s">
        <v>13498</v>
      </c>
      <c r="C172" s="490"/>
      <c r="D172" s="490"/>
      <c r="E172" s="491"/>
      <c r="F172" s="492" t="s">
        <v>22</v>
      </c>
      <c r="G172" s="493">
        <f>SUM(G171:G171)</f>
        <v>17976</v>
      </c>
      <c r="H172" s="464"/>
    </row>
    <row r="173" spans="1:8" s="465" customFormat="1" ht="15.75" hidden="1">
      <c r="A173" s="464"/>
      <c r="B173" s="542"/>
      <c r="C173" s="542"/>
      <c r="D173" s="542"/>
      <c r="E173" s="542"/>
      <c r="F173" s="507"/>
      <c r="G173" s="508"/>
      <c r="H173" s="464"/>
    </row>
    <row r="174" spans="1:8" s="465" customFormat="1" ht="15.75" hidden="1" thickBot="1">
      <c r="A174" s="464"/>
      <c r="H174" s="464"/>
    </row>
    <row r="175" spans="1:8" s="465" customFormat="1" ht="25.5" hidden="1">
      <c r="A175" s="464"/>
      <c r="B175" s="509"/>
      <c r="C175" s="510" t="s">
        <v>13525</v>
      </c>
      <c r="D175" s="511"/>
      <c r="E175" s="512"/>
      <c r="F175" s="513" t="s">
        <v>28</v>
      </c>
      <c r="G175" s="514" t="s">
        <v>28</v>
      </c>
      <c r="H175" s="515" t="s">
        <v>13500</v>
      </c>
    </row>
    <row r="176" spans="1:8" s="465" customFormat="1" hidden="1">
      <c r="A176" s="464"/>
      <c r="B176" s="1237" t="s">
        <v>13501</v>
      </c>
      <c r="C176" s="1238"/>
      <c r="D176" s="1238"/>
      <c r="E176" s="1238"/>
      <c r="F176" s="1238"/>
      <c r="G176" s="1239"/>
      <c r="H176" s="464"/>
    </row>
    <row r="177" spans="1:8" s="465" customFormat="1" ht="25.5" hidden="1">
      <c r="A177" s="464"/>
      <c r="B177" s="516" t="s">
        <v>13502</v>
      </c>
      <c r="C177" s="517" t="s">
        <v>13503</v>
      </c>
      <c r="D177" s="518" t="s">
        <v>13504</v>
      </c>
      <c r="E177" s="519" t="s">
        <v>13505</v>
      </c>
      <c r="F177" s="520" t="s">
        <v>13506</v>
      </c>
      <c r="G177" s="521" t="s">
        <v>13507</v>
      </c>
      <c r="H177" s="464"/>
    </row>
    <row r="178" spans="1:8" s="465" customFormat="1" ht="15.75" hidden="1">
      <c r="A178" s="464"/>
      <c r="B178" s="522">
        <v>43325</v>
      </c>
      <c r="C178" s="523" t="s">
        <v>13526</v>
      </c>
      <c r="D178" s="524">
        <v>20204.52</v>
      </c>
      <c r="E178" s="525" t="s">
        <v>13527</v>
      </c>
      <c r="F178" s="526" t="s">
        <v>13528</v>
      </c>
      <c r="G178" s="527" t="s">
        <v>13529</v>
      </c>
      <c r="H178"/>
    </row>
    <row r="179" spans="1:8" s="465" customFormat="1" ht="15.75" hidden="1">
      <c r="A179" s="464"/>
      <c r="B179" s="522">
        <v>43571</v>
      </c>
      <c r="C179" s="523" t="s">
        <v>13530</v>
      </c>
      <c r="D179" s="524">
        <v>16800</v>
      </c>
      <c r="E179" s="526" t="s">
        <v>13512</v>
      </c>
      <c r="F179" s="528" t="s">
        <v>13513</v>
      </c>
      <c r="G179" s="527" t="s">
        <v>13514</v>
      </c>
      <c r="H179"/>
    </row>
    <row r="180" spans="1:8" s="465" customFormat="1" ht="15.75" hidden="1">
      <c r="A180" s="464"/>
      <c r="B180" s="522"/>
      <c r="C180" s="528"/>
      <c r="D180" s="524"/>
      <c r="E180" s="528"/>
      <c r="F180" s="528"/>
      <c r="G180" s="529"/>
      <c r="H180"/>
    </row>
    <row r="181" spans="1:8" s="465" customFormat="1" ht="15.75" hidden="1">
      <c r="A181" s="464"/>
      <c r="B181" s="1237" t="s">
        <v>13519</v>
      </c>
      <c r="C181" s="1238"/>
      <c r="D181" s="1238"/>
      <c r="E181" s="1238"/>
      <c r="F181" s="1238"/>
      <c r="G181" s="1239"/>
      <c r="H181"/>
    </row>
    <row r="182" spans="1:8" s="465" customFormat="1" ht="25.5" hidden="1">
      <c r="A182" s="464"/>
      <c r="B182" s="516" t="s">
        <v>13502</v>
      </c>
      <c r="C182" s="517" t="s">
        <v>13503</v>
      </c>
      <c r="D182" s="518" t="s">
        <v>13504</v>
      </c>
      <c r="E182" s="519" t="s">
        <v>13505</v>
      </c>
      <c r="F182" s="520" t="s">
        <v>13506</v>
      </c>
      <c r="G182" s="521" t="s">
        <v>13507</v>
      </c>
      <c r="H182"/>
    </row>
    <row r="183" spans="1:8" s="465" customFormat="1" ht="15.75" hidden="1">
      <c r="A183" s="464"/>
      <c r="B183" s="522">
        <f>B178</f>
        <v>43325</v>
      </c>
      <c r="C183" s="523" t="str">
        <f>C178</f>
        <v>N&amp;F RESERVATÓRIOS</v>
      </c>
      <c r="D183" s="524">
        <v>0</v>
      </c>
      <c r="E183" s="525" t="str">
        <f t="shared" ref="E183:G184" si="14">E178</f>
        <v>17.497.997/0001-30</v>
      </c>
      <c r="F183" s="526" t="str">
        <f t="shared" si="14"/>
        <v>(16) 3287-1109</v>
      </c>
      <c r="G183" s="527" t="str">
        <f t="shared" si="14"/>
        <v>DANILO</v>
      </c>
      <c r="H183"/>
    </row>
    <row r="184" spans="1:8" s="465" customFormat="1" ht="15.75" hidden="1">
      <c r="A184" s="464"/>
      <c r="B184" s="522">
        <f>B179</f>
        <v>43571</v>
      </c>
      <c r="C184" s="523" t="str">
        <f>C179</f>
        <v xml:space="preserve">ROMA RESERVATÓRIOS </v>
      </c>
      <c r="D184" s="524">
        <v>0</v>
      </c>
      <c r="E184" s="526" t="str">
        <f t="shared" si="14"/>
        <v>06.942.746/0001-09</v>
      </c>
      <c r="F184" s="528" t="str">
        <f t="shared" si="14"/>
        <v>(11)2592-1156</v>
      </c>
      <c r="G184" s="527" t="str">
        <f t="shared" si="14"/>
        <v>RONALDO</v>
      </c>
      <c r="H184"/>
    </row>
    <row r="185" spans="1:8" s="465" customFormat="1" hidden="1">
      <c r="A185" s="464"/>
      <c r="B185" s="522"/>
      <c r="C185" s="528"/>
      <c r="D185" s="524"/>
      <c r="E185" s="528"/>
      <c r="F185" s="528"/>
      <c r="G185" s="529"/>
      <c r="H185" s="464"/>
    </row>
    <row r="186" spans="1:8" s="465" customFormat="1" hidden="1">
      <c r="A186" s="464"/>
      <c r="B186" s="530" t="s">
        <v>13520</v>
      </c>
      <c r="C186" s="531"/>
      <c r="D186" s="532"/>
      <c r="E186" s="533"/>
      <c r="F186" s="534"/>
      <c r="G186" s="535"/>
      <c r="H186" s="464"/>
    </row>
    <row r="187" spans="1:8" s="465" customFormat="1" hidden="1">
      <c r="A187" s="464"/>
      <c r="B187" s="1237" t="s">
        <v>13521</v>
      </c>
      <c r="C187" s="1238"/>
      <c r="D187" s="1238"/>
      <c r="E187" s="1238"/>
      <c r="F187" s="1238"/>
      <c r="G187" s="1239"/>
      <c r="H187" s="464"/>
    </row>
    <row r="188" spans="1:8" s="465" customFormat="1" ht="25.5" hidden="1">
      <c r="A188" s="464"/>
      <c r="B188" s="516" t="s">
        <v>13502</v>
      </c>
      <c r="C188" s="517" t="s">
        <v>13503</v>
      </c>
      <c r="D188" s="518" t="s">
        <v>13504</v>
      </c>
      <c r="E188" s="519" t="s">
        <v>13505</v>
      </c>
      <c r="F188" s="520" t="s">
        <v>13506</v>
      </c>
      <c r="G188" s="521" t="s">
        <v>13507</v>
      </c>
      <c r="H188" s="464"/>
    </row>
    <row r="189" spans="1:8" s="465" customFormat="1" hidden="1">
      <c r="A189" s="464"/>
      <c r="B189" s="522">
        <f>B178</f>
        <v>43325</v>
      </c>
      <c r="C189" s="523" t="str">
        <f>C178</f>
        <v>N&amp;F RESERVATÓRIOS</v>
      </c>
      <c r="D189" s="524">
        <f>TRUNC(((D178+D183)*0.07),2)</f>
        <v>1414.31</v>
      </c>
      <c r="E189" s="525" t="str">
        <f t="shared" ref="E189:G190" si="15">E178</f>
        <v>17.497.997/0001-30</v>
      </c>
      <c r="F189" s="526" t="str">
        <f t="shared" si="15"/>
        <v>(16) 3287-1109</v>
      </c>
      <c r="G189" s="527" t="str">
        <f t="shared" si="15"/>
        <v>DANILO</v>
      </c>
      <c r="H189" s="464"/>
    </row>
    <row r="190" spans="1:8" s="465" customFormat="1" hidden="1">
      <c r="A190" s="464"/>
      <c r="B190" s="522">
        <f>B179</f>
        <v>43571</v>
      </c>
      <c r="C190" s="523" t="str">
        <f>C179</f>
        <v xml:space="preserve">ROMA RESERVATÓRIOS </v>
      </c>
      <c r="D190" s="524">
        <f>TRUNC(((D179+D184)*0.07),2)</f>
        <v>1176</v>
      </c>
      <c r="E190" s="526" t="str">
        <f t="shared" si="15"/>
        <v>06.942.746/0001-09</v>
      </c>
      <c r="F190" s="528" t="str">
        <f t="shared" si="15"/>
        <v>(11)2592-1156</v>
      </c>
      <c r="G190" s="527" t="str">
        <f t="shared" si="15"/>
        <v>RONALDO</v>
      </c>
      <c r="H190" s="464"/>
    </row>
    <row r="191" spans="1:8" s="465" customFormat="1" hidden="1">
      <c r="A191" s="464"/>
      <c r="B191" s="522"/>
      <c r="C191" s="528"/>
      <c r="D191" s="524"/>
      <c r="E191" s="528"/>
      <c r="F191" s="528"/>
      <c r="G191" s="529"/>
      <c r="H191" s="464"/>
    </row>
    <row r="192" spans="1:8" s="465" customFormat="1" hidden="1">
      <c r="A192" s="464"/>
      <c r="B192" s="1237" t="s">
        <v>13522</v>
      </c>
      <c r="C192" s="1238"/>
      <c r="D192" s="1238"/>
      <c r="E192" s="1238"/>
      <c r="F192" s="1238"/>
      <c r="G192" s="1239"/>
      <c r="H192" s="464"/>
    </row>
    <row r="193" spans="1:8" s="465" customFormat="1" ht="25.5" hidden="1">
      <c r="A193" s="464"/>
      <c r="B193" s="516" t="s">
        <v>13502</v>
      </c>
      <c r="C193" s="517" t="s">
        <v>13503</v>
      </c>
      <c r="D193" s="518" t="s">
        <v>13504</v>
      </c>
      <c r="E193" s="519" t="s">
        <v>13505</v>
      </c>
      <c r="F193" s="520" t="s">
        <v>13506</v>
      </c>
      <c r="G193" s="521" t="s">
        <v>13507</v>
      </c>
      <c r="H193" s="464"/>
    </row>
    <row r="194" spans="1:8" s="465" customFormat="1" hidden="1">
      <c r="A194" s="464"/>
      <c r="B194" s="522">
        <f>B178</f>
        <v>43325</v>
      </c>
      <c r="C194" s="523" t="str">
        <f>C178</f>
        <v>N&amp;F RESERVATÓRIOS</v>
      </c>
      <c r="D194" s="524">
        <f>D178+D183+D189</f>
        <v>21618.83</v>
      </c>
      <c r="E194" s="525" t="str">
        <f t="shared" ref="E194:G195" si="16">E178</f>
        <v>17.497.997/0001-30</v>
      </c>
      <c r="F194" s="526" t="str">
        <f t="shared" si="16"/>
        <v>(16) 3287-1109</v>
      </c>
      <c r="G194" s="527" t="str">
        <f t="shared" si="16"/>
        <v>DANILO</v>
      </c>
      <c r="H194" s="464"/>
    </row>
    <row r="195" spans="1:8" s="465" customFormat="1" hidden="1">
      <c r="A195" s="464"/>
      <c r="B195" s="522">
        <f>B179</f>
        <v>43571</v>
      </c>
      <c r="C195" s="523" t="str">
        <f>C179</f>
        <v xml:space="preserve">ROMA RESERVATÓRIOS </v>
      </c>
      <c r="D195" s="524">
        <f>D179+D184+D190</f>
        <v>17976</v>
      </c>
      <c r="E195" s="526" t="str">
        <f t="shared" si="16"/>
        <v>06.942.746/0001-09</v>
      </c>
      <c r="F195" s="528" t="str">
        <f t="shared" si="16"/>
        <v>(11)2592-1156</v>
      </c>
      <c r="G195" s="527" t="str">
        <f t="shared" si="16"/>
        <v>RONALDO</v>
      </c>
      <c r="H195" s="464"/>
    </row>
    <row r="196" spans="1:8" s="465" customFormat="1" hidden="1">
      <c r="A196" s="464"/>
      <c r="B196" s="522"/>
      <c r="C196" s="528"/>
      <c r="D196" s="524"/>
      <c r="E196" s="528"/>
      <c r="F196" s="528"/>
      <c r="G196" s="529"/>
      <c r="H196" s="464"/>
    </row>
    <row r="197" spans="1:8" s="465" customFormat="1" ht="16.5" hidden="1" thickBot="1">
      <c r="A197" s="464"/>
      <c r="B197" s="536"/>
      <c r="C197" s="537" t="s">
        <v>13523</v>
      </c>
      <c r="D197" s="538">
        <f>IF(COUNT(D193:D196)=3,MEDIAN(D194:D196),SMALL(D194:D196,1))</f>
        <v>17976</v>
      </c>
      <c r="E197" s="539"/>
      <c r="F197" s="540"/>
      <c r="G197" s="541"/>
      <c r="H197" s="464"/>
    </row>
    <row r="198" spans="1:8" s="465" customFormat="1" ht="15.75" hidden="1" thickBot="1">
      <c r="A198" s="464"/>
      <c r="H198" s="464"/>
    </row>
    <row r="199" spans="1:8" s="465" customFormat="1" ht="43.5" hidden="1" customHeight="1">
      <c r="A199" s="464"/>
      <c r="B199" s="466" t="str">
        <f>IF(COUNT($H$8:H199)&lt;10,CONCATENATE("COMP HID 00",COUNT($H$8:H199)),CONCATENATE("COMP HID 0",COUNT($H$8:H199)))</f>
        <v>COMP HID 013</v>
      </c>
      <c r="C199" s="1217" t="s">
        <v>13531</v>
      </c>
      <c r="D199" s="1218"/>
      <c r="E199" s="1218"/>
      <c r="F199" s="1219"/>
      <c r="G199" s="467" t="s">
        <v>28</v>
      </c>
      <c r="H199" s="468">
        <f>G203</f>
        <v>23938.04</v>
      </c>
    </row>
    <row r="200" spans="1:8" s="465" customFormat="1" ht="31.5" hidden="1">
      <c r="A200" s="464"/>
      <c r="B200" s="469" t="s">
        <v>13463</v>
      </c>
      <c r="C200" s="470" t="s">
        <v>13464</v>
      </c>
      <c r="D200" s="470" t="s">
        <v>28</v>
      </c>
      <c r="E200" s="470" t="s">
        <v>13465</v>
      </c>
      <c r="F200" s="471" t="s">
        <v>13466</v>
      </c>
      <c r="G200" s="472" t="s">
        <v>13467</v>
      </c>
      <c r="H200" s="464"/>
    </row>
    <row r="201" spans="1:8" s="503" customFormat="1" ht="15.75" hidden="1">
      <c r="B201" s="1240" t="s">
        <v>13468</v>
      </c>
      <c r="C201" s="1241"/>
      <c r="D201" s="1241"/>
      <c r="E201" s="1241"/>
      <c r="F201" s="1241"/>
      <c r="G201" s="1242"/>
    </row>
    <row r="202" spans="1:8" s="465" customFormat="1" ht="30.75" hidden="1" thickBot="1">
      <c r="A202" s="464"/>
      <c r="B202" s="483" t="s">
        <v>13497</v>
      </c>
      <c r="C202" s="484" t="str">
        <f>C206</f>
        <v>RESERVATÓRIO EM AÇO DO TIPO TAÇA COM COLUNA SECA (ALTURA DA COLUNA: 6,00M) - V: 15.000L - INCLUSIVE INSTALAÇÃO</v>
      </c>
      <c r="D202" s="504" t="str">
        <f>G206</f>
        <v>UN</v>
      </c>
      <c r="E202" s="505">
        <v>1</v>
      </c>
      <c r="F202" s="487">
        <f>D228</f>
        <v>23938.04</v>
      </c>
      <c r="G202" s="488">
        <f>TRUNC(E202*F202,2)</f>
        <v>23938.04</v>
      </c>
      <c r="H202" s="464"/>
    </row>
    <row r="203" spans="1:8" s="465" customFormat="1" ht="16.5" hidden="1" thickBot="1">
      <c r="A203" s="464"/>
      <c r="B203" s="490" t="s">
        <v>13498</v>
      </c>
      <c r="C203" s="490"/>
      <c r="D203" s="490"/>
      <c r="E203" s="490"/>
      <c r="F203" s="492" t="s">
        <v>22</v>
      </c>
      <c r="G203" s="493">
        <f>SUM(G202:G202)</f>
        <v>23938.04</v>
      </c>
      <c r="H203" s="464"/>
    </row>
    <row r="204" spans="1:8" s="465" customFormat="1" ht="15.75" hidden="1">
      <c r="A204" s="464"/>
      <c r="B204" s="542"/>
      <c r="C204" s="542"/>
      <c r="D204" s="542"/>
      <c r="E204" s="542"/>
      <c r="F204" s="507"/>
      <c r="G204" s="508"/>
      <c r="H204" s="464"/>
    </row>
    <row r="205" spans="1:8" s="465" customFormat="1" ht="15.75" hidden="1" thickBot="1">
      <c r="A205" s="464"/>
      <c r="H205" s="464"/>
    </row>
    <row r="206" spans="1:8" s="465" customFormat="1" ht="25.5" hidden="1">
      <c r="A206" s="464"/>
      <c r="B206" s="509"/>
      <c r="C206" s="510" t="s">
        <v>13532</v>
      </c>
      <c r="D206" s="511"/>
      <c r="E206" s="512"/>
      <c r="F206" s="513" t="s">
        <v>28</v>
      </c>
      <c r="G206" s="514" t="s">
        <v>28</v>
      </c>
      <c r="H206" s="515" t="s">
        <v>13500</v>
      </c>
    </row>
    <row r="207" spans="1:8" s="465" customFormat="1" hidden="1">
      <c r="A207" s="464"/>
      <c r="B207" s="1237" t="s">
        <v>13501</v>
      </c>
      <c r="C207" s="1238"/>
      <c r="D207" s="1238"/>
      <c r="E207" s="1238"/>
      <c r="F207" s="1238"/>
      <c r="G207" s="1239"/>
      <c r="H207" s="464"/>
    </row>
    <row r="208" spans="1:8" s="465" customFormat="1" ht="25.5" hidden="1">
      <c r="A208" s="464"/>
      <c r="B208" s="516" t="s">
        <v>13502</v>
      </c>
      <c r="C208" s="517" t="s">
        <v>13503</v>
      </c>
      <c r="D208" s="518" t="s">
        <v>13504</v>
      </c>
      <c r="E208" s="519" t="s">
        <v>13505</v>
      </c>
      <c r="F208" s="520" t="s">
        <v>13506</v>
      </c>
      <c r="G208" s="521" t="s">
        <v>13507</v>
      </c>
      <c r="H208" s="464"/>
    </row>
    <row r="209" spans="1:8" s="465" customFormat="1" ht="15.75" hidden="1">
      <c r="A209" s="464"/>
      <c r="B209" s="522">
        <v>43566</v>
      </c>
      <c r="C209" s="523" t="s">
        <v>13533</v>
      </c>
      <c r="D209" s="524">
        <v>20000</v>
      </c>
      <c r="E209" s="525">
        <f>E192</f>
        <v>0</v>
      </c>
      <c r="F209" s="526" t="s">
        <v>13534</v>
      </c>
      <c r="G209" s="527" t="s">
        <v>13535</v>
      </c>
      <c r="H209"/>
    </row>
    <row r="210" spans="1:8" s="465" customFormat="1" ht="15.75" hidden="1">
      <c r="A210" s="464"/>
      <c r="B210" s="522">
        <v>43566</v>
      </c>
      <c r="C210" s="523" t="s">
        <v>13530</v>
      </c>
      <c r="D210" s="524">
        <v>11000</v>
      </c>
      <c r="E210" s="526" t="s">
        <v>13512</v>
      </c>
      <c r="F210" s="528" t="s">
        <v>13513</v>
      </c>
      <c r="G210" s="527" t="s">
        <v>13514</v>
      </c>
      <c r="H210"/>
    </row>
    <row r="211" spans="1:8" s="465" customFormat="1" ht="15.75" hidden="1">
      <c r="A211" s="464"/>
      <c r="B211" s="522">
        <v>43510</v>
      </c>
      <c r="C211" s="528" t="s">
        <v>13536</v>
      </c>
      <c r="D211" s="524">
        <v>20340</v>
      </c>
      <c r="E211" s="528" t="s">
        <v>13527</v>
      </c>
      <c r="F211" s="528" t="s">
        <v>13537</v>
      </c>
      <c r="G211" s="529" t="s">
        <v>13538</v>
      </c>
      <c r="H211"/>
    </row>
    <row r="212" spans="1:8" s="465" customFormat="1" hidden="1">
      <c r="A212" s="464"/>
      <c r="B212" s="1237" t="s">
        <v>13519</v>
      </c>
      <c r="C212" s="1238"/>
      <c r="D212" s="1238"/>
      <c r="E212" s="1238"/>
      <c r="F212" s="1238"/>
      <c r="G212" s="1239"/>
      <c r="H212" s="464"/>
    </row>
    <row r="213" spans="1:8" s="465" customFormat="1" ht="25.5" hidden="1">
      <c r="A213" s="464"/>
      <c r="B213" s="516" t="s">
        <v>13502</v>
      </c>
      <c r="C213" s="517" t="s">
        <v>13503</v>
      </c>
      <c r="D213" s="518" t="s">
        <v>13504</v>
      </c>
      <c r="E213" s="519" t="s">
        <v>13505</v>
      </c>
      <c r="F213" s="520" t="s">
        <v>13506</v>
      </c>
      <c r="G213" s="521" t="s">
        <v>13507</v>
      </c>
      <c r="H213" s="464"/>
    </row>
    <row r="214" spans="1:8" s="465" customFormat="1" hidden="1">
      <c r="A214" s="464"/>
      <c r="B214" s="522">
        <f t="shared" ref="B214:C216" si="17">B209</f>
        <v>43566</v>
      </c>
      <c r="C214" s="523" t="str">
        <f t="shared" si="17"/>
        <v xml:space="preserve">BRASIL CAIXAS D'ÁGUA </v>
      </c>
      <c r="D214" s="524">
        <v>2372</v>
      </c>
      <c r="E214" s="525">
        <f t="shared" ref="E214:G216" si="18">E209</f>
        <v>0</v>
      </c>
      <c r="F214" s="526" t="str">
        <f t="shared" si="18"/>
        <v>(11) 3614-9066</v>
      </c>
      <c r="G214" s="527" t="str">
        <f t="shared" si="18"/>
        <v>ELAINE</v>
      </c>
      <c r="H214" s="464"/>
    </row>
    <row r="215" spans="1:8" s="465" customFormat="1" hidden="1">
      <c r="A215" s="464"/>
      <c r="B215" s="522">
        <f t="shared" si="17"/>
        <v>43566</v>
      </c>
      <c r="C215" s="523" t="str">
        <f t="shared" si="17"/>
        <v xml:space="preserve">ROMA RESERVATÓRIOS </v>
      </c>
      <c r="D215" s="524">
        <v>0</v>
      </c>
      <c r="E215" s="526" t="str">
        <f t="shared" si="18"/>
        <v>06.942.746/0001-09</v>
      </c>
      <c r="F215" s="528" t="str">
        <f t="shared" si="18"/>
        <v>(11)2592-1156</v>
      </c>
      <c r="G215" s="527" t="str">
        <f t="shared" si="18"/>
        <v>RONALDO</v>
      </c>
      <c r="H215" s="464"/>
    </row>
    <row r="216" spans="1:8" s="465" customFormat="1" hidden="1">
      <c r="A216" s="464"/>
      <c r="B216" s="522">
        <f t="shared" si="17"/>
        <v>43510</v>
      </c>
      <c r="C216" s="528" t="str">
        <f t="shared" si="17"/>
        <v>ALFA METALURGICA</v>
      </c>
      <c r="D216" s="524">
        <v>8750</v>
      </c>
      <c r="E216" s="528" t="str">
        <f t="shared" si="18"/>
        <v>17.497.997/0001-30</v>
      </c>
      <c r="F216" s="528" t="str">
        <f t="shared" si="18"/>
        <v>(16)3287-1109</v>
      </c>
      <c r="G216" s="529" t="str">
        <f t="shared" si="18"/>
        <v xml:space="preserve">LUCIENE </v>
      </c>
      <c r="H216" s="464"/>
    </row>
    <row r="217" spans="1:8" s="465" customFormat="1" hidden="1">
      <c r="A217" s="464"/>
      <c r="B217" s="530" t="s">
        <v>13520</v>
      </c>
      <c r="C217" s="531"/>
      <c r="D217" s="532"/>
      <c r="E217" s="533"/>
      <c r="F217" s="534"/>
      <c r="G217" s="535"/>
      <c r="H217" s="464"/>
    </row>
    <row r="218" spans="1:8" s="465" customFormat="1" hidden="1">
      <c r="A218" s="464"/>
      <c r="B218" s="1237" t="s">
        <v>13521</v>
      </c>
      <c r="C218" s="1238"/>
      <c r="D218" s="1238"/>
      <c r="E218" s="1238"/>
      <c r="F218" s="1238"/>
      <c r="G218" s="1239"/>
      <c r="H218" s="464"/>
    </row>
    <row r="219" spans="1:8" s="465" customFormat="1" ht="25.5" hidden="1">
      <c r="A219" s="464"/>
      <c r="B219" s="516" t="s">
        <v>13502</v>
      </c>
      <c r="C219" s="517" t="s">
        <v>13503</v>
      </c>
      <c r="D219" s="518" t="s">
        <v>13504</v>
      </c>
      <c r="E219" s="519" t="s">
        <v>13505</v>
      </c>
      <c r="F219" s="520" t="s">
        <v>13506</v>
      </c>
      <c r="G219" s="521" t="s">
        <v>13507</v>
      </c>
      <c r="H219" s="464"/>
    </row>
    <row r="220" spans="1:8" s="465" customFormat="1" hidden="1">
      <c r="A220" s="464"/>
      <c r="B220" s="522">
        <f t="shared" ref="B220:C222" si="19">B209</f>
        <v>43566</v>
      </c>
      <c r="C220" s="523" t="str">
        <f t="shared" si="19"/>
        <v xml:space="preserve">BRASIL CAIXAS D'ÁGUA </v>
      </c>
      <c r="D220" s="524">
        <f>TRUNC(((D209+D214)*0.07),2)</f>
        <v>1566.04</v>
      </c>
      <c r="E220" s="525">
        <f t="shared" ref="E220:G222" si="20">E209</f>
        <v>0</v>
      </c>
      <c r="F220" s="526" t="str">
        <f t="shared" si="20"/>
        <v>(11) 3614-9066</v>
      </c>
      <c r="G220" s="527" t="str">
        <f t="shared" si="20"/>
        <v>ELAINE</v>
      </c>
      <c r="H220" s="464"/>
    </row>
    <row r="221" spans="1:8" s="465" customFormat="1" hidden="1">
      <c r="A221" s="464"/>
      <c r="B221" s="522">
        <f t="shared" si="19"/>
        <v>43566</v>
      </c>
      <c r="C221" s="523" t="str">
        <f t="shared" si="19"/>
        <v xml:space="preserve">ROMA RESERVATÓRIOS </v>
      </c>
      <c r="D221" s="524">
        <f>TRUNC(((D210+D215)*0.07),2)</f>
        <v>770</v>
      </c>
      <c r="E221" s="526" t="str">
        <f t="shared" si="20"/>
        <v>06.942.746/0001-09</v>
      </c>
      <c r="F221" s="528" t="str">
        <f t="shared" si="20"/>
        <v>(11)2592-1156</v>
      </c>
      <c r="G221" s="527" t="str">
        <f t="shared" si="20"/>
        <v>RONALDO</v>
      </c>
      <c r="H221" s="464"/>
    </row>
    <row r="222" spans="1:8" s="465" customFormat="1" hidden="1">
      <c r="A222" s="464"/>
      <c r="B222" s="522">
        <f t="shared" si="19"/>
        <v>43510</v>
      </c>
      <c r="C222" s="528" t="str">
        <f t="shared" si="19"/>
        <v>ALFA METALURGICA</v>
      </c>
      <c r="D222" s="524">
        <f>TRUNC(((D211+D216)*0.07),2)</f>
        <v>2036.3</v>
      </c>
      <c r="E222" s="528" t="str">
        <f t="shared" si="20"/>
        <v>17.497.997/0001-30</v>
      </c>
      <c r="F222" s="528" t="str">
        <f t="shared" si="20"/>
        <v>(16)3287-1109</v>
      </c>
      <c r="G222" s="529" t="str">
        <f t="shared" si="20"/>
        <v xml:space="preserve">LUCIENE </v>
      </c>
      <c r="H222" s="464"/>
    </row>
    <row r="223" spans="1:8" s="465" customFormat="1" hidden="1">
      <c r="A223" s="464"/>
      <c r="B223" s="1237" t="s">
        <v>13522</v>
      </c>
      <c r="C223" s="1238"/>
      <c r="D223" s="1238"/>
      <c r="E223" s="1238"/>
      <c r="F223" s="1238"/>
      <c r="G223" s="1239"/>
      <c r="H223" s="464"/>
    </row>
    <row r="224" spans="1:8" s="465" customFormat="1" ht="25.5" hidden="1">
      <c r="A224" s="464"/>
      <c r="B224" s="516" t="s">
        <v>13502</v>
      </c>
      <c r="C224" s="517" t="s">
        <v>13503</v>
      </c>
      <c r="D224" s="518" t="s">
        <v>13504</v>
      </c>
      <c r="E224" s="519" t="s">
        <v>13505</v>
      </c>
      <c r="F224" s="520" t="s">
        <v>13506</v>
      </c>
      <c r="G224" s="521" t="s">
        <v>13507</v>
      </c>
      <c r="H224" s="464"/>
    </row>
    <row r="225" spans="1:8" s="465" customFormat="1" hidden="1">
      <c r="A225" s="464"/>
      <c r="B225" s="522">
        <f t="shared" ref="B225:C227" si="21">B209</f>
        <v>43566</v>
      </c>
      <c r="C225" s="523" t="str">
        <f t="shared" si="21"/>
        <v xml:space="preserve">BRASIL CAIXAS D'ÁGUA </v>
      </c>
      <c r="D225" s="524">
        <f>D209+D214+D220</f>
        <v>23938.04</v>
      </c>
      <c r="E225" s="525">
        <f t="shared" ref="E225:G227" si="22">E209</f>
        <v>0</v>
      </c>
      <c r="F225" s="526" t="str">
        <f t="shared" si="22"/>
        <v>(11) 3614-9066</v>
      </c>
      <c r="G225" s="527" t="str">
        <f t="shared" si="22"/>
        <v>ELAINE</v>
      </c>
      <c r="H225" s="464"/>
    </row>
    <row r="226" spans="1:8" s="465" customFormat="1" hidden="1">
      <c r="A226" s="464"/>
      <c r="B226" s="522">
        <f t="shared" si="21"/>
        <v>43566</v>
      </c>
      <c r="C226" s="523" t="str">
        <f t="shared" si="21"/>
        <v xml:space="preserve">ROMA RESERVATÓRIOS </v>
      </c>
      <c r="D226" s="524">
        <f>D210+D215+D221</f>
        <v>11770</v>
      </c>
      <c r="E226" s="526" t="str">
        <f t="shared" si="22"/>
        <v>06.942.746/0001-09</v>
      </c>
      <c r="F226" s="528" t="str">
        <f t="shared" si="22"/>
        <v>(11)2592-1156</v>
      </c>
      <c r="G226" s="527" t="str">
        <f t="shared" si="22"/>
        <v>RONALDO</v>
      </c>
      <c r="H226" s="464"/>
    </row>
    <row r="227" spans="1:8" s="465" customFormat="1" hidden="1">
      <c r="A227" s="464"/>
      <c r="B227" s="522">
        <f t="shared" si="21"/>
        <v>43510</v>
      </c>
      <c r="C227" s="528" t="str">
        <f t="shared" si="21"/>
        <v>ALFA METALURGICA</v>
      </c>
      <c r="D227" s="524">
        <f>D211+D216+D222</f>
        <v>31126.3</v>
      </c>
      <c r="E227" s="528" t="str">
        <f t="shared" si="22"/>
        <v>17.497.997/0001-30</v>
      </c>
      <c r="F227" s="528" t="str">
        <f t="shared" si="22"/>
        <v>(16)3287-1109</v>
      </c>
      <c r="G227" s="529" t="str">
        <f t="shared" si="22"/>
        <v xml:space="preserve">LUCIENE </v>
      </c>
      <c r="H227" s="464"/>
    </row>
    <row r="228" spans="1:8" s="465" customFormat="1" ht="16.5" hidden="1" thickBot="1">
      <c r="A228" s="464"/>
      <c r="B228" s="536"/>
      <c r="C228" s="537" t="s">
        <v>13523</v>
      </c>
      <c r="D228" s="538">
        <f>IF(COUNT(D224:D227)=3,MEDIAN(D225:D227),SMALL(D225:D227,1))</f>
        <v>23938.04</v>
      </c>
      <c r="E228" s="539"/>
      <c r="F228" s="540"/>
      <c r="G228" s="541"/>
      <c r="H228" s="464"/>
    </row>
    <row r="229" spans="1:8" s="465" customFormat="1" ht="15.75" hidden="1" thickBot="1">
      <c r="A229" s="464"/>
      <c r="H229" s="464"/>
    </row>
    <row r="230" spans="1:8" s="465" customFormat="1" ht="42.75" hidden="1" customHeight="1">
      <c r="A230" s="464"/>
      <c r="B230" s="466" t="str">
        <f>IF(COUNT($H$8:H230)&lt;10,CONCATENATE("COMP HID 00",COUNT($H$8:H230)),CONCATENATE("COMP HID 0",COUNT($H$8:H230)))</f>
        <v>COMP HID 014</v>
      </c>
      <c r="C230" s="1217" t="s">
        <v>13539</v>
      </c>
      <c r="D230" s="1218"/>
      <c r="E230" s="1218"/>
      <c r="F230" s="1219"/>
      <c r="G230" s="467" t="s">
        <v>28</v>
      </c>
      <c r="H230" s="468">
        <f>G234</f>
        <v>28890</v>
      </c>
    </row>
    <row r="231" spans="1:8" s="465" customFormat="1" ht="31.5" hidden="1">
      <c r="A231" s="464"/>
      <c r="B231" s="469" t="s">
        <v>13463</v>
      </c>
      <c r="C231" s="470" t="s">
        <v>13464</v>
      </c>
      <c r="D231" s="470" t="s">
        <v>28</v>
      </c>
      <c r="E231" s="470" t="s">
        <v>13465</v>
      </c>
      <c r="F231" s="471" t="s">
        <v>13466</v>
      </c>
      <c r="G231" s="472" t="s">
        <v>13467</v>
      </c>
      <c r="H231" s="464"/>
    </row>
    <row r="232" spans="1:8" s="465" customFormat="1" ht="15.75" hidden="1">
      <c r="A232" s="464"/>
      <c r="B232" s="1240" t="s">
        <v>13468</v>
      </c>
      <c r="C232" s="1241"/>
      <c r="D232" s="1241"/>
      <c r="E232" s="1241"/>
      <c r="F232" s="1241"/>
      <c r="G232" s="1242"/>
      <c r="H232" s="464"/>
    </row>
    <row r="233" spans="1:8" s="465" customFormat="1" ht="30.75" hidden="1" thickBot="1">
      <c r="A233" s="464"/>
      <c r="B233" s="483" t="s">
        <v>13497</v>
      </c>
      <c r="C233" s="484" t="str">
        <f>C237</f>
        <v>RESERVATÓRIO EM AÇO DO TIPO TAÇA COM COLUNA SECA (ALTURA DA COLUNA: 6,00M) - V: 20.000L - INCLUSIVE INSTALAÇÃO</v>
      </c>
      <c r="D233" s="504" t="str">
        <f>G237</f>
        <v>UN</v>
      </c>
      <c r="E233" s="505">
        <v>1</v>
      </c>
      <c r="F233" s="487">
        <f>D259</f>
        <v>28890</v>
      </c>
      <c r="G233" s="488">
        <f>TRUNC(E233*F233,2)</f>
        <v>28890</v>
      </c>
      <c r="H233" s="464"/>
    </row>
    <row r="234" spans="1:8" s="465" customFormat="1" ht="16.5" hidden="1" thickBot="1">
      <c r="A234" s="464"/>
      <c r="B234" s="490" t="s">
        <v>13498</v>
      </c>
      <c r="C234" s="490"/>
      <c r="D234" s="490"/>
      <c r="E234" s="490"/>
      <c r="F234" s="492" t="s">
        <v>22</v>
      </c>
      <c r="G234" s="493">
        <f>SUM(G233:G233)</f>
        <v>28890</v>
      </c>
      <c r="H234" s="464"/>
    </row>
    <row r="235" spans="1:8" s="465" customFormat="1" ht="15.75" hidden="1">
      <c r="A235" s="464"/>
      <c r="B235" s="542"/>
      <c r="C235" s="542"/>
      <c r="D235" s="542"/>
      <c r="E235" s="542"/>
      <c r="F235" s="507"/>
      <c r="G235" s="508"/>
      <c r="H235" s="464"/>
    </row>
    <row r="236" spans="1:8" s="465" customFormat="1" ht="15.75" hidden="1" thickBot="1">
      <c r="A236" s="464"/>
      <c r="H236" s="464"/>
    </row>
    <row r="237" spans="1:8" s="465" customFormat="1" ht="25.5" hidden="1">
      <c r="A237" s="464"/>
      <c r="B237" s="509"/>
      <c r="C237" s="510" t="s">
        <v>13540</v>
      </c>
      <c r="D237" s="511"/>
      <c r="E237" s="512"/>
      <c r="F237" s="513" t="s">
        <v>28</v>
      </c>
      <c r="G237" s="514" t="s">
        <v>28</v>
      </c>
      <c r="H237" s="515" t="s">
        <v>13500</v>
      </c>
    </row>
    <row r="238" spans="1:8" s="465" customFormat="1" hidden="1">
      <c r="A238" s="464"/>
      <c r="B238" s="1237" t="s">
        <v>13501</v>
      </c>
      <c r="C238" s="1238"/>
      <c r="D238" s="1238"/>
      <c r="E238" s="1238"/>
      <c r="F238" s="1238"/>
      <c r="G238" s="1239"/>
      <c r="H238" s="464"/>
    </row>
    <row r="239" spans="1:8" s="465" customFormat="1" ht="25.5" hidden="1">
      <c r="A239" s="464"/>
      <c r="B239" s="516" t="s">
        <v>13502</v>
      </c>
      <c r="C239" s="517" t="s">
        <v>13503</v>
      </c>
      <c r="D239" s="518" t="s">
        <v>13504</v>
      </c>
      <c r="E239" s="519" t="s">
        <v>13505</v>
      </c>
      <c r="F239" s="520" t="s">
        <v>13506</v>
      </c>
      <c r="G239" s="521" t="s">
        <v>13507</v>
      </c>
      <c r="H239" s="464"/>
    </row>
    <row r="240" spans="1:8" s="465" customFormat="1" ht="15.75" hidden="1">
      <c r="A240" s="464"/>
      <c r="B240" s="522">
        <v>43544</v>
      </c>
      <c r="C240" s="523" t="s">
        <v>13541</v>
      </c>
      <c r="D240" s="524">
        <v>29122.99</v>
      </c>
      <c r="E240" s="525" t="s">
        <v>13542</v>
      </c>
      <c r="F240" s="526" t="s">
        <v>13543</v>
      </c>
      <c r="G240" s="527" t="s">
        <v>13544</v>
      </c>
      <c r="H240"/>
    </row>
    <row r="241" spans="1:8" s="465" customFormat="1" ht="15.75" hidden="1">
      <c r="A241" s="464"/>
      <c r="B241" s="522">
        <v>43546</v>
      </c>
      <c r="C241" s="523" t="s">
        <v>13545</v>
      </c>
      <c r="D241" s="524">
        <v>27000</v>
      </c>
      <c r="E241" s="526" t="s">
        <v>13546</v>
      </c>
      <c r="F241" s="528" t="s">
        <v>13547</v>
      </c>
      <c r="G241" s="527"/>
      <c r="H241"/>
    </row>
    <row r="242" spans="1:8" s="465" customFormat="1" ht="15.75" hidden="1">
      <c r="A242" s="464"/>
      <c r="B242" s="522">
        <v>43264</v>
      </c>
      <c r="C242" s="528" t="s">
        <v>13548</v>
      </c>
      <c r="D242" s="524">
        <v>22200</v>
      </c>
      <c r="E242" s="528" t="s">
        <v>13512</v>
      </c>
      <c r="F242" s="528" t="s">
        <v>13549</v>
      </c>
      <c r="G242" s="529" t="s">
        <v>13514</v>
      </c>
      <c r="H242"/>
    </row>
    <row r="243" spans="1:8" s="465" customFormat="1" ht="15.75" hidden="1">
      <c r="A243" s="464"/>
      <c r="B243" s="1237" t="s">
        <v>13519</v>
      </c>
      <c r="C243" s="1238"/>
      <c r="D243" s="1238"/>
      <c r="E243" s="1238"/>
      <c r="F243" s="1238"/>
      <c r="G243" s="1239"/>
      <c r="H243"/>
    </row>
    <row r="244" spans="1:8" s="465" customFormat="1" ht="25.5" hidden="1">
      <c r="A244" s="464"/>
      <c r="B244" s="516" t="s">
        <v>13502</v>
      </c>
      <c r="C244" s="517" t="s">
        <v>13503</v>
      </c>
      <c r="D244" s="518" t="s">
        <v>13504</v>
      </c>
      <c r="E244" s="519" t="s">
        <v>13505</v>
      </c>
      <c r="F244" s="520" t="s">
        <v>13506</v>
      </c>
      <c r="G244" s="521" t="s">
        <v>13507</v>
      </c>
      <c r="H244" s="464"/>
    </row>
    <row r="245" spans="1:8" s="465" customFormat="1" hidden="1">
      <c r="A245" s="464"/>
      <c r="B245" s="522">
        <f t="shared" ref="B245:C247" si="23">B240</f>
        <v>43544</v>
      </c>
      <c r="C245" s="523" t="str">
        <f t="shared" si="23"/>
        <v>ANEL METALURGICA</v>
      </c>
      <c r="D245" s="524">
        <v>0</v>
      </c>
      <c r="E245" s="525" t="str">
        <f t="shared" ref="E245:G247" si="24">E240</f>
        <v>04.486.244/0001-87</v>
      </c>
      <c r="F245" s="526" t="str">
        <f t="shared" si="24"/>
        <v>(66) 3419-1177</v>
      </c>
      <c r="G245" s="527" t="str">
        <f t="shared" si="24"/>
        <v xml:space="preserve">RONI </v>
      </c>
      <c r="H245" s="464"/>
    </row>
    <row r="246" spans="1:8" s="465" customFormat="1" hidden="1">
      <c r="A246" s="464"/>
      <c r="B246" s="522">
        <f t="shared" si="23"/>
        <v>43546</v>
      </c>
      <c r="C246" s="523" t="str">
        <f t="shared" si="23"/>
        <v>METALÚRGICA E PRÉ MOLDADOS CRISTAL</v>
      </c>
      <c r="D246" s="524">
        <v>0</v>
      </c>
      <c r="E246" s="526" t="str">
        <f t="shared" si="24"/>
        <v>02.432.312/0001-08</v>
      </c>
      <c r="F246" s="528" t="str">
        <f t="shared" si="24"/>
        <v>(66) 3419-1033</v>
      </c>
      <c r="G246" s="527">
        <f t="shared" si="24"/>
        <v>0</v>
      </c>
      <c r="H246" s="464"/>
    </row>
    <row r="247" spans="1:8" s="465" customFormat="1" hidden="1">
      <c r="A247" s="464"/>
      <c r="B247" s="522">
        <f t="shared" si="23"/>
        <v>43264</v>
      </c>
      <c r="C247" s="528" t="str">
        <f t="shared" si="23"/>
        <v>ROMA RESERVATÓRIOS</v>
      </c>
      <c r="D247" s="524">
        <v>0</v>
      </c>
      <c r="E247" s="528" t="str">
        <f t="shared" si="24"/>
        <v>06.942.746/0001-09</v>
      </c>
      <c r="F247" s="528" t="str">
        <f t="shared" si="24"/>
        <v>(11) 2592-1156</v>
      </c>
      <c r="G247" s="529" t="str">
        <f t="shared" si="24"/>
        <v>RONALDO</v>
      </c>
      <c r="H247" s="464"/>
    </row>
    <row r="248" spans="1:8" s="465" customFormat="1" hidden="1">
      <c r="A248" s="464"/>
      <c r="B248" s="530" t="s">
        <v>13520</v>
      </c>
      <c r="C248" s="531"/>
      <c r="D248" s="532"/>
      <c r="E248" s="533"/>
      <c r="F248" s="534"/>
      <c r="G248" s="535"/>
      <c r="H248" s="464"/>
    </row>
    <row r="249" spans="1:8" s="465" customFormat="1" hidden="1">
      <c r="A249" s="464"/>
      <c r="B249" s="1237" t="s">
        <v>13521</v>
      </c>
      <c r="C249" s="1238"/>
      <c r="D249" s="1238"/>
      <c r="E249" s="1238"/>
      <c r="F249" s="1238"/>
      <c r="G249" s="1239"/>
      <c r="H249" s="464"/>
    </row>
    <row r="250" spans="1:8" s="465" customFormat="1" ht="25.5" hidden="1">
      <c r="A250" s="464"/>
      <c r="B250" s="516" t="s">
        <v>13502</v>
      </c>
      <c r="C250" s="517" t="s">
        <v>13503</v>
      </c>
      <c r="D250" s="518" t="s">
        <v>13504</v>
      </c>
      <c r="E250" s="519" t="s">
        <v>13505</v>
      </c>
      <c r="F250" s="520" t="s">
        <v>13506</v>
      </c>
      <c r="G250" s="521" t="s">
        <v>13507</v>
      </c>
      <c r="H250" s="464"/>
    </row>
    <row r="251" spans="1:8" s="465" customFormat="1" hidden="1">
      <c r="A251" s="464"/>
      <c r="B251" s="522">
        <f t="shared" ref="B251:C253" si="25">B240</f>
        <v>43544</v>
      </c>
      <c r="C251" s="523" t="str">
        <f t="shared" si="25"/>
        <v>ANEL METALURGICA</v>
      </c>
      <c r="D251" s="524">
        <f>TRUNC(((D240+D245)*0.07),2)</f>
        <v>2038.6</v>
      </c>
      <c r="E251" s="525" t="str">
        <f t="shared" ref="E251:G253" si="26">E240</f>
        <v>04.486.244/0001-87</v>
      </c>
      <c r="F251" s="526" t="str">
        <f t="shared" si="26"/>
        <v>(66) 3419-1177</v>
      </c>
      <c r="G251" s="527" t="str">
        <f t="shared" si="26"/>
        <v xml:space="preserve">RONI </v>
      </c>
      <c r="H251" s="464"/>
    </row>
    <row r="252" spans="1:8" s="465" customFormat="1" hidden="1">
      <c r="A252" s="464"/>
      <c r="B252" s="522">
        <f t="shared" si="25"/>
        <v>43546</v>
      </c>
      <c r="C252" s="523" t="str">
        <f t="shared" si="25"/>
        <v>METALÚRGICA E PRÉ MOLDADOS CRISTAL</v>
      </c>
      <c r="D252" s="524">
        <f>TRUNC(((D241+D246)*0.07),2)</f>
        <v>1890</v>
      </c>
      <c r="E252" s="526" t="str">
        <f t="shared" si="26"/>
        <v>02.432.312/0001-08</v>
      </c>
      <c r="F252" s="528" t="str">
        <f t="shared" si="26"/>
        <v>(66) 3419-1033</v>
      </c>
      <c r="G252" s="527">
        <f t="shared" si="26"/>
        <v>0</v>
      </c>
      <c r="H252" s="464"/>
    </row>
    <row r="253" spans="1:8" s="465" customFormat="1" hidden="1">
      <c r="A253" s="464"/>
      <c r="B253" s="522">
        <f t="shared" si="25"/>
        <v>43264</v>
      </c>
      <c r="C253" s="528" t="str">
        <f t="shared" si="25"/>
        <v>ROMA RESERVATÓRIOS</v>
      </c>
      <c r="D253" s="524">
        <f>TRUNC(((D242+D247)*0.07),2)</f>
        <v>1554</v>
      </c>
      <c r="E253" s="528" t="str">
        <f t="shared" si="26"/>
        <v>06.942.746/0001-09</v>
      </c>
      <c r="F253" s="528" t="str">
        <f t="shared" si="26"/>
        <v>(11) 2592-1156</v>
      </c>
      <c r="G253" s="529" t="str">
        <f t="shared" si="26"/>
        <v>RONALDO</v>
      </c>
      <c r="H253" s="464"/>
    </row>
    <row r="254" spans="1:8" s="465" customFormat="1" hidden="1">
      <c r="A254" s="464"/>
      <c r="B254" s="1237" t="s">
        <v>13522</v>
      </c>
      <c r="C254" s="1238"/>
      <c r="D254" s="1238"/>
      <c r="E254" s="1238"/>
      <c r="F254" s="1238"/>
      <c r="G254" s="1239"/>
      <c r="H254" s="464"/>
    </row>
    <row r="255" spans="1:8" s="465" customFormat="1" ht="25.5" hidden="1">
      <c r="A255" s="464"/>
      <c r="B255" s="516" t="s">
        <v>13502</v>
      </c>
      <c r="C255" s="517" t="s">
        <v>13503</v>
      </c>
      <c r="D255" s="518" t="s">
        <v>13504</v>
      </c>
      <c r="E255" s="519" t="s">
        <v>13505</v>
      </c>
      <c r="F255" s="520" t="s">
        <v>13506</v>
      </c>
      <c r="G255" s="521" t="s">
        <v>13507</v>
      </c>
      <c r="H255" s="464"/>
    </row>
    <row r="256" spans="1:8" s="465" customFormat="1" hidden="1">
      <c r="A256" s="464"/>
      <c r="B256" s="522">
        <f t="shared" ref="B256:C258" si="27">B240</f>
        <v>43544</v>
      </c>
      <c r="C256" s="523" t="str">
        <f t="shared" si="27"/>
        <v>ANEL METALURGICA</v>
      </c>
      <c r="D256" s="524">
        <f>D240+D245+D251</f>
        <v>31161.59</v>
      </c>
      <c r="E256" s="525" t="str">
        <f t="shared" ref="E256:G258" si="28">E240</f>
        <v>04.486.244/0001-87</v>
      </c>
      <c r="F256" s="526" t="str">
        <f t="shared" si="28"/>
        <v>(66) 3419-1177</v>
      </c>
      <c r="G256" s="527" t="str">
        <f t="shared" si="28"/>
        <v xml:space="preserve">RONI </v>
      </c>
      <c r="H256" s="464"/>
    </row>
    <row r="257" spans="1:8" s="465" customFormat="1" hidden="1">
      <c r="A257" s="464"/>
      <c r="B257" s="522">
        <f t="shared" si="27"/>
        <v>43546</v>
      </c>
      <c r="C257" s="523" t="str">
        <f t="shared" si="27"/>
        <v>METALÚRGICA E PRÉ MOLDADOS CRISTAL</v>
      </c>
      <c r="D257" s="524">
        <f>D241+D246+D252</f>
        <v>28890</v>
      </c>
      <c r="E257" s="526" t="str">
        <f t="shared" si="28"/>
        <v>02.432.312/0001-08</v>
      </c>
      <c r="F257" s="528" t="str">
        <f t="shared" si="28"/>
        <v>(66) 3419-1033</v>
      </c>
      <c r="G257" s="527">
        <f t="shared" si="28"/>
        <v>0</v>
      </c>
      <c r="H257" s="464"/>
    </row>
    <row r="258" spans="1:8" s="465" customFormat="1" hidden="1">
      <c r="A258" s="464"/>
      <c r="B258" s="522">
        <f t="shared" si="27"/>
        <v>43264</v>
      </c>
      <c r="C258" s="528" t="str">
        <f t="shared" si="27"/>
        <v>ROMA RESERVATÓRIOS</v>
      </c>
      <c r="D258" s="524">
        <f>D242+D247+D253</f>
        <v>23754</v>
      </c>
      <c r="E258" s="528" t="str">
        <f t="shared" si="28"/>
        <v>06.942.746/0001-09</v>
      </c>
      <c r="F258" s="528" t="str">
        <f t="shared" si="28"/>
        <v>(11) 2592-1156</v>
      </c>
      <c r="G258" s="529" t="str">
        <f t="shared" si="28"/>
        <v>RONALDO</v>
      </c>
      <c r="H258" s="464"/>
    </row>
    <row r="259" spans="1:8" s="465" customFormat="1" ht="16.5" hidden="1" thickBot="1">
      <c r="A259" s="464"/>
      <c r="B259" s="536"/>
      <c r="C259" s="537" t="s">
        <v>13523</v>
      </c>
      <c r="D259" s="538">
        <f>IF(COUNT(D255:D258)=3,MEDIAN(D256:D258),SMALL(D256:D258,1))</f>
        <v>28890</v>
      </c>
      <c r="E259" s="539"/>
      <c r="F259" s="540"/>
      <c r="G259" s="541"/>
      <c r="H259" s="464"/>
    </row>
    <row r="260" spans="1:8" s="465" customFormat="1" ht="15.75" hidden="1" thickBot="1">
      <c r="A260" s="464"/>
      <c r="H260" s="464"/>
    </row>
    <row r="261" spans="1:8" s="465" customFormat="1" ht="45" hidden="1" customHeight="1">
      <c r="A261" s="464"/>
      <c r="B261" s="466" t="str">
        <f>IF(COUNT($H$8:H261)&lt;10,CONCATENATE("COMP HID 00",COUNT($H$8:H261)),CONCATENATE("COMP HID 0",COUNT($H$8:H261)))</f>
        <v>COMP HID 015</v>
      </c>
      <c r="C261" s="1217" t="s">
        <v>13550</v>
      </c>
      <c r="D261" s="1243"/>
      <c r="E261" s="1243"/>
      <c r="F261" s="1244"/>
      <c r="G261" s="467" t="s">
        <v>28</v>
      </c>
      <c r="H261" s="543">
        <f>G265</f>
        <v>27338.5</v>
      </c>
    </row>
    <row r="262" spans="1:8" s="465" customFormat="1" ht="31.5" hidden="1">
      <c r="A262" s="464"/>
      <c r="B262" s="469" t="s">
        <v>13463</v>
      </c>
      <c r="C262" s="470" t="s">
        <v>13464</v>
      </c>
      <c r="D262" s="470" t="s">
        <v>28</v>
      </c>
      <c r="E262" s="470" t="s">
        <v>13465</v>
      </c>
      <c r="F262" s="471" t="s">
        <v>13466</v>
      </c>
      <c r="G262" s="472" t="s">
        <v>13467</v>
      </c>
      <c r="H262" s="464"/>
    </row>
    <row r="263" spans="1:8" s="465" customFormat="1" ht="15.75" hidden="1">
      <c r="A263" s="464"/>
      <c r="B263" s="1240" t="s">
        <v>13468</v>
      </c>
      <c r="C263" s="1241"/>
      <c r="D263" s="1241"/>
      <c r="E263" s="1241"/>
      <c r="F263" s="1241"/>
      <c r="G263" s="1242"/>
      <c r="H263" s="464"/>
    </row>
    <row r="264" spans="1:8" s="465" customFormat="1" ht="30.75" hidden="1" thickBot="1">
      <c r="A264" s="464"/>
      <c r="B264" s="483" t="s">
        <v>13497</v>
      </c>
      <c r="C264" s="484" t="str">
        <f>C268</f>
        <v>RESERVATÓRIO EM AÇO DO TIPO TAÇA COM COLUNA SECA (ALTURA DA COLUNA: 6,00M) - V: 25.000L - INCLUSIVE INSTALAÇÃO</v>
      </c>
      <c r="D264" s="504" t="str">
        <f>G268</f>
        <v>UN</v>
      </c>
      <c r="E264" s="505">
        <v>1</v>
      </c>
      <c r="F264" s="487">
        <f>D290</f>
        <v>27338.5</v>
      </c>
      <c r="G264" s="488">
        <f>TRUNC(E264*F264,2)</f>
        <v>27338.5</v>
      </c>
      <c r="H264" s="464"/>
    </row>
    <row r="265" spans="1:8" s="465" customFormat="1" ht="16.5" hidden="1" thickBot="1">
      <c r="A265" s="464"/>
      <c r="B265" s="490" t="s">
        <v>13498</v>
      </c>
      <c r="C265" s="490"/>
      <c r="D265" s="490"/>
      <c r="E265" s="491"/>
      <c r="F265" s="492" t="s">
        <v>22</v>
      </c>
      <c r="G265" s="493">
        <f>SUM(G264:G264)</f>
        <v>27338.5</v>
      </c>
      <c r="H265" s="464"/>
    </row>
    <row r="266" spans="1:8" s="465" customFormat="1" ht="15.75" hidden="1">
      <c r="A266" s="464"/>
      <c r="B266" s="542"/>
      <c r="C266" s="542"/>
      <c r="D266" s="542"/>
      <c r="E266" s="542"/>
      <c r="F266" s="507"/>
      <c r="G266" s="508"/>
      <c r="H266" s="464"/>
    </row>
    <row r="267" spans="1:8" s="465" customFormat="1" ht="15.75" hidden="1" thickBot="1">
      <c r="A267" s="464"/>
      <c r="H267" s="464"/>
    </row>
    <row r="268" spans="1:8" s="465" customFormat="1" ht="25.5" hidden="1">
      <c r="A268" s="464"/>
      <c r="B268" s="509"/>
      <c r="C268" s="510" t="s">
        <v>13551</v>
      </c>
      <c r="D268" s="511"/>
      <c r="E268" s="512"/>
      <c r="F268" s="513" t="s">
        <v>28</v>
      </c>
      <c r="G268" s="514" t="s">
        <v>28</v>
      </c>
      <c r="H268" s="515" t="s">
        <v>13500</v>
      </c>
    </row>
    <row r="269" spans="1:8" s="465" customFormat="1" hidden="1">
      <c r="A269" s="464"/>
      <c r="B269" s="1237" t="s">
        <v>13501</v>
      </c>
      <c r="C269" s="1238"/>
      <c r="D269" s="1238"/>
      <c r="E269" s="1238"/>
      <c r="F269" s="1238"/>
      <c r="G269" s="1239"/>
      <c r="H269" s="464"/>
    </row>
    <row r="270" spans="1:8" s="465" customFormat="1" ht="25.5" hidden="1">
      <c r="A270" s="464"/>
      <c r="B270" s="516" t="s">
        <v>13502</v>
      </c>
      <c r="C270" s="517" t="s">
        <v>13503</v>
      </c>
      <c r="D270" s="518" t="s">
        <v>13504</v>
      </c>
      <c r="E270" s="519" t="s">
        <v>13505</v>
      </c>
      <c r="F270" s="520" t="s">
        <v>13506</v>
      </c>
      <c r="G270" s="521" t="s">
        <v>13507</v>
      </c>
      <c r="H270" s="464"/>
    </row>
    <row r="271" spans="1:8" s="465" customFormat="1" ht="15.75" hidden="1">
      <c r="A271" s="464"/>
      <c r="B271" s="522">
        <v>43566</v>
      </c>
      <c r="C271" s="523" t="s">
        <v>13552</v>
      </c>
      <c r="D271" s="524">
        <v>25550</v>
      </c>
      <c r="E271" s="525" t="s">
        <v>13553</v>
      </c>
      <c r="F271" s="526" t="s">
        <v>13554</v>
      </c>
      <c r="G271" s="527" t="s">
        <v>13535</v>
      </c>
      <c r="H271"/>
    </row>
    <row r="272" spans="1:8" s="465" customFormat="1" ht="15.75" hidden="1">
      <c r="A272" s="464"/>
      <c r="B272" s="522">
        <v>43566</v>
      </c>
      <c r="C272" s="523" t="s">
        <v>13555</v>
      </c>
      <c r="D272" s="524">
        <v>24515</v>
      </c>
      <c r="E272" s="526"/>
      <c r="F272" s="528" t="s">
        <v>13509</v>
      </c>
      <c r="G272" s="527" t="s">
        <v>13510</v>
      </c>
      <c r="H272"/>
    </row>
    <row r="273" spans="1:8" s="465" customFormat="1" ht="15.75" hidden="1">
      <c r="A273" s="464"/>
      <c r="B273" s="522">
        <v>43566</v>
      </c>
      <c r="C273" s="528" t="s">
        <v>13515</v>
      </c>
      <c r="D273" s="524">
        <v>29220</v>
      </c>
      <c r="E273" s="528" t="s">
        <v>13516</v>
      </c>
      <c r="F273" s="528" t="s">
        <v>13517</v>
      </c>
      <c r="G273" s="529" t="s">
        <v>13556</v>
      </c>
      <c r="H273"/>
    </row>
    <row r="274" spans="1:8" s="465" customFormat="1" hidden="1">
      <c r="A274" s="464"/>
      <c r="B274" s="1237" t="s">
        <v>13519</v>
      </c>
      <c r="C274" s="1238"/>
      <c r="D274" s="1238"/>
      <c r="E274" s="1238"/>
      <c r="F274" s="1238"/>
      <c r="G274" s="1239"/>
      <c r="H274" s="464"/>
    </row>
    <row r="275" spans="1:8" s="465" customFormat="1" ht="25.5" hidden="1">
      <c r="A275" s="464"/>
      <c r="B275" s="516" t="s">
        <v>13502</v>
      </c>
      <c r="C275" s="517" t="s">
        <v>13503</v>
      </c>
      <c r="D275" s="518" t="s">
        <v>13504</v>
      </c>
      <c r="E275" s="519" t="s">
        <v>13505</v>
      </c>
      <c r="F275" s="520" t="s">
        <v>13506</v>
      </c>
      <c r="G275" s="521" t="s">
        <v>13507</v>
      </c>
      <c r="H275" s="464"/>
    </row>
    <row r="276" spans="1:8" s="465" customFormat="1" hidden="1">
      <c r="A276" s="464"/>
      <c r="B276" s="522">
        <f t="shared" ref="B276:C278" si="29">B271</f>
        <v>43566</v>
      </c>
      <c r="C276" s="523" t="str">
        <f t="shared" si="29"/>
        <v>CAIXA D' AGUÁ BRASIL</v>
      </c>
      <c r="D276" s="524">
        <v>0</v>
      </c>
      <c r="E276" s="525" t="str">
        <f t="shared" ref="E276:G278" si="30">E271</f>
        <v>03.113.840/0001-59</v>
      </c>
      <c r="F276" s="526" t="str">
        <f t="shared" si="30"/>
        <v>(18) 3641-9066</v>
      </c>
      <c r="G276" s="527" t="str">
        <f t="shared" si="30"/>
        <v>ELAINE</v>
      </c>
      <c r="H276" s="464"/>
    </row>
    <row r="277" spans="1:8" s="465" customFormat="1" hidden="1">
      <c r="A277" s="464"/>
      <c r="B277" s="522">
        <f t="shared" si="29"/>
        <v>43566</v>
      </c>
      <c r="C277" s="523" t="str">
        <f t="shared" si="29"/>
        <v xml:space="preserve">TANK METALÚRGICA </v>
      </c>
      <c r="D277" s="524">
        <v>0</v>
      </c>
      <c r="E277" s="526">
        <f t="shared" si="30"/>
        <v>0</v>
      </c>
      <c r="F277" s="528" t="str">
        <f t="shared" si="30"/>
        <v>(16) 3258-1109</v>
      </c>
      <c r="G277" s="527" t="str">
        <f t="shared" si="30"/>
        <v xml:space="preserve">FERNANDA </v>
      </c>
      <c r="H277" s="464"/>
    </row>
    <row r="278" spans="1:8" s="465" customFormat="1" hidden="1">
      <c r="A278" s="464"/>
      <c r="B278" s="522">
        <f t="shared" si="29"/>
        <v>43566</v>
      </c>
      <c r="C278" s="528" t="str">
        <f t="shared" si="29"/>
        <v>FAZ FORTE</v>
      </c>
      <c r="D278" s="524">
        <v>0</v>
      </c>
      <c r="E278" s="528" t="str">
        <f t="shared" si="30"/>
        <v>18.399.461/0001-44</v>
      </c>
      <c r="F278" s="528" t="str">
        <f t="shared" si="30"/>
        <v>(18)3659-2673</v>
      </c>
      <c r="G278" s="529" t="str">
        <f t="shared" si="30"/>
        <v>MURILO</v>
      </c>
      <c r="H278" s="464"/>
    </row>
    <row r="279" spans="1:8" s="465" customFormat="1" hidden="1">
      <c r="A279" s="464"/>
      <c r="B279" s="530" t="s">
        <v>13520</v>
      </c>
      <c r="C279" s="531"/>
      <c r="D279" s="532"/>
      <c r="E279" s="533"/>
      <c r="F279" s="534"/>
      <c r="G279" s="535"/>
      <c r="H279" s="464"/>
    </row>
    <row r="280" spans="1:8" s="465" customFormat="1" hidden="1">
      <c r="A280" s="464"/>
      <c r="B280" s="1237" t="s">
        <v>13521</v>
      </c>
      <c r="C280" s="1238"/>
      <c r="D280" s="1238"/>
      <c r="E280" s="1238"/>
      <c r="F280" s="1238"/>
      <c r="G280" s="1239"/>
      <c r="H280" s="464"/>
    </row>
    <row r="281" spans="1:8" s="465" customFormat="1" ht="25.5" hidden="1">
      <c r="A281" s="464"/>
      <c r="B281" s="516" t="s">
        <v>13502</v>
      </c>
      <c r="C281" s="517" t="s">
        <v>13503</v>
      </c>
      <c r="D281" s="518" t="s">
        <v>13504</v>
      </c>
      <c r="E281" s="519" t="s">
        <v>13505</v>
      </c>
      <c r="F281" s="520" t="s">
        <v>13506</v>
      </c>
      <c r="G281" s="521" t="s">
        <v>13507</v>
      </c>
      <c r="H281" s="464"/>
    </row>
    <row r="282" spans="1:8" s="465" customFormat="1" hidden="1">
      <c r="A282" s="464"/>
      <c r="B282" s="522">
        <f t="shared" ref="B282:C284" si="31">B271</f>
        <v>43566</v>
      </c>
      <c r="C282" s="523" t="str">
        <f t="shared" si="31"/>
        <v>CAIXA D' AGUÁ BRASIL</v>
      </c>
      <c r="D282" s="524">
        <f>TRUNC(((D271+D276)*0.07),2)</f>
        <v>1788.5</v>
      </c>
      <c r="E282" s="525" t="str">
        <f t="shared" ref="E282:G284" si="32">E271</f>
        <v>03.113.840/0001-59</v>
      </c>
      <c r="F282" s="526" t="str">
        <f t="shared" si="32"/>
        <v>(18) 3641-9066</v>
      </c>
      <c r="G282" s="527" t="str">
        <f t="shared" si="32"/>
        <v>ELAINE</v>
      </c>
      <c r="H282" s="464"/>
    </row>
    <row r="283" spans="1:8" s="465" customFormat="1" hidden="1">
      <c r="A283" s="464"/>
      <c r="B283" s="522">
        <f t="shared" si="31"/>
        <v>43566</v>
      </c>
      <c r="C283" s="523" t="str">
        <f t="shared" si="31"/>
        <v xml:space="preserve">TANK METALÚRGICA </v>
      </c>
      <c r="D283" s="524">
        <f>TRUNC(((D272+D277)*0.07),2)</f>
        <v>1716.05</v>
      </c>
      <c r="E283" s="526">
        <f t="shared" si="32"/>
        <v>0</v>
      </c>
      <c r="F283" s="528" t="str">
        <f t="shared" si="32"/>
        <v>(16) 3258-1109</v>
      </c>
      <c r="G283" s="527" t="str">
        <f t="shared" si="32"/>
        <v xml:space="preserve">FERNANDA </v>
      </c>
      <c r="H283" s="464"/>
    </row>
    <row r="284" spans="1:8" s="465" customFormat="1" hidden="1">
      <c r="A284" s="464"/>
      <c r="B284" s="522">
        <f t="shared" si="31"/>
        <v>43566</v>
      </c>
      <c r="C284" s="528" t="str">
        <f t="shared" si="31"/>
        <v>FAZ FORTE</v>
      </c>
      <c r="D284" s="524">
        <f>TRUNC(((D273+D278)*0.07),2)</f>
        <v>2045.4</v>
      </c>
      <c r="E284" s="528" t="str">
        <f t="shared" si="32"/>
        <v>18.399.461/0001-44</v>
      </c>
      <c r="F284" s="528" t="str">
        <f t="shared" si="32"/>
        <v>(18)3659-2673</v>
      </c>
      <c r="G284" s="529" t="str">
        <f t="shared" si="32"/>
        <v>MURILO</v>
      </c>
      <c r="H284" s="464"/>
    </row>
    <row r="285" spans="1:8" s="465" customFormat="1" hidden="1">
      <c r="A285" s="464"/>
      <c r="B285" s="1237" t="s">
        <v>13522</v>
      </c>
      <c r="C285" s="1238"/>
      <c r="D285" s="1238"/>
      <c r="E285" s="1238"/>
      <c r="F285" s="1238"/>
      <c r="G285" s="1239"/>
      <c r="H285" s="464"/>
    </row>
    <row r="286" spans="1:8" s="465" customFormat="1" ht="25.5" hidden="1">
      <c r="A286" s="464"/>
      <c r="B286" s="516" t="s">
        <v>13502</v>
      </c>
      <c r="C286" s="517" t="s">
        <v>13503</v>
      </c>
      <c r="D286" s="518" t="s">
        <v>13504</v>
      </c>
      <c r="E286" s="519" t="s">
        <v>13505</v>
      </c>
      <c r="F286" s="520" t="s">
        <v>13506</v>
      </c>
      <c r="G286" s="521" t="s">
        <v>13507</v>
      </c>
      <c r="H286" s="464"/>
    </row>
    <row r="287" spans="1:8" s="465" customFormat="1" hidden="1">
      <c r="A287" s="464"/>
      <c r="B287" s="522">
        <f t="shared" ref="B287:C289" si="33">B271</f>
        <v>43566</v>
      </c>
      <c r="C287" s="523" t="str">
        <f t="shared" si="33"/>
        <v>CAIXA D' AGUÁ BRASIL</v>
      </c>
      <c r="D287" s="524">
        <f>D271+D276+D282</f>
        <v>27338.5</v>
      </c>
      <c r="E287" s="525" t="str">
        <f t="shared" ref="E287:G289" si="34">E271</f>
        <v>03.113.840/0001-59</v>
      </c>
      <c r="F287" s="526" t="str">
        <f t="shared" si="34"/>
        <v>(18) 3641-9066</v>
      </c>
      <c r="G287" s="527" t="str">
        <f t="shared" si="34"/>
        <v>ELAINE</v>
      </c>
      <c r="H287" s="464"/>
    </row>
    <row r="288" spans="1:8" s="465" customFormat="1" hidden="1">
      <c r="A288" s="464"/>
      <c r="B288" s="522">
        <f t="shared" si="33"/>
        <v>43566</v>
      </c>
      <c r="C288" s="523" t="str">
        <f t="shared" si="33"/>
        <v xml:space="preserve">TANK METALÚRGICA </v>
      </c>
      <c r="D288" s="524">
        <f>D272+D277+D283</f>
        <v>26231.05</v>
      </c>
      <c r="E288" s="526">
        <f t="shared" si="34"/>
        <v>0</v>
      </c>
      <c r="F288" s="528" t="str">
        <f t="shared" si="34"/>
        <v>(16) 3258-1109</v>
      </c>
      <c r="G288" s="527" t="str">
        <f t="shared" si="34"/>
        <v xml:space="preserve">FERNANDA </v>
      </c>
      <c r="H288" s="464"/>
    </row>
    <row r="289" spans="1:8" s="465" customFormat="1" hidden="1">
      <c r="A289" s="464"/>
      <c r="B289" s="522">
        <f t="shared" si="33"/>
        <v>43566</v>
      </c>
      <c r="C289" s="528" t="str">
        <f t="shared" si="33"/>
        <v>FAZ FORTE</v>
      </c>
      <c r="D289" s="524">
        <f>D273+D278+D284</f>
        <v>31265.4</v>
      </c>
      <c r="E289" s="528" t="str">
        <f t="shared" si="34"/>
        <v>18.399.461/0001-44</v>
      </c>
      <c r="F289" s="528" t="str">
        <f t="shared" si="34"/>
        <v>(18)3659-2673</v>
      </c>
      <c r="G289" s="529" t="str">
        <f t="shared" si="34"/>
        <v>MURILO</v>
      </c>
      <c r="H289" s="464"/>
    </row>
    <row r="290" spans="1:8" s="465" customFormat="1" ht="28.5" hidden="1" customHeight="1" thickBot="1">
      <c r="A290" s="464"/>
      <c r="B290" s="536"/>
      <c r="C290" s="537" t="s">
        <v>13523</v>
      </c>
      <c r="D290" s="538">
        <f>IF(COUNT(D286:D289)=3,MEDIAN(D287:D289),SMALL(D287:D289,1))</f>
        <v>27338.5</v>
      </c>
      <c r="E290" s="539"/>
      <c r="F290" s="540"/>
      <c r="G290" s="541"/>
      <c r="H290" s="464"/>
    </row>
    <row r="291" spans="1:8" s="465" customFormat="1" ht="25.5" hidden="1" customHeight="1" thickBot="1">
      <c r="A291" s="464"/>
      <c r="H291" s="464"/>
    </row>
    <row r="292" spans="1:8" s="465" customFormat="1" ht="15.75" hidden="1">
      <c r="A292" s="464"/>
      <c r="B292" s="466" t="str">
        <f>IF(COUNT($H$8:H292)&lt;10,CONCATENATE("COMP HID 00",COUNT($H$8:H292)),CONCATENATE("COMP HID 0",COUNT($H$8:H292)))</f>
        <v>COMP HID 016</v>
      </c>
      <c r="C292" s="1224" t="s">
        <v>13557</v>
      </c>
      <c r="D292" s="1225"/>
      <c r="E292" s="1225"/>
      <c r="F292" s="1225"/>
      <c r="G292" s="467" t="s">
        <v>28</v>
      </c>
      <c r="H292" s="468">
        <f>G298</f>
        <v>291.02999999999997</v>
      </c>
    </row>
    <row r="293" spans="1:8" s="465" customFormat="1" ht="31.5" hidden="1">
      <c r="A293" s="464"/>
      <c r="B293" s="469" t="s">
        <v>13463</v>
      </c>
      <c r="C293" s="470" t="s">
        <v>13464</v>
      </c>
      <c r="D293" s="470" t="s">
        <v>28</v>
      </c>
      <c r="E293" s="470" t="s">
        <v>13465</v>
      </c>
      <c r="F293" s="471" t="s">
        <v>13466</v>
      </c>
      <c r="G293" s="472" t="s">
        <v>13467</v>
      </c>
      <c r="H293" s="464"/>
    </row>
    <row r="294" spans="1:8" s="465" customFormat="1" ht="15.75" hidden="1">
      <c r="A294" s="464"/>
      <c r="B294" s="1232" t="s">
        <v>13468</v>
      </c>
      <c r="C294" s="1220"/>
      <c r="D294" s="1220"/>
      <c r="E294" s="1220"/>
      <c r="F294" s="1220"/>
      <c r="G294" s="1221"/>
      <c r="H294" s="464"/>
    </row>
    <row r="295" spans="1:8" s="503" customFormat="1" ht="15.75" hidden="1">
      <c r="A295" s="473" t="s">
        <v>13458</v>
      </c>
      <c r="B295" s="474">
        <v>34636</v>
      </c>
      <c r="C295" s="475" t="s">
        <v>770</v>
      </c>
      <c r="D295" s="476" t="s">
        <v>6636</v>
      </c>
      <c r="E295" s="477">
        <v>1</v>
      </c>
      <c r="F295" s="478">
        <v>279.89999999999998</v>
      </c>
      <c r="G295" s="479">
        <f>TRUNC(E295*F295,2)</f>
        <v>279.89999999999998</v>
      </c>
    </row>
    <row r="296" spans="1:8" s="465" customFormat="1" ht="15.75" hidden="1">
      <c r="A296" s="464"/>
      <c r="B296" s="1232" t="s">
        <v>13469</v>
      </c>
      <c r="C296" s="1220"/>
      <c r="D296" s="1220"/>
      <c r="E296" s="1220"/>
      <c r="F296" s="1220"/>
      <c r="G296" s="1221"/>
      <c r="H296" s="464"/>
    </row>
    <row r="297" spans="1:8" s="465" customFormat="1" ht="16.5" hidden="1" thickBot="1">
      <c r="A297" s="473" t="s">
        <v>13459</v>
      </c>
      <c r="B297" s="483">
        <v>88316</v>
      </c>
      <c r="C297" s="484" t="s">
        <v>761</v>
      </c>
      <c r="D297" s="485" t="s">
        <v>753</v>
      </c>
      <c r="E297" s="486">
        <v>0.7</v>
      </c>
      <c r="F297" s="487">
        <v>15.91</v>
      </c>
      <c r="G297" s="488">
        <f>TRUNC(E297*F297,2)</f>
        <v>11.13</v>
      </c>
      <c r="H297" s="464"/>
    </row>
    <row r="298" spans="1:8" s="465" customFormat="1" ht="16.5" hidden="1" thickBot="1">
      <c r="A298" s="489"/>
      <c r="B298" s="490" t="s">
        <v>13558</v>
      </c>
      <c r="C298" s="490"/>
      <c r="D298" s="490"/>
      <c r="E298" s="490"/>
      <c r="F298" s="492" t="s">
        <v>22</v>
      </c>
      <c r="G298" s="493">
        <f>SUM(G295:G297)</f>
        <v>291.02999999999997</v>
      </c>
      <c r="H298" s="464"/>
    </row>
    <row r="299" spans="1:8" s="465" customFormat="1" ht="26.25" hidden="1" customHeight="1" thickBot="1">
      <c r="A299" s="464"/>
      <c r="H299" s="464"/>
    </row>
    <row r="300" spans="1:8" s="465" customFormat="1" ht="15.75" hidden="1">
      <c r="A300" s="464"/>
      <c r="B300" s="466" t="str">
        <f>IF(COUNT($H$8:H300)&lt;10,CONCATENATE("COMP HID 00",COUNT($H$8:H300)),CONCATENATE("COMP HID 0",COUNT($H$8:H300)))</f>
        <v>COMP HID 017</v>
      </c>
      <c r="C300" s="1224" t="s">
        <v>13559</v>
      </c>
      <c r="D300" s="1225"/>
      <c r="E300" s="1225"/>
      <c r="F300" s="1225"/>
      <c r="G300" s="467" t="s">
        <v>28</v>
      </c>
      <c r="H300" s="468">
        <f>G306</f>
        <v>579.6</v>
      </c>
    </row>
    <row r="301" spans="1:8" s="465" customFormat="1" ht="32.25" hidden="1" customHeight="1">
      <c r="A301" s="464"/>
      <c r="B301" s="469" t="s">
        <v>13463</v>
      </c>
      <c r="C301" s="470" t="s">
        <v>13464</v>
      </c>
      <c r="D301" s="470" t="s">
        <v>28</v>
      </c>
      <c r="E301" s="470" t="s">
        <v>13465</v>
      </c>
      <c r="F301" s="471" t="s">
        <v>13466</v>
      </c>
      <c r="G301" s="472" t="s">
        <v>13467</v>
      </c>
      <c r="H301" s="464"/>
    </row>
    <row r="302" spans="1:8" s="465" customFormat="1" ht="15.75" hidden="1">
      <c r="A302" s="464"/>
      <c r="B302" s="1232" t="s">
        <v>13468</v>
      </c>
      <c r="C302" s="1220"/>
      <c r="D302" s="1220"/>
      <c r="E302" s="1220"/>
      <c r="F302" s="1220"/>
      <c r="G302" s="1221"/>
      <c r="H302" s="464"/>
    </row>
    <row r="303" spans="1:8" s="465" customFormat="1" ht="15.75" hidden="1">
      <c r="A303" s="473" t="s">
        <v>13458</v>
      </c>
      <c r="B303" s="474">
        <v>34639</v>
      </c>
      <c r="C303" s="475" t="s">
        <v>7464</v>
      </c>
      <c r="D303" s="476" t="s">
        <v>6636</v>
      </c>
      <c r="E303" s="477">
        <v>1</v>
      </c>
      <c r="F303" s="478">
        <v>568.47</v>
      </c>
      <c r="G303" s="479">
        <f>TRUNC(E303*F303,2)</f>
        <v>568.47</v>
      </c>
      <c r="H303" s="464"/>
    </row>
    <row r="304" spans="1:8" s="465" customFormat="1" ht="15.75" hidden="1">
      <c r="A304" s="464"/>
      <c r="B304" s="1232" t="s">
        <v>13469</v>
      </c>
      <c r="C304" s="1220"/>
      <c r="D304" s="1220"/>
      <c r="E304" s="1220"/>
      <c r="F304" s="1220"/>
      <c r="G304" s="1221"/>
      <c r="H304" s="464"/>
    </row>
    <row r="305" spans="1:8" s="465" customFormat="1" ht="16.5" hidden="1" thickBot="1">
      <c r="A305" s="473" t="s">
        <v>13459</v>
      </c>
      <c r="B305" s="483">
        <v>88316</v>
      </c>
      <c r="C305" s="484" t="s">
        <v>761</v>
      </c>
      <c r="D305" s="485" t="s">
        <v>753</v>
      </c>
      <c r="E305" s="486">
        <v>0.7</v>
      </c>
      <c r="F305" s="487">
        <v>15.91</v>
      </c>
      <c r="G305" s="488">
        <f>TRUNC(E305*F305,2)</f>
        <v>11.13</v>
      </c>
      <c r="H305" s="464"/>
    </row>
    <row r="306" spans="1:8" s="465" customFormat="1" ht="16.5" hidden="1" thickBot="1">
      <c r="A306" s="489"/>
      <c r="B306" s="490" t="s">
        <v>13558</v>
      </c>
      <c r="C306" s="506"/>
      <c r="D306" s="506"/>
      <c r="E306" s="544"/>
      <c r="F306" s="492" t="s">
        <v>22</v>
      </c>
      <c r="G306" s="493">
        <f>SUM(G303:G305)</f>
        <v>579.6</v>
      </c>
      <c r="H306" s="464"/>
    </row>
    <row r="307" spans="1:8" s="465" customFormat="1" ht="15.75" hidden="1" thickBot="1">
      <c r="A307" s="464"/>
      <c r="H307" s="464"/>
    </row>
    <row r="308" spans="1:8" s="465" customFormat="1" ht="15.75" hidden="1">
      <c r="A308" s="464"/>
      <c r="B308" s="466" t="str">
        <f>IF(COUNT($H$8:H308)&lt;10,CONCATENATE("COMP HID 00",COUNT($H$8:H308)),CONCATENATE("COMP HID 0",COUNT($H$8:H308)))</f>
        <v>COMP HID 018</v>
      </c>
      <c r="C308" s="1224" t="s">
        <v>13560</v>
      </c>
      <c r="D308" s="1225"/>
      <c r="E308" s="1225"/>
      <c r="F308" s="1225"/>
      <c r="G308" s="467" t="s">
        <v>28</v>
      </c>
      <c r="H308" s="468">
        <f>G314</f>
        <v>649.66999999999996</v>
      </c>
    </row>
    <row r="309" spans="1:8" s="465" customFormat="1" ht="31.5" hidden="1">
      <c r="A309" s="464"/>
      <c r="B309" s="469" t="s">
        <v>13463</v>
      </c>
      <c r="C309" s="470" t="s">
        <v>13464</v>
      </c>
      <c r="D309" s="470" t="s">
        <v>28</v>
      </c>
      <c r="E309" s="470" t="s">
        <v>13465</v>
      </c>
      <c r="F309" s="471" t="s">
        <v>13466</v>
      </c>
      <c r="G309" s="472" t="s">
        <v>13467</v>
      </c>
      <c r="H309" s="464"/>
    </row>
    <row r="310" spans="1:8" s="465" customFormat="1" ht="15.75" hidden="1">
      <c r="A310" s="464"/>
      <c r="B310" s="1232" t="s">
        <v>13468</v>
      </c>
      <c r="C310" s="1220"/>
      <c r="D310" s="1220"/>
      <c r="E310" s="1220"/>
      <c r="F310" s="1220"/>
      <c r="G310" s="1221"/>
      <c r="H310" s="464"/>
    </row>
    <row r="311" spans="1:8" s="465" customFormat="1" ht="15.75" hidden="1">
      <c r="A311" s="473" t="s">
        <v>13458</v>
      </c>
      <c r="B311" s="474">
        <v>34640</v>
      </c>
      <c r="C311" s="475" t="s">
        <v>7465</v>
      </c>
      <c r="D311" s="476" t="s">
        <v>6636</v>
      </c>
      <c r="E311" s="477">
        <v>1</v>
      </c>
      <c r="F311" s="478">
        <v>638.54</v>
      </c>
      <c r="G311" s="479">
        <f>TRUNC(E311*F311,2)</f>
        <v>638.54</v>
      </c>
      <c r="H311" s="464"/>
    </row>
    <row r="312" spans="1:8" s="465" customFormat="1" ht="15.75" hidden="1">
      <c r="A312" s="464"/>
      <c r="B312" s="1232" t="s">
        <v>13469</v>
      </c>
      <c r="C312" s="1220"/>
      <c r="D312" s="1220"/>
      <c r="E312" s="1220"/>
      <c r="F312" s="1220"/>
      <c r="G312" s="1221"/>
      <c r="H312" s="464"/>
    </row>
    <row r="313" spans="1:8" s="465" customFormat="1" ht="16.5" hidden="1" thickBot="1">
      <c r="A313" s="473" t="s">
        <v>13459</v>
      </c>
      <c r="B313" s="483">
        <v>88316</v>
      </c>
      <c r="C313" s="484" t="s">
        <v>761</v>
      </c>
      <c r="D313" s="485" t="s">
        <v>753</v>
      </c>
      <c r="E313" s="486">
        <v>0.7</v>
      </c>
      <c r="F313" s="487">
        <v>15.91</v>
      </c>
      <c r="G313" s="488">
        <f>TRUNC(E313*F313,2)</f>
        <v>11.13</v>
      </c>
      <c r="H313" s="464"/>
    </row>
    <row r="314" spans="1:8" s="465" customFormat="1" ht="16.5" hidden="1" thickBot="1">
      <c r="A314" s="489"/>
      <c r="B314" s="490" t="s">
        <v>13558</v>
      </c>
      <c r="C314" s="490"/>
      <c r="D314" s="490"/>
      <c r="E314" s="490"/>
      <c r="F314" s="492" t="s">
        <v>22</v>
      </c>
      <c r="G314" s="493">
        <f>SUM(G311:G313)</f>
        <v>649.66999999999996</v>
      </c>
      <c r="H314" s="464"/>
    </row>
    <row r="315" spans="1:8" s="465" customFormat="1" hidden="1">
      <c r="A315" s="464"/>
      <c r="H315" s="464"/>
    </row>
    <row r="316" spans="1:8" s="465" customFormat="1" ht="18.75" customHeight="1" thickBot="1">
      <c r="A316" s="464"/>
      <c r="H316" s="464"/>
    </row>
    <row r="317" spans="1:8" s="465" customFormat="1" ht="15.75">
      <c r="A317" s="464"/>
      <c r="B317" s="466" t="str">
        <f>IF(COUNT($H$8:H317)&lt;10,CONCATENATE("COMP HID 00",COUNT($H$8:H317)),CONCATENATE("COMP HID 0",COUNT($H$8:H317)))</f>
        <v>COMP HID 019</v>
      </c>
      <c r="C317" s="1224" t="s">
        <v>12892</v>
      </c>
      <c r="D317" s="1225"/>
      <c r="E317" s="1225"/>
      <c r="F317" s="1225"/>
      <c r="G317" s="467" t="s">
        <v>28</v>
      </c>
      <c r="H317" s="468">
        <f>G323</f>
        <v>26.77</v>
      </c>
    </row>
    <row r="318" spans="1:8" s="465" customFormat="1" ht="31.5">
      <c r="A318" s="464"/>
      <c r="B318" s="469" t="s">
        <v>13463</v>
      </c>
      <c r="C318" s="470" t="s">
        <v>13464</v>
      </c>
      <c r="D318" s="470" t="s">
        <v>28</v>
      </c>
      <c r="E318" s="470" t="s">
        <v>13465</v>
      </c>
      <c r="F318" s="471" t="s">
        <v>13466</v>
      </c>
      <c r="G318" s="472" t="s">
        <v>13467</v>
      </c>
      <c r="H318" s="464"/>
    </row>
    <row r="319" spans="1:8" s="465" customFormat="1" ht="15.75">
      <c r="A319" s="464"/>
      <c r="B319" s="1232" t="s">
        <v>13468</v>
      </c>
      <c r="C319" s="1220"/>
      <c r="D319" s="1220"/>
      <c r="E319" s="1220"/>
      <c r="F319" s="1220"/>
      <c r="G319" s="1221"/>
      <c r="H319" s="464"/>
    </row>
    <row r="320" spans="1:8" s="465" customFormat="1" ht="15.75">
      <c r="A320" s="473" t="s">
        <v>13458</v>
      </c>
      <c r="B320" s="474">
        <v>377</v>
      </c>
      <c r="C320" s="439" t="str">
        <f>IFERROR(VLOOKUP(B320,comp_nãodes,2,FALSE),VLOOKUP(B320,insnãodes,2,FALSE))</f>
        <v>ASSENTO SANITARIO DE PLASTICO, TIPO CONVENCIONAL</v>
      </c>
      <c r="D320" s="476" t="s">
        <v>6636</v>
      </c>
      <c r="E320" s="477">
        <v>1</v>
      </c>
      <c r="F320" s="426">
        <f t="shared" ref="F320:F322" si="35">IFERROR(VLOOKUP(B320,comp_nãodes,4,FALSE),VLOOKUP(B320,insnãodes,4,FALSE))</f>
        <v>25.18</v>
      </c>
      <c r="G320" s="479">
        <f>TRUNC(E320*F320,2)</f>
        <v>25.18</v>
      </c>
      <c r="H320" s="464"/>
    </row>
    <row r="321" spans="1:11" s="465" customFormat="1" ht="15.75">
      <c r="A321" s="464"/>
      <c r="B321" s="1232" t="s">
        <v>13469</v>
      </c>
      <c r="C321" s="1220"/>
      <c r="D321" s="1220"/>
      <c r="E321" s="1220"/>
      <c r="F321" s="1220"/>
      <c r="G321" s="1221"/>
      <c r="H321" s="464"/>
      <c r="K321" s="545"/>
    </row>
    <row r="322" spans="1:11" s="465" customFormat="1" ht="16.5" thickBot="1">
      <c r="A322" s="473" t="s">
        <v>13459</v>
      </c>
      <c r="B322" s="483">
        <v>88316</v>
      </c>
      <c r="C322" s="726" t="str">
        <f>IFERROR(VLOOKUP(B322,comp_nãodes,2,FALSE),VLOOKUP(B322,insnãodes,2,FALSE))</f>
        <v>SERVENTE COM ENCARGOS COMPLEMENTARES</v>
      </c>
      <c r="D322" s="485" t="s">
        <v>753</v>
      </c>
      <c r="E322" s="486">
        <v>0.1</v>
      </c>
      <c r="F322" s="727">
        <f t="shared" si="35"/>
        <v>15.91</v>
      </c>
      <c r="G322" s="488">
        <f>TRUNC(E322*F322,2)</f>
        <v>1.59</v>
      </c>
      <c r="H322" s="464"/>
      <c r="J322" s="546"/>
    </row>
    <row r="323" spans="1:11" s="465" customFormat="1" ht="16.5" thickBot="1">
      <c r="A323" s="489"/>
      <c r="B323" s="547" t="s">
        <v>13561</v>
      </c>
      <c r="C323" s="548"/>
      <c r="D323" s="548"/>
      <c r="E323" s="548"/>
      <c r="F323" s="492" t="s">
        <v>22</v>
      </c>
      <c r="G323" s="493">
        <f>SUM(G320:G322)</f>
        <v>26.77</v>
      </c>
      <c r="H323" s="464"/>
    </row>
    <row r="324" spans="1:11" s="465" customFormat="1" ht="15.75" thickBot="1">
      <c r="A324" s="464"/>
      <c r="H324" s="464"/>
    </row>
    <row r="325" spans="1:11" s="465" customFormat="1" ht="39" hidden="1" customHeight="1">
      <c r="A325" s="464"/>
      <c r="B325" s="466" t="str">
        <f>IF(COUNT($H$8:H325)&lt;10,CONCATENATE("COMP HID 00",COUNT($H$8:H325)),CONCATENATE("COMP HID 0",COUNT($H$8:H325)))</f>
        <v>COMP HID 020</v>
      </c>
      <c r="C325" s="1224" t="s">
        <v>13562</v>
      </c>
      <c r="D325" s="1225"/>
      <c r="E325" s="1225"/>
      <c r="F325" s="1225"/>
      <c r="G325" s="467" t="s">
        <v>28</v>
      </c>
      <c r="H325" s="468">
        <f>G333</f>
        <v>475.57</v>
      </c>
    </row>
    <row r="326" spans="1:11" s="465" customFormat="1" ht="31.5" hidden="1">
      <c r="A326" s="464"/>
      <c r="B326" s="469" t="s">
        <v>13463</v>
      </c>
      <c r="C326" s="470" t="s">
        <v>13464</v>
      </c>
      <c r="D326" s="470" t="s">
        <v>28</v>
      </c>
      <c r="E326" s="470" t="s">
        <v>13465</v>
      </c>
      <c r="F326" s="471" t="s">
        <v>13466</v>
      </c>
      <c r="G326" s="472" t="s">
        <v>13467</v>
      </c>
      <c r="H326" s="464"/>
    </row>
    <row r="327" spans="1:11" s="465" customFormat="1" ht="15.75" hidden="1">
      <c r="A327" s="464"/>
      <c r="B327" s="1232" t="s">
        <v>13468</v>
      </c>
      <c r="C327" s="1220"/>
      <c r="D327" s="1220"/>
      <c r="E327" s="1220"/>
      <c r="F327" s="1220"/>
      <c r="G327" s="1221"/>
      <c r="H327" s="464"/>
    </row>
    <row r="328" spans="1:11" s="465" customFormat="1" ht="15.75" hidden="1">
      <c r="A328" s="473" t="s">
        <v>13458</v>
      </c>
      <c r="B328" s="474">
        <v>10432</v>
      </c>
      <c r="C328" s="439" t="str">
        <f>IFERROR(VLOOKUP(B328,comp_nãodes,2,FALSE),VLOOKUP(B328,insnãodes,2,FALSE))</f>
        <v>MICTORIO SIFONADO LOUCA BRANCA SEM COMPLEMENTOS</v>
      </c>
      <c r="D328" s="476" t="s">
        <v>6636</v>
      </c>
      <c r="E328" s="477">
        <v>1</v>
      </c>
      <c r="F328" s="426">
        <f t="shared" ref="F328:F332" si="36">IFERROR(VLOOKUP(B328,comp_nãodes,4,FALSE),VLOOKUP(B328,insnãodes,4,FALSE))</f>
        <v>225.06</v>
      </c>
      <c r="G328" s="479">
        <f>TRUNC(E328*F328,2)</f>
        <v>225.06</v>
      </c>
      <c r="H328" s="464"/>
    </row>
    <row r="329" spans="1:11" s="465" customFormat="1" ht="30" hidden="1">
      <c r="A329" s="473" t="s">
        <v>13458</v>
      </c>
      <c r="B329" s="474">
        <v>21112</v>
      </c>
      <c r="C329" s="439" t="str">
        <f>IFERROR(VLOOKUP(B329,comp_nãodes,2,FALSE),VLOOKUP(B329,insnãodes,2,FALSE))</f>
        <v>VALVULA DE DESCARGA EM METAL CROMADO PARA MICTORIO COM ACIONAMENTO POR PRESSAO E FECHAMENTO AUTOMATICO</v>
      </c>
      <c r="D329" s="476" t="s">
        <v>6636</v>
      </c>
      <c r="E329" s="477">
        <v>1</v>
      </c>
      <c r="F329" s="426">
        <f t="shared" si="36"/>
        <v>146.66999999999999</v>
      </c>
      <c r="G329" s="479">
        <f>TRUNC(E329*F329,2)</f>
        <v>146.66999999999999</v>
      </c>
      <c r="H329" s="464"/>
    </row>
    <row r="330" spans="1:11" s="465" customFormat="1" ht="15.75" hidden="1">
      <c r="A330" s="464"/>
      <c r="B330" s="1232" t="s">
        <v>13469</v>
      </c>
      <c r="C330" s="1220"/>
      <c r="D330" s="1220"/>
      <c r="E330" s="1220"/>
      <c r="F330" s="1220"/>
      <c r="G330" s="1221"/>
      <c r="H330" s="464"/>
    </row>
    <row r="331" spans="1:11" s="465" customFormat="1" ht="15.75" hidden="1">
      <c r="A331" s="473" t="s">
        <v>13459</v>
      </c>
      <c r="B331" s="474">
        <v>88316</v>
      </c>
      <c r="C331" s="439" t="str">
        <f>IFERROR(VLOOKUP(B331,comp_nãodes,2,FALSE),VLOOKUP(B331,insnãodes,2,FALSE))</f>
        <v>SERVENTE COM ENCARGOS COMPLEMENTARES</v>
      </c>
      <c r="D331" s="476" t="s">
        <v>753</v>
      </c>
      <c r="E331" s="482">
        <v>2.9</v>
      </c>
      <c r="F331" s="426">
        <f t="shared" si="36"/>
        <v>15.91</v>
      </c>
      <c r="G331" s="479">
        <f>TRUNC(E331*F331,2)</f>
        <v>46.13</v>
      </c>
      <c r="H331" s="464"/>
    </row>
    <row r="332" spans="1:11" s="465" customFormat="1" ht="30.75" hidden="1" thickBot="1">
      <c r="A332" s="473" t="s">
        <v>13459</v>
      </c>
      <c r="B332" s="483">
        <v>88267</v>
      </c>
      <c r="C332" s="439" t="str">
        <f>IFERROR(VLOOKUP(B332,comp_nãodes,2,FALSE),VLOOKUP(B332,insnãodes,2,FALSE))</f>
        <v>ENCANADOR OU BOMBEIRO HIDRÁULICO COM ENCARGOS COMPLEMENTARES</v>
      </c>
      <c r="D332" s="485" t="s">
        <v>753</v>
      </c>
      <c r="E332" s="486">
        <v>2.9</v>
      </c>
      <c r="F332" s="727">
        <f t="shared" si="36"/>
        <v>19.899999999999999</v>
      </c>
      <c r="G332" s="488">
        <f>TRUNC(E332*F332,2)</f>
        <v>57.71</v>
      </c>
      <c r="H332" s="464"/>
    </row>
    <row r="333" spans="1:11" s="465" customFormat="1" ht="16.5" hidden="1" thickBot="1">
      <c r="A333" s="464"/>
      <c r="B333" s="500" t="s">
        <v>13563</v>
      </c>
      <c r="C333" s="500"/>
      <c r="D333" s="500"/>
      <c r="E333" s="501"/>
      <c r="F333" s="492" t="s">
        <v>22</v>
      </c>
      <c r="G333" s="493">
        <f>SUM(G328:G332)</f>
        <v>475.57</v>
      </c>
      <c r="H333" s="464"/>
    </row>
    <row r="334" spans="1:11" s="465" customFormat="1" ht="30" hidden="1" customHeight="1" thickBot="1">
      <c r="A334" s="464"/>
      <c r="H334" s="464"/>
    </row>
    <row r="335" spans="1:11" s="465" customFormat="1" ht="47.25" customHeight="1">
      <c r="A335" s="728"/>
      <c r="B335" s="729" t="str">
        <f>IF(COUNT($H$8:H335)&lt;10,CONCATENATE("COMP HID 00",COUNT($H$8:H335)),CONCATENATE("COMP HID 0",COUNT($H$8:H335)))</f>
        <v>COMP HID 021</v>
      </c>
      <c r="C335" s="1224" t="s">
        <v>12894</v>
      </c>
      <c r="D335" s="1224"/>
      <c r="E335" s="1225"/>
      <c r="F335" s="1225"/>
      <c r="G335" s="467" t="s">
        <v>117</v>
      </c>
      <c r="H335" s="468">
        <f>G344</f>
        <v>502.91999999999996</v>
      </c>
    </row>
    <row r="336" spans="1:11" s="465" customFormat="1" ht="31.5">
      <c r="A336" s="730"/>
      <c r="B336" s="731" t="s">
        <v>13463</v>
      </c>
      <c r="C336" s="470" t="s">
        <v>13464</v>
      </c>
      <c r="D336" s="470" t="s">
        <v>28</v>
      </c>
      <c r="E336" s="470" t="s">
        <v>13465</v>
      </c>
      <c r="F336" s="471" t="s">
        <v>13466</v>
      </c>
      <c r="G336" s="472" t="s">
        <v>13467</v>
      </c>
      <c r="H336" s="464"/>
    </row>
    <row r="337" spans="1:8" s="465" customFormat="1" ht="15.75">
      <c r="A337" s="730"/>
      <c r="B337" s="1220" t="s">
        <v>13468</v>
      </c>
      <c r="C337" s="1220"/>
      <c r="D337" s="1220"/>
      <c r="E337" s="1220"/>
      <c r="F337" s="1220"/>
      <c r="G337" s="1221"/>
      <c r="H337" s="464"/>
    </row>
    <row r="338" spans="1:8" s="465" customFormat="1" ht="45">
      <c r="A338" s="732" t="s">
        <v>13458</v>
      </c>
      <c r="B338" s="476">
        <v>11795</v>
      </c>
      <c r="C338" s="439" t="str">
        <f>IFERROR(VLOOKUP(B338,comp_nãodes,2,FALSE),VLOOKUP(B338,insnãodes,2,FALSE))</f>
        <v>GRANITO PARA BANCADA, POLIDO, TIPO ANDORINHA/ QUARTZ/ CASTELO/ CORUMBA OU OUTROS EQUIVALENTES DA REGIAO, E=  *2,5* CM</v>
      </c>
      <c r="D338" s="476" t="s">
        <v>6638</v>
      </c>
      <c r="E338" s="549">
        <v>1</v>
      </c>
      <c r="F338" s="426">
        <f t="shared" ref="F338:F343" si="37">IFERROR(VLOOKUP(B338,comp_nãodes,4,FALSE),VLOOKUP(B338,insnãodes,4,FALSE))</f>
        <v>445.28</v>
      </c>
      <c r="G338" s="479">
        <f>TRUNC(E338*F338,2)</f>
        <v>445.28</v>
      </c>
      <c r="H338" s="464"/>
    </row>
    <row r="339" spans="1:8" s="465" customFormat="1" ht="30">
      <c r="A339" s="732" t="s">
        <v>13458</v>
      </c>
      <c r="B339" s="740">
        <v>367</v>
      </c>
      <c r="C339" s="439" t="str">
        <f>IFERROR(VLOOKUP(B339,comp_nãodes,2,FALSE),VLOOKUP(B339,insnãodes,2,FALSE))</f>
        <v>AREIA GROSSA - POSTO JAZIDA/FORNECEDOR (RETIRADO NA JAZIDA, SEM TRANSPORTE)</v>
      </c>
      <c r="D339" s="476" t="s">
        <v>6781</v>
      </c>
      <c r="E339" s="550">
        <v>8.0000000000000002E-3</v>
      </c>
      <c r="F339" s="426">
        <f t="shared" si="37"/>
        <v>61.5</v>
      </c>
      <c r="G339" s="479">
        <f>TRUNC(E339*F339,2)</f>
        <v>0.49</v>
      </c>
      <c r="H339" s="464"/>
    </row>
    <row r="340" spans="1:8" s="465" customFormat="1" ht="15.75">
      <c r="A340" s="732" t="s">
        <v>13458</v>
      </c>
      <c r="B340" s="740">
        <v>1379</v>
      </c>
      <c r="C340" s="439" t="str">
        <f>IFERROR(VLOOKUP(B340,comp_nãodes,2,FALSE),VLOOKUP(B340,insnãodes,2,FALSE))</f>
        <v>CIMENTO PORTLAND COMPOSTO CP II-32</v>
      </c>
      <c r="D340" s="476" t="s">
        <v>6698</v>
      </c>
      <c r="E340" s="549">
        <v>3.2</v>
      </c>
      <c r="F340" s="426">
        <f t="shared" si="37"/>
        <v>0.49</v>
      </c>
      <c r="G340" s="479">
        <f>TRUNC(E340*F340,2)</f>
        <v>1.56</v>
      </c>
      <c r="H340" s="464"/>
    </row>
    <row r="341" spans="1:8" s="465" customFormat="1" ht="15.75">
      <c r="A341" s="730"/>
      <c r="B341" s="1220" t="s">
        <v>13469</v>
      </c>
      <c r="C341" s="1220"/>
      <c r="D341" s="1220"/>
      <c r="E341" s="1220"/>
      <c r="F341" s="1220"/>
      <c r="G341" s="1221"/>
      <c r="H341" s="464"/>
    </row>
    <row r="342" spans="1:8" s="465" customFormat="1" ht="15.75">
      <c r="A342" s="732" t="s">
        <v>13459</v>
      </c>
      <c r="B342" s="733">
        <v>88316</v>
      </c>
      <c r="C342" s="439" t="str">
        <f>IFERROR(VLOOKUP(B342,comp_nãodes,2,FALSE),VLOOKUP(B342,insnãodes,2,FALSE))</f>
        <v>SERVENTE COM ENCARGOS COMPLEMENTARES</v>
      </c>
      <c r="D342" s="476" t="s">
        <v>753</v>
      </c>
      <c r="E342" s="482">
        <v>2</v>
      </c>
      <c r="F342" s="426">
        <f t="shared" si="37"/>
        <v>15.91</v>
      </c>
      <c r="G342" s="479">
        <f>TRUNC(E342*F342,2)</f>
        <v>31.82</v>
      </c>
      <c r="H342" s="464"/>
    </row>
    <row r="343" spans="1:8" s="465" customFormat="1" ht="16.5" thickBot="1">
      <c r="A343" s="734" t="s">
        <v>13459</v>
      </c>
      <c r="B343" s="737">
        <v>88309</v>
      </c>
      <c r="C343" s="726" t="str">
        <f>IFERROR(VLOOKUP(B343,comp_nãodes,2,FALSE),VLOOKUP(B343,insnãodes,2,FALSE))</f>
        <v>PEDREIRO COM ENCARGOS COMPLEMENTARES</v>
      </c>
      <c r="D343" s="485" t="s">
        <v>753</v>
      </c>
      <c r="E343" s="486">
        <v>1.2</v>
      </c>
      <c r="F343" s="727">
        <f t="shared" si="37"/>
        <v>19.809999999999999</v>
      </c>
      <c r="G343" s="488">
        <f>TRUNC(E343*F343,2)</f>
        <v>23.77</v>
      </c>
      <c r="H343" s="464"/>
    </row>
    <row r="344" spans="1:8" s="465" customFormat="1" ht="16.5" customHeight="1" thickBot="1">
      <c r="A344" s="489"/>
      <c r="B344" s="547" t="s">
        <v>13564</v>
      </c>
      <c r="C344" s="547"/>
      <c r="D344" s="547"/>
      <c r="E344" s="547"/>
      <c r="F344" s="492" t="s">
        <v>22</v>
      </c>
      <c r="G344" s="493">
        <f>SUM(G338:G343)</f>
        <v>502.91999999999996</v>
      </c>
      <c r="H344" s="464"/>
    </row>
    <row r="345" spans="1:8" s="465" customFormat="1" ht="27.75" hidden="1" customHeight="1" thickBot="1">
      <c r="A345" s="464"/>
      <c r="H345" s="464"/>
    </row>
    <row r="346" spans="1:8" s="465" customFormat="1" ht="39.75" hidden="1" customHeight="1">
      <c r="A346" s="464"/>
      <c r="B346" s="466" t="str">
        <f>IF(COUNT($H$8:H346)&lt;10,CONCATENATE("COMP HID 00",COUNT($H$8:H346)),CONCATENATE("COMP HID 0",COUNT($H$8:H346)))</f>
        <v>COMP HID 022</v>
      </c>
      <c r="C346" s="1224" t="s">
        <v>13565</v>
      </c>
      <c r="D346" s="1225"/>
      <c r="E346" s="1225"/>
      <c r="F346" s="1225"/>
      <c r="G346" s="467" t="s">
        <v>28</v>
      </c>
      <c r="H346" s="468">
        <f>G357</f>
        <v>396.65</v>
      </c>
    </row>
    <row r="347" spans="1:8" s="465" customFormat="1" ht="31.5" hidden="1">
      <c r="A347" s="464"/>
      <c r="B347" s="469" t="s">
        <v>13463</v>
      </c>
      <c r="C347" s="470" t="s">
        <v>13464</v>
      </c>
      <c r="D347" s="470" t="s">
        <v>28</v>
      </c>
      <c r="E347" s="470" t="s">
        <v>13465</v>
      </c>
      <c r="F347" s="471" t="s">
        <v>13466</v>
      </c>
      <c r="G347" s="472" t="s">
        <v>13467</v>
      </c>
      <c r="H347" s="464"/>
    </row>
    <row r="348" spans="1:8" s="465" customFormat="1" ht="15.75" hidden="1">
      <c r="A348" s="464"/>
      <c r="B348" s="1246" t="s">
        <v>13468</v>
      </c>
      <c r="C348" s="1247"/>
      <c r="D348" s="1247"/>
      <c r="E348" s="1247"/>
      <c r="F348" s="1247"/>
      <c r="G348" s="1248"/>
      <c r="H348" s="464"/>
    </row>
    <row r="349" spans="1:8" s="503" customFormat="1" ht="15.75" hidden="1">
      <c r="A349" s="473" t="s">
        <v>13458</v>
      </c>
      <c r="B349" s="474">
        <v>36521</v>
      </c>
      <c r="C349" s="475" t="s">
        <v>9259</v>
      </c>
      <c r="D349" s="476" t="s">
        <v>6636</v>
      </c>
      <c r="E349" s="477">
        <v>1</v>
      </c>
      <c r="F349" s="478">
        <v>102.3</v>
      </c>
      <c r="G349" s="479">
        <f>TRUNC(E349*F349,2)</f>
        <v>102.3</v>
      </c>
    </row>
    <row r="350" spans="1:8" s="465" customFormat="1" ht="15.75" hidden="1">
      <c r="A350" s="473" t="s">
        <v>13458</v>
      </c>
      <c r="B350" s="474">
        <v>6136</v>
      </c>
      <c r="C350" s="475" t="s">
        <v>10486</v>
      </c>
      <c r="D350" s="476" t="s">
        <v>6636</v>
      </c>
      <c r="E350" s="477">
        <v>1</v>
      </c>
      <c r="F350" s="478">
        <v>141.01</v>
      </c>
      <c r="G350" s="479">
        <f>TRUNC(E350*F350,2)</f>
        <v>141.01</v>
      </c>
      <c r="H350" s="464"/>
    </row>
    <row r="351" spans="1:8" s="465" customFormat="1" ht="15.75" hidden="1">
      <c r="A351" s="473" t="s">
        <v>13458</v>
      </c>
      <c r="B351" s="474">
        <v>38643</v>
      </c>
      <c r="C351" s="475" t="s">
        <v>11447</v>
      </c>
      <c r="D351" s="476" t="s">
        <v>6636</v>
      </c>
      <c r="E351" s="477">
        <v>1</v>
      </c>
      <c r="F351" s="478">
        <v>35.25</v>
      </c>
      <c r="G351" s="479">
        <f>TRUNC(E351*F351,2)</f>
        <v>35.25</v>
      </c>
      <c r="H351" s="464"/>
    </row>
    <row r="352" spans="1:8" s="465" customFormat="1" ht="45" hidden="1">
      <c r="A352" s="473" t="s">
        <v>13458</v>
      </c>
      <c r="B352" s="474">
        <v>4351</v>
      </c>
      <c r="C352" s="475" t="s">
        <v>9904</v>
      </c>
      <c r="D352" s="476" t="s">
        <v>6636</v>
      </c>
      <c r="E352" s="477">
        <v>2</v>
      </c>
      <c r="F352" s="478">
        <v>11.55</v>
      </c>
      <c r="G352" s="479">
        <f>TRUNC(E352*F352,2)</f>
        <v>23.1</v>
      </c>
      <c r="H352" s="464"/>
    </row>
    <row r="353" spans="1:8" s="465" customFormat="1" ht="15.75" hidden="1">
      <c r="A353" s="473" t="s">
        <v>13458</v>
      </c>
      <c r="B353" s="474">
        <v>11683</v>
      </c>
      <c r="C353" s="475" t="s">
        <v>8507</v>
      </c>
      <c r="D353" s="476" t="s">
        <v>6636</v>
      </c>
      <c r="E353" s="477">
        <v>1</v>
      </c>
      <c r="F353" s="478">
        <v>32.33</v>
      </c>
      <c r="G353" s="479">
        <f>TRUNC(E353*F353,2)</f>
        <v>32.33</v>
      </c>
      <c r="H353" s="464"/>
    </row>
    <row r="354" spans="1:8" s="465" customFormat="1" ht="15.75" hidden="1">
      <c r="A354" s="464"/>
      <c r="B354" s="1246" t="s">
        <v>13469</v>
      </c>
      <c r="C354" s="1247"/>
      <c r="D354" s="1247"/>
      <c r="E354" s="1247"/>
      <c r="F354" s="1247"/>
      <c r="G354" s="1248"/>
      <c r="H354" s="464"/>
    </row>
    <row r="355" spans="1:8" s="465" customFormat="1" ht="15.75" hidden="1">
      <c r="A355" s="473" t="s">
        <v>13459</v>
      </c>
      <c r="B355" s="474">
        <v>88316</v>
      </c>
      <c r="C355" s="475" t="s">
        <v>761</v>
      </c>
      <c r="D355" s="476" t="s">
        <v>753</v>
      </c>
      <c r="E355" s="482">
        <v>1.75</v>
      </c>
      <c r="F355" s="478">
        <v>15.91</v>
      </c>
      <c r="G355" s="479">
        <f>TRUNC(E355*F355,2)</f>
        <v>27.84</v>
      </c>
      <c r="H355" s="464"/>
    </row>
    <row r="356" spans="1:8" s="465" customFormat="1" ht="30.75" hidden="1" thickBot="1">
      <c r="A356" s="473" t="s">
        <v>13459</v>
      </c>
      <c r="B356" s="483">
        <v>88267</v>
      </c>
      <c r="C356" s="484" t="s">
        <v>759</v>
      </c>
      <c r="D356" s="485" t="s">
        <v>753</v>
      </c>
      <c r="E356" s="486">
        <v>1.75</v>
      </c>
      <c r="F356" s="487">
        <v>19.899999999999999</v>
      </c>
      <c r="G356" s="488">
        <f>TRUNC(E356*F356,2)</f>
        <v>34.82</v>
      </c>
      <c r="H356" s="464"/>
    </row>
    <row r="357" spans="1:8" s="465" customFormat="1" ht="16.5" hidden="1" thickBot="1">
      <c r="A357" s="489"/>
      <c r="B357" s="490" t="s">
        <v>13566</v>
      </c>
      <c r="C357" s="490"/>
      <c r="D357" s="490"/>
      <c r="E357" s="491"/>
      <c r="F357" s="492" t="s">
        <v>22</v>
      </c>
      <c r="G357" s="493">
        <f>SUM(G349:G356)</f>
        <v>396.65</v>
      </c>
      <c r="H357" s="464"/>
    </row>
    <row r="358" spans="1:8" s="465" customFormat="1" ht="53.25" hidden="1" customHeight="1">
      <c r="A358" s="489"/>
      <c r="B358" s="1245" t="s">
        <v>13567</v>
      </c>
      <c r="C358" s="1245"/>
      <c r="D358" s="1245"/>
      <c r="E358" s="1245"/>
      <c r="F358" s="1245"/>
      <c r="G358" s="1245"/>
      <c r="H358" s="464"/>
    </row>
    <row r="359" spans="1:8" s="465" customFormat="1" ht="16.5" hidden="1" thickBot="1">
      <c r="A359" s="489"/>
      <c r="B359" s="553"/>
      <c r="C359" s="554"/>
      <c r="D359" s="554"/>
      <c r="E359" s="554"/>
      <c r="F359" s="507"/>
      <c r="G359" s="508"/>
      <c r="H359" s="464"/>
    </row>
    <row r="360" spans="1:8" s="465" customFormat="1" ht="35.25" hidden="1" customHeight="1">
      <c r="A360" s="464"/>
      <c r="B360" s="466" t="str">
        <f>IF(COUNT($H$8:H360)&lt;10,CONCATENATE("COMP HID 00",COUNT($H$8:H360)),CONCATENATE("COMP HID 0",COUNT($H$8:H360)))</f>
        <v>COMP HID 023</v>
      </c>
      <c r="C360" s="1224" t="s">
        <v>13568</v>
      </c>
      <c r="D360" s="1225"/>
      <c r="E360" s="1225"/>
      <c r="F360" s="1225"/>
      <c r="G360" s="467" t="s">
        <v>28</v>
      </c>
      <c r="H360" s="468">
        <f>G371</f>
        <v>448.39000000000004</v>
      </c>
    </row>
    <row r="361" spans="1:8" s="465" customFormat="1" ht="31.5" hidden="1">
      <c r="A361" s="464"/>
      <c r="B361" s="469" t="s">
        <v>13463</v>
      </c>
      <c r="C361" s="470" t="s">
        <v>13464</v>
      </c>
      <c r="D361" s="470" t="s">
        <v>28</v>
      </c>
      <c r="E361" s="470" t="s">
        <v>13465</v>
      </c>
      <c r="F361" s="471" t="s">
        <v>13466</v>
      </c>
      <c r="G361" s="472" t="s">
        <v>13467</v>
      </c>
      <c r="H361" s="464"/>
    </row>
    <row r="362" spans="1:8" s="465" customFormat="1" ht="15.75" hidden="1">
      <c r="A362" s="464"/>
      <c r="B362" s="1232" t="s">
        <v>13468</v>
      </c>
      <c r="C362" s="1220"/>
      <c r="D362" s="1220"/>
      <c r="E362" s="1220"/>
      <c r="F362" s="1220"/>
      <c r="G362" s="1221"/>
      <c r="H362" s="464"/>
    </row>
    <row r="363" spans="1:8" s="465" customFormat="1" ht="30" hidden="1">
      <c r="A363" s="473" t="s">
        <v>13458</v>
      </c>
      <c r="B363" s="474">
        <v>10427</v>
      </c>
      <c r="C363" s="475" t="s">
        <v>9268</v>
      </c>
      <c r="D363" s="476" t="s">
        <v>6636</v>
      </c>
      <c r="E363" s="477">
        <v>1</v>
      </c>
      <c r="F363" s="478">
        <v>185.72</v>
      </c>
      <c r="G363" s="479">
        <f>TRUNC(E363*F363,2)</f>
        <v>185.72</v>
      </c>
      <c r="H363" s="464"/>
    </row>
    <row r="364" spans="1:8" s="465" customFormat="1" ht="15.75" hidden="1">
      <c r="A364" s="473" t="s">
        <v>13458</v>
      </c>
      <c r="B364" s="474">
        <v>3146</v>
      </c>
      <c r="C364" s="475" t="s">
        <v>885</v>
      </c>
      <c r="D364" s="476" t="s">
        <v>6636</v>
      </c>
      <c r="E364" s="481">
        <v>8.4000000000000005E-2</v>
      </c>
      <c r="F364" s="478">
        <v>4.4800000000000004</v>
      </c>
      <c r="G364" s="479">
        <f>TRUNC(E364*F364,2)</f>
        <v>0.37</v>
      </c>
      <c r="H364" s="464"/>
    </row>
    <row r="365" spans="1:8" s="465" customFormat="1" ht="15.75" hidden="1">
      <c r="A365" s="473" t="s">
        <v>13458</v>
      </c>
      <c r="B365" s="474">
        <v>38643</v>
      </c>
      <c r="C365" s="475" t="s">
        <v>11447</v>
      </c>
      <c r="D365" s="476" t="s">
        <v>6636</v>
      </c>
      <c r="E365" s="477">
        <v>1</v>
      </c>
      <c r="F365" s="478">
        <v>35.25</v>
      </c>
      <c r="G365" s="479">
        <f>TRUNC(E365*F365,2)</f>
        <v>35.25</v>
      </c>
      <c r="H365" s="464"/>
    </row>
    <row r="366" spans="1:8" s="465" customFormat="1" ht="15.75" hidden="1">
      <c r="A366" s="473" t="s">
        <v>13458</v>
      </c>
      <c r="B366" s="474">
        <v>6136</v>
      </c>
      <c r="C366" s="475" t="s">
        <v>10486</v>
      </c>
      <c r="D366" s="476" t="s">
        <v>6636</v>
      </c>
      <c r="E366" s="555">
        <v>1</v>
      </c>
      <c r="F366" s="478">
        <v>141.01</v>
      </c>
      <c r="G366" s="479">
        <f>TRUNC(E366*F366,2)</f>
        <v>141.01</v>
      </c>
      <c r="H366" s="464"/>
    </row>
    <row r="367" spans="1:8" s="465" customFormat="1" ht="15.75" hidden="1">
      <c r="A367" s="473" t="s">
        <v>13458</v>
      </c>
      <c r="B367" s="474">
        <v>11683</v>
      </c>
      <c r="C367" s="475" t="s">
        <v>8507</v>
      </c>
      <c r="D367" s="476" t="s">
        <v>6636</v>
      </c>
      <c r="E367" s="477">
        <v>1</v>
      </c>
      <c r="F367" s="478">
        <v>32.33</v>
      </c>
      <c r="G367" s="479">
        <f>TRUNC(E367*F367,2)</f>
        <v>32.33</v>
      </c>
      <c r="H367" s="464"/>
    </row>
    <row r="368" spans="1:8" s="465" customFormat="1" ht="15.75" hidden="1">
      <c r="A368" s="464"/>
      <c r="B368" s="1232" t="s">
        <v>13469</v>
      </c>
      <c r="C368" s="1220"/>
      <c r="D368" s="1220"/>
      <c r="E368" s="1220"/>
      <c r="F368" s="1220"/>
      <c r="G368" s="1221"/>
      <c r="H368" s="464"/>
    </row>
    <row r="369" spans="1:8" s="465" customFormat="1" ht="15.75" hidden="1">
      <c r="A369" s="473" t="s">
        <v>13459</v>
      </c>
      <c r="B369" s="474">
        <v>88316</v>
      </c>
      <c r="C369" s="475" t="s">
        <v>761</v>
      </c>
      <c r="D369" s="476" t="s">
        <v>753</v>
      </c>
      <c r="E369" s="482">
        <v>1.5</v>
      </c>
      <c r="F369" s="478">
        <v>15.91</v>
      </c>
      <c r="G369" s="479">
        <f>TRUNC(E369*F369,2)</f>
        <v>23.86</v>
      </c>
      <c r="H369" s="464"/>
    </row>
    <row r="370" spans="1:8" s="465" customFormat="1" ht="30.75" hidden="1" thickBot="1">
      <c r="A370" s="473" t="s">
        <v>13459</v>
      </c>
      <c r="B370" s="483">
        <v>88267</v>
      </c>
      <c r="C370" s="484" t="s">
        <v>759</v>
      </c>
      <c r="D370" s="485" t="s">
        <v>753</v>
      </c>
      <c r="E370" s="486">
        <v>1.5</v>
      </c>
      <c r="F370" s="487">
        <v>19.899999999999999</v>
      </c>
      <c r="G370" s="488">
        <f>TRUNC(E370*F370,2)</f>
        <v>29.85</v>
      </c>
      <c r="H370" s="464"/>
    </row>
    <row r="371" spans="1:8" s="489" customFormat="1" ht="16.5" hidden="1" thickBot="1">
      <c r="B371" s="490" t="s">
        <v>13569</v>
      </c>
      <c r="C371" s="490"/>
      <c r="D371" s="490"/>
      <c r="E371" s="491"/>
      <c r="F371" s="492" t="s">
        <v>22</v>
      </c>
      <c r="G371" s="493">
        <f>SUM(G363:G370)</f>
        <v>448.39000000000004</v>
      </c>
    </row>
    <row r="372" spans="1:8" s="489" customFormat="1" ht="52.5" hidden="1" customHeight="1">
      <c r="B372" s="1245" t="s">
        <v>13570</v>
      </c>
      <c r="C372" s="1245"/>
      <c r="D372" s="1245"/>
      <c r="E372" s="1245"/>
      <c r="F372" s="1245"/>
      <c r="G372" s="1245"/>
    </row>
    <row r="373" spans="1:8" s="489" customFormat="1" ht="78.75" hidden="1" customHeight="1">
      <c r="B373" s="1231" t="s">
        <v>13571</v>
      </c>
      <c r="C373" s="1231"/>
      <c r="D373" s="1231"/>
      <c r="E373" s="1231"/>
      <c r="F373" s="1231"/>
      <c r="G373" s="1231"/>
      <c r="H373" s="1231"/>
    </row>
    <row r="374" spans="1:8" s="489" customFormat="1" ht="16.5" hidden="1" thickBot="1">
      <c r="B374" s="546"/>
      <c r="C374" s="556"/>
      <c r="D374" s="556"/>
      <c r="E374" s="556"/>
      <c r="F374" s="507"/>
      <c r="G374" s="508"/>
    </row>
    <row r="375" spans="1:8" s="489" customFormat="1" ht="16.5" thickBot="1">
      <c r="B375" s="546"/>
      <c r="C375" s="556"/>
      <c r="D375" s="556"/>
      <c r="E375" s="556"/>
      <c r="F375" s="507"/>
      <c r="G375" s="508"/>
    </row>
    <row r="376" spans="1:8" s="489" customFormat="1" ht="15.75">
      <c r="A376" s="464"/>
      <c r="B376" s="466" t="str">
        <f>IF(COUNT($H$8:H376)&lt;10,CONCATENATE("COMP HID 00",COUNT($H$8:H376)),CONCATENATE("COMP HID 0",COUNT($H$8:H376)))</f>
        <v>COMP HID 024</v>
      </c>
      <c r="C376" s="1224" t="s">
        <v>12940</v>
      </c>
      <c r="D376" s="1225"/>
      <c r="E376" s="1225"/>
      <c r="F376" s="1225"/>
      <c r="G376" s="467" t="s">
        <v>28</v>
      </c>
      <c r="H376" s="557">
        <f>G384</f>
        <v>166.66</v>
      </c>
    </row>
    <row r="377" spans="1:8" s="489" customFormat="1" ht="31.5">
      <c r="A377" s="464"/>
      <c r="B377" s="469" t="s">
        <v>13463</v>
      </c>
      <c r="C377" s="470" t="s">
        <v>13464</v>
      </c>
      <c r="D377" s="470" t="s">
        <v>28</v>
      </c>
      <c r="E377" s="470" t="s">
        <v>13465</v>
      </c>
      <c r="F377" s="471" t="s">
        <v>13466</v>
      </c>
      <c r="G377" s="472" t="s">
        <v>13467</v>
      </c>
    </row>
    <row r="378" spans="1:8" s="489" customFormat="1" ht="15.75">
      <c r="A378" s="464"/>
      <c r="B378" s="1232" t="s">
        <v>13468</v>
      </c>
      <c r="C378" s="1220"/>
      <c r="D378" s="1220"/>
      <c r="E378" s="1220"/>
      <c r="F378" s="1220"/>
      <c r="G378" s="1221"/>
    </row>
    <row r="379" spans="1:8" s="489" customFormat="1" ht="30">
      <c r="A379" s="473" t="s">
        <v>13458</v>
      </c>
      <c r="B379" s="474">
        <v>36796</v>
      </c>
      <c r="C379" s="439" t="str">
        <f>IFERROR(VLOOKUP(B379,comp_nãodes,2,FALSE),VLOOKUP(B379,insnãodes,2,FALSE))</f>
        <v>TORNEIRA CROMADA DE MESA PARA LAVATORIO TEMPORIZADA PRESSAO BICA BAIXA</v>
      </c>
      <c r="D379" s="476" t="s">
        <v>6636</v>
      </c>
      <c r="E379" s="477">
        <v>1</v>
      </c>
      <c r="F379" s="426">
        <f t="shared" ref="F379:F383" si="38">IFERROR(VLOOKUP(B379,comp_nãodes,4,FALSE),VLOOKUP(B379,insnãodes,4,FALSE))</f>
        <v>148.55000000000001</v>
      </c>
      <c r="G379" s="479">
        <f>TRUNC(E379*F379,2)</f>
        <v>148.55000000000001</v>
      </c>
    </row>
    <row r="380" spans="1:8" s="489" customFormat="1" ht="15.75">
      <c r="A380" s="473" t="s">
        <v>13458</v>
      </c>
      <c r="B380" s="474">
        <v>3146</v>
      </c>
      <c r="C380" s="439" t="str">
        <f>IFERROR(VLOOKUP(B380,comp_nãodes,2,FALSE),VLOOKUP(B380,insnãodes,2,FALSE))</f>
        <v>FITA VEDA ROSCA EM ROLOS DE 18 MM X 10 M (L X C)</v>
      </c>
      <c r="D380" s="476" t="s">
        <v>6636</v>
      </c>
      <c r="E380" s="555">
        <v>0.05</v>
      </c>
      <c r="F380" s="426">
        <f t="shared" si="38"/>
        <v>4.3</v>
      </c>
      <c r="G380" s="479">
        <f>TRUNC(E380*F380,2)</f>
        <v>0.21</v>
      </c>
    </row>
    <row r="381" spans="1:8" s="489" customFormat="1" ht="15.75">
      <c r="A381" s="464"/>
      <c r="B381" s="1232" t="s">
        <v>13469</v>
      </c>
      <c r="C381" s="1220"/>
      <c r="D381" s="1220"/>
      <c r="E381" s="1220"/>
      <c r="F381" s="1220"/>
      <c r="G381" s="1221"/>
    </row>
    <row r="382" spans="1:8" s="489" customFormat="1" ht="15.75">
      <c r="A382" s="473" t="s">
        <v>13459</v>
      </c>
      <c r="B382" s="474">
        <v>88316</v>
      </c>
      <c r="C382" s="439" t="str">
        <f>IFERROR(VLOOKUP(B382,comp_nãodes,2,FALSE),VLOOKUP(B382,insnãodes,2,FALSE))</f>
        <v>SERVENTE COM ENCARGOS COMPLEMENTARES</v>
      </c>
      <c r="D382" s="476" t="s">
        <v>753</v>
      </c>
      <c r="E382" s="482">
        <v>0.5</v>
      </c>
      <c r="F382" s="426">
        <f t="shared" si="38"/>
        <v>15.91</v>
      </c>
      <c r="G382" s="479">
        <f>TRUNC(E382*F382,2)</f>
        <v>7.95</v>
      </c>
    </row>
    <row r="383" spans="1:8" s="489" customFormat="1" ht="30.75" thickBot="1">
      <c r="A383" s="473" t="s">
        <v>13459</v>
      </c>
      <c r="B383" s="483">
        <v>88267</v>
      </c>
      <c r="C383" s="439" t="str">
        <f>IFERROR(VLOOKUP(B383,comp_nãodes,2,FALSE),VLOOKUP(B383,insnãodes,2,FALSE))</f>
        <v>ENCANADOR OU BOMBEIRO HIDRÁULICO COM ENCARGOS COMPLEMENTARES</v>
      </c>
      <c r="D383" s="485" t="s">
        <v>753</v>
      </c>
      <c r="E383" s="486">
        <v>0.5</v>
      </c>
      <c r="F383" s="727">
        <f t="shared" si="38"/>
        <v>19.899999999999999</v>
      </c>
      <c r="G383" s="488">
        <f>TRUNC(E383*F383,2)</f>
        <v>9.9499999999999993</v>
      </c>
    </row>
    <row r="384" spans="1:8" s="489" customFormat="1" ht="16.5" thickBot="1">
      <c r="B384" s="490" t="s">
        <v>13572</v>
      </c>
      <c r="C384" s="490"/>
      <c r="D384" s="490"/>
      <c r="E384" s="491"/>
      <c r="F384" s="492" t="s">
        <v>22</v>
      </c>
      <c r="G384" s="493">
        <f>SUM(G379:G383)</f>
        <v>166.66</v>
      </c>
    </row>
    <row r="385" spans="1:8" s="489" customFormat="1" ht="62.25" customHeight="1">
      <c r="B385" s="1231" t="s">
        <v>13570</v>
      </c>
      <c r="C385" s="1231"/>
      <c r="D385" s="1231"/>
      <c r="E385" s="1231"/>
      <c r="F385" s="1231"/>
      <c r="G385" s="1231"/>
    </row>
    <row r="386" spans="1:8" s="489" customFormat="1" ht="73.5" customHeight="1">
      <c r="B386" s="1231" t="s">
        <v>13573</v>
      </c>
      <c r="C386" s="1231"/>
      <c r="D386" s="1231"/>
      <c r="E386" s="1231"/>
      <c r="F386" s="1231"/>
      <c r="G386" s="1231"/>
      <c r="H386" s="1231"/>
    </row>
    <row r="387" spans="1:8" s="489" customFormat="1" ht="16.5" thickBot="1">
      <c r="B387" s="546"/>
      <c r="C387" s="556"/>
      <c r="D387" s="556"/>
      <c r="E387" s="556"/>
      <c r="F387" s="507"/>
      <c r="G387" s="508"/>
    </row>
    <row r="388" spans="1:8" s="489" customFormat="1" ht="47.25" customHeight="1">
      <c r="A388" s="494"/>
      <c r="B388" s="466" t="str">
        <f>IF(COUNT($H$8:H388)&lt;10,CONCATENATE("COMP HID 00",COUNT($H$8:H388)),CONCATENATE("COMP HID 0",COUNT($H$8:H388)))</f>
        <v>COMP HID 025</v>
      </c>
      <c r="C388" s="1224" t="s">
        <v>12898</v>
      </c>
      <c r="D388" s="1225"/>
      <c r="E388" s="1225"/>
      <c r="F388" s="1225"/>
      <c r="G388" s="467" t="s">
        <v>28</v>
      </c>
      <c r="H388" s="557">
        <f>G397</f>
        <v>8.24</v>
      </c>
    </row>
    <row r="389" spans="1:8" s="489" customFormat="1" ht="31.5">
      <c r="A389" s="494"/>
      <c r="B389" s="469" t="s">
        <v>13463</v>
      </c>
      <c r="C389" s="470" t="s">
        <v>13464</v>
      </c>
      <c r="D389" s="470" t="s">
        <v>28</v>
      </c>
      <c r="E389" s="470" t="s">
        <v>13465</v>
      </c>
      <c r="F389" s="471" t="s">
        <v>13466</v>
      </c>
      <c r="G389" s="472" t="s">
        <v>13467</v>
      </c>
    </row>
    <row r="390" spans="1:8" s="489" customFormat="1" ht="15.75">
      <c r="A390" s="494"/>
      <c r="B390" s="1232" t="s">
        <v>13468</v>
      </c>
      <c r="C390" s="1220"/>
      <c r="D390" s="1220"/>
      <c r="E390" s="1220"/>
      <c r="F390" s="1220"/>
      <c r="G390" s="1221"/>
    </row>
    <row r="391" spans="1:8" s="489" customFormat="1" ht="30">
      <c r="A391" s="473" t="s">
        <v>13458</v>
      </c>
      <c r="B391" s="551">
        <v>39319</v>
      </c>
      <c r="C391" s="439" t="str">
        <f>IFERROR(VLOOKUP(B391,comp_nãodes,2,FALSE),VLOOKUP(B391,insnãodes,2,FALSE))</f>
        <v>TERMINAL DE VENTILACAO, 50 MM, SERIE NORMAL, ESGOTO PREDIAL</v>
      </c>
      <c r="D391" s="476" t="s">
        <v>6636</v>
      </c>
      <c r="E391" s="558">
        <v>1</v>
      </c>
      <c r="F391" s="426">
        <f t="shared" ref="F391:F396" si="39">IFERROR(VLOOKUP(B391,comp_nãodes,4,FALSE),VLOOKUP(B391,insnãodes,4,FALSE))</f>
        <v>4.57</v>
      </c>
      <c r="G391" s="479">
        <f>TRUNC(E391*F391,2)</f>
        <v>4.57</v>
      </c>
    </row>
    <row r="392" spans="1:8" s="489" customFormat="1" ht="15.75">
      <c r="A392" s="473" t="s">
        <v>13458</v>
      </c>
      <c r="B392" s="551">
        <v>20083</v>
      </c>
      <c r="C392" s="439" t="str">
        <f>IFERROR(VLOOKUP(B392,comp_nãodes,2,FALSE),VLOOKUP(B392,insnãodes,2,FALSE))</f>
        <v>SOLUCAO LIMPADORA PARA PVC, FRASCO COM 1000 CM3</v>
      </c>
      <c r="D392" s="476" t="s">
        <v>6636</v>
      </c>
      <c r="E392" s="559">
        <v>1.0999999999999999E-2</v>
      </c>
      <c r="F392" s="426">
        <f t="shared" si="39"/>
        <v>60.71</v>
      </c>
      <c r="G392" s="479">
        <f>TRUNC(E392*F392,2)</f>
        <v>0.66</v>
      </c>
    </row>
    <row r="393" spans="1:8" s="489" customFormat="1" ht="30">
      <c r="A393" s="473" t="s">
        <v>13458</v>
      </c>
      <c r="B393" s="551">
        <v>20078</v>
      </c>
      <c r="C393" s="439" t="str">
        <f>IFERROR(VLOOKUP(B393,comp_nãodes,2,FALSE),VLOOKUP(B393,insnãodes,2,FALSE))</f>
        <v>PASTA LUBRIFICANTE PARA TUBOS E CONEXOES COM JUNTA ELASTICA (USO EM PVC, ACO, POLIETILENO E OUTROS) ( DE *400* G)</v>
      </c>
      <c r="D393" s="476" t="s">
        <v>6636</v>
      </c>
      <c r="E393" s="558">
        <v>0.02</v>
      </c>
      <c r="F393" s="426">
        <f t="shared" si="39"/>
        <v>25.6</v>
      </c>
      <c r="G393" s="479">
        <f>TRUNC(E393*F393,2)</f>
        <v>0.51</v>
      </c>
    </row>
    <row r="394" spans="1:8" s="489" customFormat="1" ht="15.75">
      <c r="A394" s="494"/>
      <c r="B394" s="1232" t="s">
        <v>13469</v>
      </c>
      <c r="C394" s="1220"/>
      <c r="D394" s="1220"/>
      <c r="E394" s="1220"/>
      <c r="F394" s="1220"/>
      <c r="G394" s="1221"/>
    </row>
    <row r="395" spans="1:8" s="489" customFormat="1" ht="15.75">
      <c r="A395" s="473" t="s">
        <v>13459</v>
      </c>
      <c r="B395" s="551">
        <v>88316</v>
      </c>
      <c r="C395" s="439" t="str">
        <f>IFERROR(VLOOKUP(B395,comp_nãodes,2,FALSE),VLOOKUP(B395,insnãodes,2,FALSE))</f>
        <v>SERVENTE COM ENCARGOS COMPLEMENTARES</v>
      </c>
      <c r="D395" s="476" t="s">
        <v>753</v>
      </c>
      <c r="E395" s="482">
        <v>7.0000000000000007E-2</v>
      </c>
      <c r="F395" s="426">
        <f t="shared" si="39"/>
        <v>15.91</v>
      </c>
      <c r="G395" s="479">
        <f>TRUNC(E395*F395,2)</f>
        <v>1.1100000000000001</v>
      </c>
    </row>
    <row r="396" spans="1:8" s="489" customFormat="1" ht="30.75" thickBot="1">
      <c r="A396" s="473" t="s">
        <v>13459</v>
      </c>
      <c r="B396" s="552">
        <v>88267</v>
      </c>
      <c r="C396" s="726" t="str">
        <f>IFERROR(VLOOKUP(B396,comp_nãodes,2,FALSE),VLOOKUP(B396,insnãodes,2,FALSE))</f>
        <v>ENCANADOR OU BOMBEIRO HIDRÁULICO COM ENCARGOS COMPLEMENTARES</v>
      </c>
      <c r="D396" s="485" t="s">
        <v>753</v>
      </c>
      <c r="E396" s="486">
        <v>7.0000000000000007E-2</v>
      </c>
      <c r="F396" s="727">
        <f t="shared" si="39"/>
        <v>19.899999999999999</v>
      </c>
      <c r="G396" s="488">
        <f>TRUNC(E396*F396,2)</f>
        <v>1.39</v>
      </c>
    </row>
    <row r="397" spans="1:8" s="489" customFormat="1" ht="16.5" thickBot="1">
      <c r="A397" s="494"/>
      <c r="B397" s="605" t="s">
        <v>13574</v>
      </c>
      <c r="C397" s="605"/>
      <c r="D397" s="605"/>
      <c r="E397" s="605"/>
      <c r="F397" s="492" t="s">
        <v>22</v>
      </c>
      <c r="G397" s="493">
        <f>SUM(G391:G396)</f>
        <v>8.24</v>
      </c>
    </row>
    <row r="398" spans="1:8" s="489" customFormat="1" ht="53.25" customHeight="1">
      <c r="A398" s="494"/>
      <c r="B398" s="1229" t="s">
        <v>13575</v>
      </c>
      <c r="C398" s="1229"/>
      <c r="D398" s="1229"/>
      <c r="E398" s="1229"/>
      <c r="F398" s="1229"/>
      <c r="G398" s="1229"/>
    </row>
    <row r="399" spans="1:8" s="489" customFormat="1" ht="123.75" customHeight="1">
      <c r="B399" s="1231" t="s">
        <v>13576</v>
      </c>
      <c r="C399" s="1231"/>
      <c r="D399" s="1231"/>
      <c r="E399" s="1231"/>
      <c r="F399" s="1231"/>
      <c r="G399" s="1231"/>
      <c r="H399" s="1231"/>
    </row>
    <row r="400" spans="1:8" s="489" customFormat="1" ht="15.75" hidden="1">
      <c r="B400" s="546"/>
      <c r="C400" s="546"/>
      <c r="D400" s="556"/>
      <c r="E400" s="556"/>
      <c r="F400" s="507"/>
      <c r="G400" s="508"/>
    </row>
    <row r="401" spans="1:8" s="489" customFormat="1" ht="15.75" hidden="1">
      <c r="A401" s="494"/>
      <c r="B401" s="466" t="str">
        <f>IF(COUNT($H$8:H401)&lt;10,CONCATENATE("COMP HID 00",COUNT($H$8:H401)),CONCATENATE("COMP HID 0",COUNT($H$8:H401)))</f>
        <v>COMP HID 026</v>
      </c>
      <c r="C401" s="1217" t="s">
        <v>13577</v>
      </c>
      <c r="D401" s="1243"/>
      <c r="E401" s="1243"/>
      <c r="F401" s="1244"/>
      <c r="G401" s="467" t="s">
        <v>28</v>
      </c>
      <c r="H401" s="557">
        <f>G410</f>
        <v>11.23</v>
      </c>
    </row>
    <row r="402" spans="1:8" s="489" customFormat="1" ht="31.5" hidden="1">
      <c r="A402" s="494"/>
      <c r="B402" s="469" t="s">
        <v>13463</v>
      </c>
      <c r="C402" s="470" t="s">
        <v>13464</v>
      </c>
      <c r="D402" s="470" t="s">
        <v>28</v>
      </c>
      <c r="E402" s="470" t="s">
        <v>13465</v>
      </c>
      <c r="F402" s="471" t="s">
        <v>13466</v>
      </c>
      <c r="G402" s="472" t="s">
        <v>13467</v>
      </c>
    </row>
    <row r="403" spans="1:8" s="489" customFormat="1" ht="15.75" hidden="1">
      <c r="A403" s="494"/>
      <c r="B403" s="1240" t="s">
        <v>13468</v>
      </c>
      <c r="C403" s="1241"/>
      <c r="D403" s="1241"/>
      <c r="E403" s="1241"/>
      <c r="F403" s="1241"/>
      <c r="G403" s="1242"/>
    </row>
    <row r="404" spans="1:8" s="489" customFormat="1" ht="30" hidden="1">
      <c r="A404" s="473" t="s">
        <v>13458</v>
      </c>
      <c r="B404" s="551">
        <v>39320</v>
      </c>
      <c r="C404" s="475" t="s">
        <v>913</v>
      </c>
      <c r="D404" s="476" t="s">
        <v>6636</v>
      </c>
      <c r="E404" s="558">
        <v>1</v>
      </c>
      <c r="F404" s="478">
        <v>7.32</v>
      </c>
      <c r="G404" s="479">
        <f>TRUNC(E404*F404,2)</f>
        <v>7.32</v>
      </c>
    </row>
    <row r="405" spans="1:8" s="489" customFormat="1" ht="15.75" hidden="1">
      <c r="A405" s="473" t="s">
        <v>13458</v>
      </c>
      <c r="B405" s="551">
        <v>122</v>
      </c>
      <c r="C405" s="475" t="s">
        <v>869</v>
      </c>
      <c r="D405" s="476" t="s">
        <v>6636</v>
      </c>
      <c r="E405" s="560">
        <v>9.4000000000000004E-3</v>
      </c>
      <c r="F405" s="478">
        <v>74.52</v>
      </c>
      <c r="G405" s="479">
        <f>TRUNC(E405*F405,2)</f>
        <v>0.7</v>
      </c>
    </row>
    <row r="406" spans="1:8" s="489" customFormat="1" ht="15.75" hidden="1">
      <c r="A406" s="473" t="s">
        <v>13458</v>
      </c>
      <c r="B406" s="551">
        <v>20083</v>
      </c>
      <c r="C406" s="475" t="s">
        <v>871</v>
      </c>
      <c r="D406" s="476" t="s">
        <v>6636</v>
      </c>
      <c r="E406" s="559">
        <v>1.0999999999999999E-2</v>
      </c>
      <c r="F406" s="478">
        <v>64.72</v>
      </c>
      <c r="G406" s="479">
        <f>TRUNC(E406*F406,2)</f>
        <v>0.71</v>
      </c>
    </row>
    <row r="407" spans="1:8" s="489" customFormat="1" ht="15.75" hidden="1">
      <c r="A407" s="494"/>
      <c r="B407" s="1240" t="s">
        <v>13469</v>
      </c>
      <c r="C407" s="1241"/>
      <c r="D407" s="1241"/>
      <c r="E407" s="1241"/>
      <c r="F407" s="1241"/>
      <c r="G407" s="1242"/>
    </row>
    <row r="408" spans="1:8" s="489" customFormat="1" ht="15.75" hidden="1">
      <c r="A408" s="473" t="s">
        <v>13459</v>
      </c>
      <c r="B408" s="551">
        <v>88316</v>
      </c>
      <c r="C408" s="475" t="s">
        <v>761</v>
      </c>
      <c r="D408" s="476" t="s">
        <v>753</v>
      </c>
      <c r="E408" s="482">
        <v>7.0000000000000007E-2</v>
      </c>
      <c r="F408" s="478">
        <v>15.91</v>
      </c>
      <c r="G408" s="479">
        <f>TRUNC(E408*F408,2)</f>
        <v>1.1100000000000001</v>
      </c>
    </row>
    <row r="409" spans="1:8" s="489" customFormat="1" ht="30.75" hidden="1" thickBot="1">
      <c r="A409" s="473" t="s">
        <v>13459</v>
      </c>
      <c r="B409" s="552">
        <v>88267</v>
      </c>
      <c r="C409" s="484" t="s">
        <v>759</v>
      </c>
      <c r="D409" s="485" t="s">
        <v>753</v>
      </c>
      <c r="E409" s="486">
        <v>7.0000000000000007E-2</v>
      </c>
      <c r="F409" s="487">
        <v>19.899999999999999</v>
      </c>
      <c r="G409" s="488">
        <f>TRUNC(E409*F409,2)</f>
        <v>1.39</v>
      </c>
    </row>
    <row r="410" spans="1:8" s="489" customFormat="1" ht="16.5" hidden="1" thickBot="1">
      <c r="A410" s="494"/>
      <c r="B410" s="490" t="s">
        <v>13578</v>
      </c>
      <c r="C410" s="490"/>
      <c r="D410" s="490"/>
      <c r="E410" s="491"/>
      <c r="F410" s="492" t="s">
        <v>22</v>
      </c>
      <c r="G410" s="493">
        <f>SUM(G404:G409)</f>
        <v>11.23</v>
      </c>
    </row>
    <row r="411" spans="1:8" s="489" customFormat="1" ht="67.5" hidden="1" customHeight="1">
      <c r="A411" s="494"/>
      <c r="B411" s="1245" t="s">
        <v>13471</v>
      </c>
      <c r="C411" s="1245"/>
      <c r="D411" s="1245"/>
      <c r="E411" s="1245"/>
      <c r="F411" s="1245"/>
      <c r="G411" s="1245"/>
    </row>
    <row r="412" spans="1:8" s="489" customFormat="1" ht="113.25" hidden="1" customHeight="1">
      <c r="B412" s="1231" t="s">
        <v>13579</v>
      </c>
      <c r="C412" s="1231"/>
      <c r="D412" s="1231"/>
      <c r="E412" s="1231"/>
      <c r="F412" s="1231"/>
      <c r="G412" s="1231"/>
      <c r="H412" s="1231"/>
    </row>
    <row r="413" spans="1:8" s="489" customFormat="1" ht="15.75" hidden="1">
      <c r="C413" s="561"/>
      <c r="D413" s="556"/>
      <c r="E413" s="556"/>
      <c r="F413" s="507"/>
      <c r="G413" s="508"/>
    </row>
    <row r="414" spans="1:8" s="489" customFormat="1" ht="15.75" hidden="1">
      <c r="A414" s="494"/>
      <c r="B414" s="466" t="str">
        <f>IF(COUNT($H$8:H414)&lt;10,CONCATENATE("COMP HID 00",COUNT($H$8:H414)),CONCATENATE("COMP HID 0",COUNT($H$8:H414)))</f>
        <v>COMP HID 027</v>
      </c>
      <c r="C414" s="1217" t="s">
        <v>13580</v>
      </c>
      <c r="D414" s="1243"/>
      <c r="E414" s="1243"/>
      <c r="F414" s="1244"/>
      <c r="G414" s="467" t="s">
        <v>28</v>
      </c>
      <c r="H414" s="562">
        <f>G423</f>
        <v>15.18</v>
      </c>
    </row>
    <row r="415" spans="1:8" s="489" customFormat="1" ht="31.5" hidden="1">
      <c r="A415" s="494"/>
      <c r="B415" s="469" t="s">
        <v>13463</v>
      </c>
      <c r="C415" s="470" t="s">
        <v>13464</v>
      </c>
      <c r="D415" s="470" t="s">
        <v>28</v>
      </c>
      <c r="E415" s="470" t="s">
        <v>13465</v>
      </c>
      <c r="F415" s="471" t="s">
        <v>13466</v>
      </c>
      <c r="G415" s="472" t="s">
        <v>13467</v>
      </c>
    </row>
    <row r="416" spans="1:8" s="489" customFormat="1" ht="15.75" hidden="1">
      <c r="A416" s="494"/>
      <c r="B416" s="1240" t="s">
        <v>13468</v>
      </c>
      <c r="C416" s="1241"/>
      <c r="D416" s="1241"/>
      <c r="E416" s="1241"/>
      <c r="F416" s="1241"/>
      <c r="G416" s="1242"/>
    </row>
    <row r="417" spans="1:8" s="489" customFormat="1" ht="30" hidden="1">
      <c r="A417" s="473" t="s">
        <v>13458</v>
      </c>
      <c r="B417" s="551">
        <v>39321</v>
      </c>
      <c r="C417" s="475" t="s">
        <v>10900</v>
      </c>
      <c r="D417" s="476" t="s">
        <v>6636</v>
      </c>
      <c r="E417" s="558">
        <v>1</v>
      </c>
      <c r="F417" s="478">
        <v>11.27</v>
      </c>
      <c r="G417" s="479">
        <f>TRUNC(E417*F417,2)</f>
        <v>11.27</v>
      </c>
    </row>
    <row r="418" spans="1:8" s="489" customFormat="1" ht="15.75" hidden="1">
      <c r="A418" s="473" t="s">
        <v>13458</v>
      </c>
      <c r="B418" s="551">
        <v>122</v>
      </c>
      <c r="C418" s="475" t="s">
        <v>869</v>
      </c>
      <c r="D418" s="476" t="s">
        <v>6636</v>
      </c>
      <c r="E418" s="560">
        <v>9.4000000000000004E-3</v>
      </c>
      <c r="F418" s="478">
        <v>74.52</v>
      </c>
      <c r="G418" s="479">
        <f>TRUNC(E418*F418,2)</f>
        <v>0.7</v>
      </c>
    </row>
    <row r="419" spans="1:8" s="489" customFormat="1" ht="15.75" hidden="1">
      <c r="A419" s="473" t="s">
        <v>13458</v>
      </c>
      <c r="B419" s="551">
        <v>20083</v>
      </c>
      <c r="C419" s="475" t="s">
        <v>871</v>
      </c>
      <c r="D419" s="476" t="s">
        <v>6636</v>
      </c>
      <c r="E419" s="559">
        <v>1.0999999999999999E-2</v>
      </c>
      <c r="F419" s="478">
        <v>64.72</v>
      </c>
      <c r="G419" s="479">
        <f>TRUNC(E419*F419,2)</f>
        <v>0.71</v>
      </c>
    </row>
    <row r="420" spans="1:8" s="489" customFormat="1" ht="15.75" hidden="1">
      <c r="A420" s="494"/>
      <c r="B420" s="1240" t="s">
        <v>13469</v>
      </c>
      <c r="C420" s="1241"/>
      <c r="D420" s="1241"/>
      <c r="E420" s="1241"/>
      <c r="F420" s="1241"/>
      <c r="G420" s="1242"/>
    </row>
    <row r="421" spans="1:8" s="489" customFormat="1" ht="15.75" hidden="1">
      <c r="A421" s="473" t="s">
        <v>13459</v>
      </c>
      <c r="B421" s="551">
        <v>88316</v>
      </c>
      <c r="C421" s="475" t="s">
        <v>761</v>
      </c>
      <c r="D421" s="476" t="s">
        <v>753</v>
      </c>
      <c r="E421" s="482">
        <v>7.0000000000000007E-2</v>
      </c>
      <c r="F421" s="478">
        <v>15.91</v>
      </c>
      <c r="G421" s="479">
        <f>TRUNC(E421*F421,2)</f>
        <v>1.1100000000000001</v>
      </c>
    </row>
    <row r="422" spans="1:8" s="489" customFormat="1" ht="30.75" hidden="1" thickBot="1">
      <c r="A422" s="473" t="s">
        <v>13459</v>
      </c>
      <c r="B422" s="552">
        <v>88267</v>
      </c>
      <c r="C422" s="484" t="s">
        <v>759</v>
      </c>
      <c r="D422" s="485" t="s">
        <v>753</v>
      </c>
      <c r="E422" s="486">
        <v>7.0000000000000007E-2</v>
      </c>
      <c r="F422" s="487">
        <v>19.899999999999999</v>
      </c>
      <c r="G422" s="488">
        <f>TRUNC(E422*F422,2)</f>
        <v>1.39</v>
      </c>
    </row>
    <row r="423" spans="1:8" s="489" customFormat="1" ht="16.5" hidden="1" thickBot="1">
      <c r="A423" s="494"/>
      <c r="B423" s="490" t="s">
        <v>13581</v>
      </c>
      <c r="C423" s="490"/>
      <c r="D423" s="490"/>
      <c r="E423" s="491"/>
      <c r="F423" s="492" t="s">
        <v>22</v>
      </c>
      <c r="G423" s="493">
        <f>SUM(G417:G422)</f>
        <v>15.18</v>
      </c>
    </row>
    <row r="424" spans="1:8" s="489" customFormat="1" ht="57" hidden="1" customHeight="1">
      <c r="B424" s="1231" t="s">
        <v>13471</v>
      </c>
      <c r="C424" s="1231"/>
      <c r="D424" s="1231"/>
      <c r="E424" s="1231"/>
      <c r="F424" s="1231"/>
      <c r="G424" s="1231"/>
    </row>
    <row r="425" spans="1:8" s="489" customFormat="1" ht="120.75" hidden="1" customHeight="1">
      <c r="B425" s="1231" t="s">
        <v>13579</v>
      </c>
      <c r="C425" s="1231"/>
      <c r="D425" s="1231"/>
      <c r="E425" s="1231"/>
      <c r="F425" s="1231"/>
      <c r="G425" s="1231"/>
      <c r="H425" s="1231"/>
    </row>
    <row r="426" spans="1:8" s="489" customFormat="1" ht="16.5" thickBot="1">
      <c r="B426" s="546"/>
      <c r="C426" s="556"/>
      <c r="D426" s="556"/>
      <c r="E426" s="556"/>
      <c r="F426" s="507"/>
      <c r="G426" s="508"/>
    </row>
    <row r="427" spans="1:8" s="489" customFormat="1" ht="32.25" customHeight="1">
      <c r="A427" s="728"/>
      <c r="B427" s="729" t="str">
        <f>IF(COUNT($H$8:H427)&lt;10,CONCATENATE("COMP HID 00",COUNT($H$8:H427)),CONCATENATE("COMP HID 0",COUNT($H$8:H427)))</f>
        <v>COMP HID 028</v>
      </c>
      <c r="C427" s="1224" t="s">
        <v>12900</v>
      </c>
      <c r="D427" s="1225"/>
      <c r="E427" s="1225"/>
      <c r="F427" s="1225"/>
      <c r="G427" s="467" t="s">
        <v>28</v>
      </c>
      <c r="H427" s="563">
        <f>G437</f>
        <v>27.72</v>
      </c>
    </row>
    <row r="428" spans="1:8" s="489" customFormat="1" ht="31.5">
      <c r="A428" s="730"/>
      <c r="B428" s="731" t="s">
        <v>13463</v>
      </c>
      <c r="C428" s="470" t="s">
        <v>13464</v>
      </c>
      <c r="D428" s="470" t="s">
        <v>28</v>
      </c>
      <c r="E428" s="470" t="s">
        <v>13465</v>
      </c>
      <c r="F428" s="471" t="s">
        <v>13466</v>
      </c>
      <c r="G428" s="472" t="s">
        <v>13467</v>
      </c>
    </row>
    <row r="429" spans="1:8" s="489" customFormat="1" ht="15.75">
      <c r="A429" s="730"/>
      <c r="B429" s="1220" t="s">
        <v>13468</v>
      </c>
      <c r="C429" s="1220"/>
      <c r="D429" s="1220"/>
      <c r="E429" s="1220"/>
      <c r="F429" s="1220"/>
      <c r="G429" s="1221"/>
    </row>
    <row r="430" spans="1:8" s="489" customFormat="1" ht="30">
      <c r="A430" s="732" t="s">
        <v>13458</v>
      </c>
      <c r="B430" s="733">
        <v>3661</v>
      </c>
      <c r="C430" s="439" t="str">
        <f>IFERROR(VLOOKUP(B430,comp_nãodes,2,FALSE),VLOOKUP(B430,insnãodes,2,FALSE))</f>
        <v>JUNCAO SIMPLES, PVC, DN 75 X 50 MM, SERIE NORMAL PARA ESGOTO PREDIAL</v>
      </c>
      <c r="D430" s="476" t="s">
        <v>6636</v>
      </c>
      <c r="E430" s="564">
        <v>1</v>
      </c>
      <c r="F430" s="426">
        <f t="shared" ref="F430:F436" si="40">IFERROR(VLOOKUP(B430,comp_nãodes,4,FALSE),VLOOKUP(B430,insnãodes,4,FALSE))</f>
        <v>8.68</v>
      </c>
      <c r="G430" s="479">
        <f>TRUNC(E430*F430,2)</f>
        <v>8.68</v>
      </c>
    </row>
    <row r="431" spans="1:8" s="489" customFormat="1" ht="30">
      <c r="A431" s="732" t="s">
        <v>13458</v>
      </c>
      <c r="B431" s="733">
        <v>20078</v>
      </c>
      <c r="C431" s="439" t="str">
        <f>IFERROR(VLOOKUP(B431,comp_nãodes,2,FALSE),VLOOKUP(B431,insnãodes,2,FALSE))</f>
        <v>PASTA LUBRIFICANTE PARA TUBOS E CONEXOES COM JUNTA ELASTICA (USO EM PVC, ACO, POLIETILENO E OUTROS) ( DE *400* G)</v>
      </c>
      <c r="D431" s="476" t="s">
        <v>6636</v>
      </c>
      <c r="E431" s="565">
        <v>7.4999999999999997E-2</v>
      </c>
      <c r="F431" s="426">
        <f t="shared" si="40"/>
        <v>25.6</v>
      </c>
      <c r="G431" s="479">
        <f>TRUNC(E431*F431,2)</f>
        <v>1.92</v>
      </c>
    </row>
    <row r="432" spans="1:8" s="489" customFormat="1" ht="30">
      <c r="A432" s="732" t="s">
        <v>13458</v>
      </c>
      <c r="B432" s="733">
        <v>296</v>
      </c>
      <c r="C432" s="439" t="str">
        <f>IFERROR(VLOOKUP(B432,comp_nãodes,2,FALSE),VLOOKUP(B432,insnãodes,2,FALSE))</f>
        <v>ANEL BORRACHA PARA TUBO ESGOTO PREDIAL DN 50 MM (NBR 5688)</v>
      </c>
      <c r="D432" s="476" t="s">
        <v>6636</v>
      </c>
      <c r="E432" s="564">
        <v>1</v>
      </c>
      <c r="F432" s="426">
        <f t="shared" si="40"/>
        <v>1.69</v>
      </c>
      <c r="G432" s="479">
        <f>TRUNC(E432*F432,2)</f>
        <v>1.69</v>
      </c>
    </row>
    <row r="433" spans="1:8" s="489" customFormat="1" ht="30">
      <c r="A433" s="732" t="s">
        <v>13458</v>
      </c>
      <c r="B433" s="733">
        <v>297</v>
      </c>
      <c r="C433" s="439" t="str">
        <f>IFERROR(VLOOKUP(B433,comp_nãodes,2,FALSE),VLOOKUP(B433,insnãodes,2,FALSE))</f>
        <v>ANEL BORRACHA PARA TUBO ESGOTO PREDIAL DN 75 MM (NBR 5688)</v>
      </c>
      <c r="D433" s="476" t="s">
        <v>6636</v>
      </c>
      <c r="E433" s="564">
        <v>1</v>
      </c>
      <c r="F433" s="426">
        <f t="shared" si="40"/>
        <v>2.38</v>
      </c>
      <c r="G433" s="479">
        <f>TRUNC(E433*F433,2)</f>
        <v>2.38</v>
      </c>
    </row>
    <row r="434" spans="1:8" s="489" customFormat="1" ht="15.75">
      <c r="A434" s="730"/>
      <c r="B434" s="1220" t="s">
        <v>13469</v>
      </c>
      <c r="C434" s="1220"/>
      <c r="D434" s="1220"/>
      <c r="E434" s="1220"/>
      <c r="F434" s="1220"/>
      <c r="G434" s="1221"/>
    </row>
    <row r="435" spans="1:8" s="489" customFormat="1" ht="30">
      <c r="A435" s="732" t="s">
        <v>13459</v>
      </c>
      <c r="B435" s="733">
        <v>88248</v>
      </c>
      <c r="C435" s="439" t="str">
        <f>IFERROR(VLOOKUP(B435,comp_nãodes,2,FALSE),VLOOKUP(B435,insnãodes,2,FALSE))</f>
        <v>AUXILIAR DE ENCANADOR OU BOMBEIRO HIDRÁULICO COM ENCARGOS COMPLEMENTARES</v>
      </c>
      <c r="D435" s="476" t="s">
        <v>753</v>
      </c>
      <c r="E435" s="482">
        <v>0.37</v>
      </c>
      <c r="F435" s="426">
        <f t="shared" si="40"/>
        <v>15.38</v>
      </c>
      <c r="G435" s="479">
        <f>TRUNC(E435*F435,2)</f>
        <v>5.69</v>
      </c>
    </row>
    <row r="436" spans="1:8" s="489" customFormat="1" ht="30.75" thickBot="1">
      <c r="A436" s="734" t="s">
        <v>13459</v>
      </c>
      <c r="B436" s="737">
        <v>88267</v>
      </c>
      <c r="C436" s="726" t="str">
        <f>IFERROR(VLOOKUP(B436,comp_nãodes,2,FALSE),VLOOKUP(B436,insnãodes,2,FALSE))</f>
        <v>ENCANADOR OU BOMBEIRO HIDRÁULICO COM ENCARGOS COMPLEMENTARES</v>
      </c>
      <c r="D436" s="485" t="s">
        <v>753</v>
      </c>
      <c r="E436" s="486">
        <v>0.37</v>
      </c>
      <c r="F436" s="727">
        <f t="shared" si="40"/>
        <v>19.899999999999999</v>
      </c>
      <c r="G436" s="488">
        <f>TRUNC(E436*F436,2)</f>
        <v>7.36</v>
      </c>
    </row>
    <row r="437" spans="1:8" s="489" customFormat="1" ht="16.5" thickBot="1">
      <c r="A437" s="464"/>
      <c r="B437" s="605" t="s">
        <v>13582</v>
      </c>
      <c r="C437" s="605"/>
      <c r="D437" s="605"/>
      <c r="E437" s="606"/>
      <c r="F437" s="492" t="s">
        <v>22</v>
      </c>
      <c r="G437" s="493">
        <f>SUM(G430:G436)</f>
        <v>27.72</v>
      </c>
    </row>
    <row r="438" spans="1:8" s="489" customFormat="1" ht="57.75" customHeight="1">
      <c r="B438" s="1231" t="s">
        <v>13575</v>
      </c>
      <c r="C438" s="1231"/>
      <c r="D438" s="1231"/>
      <c r="E438" s="1231"/>
      <c r="F438" s="1231"/>
      <c r="G438" s="1231"/>
    </row>
    <row r="439" spans="1:8" s="489" customFormat="1" ht="123" customHeight="1">
      <c r="B439" s="1231" t="s">
        <v>13583</v>
      </c>
      <c r="C439" s="1231"/>
      <c r="D439" s="1231"/>
      <c r="E439" s="1231"/>
      <c r="F439" s="1231"/>
      <c r="G439" s="1231"/>
      <c r="H439" s="1231"/>
    </row>
    <row r="440" spans="1:8" s="489" customFormat="1" ht="16.5" thickBot="1">
      <c r="B440" s="546"/>
      <c r="C440" s="556"/>
      <c r="D440" s="556"/>
      <c r="E440" s="556"/>
      <c r="F440" s="507"/>
      <c r="G440" s="508"/>
    </row>
    <row r="441" spans="1:8" s="465" customFormat="1" ht="32.25" customHeight="1">
      <c r="A441" s="464"/>
      <c r="B441" s="466" t="str">
        <f>IF(COUNT($H$8:H441)&lt;10,CONCATENATE("COMP HID 00",COUNT($H$8:H441)),CONCATENATE("COMP HID 0",COUNT($H$8:H441)))</f>
        <v>COMP HID 029</v>
      </c>
      <c r="C441" s="1224" t="s">
        <v>12902</v>
      </c>
      <c r="D441" s="1225"/>
      <c r="E441" s="1225"/>
      <c r="F441" s="1225"/>
      <c r="G441" s="467" t="s">
        <v>28</v>
      </c>
      <c r="H441" s="566">
        <f>G451</f>
        <v>34.299999999999997</v>
      </c>
    </row>
    <row r="442" spans="1:8" s="465" customFormat="1" ht="31.5">
      <c r="A442" s="464"/>
      <c r="B442" s="469" t="s">
        <v>13463</v>
      </c>
      <c r="C442" s="470" t="s">
        <v>13464</v>
      </c>
      <c r="D442" s="470" t="s">
        <v>28</v>
      </c>
      <c r="E442" s="470" t="s">
        <v>13465</v>
      </c>
      <c r="F442" s="471" t="s">
        <v>13466</v>
      </c>
      <c r="G442" s="472" t="s">
        <v>13467</v>
      </c>
      <c r="H442" s="464"/>
    </row>
    <row r="443" spans="1:8" s="465" customFormat="1" ht="15.75">
      <c r="A443" s="464"/>
      <c r="B443" s="1232" t="s">
        <v>13468</v>
      </c>
      <c r="C443" s="1220"/>
      <c r="D443" s="1220"/>
      <c r="E443" s="1220"/>
      <c r="F443" s="1220"/>
      <c r="G443" s="1221"/>
      <c r="H443" s="464"/>
    </row>
    <row r="444" spans="1:8" s="465" customFormat="1" ht="30">
      <c r="A444" s="473" t="s">
        <v>13458</v>
      </c>
      <c r="B444" s="551">
        <v>3659</v>
      </c>
      <c r="C444" s="439" t="str">
        <f>IFERROR(VLOOKUP(B444,comp_nãodes,2,FALSE),VLOOKUP(B444,insnãodes,2,FALSE))</f>
        <v>JUNCAO SIMPLES, PVC, DN 100 X 50 MM, SERIE NORMAL PARA ESGOTO PREDIAL</v>
      </c>
      <c r="D444" s="476" t="s">
        <v>6636</v>
      </c>
      <c r="E444" s="564">
        <v>1</v>
      </c>
      <c r="F444" s="426">
        <f t="shared" ref="F444:F450" si="41">IFERROR(VLOOKUP(B444,comp_nãodes,4,FALSE),VLOOKUP(B444,insnãodes,4,FALSE))</f>
        <v>10.84</v>
      </c>
      <c r="G444" s="479">
        <f>TRUNC(E444*F444,2)</f>
        <v>10.84</v>
      </c>
      <c r="H444" s="464"/>
    </row>
    <row r="445" spans="1:8" s="465" customFormat="1" ht="30">
      <c r="A445" s="473" t="s">
        <v>13458</v>
      </c>
      <c r="B445" s="551">
        <v>20078</v>
      </c>
      <c r="C445" s="439" t="str">
        <f>IFERROR(VLOOKUP(B445,comp_nãodes,2,FALSE),VLOOKUP(B445,insnãodes,2,FALSE))</f>
        <v>PASTA LUBRIFICANTE PARA TUBOS E CONEXOES COM JUNTA ELASTICA (USO EM PVC, ACO, POLIETILENO E OUTROS) ( DE *400* G)</v>
      </c>
      <c r="D445" s="476" t="s">
        <v>6636</v>
      </c>
      <c r="E445" s="564">
        <v>0.1</v>
      </c>
      <c r="F445" s="426">
        <f t="shared" si="41"/>
        <v>25.6</v>
      </c>
      <c r="G445" s="479">
        <f>TRUNC(E445*F445,2)</f>
        <v>2.56</v>
      </c>
      <c r="H445" s="464"/>
    </row>
    <row r="446" spans="1:8" s="465" customFormat="1" ht="30">
      <c r="A446" s="473" t="s">
        <v>13458</v>
      </c>
      <c r="B446" s="551">
        <v>296</v>
      </c>
      <c r="C446" s="439" t="str">
        <f>IFERROR(VLOOKUP(B446,comp_nãodes,2,FALSE),VLOOKUP(B446,insnãodes,2,FALSE))</f>
        <v>ANEL BORRACHA PARA TUBO ESGOTO PREDIAL DN 50 MM (NBR 5688)</v>
      </c>
      <c r="D446" s="476" t="s">
        <v>6636</v>
      </c>
      <c r="E446" s="564">
        <v>1</v>
      </c>
      <c r="F446" s="426">
        <f t="shared" si="41"/>
        <v>1.69</v>
      </c>
      <c r="G446" s="479">
        <f>TRUNC(E446*F446,2)</f>
        <v>1.69</v>
      </c>
      <c r="H446" s="464"/>
    </row>
    <row r="447" spans="1:8" s="465" customFormat="1" ht="30">
      <c r="A447" s="473" t="s">
        <v>13458</v>
      </c>
      <c r="B447" s="551">
        <v>301</v>
      </c>
      <c r="C447" s="439" t="str">
        <f>IFERROR(VLOOKUP(B447,comp_nãodes,2,FALSE),VLOOKUP(B447,insnãodes,2,FALSE))</f>
        <v>ANEL BORRACHA PARA TUBO ESGOTO PREDIAL, DN 100 MM (NBR 5688)</v>
      </c>
      <c r="D447" s="476" t="s">
        <v>6636</v>
      </c>
      <c r="E447" s="564">
        <v>1</v>
      </c>
      <c r="F447" s="426">
        <f t="shared" si="41"/>
        <v>2.99</v>
      </c>
      <c r="G447" s="479">
        <f>TRUNC(E447*F447,2)</f>
        <v>2.99</v>
      </c>
      <c r="H447" s="464"/>
    </row>
    <row r="448" spans="1:8" s="465" customFormat="1" ht="15.75">
      <c r="A448" s="464"/>
      <c r="B448" s="1232" t="s">
        <v>13469</v>
      </c>
      <c r="C448" s="1220"/>
      <c r="D448" s="1220"/>
      <c r="E448" s="1220"/>
      <c r="F448" s="1220"/>
      <c r="G448" s="1221"/>
      <c r="H448" s="464"/>
    </row>
    <row r="449" spans="1:8" s="465" customFormat="1" ht="30">
      <c r="A449" s="473" t="s">
        <v>13459</v>
      </c>
      <c r="B449" s="551">
        <v>88248</v>
      </c>
      <c r="C449" s="439" t="str">
        <f>IFERROR(VLOOKUP(B449,comp_nãodes,2,FALSE),VLOOKUP(B449,insnãodes,2,FALSE))</f>
        <v>AUXILIAR DE ENCANADOR OU BOMBEIRO HIDRÁULICO COM ENCARGOS COMPLEMENTARES</v>
      </c>
      <c r="D449" s="476" t="s">
        <v>753</v>
      </c>
      <c r="E449" s="482">
        <v>0.46</v>
      </c>
      <c r="F449" s="426">
        <f t="shared" si="41"/>
        <v>15.38</v>
      </c>
      <c r="G449" s="479">
        <f>TRUNC(E449*F449,2)</f>
        <v>7.07</v>
      </c>
      <c r="H449" s="464"/>
    </row>
    <row r="450" spans="1:8" s="465" customFormat="1" ht="30.75" thickBot="1">
      <c r="A450" s="473" t="s">
        <v>13459</v>
      </c>
      <c r="B450" s="552">
        <v>88267</v>
      </c>
      <c r="C450" s="726" t="str">
        <f>IFERROR(VLOOKUP(B450,comp_nãodes,2,FALSE),VLOOKUP(B450,insnãodes,2,FALSE))</f>
        <v>ENCANADOR OU BOMBEIRO HIDRÁULICO COM ENCARGOS COMPLEMENTARES</v>
      </c>
      <c r="D450" s="485" t="s">
        <v>753</v>
      </c>
      <c r="E450" s="486">
        <v>0.46</v>
      </c>
      <c r="F450" s="727">
        <f t="shared" si="41"/>
        <v>19.899999999999999</v>
      </c>
      <c r="G450" s="488">
        <f>TRUNC(E450*F450,2)</f>
        <v>9.15</v>
      </c>
      <c r="H450" s="464"/>
    </row>
    <row r="451" spans="1:8" s="465" customFormat="1" ht="16.5" thickBot="1">
      <c r="A451" s="464"/>
      <c r="B451" s="605" t="s">
        <v>13584</v>
      </c>
      <c r="C451" s="605"/>
      <c r="D451" s="605"/>
      <c r="E451" s="606"/>
      <c r="F451" s="492" t="s">
        <v>22</v>
      </c>
      <c r="G451" s="493">
        <f>SUM(G444:G450)</f>
        <v>34.299999999999997</v>
      </c>
      <c r="H451" s="464"/>
    </row>
    <row r="452" spans="1:8" s="465" customFormat="1" ht="60.75" customHeight="1">
      <c r="A452" s="464"/>
      <c r="B452" s="1231" t="s">
        <v>13575</v>
      </c>
      <c r="C452" s="1231"/>
      <c r="D452" s="1231"/>
      <c r="E452" s="1231"/>
      <c r="F452" s="1231"/>
      <c r="G452" s="1231"/>
      <c r="H452" s="464"/>
    </row>
    <row r="453" spans="1:8" s="465" customFormat="1" ht="114" customHeight="1">
      <c r="A453" s="464"/>
      <c r="B453" s="1230" t="s">
        <v>13585</v>
      </c>
      <c r="C453" s="1230"/>
      <c r="D453" s="1230"/>
      <c r="E453" s="1230"/>
      <c r="F453" s="1230"/>
      <c r="G453" s="1230"/>
      <c r="H453" s="464"/>
    </row>
    <row r="454" spans="1:8" s="465" customFormat="1" ht="30" customHeight="1" thickBot="1">
      <c r="A454" s="464"/>
      <c r="H454" s="464"/>
    </row>
    <row r="455" spans="1:8" s="465" customFormat="1" ht="47.25" customHeight="1">
      <c r="A455" s="728"/>
      <c r="B455" s="729" t="str">
        <f>IF(COUNT($H$8:H455)&lt;10,CONCATENATE("COMP HID 00",COUNT($H$8:H455)),CONCATENATE("COMP HID 0",COUNT($H$8:H455)))</f>
        <v>COMP HID 030</v>
      </c>
      <c r="C455" s="1224" t="s">
        <v>12904</v>
      </c>
      <c r="D455" s="1225"/>
      <c r="E455" s="1225"/>
      <c r="F455" s="1225"/>
      <c r="G455" s="467" t="s">
        <v>28</v>
      </c>
      <c r="H455" s="566">
        <f>G465</f>
        <v>39.769999999999996</v>
      </c>
    </row>
    <row r="456" spans="1:8" s="465" customFormat="1" ht="31.5">
      <c r="A456" s="730"/>
      <c r="B456" s="731" t="s">
        <v>13463</v>
      </c>
      <c r="C456" s="470" t="s">
        <v>13464</v>
      </c>
      <c r="D456" s="470" t="s">
        <v>28</v>
      </c>
      <c r="E456" s="470" t="s">
        <v>13465</v>
      </c>
      <c r="F456" s="471" t="s">
        <v>13466</v>
      </c>
      <c r="G456" s="472" t="s">
        <v>13467</v>
      </c>
      <c r="H456" s="464"/>
    </row>
    <row r="457" spans="1:8" s="465" customFormat="1" ht="15.75">
      <c r="A457" s="730"/>
      <c r="B457" s="1220" t="s">
        <v>13468</v>
      </c>
      <c r="C457" s="1220"/>
      <c r="D457" s="1220"/>
      <c r="E457" s="1220"/>
      <c r="F457" s="1220"/>
      <c r="G457" s="1221"/>
      <c r="H457" s="464"/>
    </row>
    <row r="458" spans="1:8" s="465" customFormat="1" ht="30">
      <c r="A458" s="732" t="s">
        <v>13458</v>
      </c>
      <c r="B458" s="733">
        <v>3660</v>
      </c>
      <c r="C458" s="439" t="str">
        <f>IFERROR(VLOOKUP(B458,comp_nãodes,2,FALSE),VLOOKUP(B458,insnãodes,2,FALSE))</f>
        <v>JUNCAO SIMPLES, PVC, DN 100 X 75 MM, SERIE NORMAL PARA ESGOTO PREDIAL</v>
      </c>
      <c r="D458" s="476" t="s">
        <v>6636</v>
      </c>
      <c r="E458" s="564">
        <v>1</v>
      </c>
      <c r="F458" s="426">
        <f t="shared" ref="F458:F464" si="42">IFERROR(VLOOKUP(B458,comp_nãodes,4,FALSE),VLOOKUP(B458,insnãodes,4,FALSE))</f>
        <v>15.62</v>
      </c>
      <c r="G458" s="479">
        <f>TRUNC(E458*F458,2)</f>
        <v>15.62</v>
      </c>
      <c r="H458" s="464"/>
    </row>
    <row r="459" spans="1:8" s="465" customFormat="1" ht="30">
      <c r="A459" s="732" t="s">
        <v>13458</v>
      </c>
      <c r="B459" s="733">
        <v>20078</v>
      </c>
      <c r="C459" s="439" t="str">
        <f>IFERROR(VLOOKUP(B459,comp_nãodes,2,FALSE),VLOOKUP(B459,insnãodes,2,FALSE))</f>
        <v>PASTA LUBRIFICANTE PARA TUBOS E CONEXOES COM JUNTA ELASTICA (USO EM PVC, ACO, POLIETILENO E OUTROS) ( DE *400* G)</v>
      </c>
      <c r="D459" s="476" t="s">
        <v>6636</v>
      </c>
      <c r="E459" s="564">
        <v>0.1</v>
      </c>
      <c r="F459" s="426">
        <f t="shared" si="42"/>
        <v>25.6</v>
      </c>
      <c r="G459" s="479">
        <f>TRUNC(E459*F459,2)</f>
        <v>2.56</v>
      </c>
      <c r="H459" s="464"/>
    </row>
    <row r="460" spans="1:8" s="465" customFormat="1" ht="30">
      <c r="A460" s="732" t="s">
        <v>13458</v>
      </c>
      <c r="B460" s="733">
        <v>297</v>
      </c>
      <c r="C460" s="439" t="str">
        <f>IFERROR(VLOOKUP(B460,comp_nãodes,2,FALSE),VLOOKUP(B460,insnãodes,2,FALSE))</f>
        <v>ANEL BORRACHA PARA TUBO ESGOTO PREDIAL DN 75 MM (NBR 5688)</v>
      </c>
      <c r="D460" s="476" t="s">
        <v>6636</v>
      </c>
      <c r="E460" s="564">
        <v>1</v>
      </c>
      <c r="F460" s="426">
        <f t="shared" si="42"/>
        <v>2.38</v>
      </c>
      <c r="G460" s="479">
        <f>TRUNC(E460*F460,2)</f>
        <v>2.38</v>
      </c>
      <c r="H460" s="464"/>
    </row>
    <row r="461" spans="1:8" s="465" customFormat="1" ht="30">
      <c r="A461" s="732" t="s">
        <v>13458</v>
      </c>
      <c r="B461" s="733">
        <v>301</v>
      </c>
      <c r="C461" s="439" t="str">
        <f>IFERROR(VLOOKUP(B461,comp_nãodes,2,FALSE),VLOOKUP(B461,insnãodes,2,FALSE))</f>
        <v>ANEL BORRACHA PARA TUBO ESGOTO PREDIAL, DN 100 MM (NBR 5688)</v>
      </c>
      <c r="D461" s="476" t="s">
        <v>6636</v>
      </c>
      <c r="E461" s="564">
        <v>1</v>
      </c>
      <c r="F461" s="426">
        <f t="shared" si="42"/>
        <v>2.99</v>
      </c>
      <c r="G461" s="479">
        <f>TRUNC(E461*F461,2)</f>
        <v>2.99</v>
      </c>
      <c r="H461" s="464"/>
    </row>
    <row r="462" spans="1:8" s="465" customFormat="1" ht="15.75">
      <c r="A462" s="730"/>
      <c r="B462" s="1220" t="s">
        <v>13469</v>
      </c>
      <c r="C462" s="1220"/>
      <c r="D462" s="1220"/>
      <c r="E462" s="1220"/>
      <c r="F462" s="1220"/>
      <c r="G462" s="1221"/>
      <c r="H462" s="464"/>
    </row>
    <row r="463" spans="1:8" s="465" customFormat="1" ht="30">
      <c r="A463" s="732" t="s">
        <v>13459</v>
      </c>
      <c r="B463" s="733">
        <v>88248</v>
      </c>
      <c r="C463" s="439" t="str">
        <f>IFERROR(VLOOKUP(B463,comp_nãodes,2,FALSE),VLOOKUP(B463,insnãodes,2,FALSE))</f>
        <v>AUXILIAR DE ENCANADOR OU BOMBEIRO HIDRÁULICO COM ENCARGOS COMPLEMENTARES</v>
      </c>
      <c r="D463" s="476" t="s">
        <v>753</v>
      </c>
      <c r="E463" s="482">
        <v>0.46</v>
      </c>
      <c r="F463" s="426">
        <f t="shared" si="42"/>
        <v>15.38</v>
      </c>
      <c r="G463" s="479">
        <f>TRUNC(E463*F463,2)</f>
        <v>7.07</v>
      </c>
      <c r="H463" s="464"/>
    </row>
    <row r="464" spans="1:8" s="465" customFormat="1" ht="30.75" thickBot="1">
      <c r="A464" s="734" t="s">
        <v>13459</v>
      </c>
      <c r="B464" s="737">
        <v>88267</v>
      </c>
      <c r="C464" s="726" t="str">
        <f>IFERROR(VLOOKUP(B464,comp_nãodes,2,FALSE),VLOOKUP(B464,insnãodes,2,FALSE))</f>
        <v>ENCANADOR OU BOMBEIRO HIDRÁULICO COM ENCARGOS COMPLEMENTARES</v>
      </c>
      <c r="D464" s="485" t="s">
        <v>753</v>
      </c>
      <c r="E464" s="486">
        <v>0.46</v>
      </c>
      <c r="F464" s="727">
        <f t="shared" si="42"/>
        <v>19.899999999999999</v>
      </c>
      <c r="G464" s="488">
        <f>TRUNC(E464*F464,2)</f>
        <v>9.15</v>
      </c>
      <c r="H464" s="464"/>
    </row>
    <row r="465" spans="1:8" s="465" customFormat="1" ht="16.5" thickBot="1">
      <c r="A465" s="464"/>
      <c r="B465" s="605" t="s">
        <v>13586</v>
      </c>
      <c r="C465" s="605"/>
      <c r="D465" s="605"/>
      <c r="E465" s="606"/>
      <c r="F465" s="492" t="s">
        <v>22</v>
      </c>
      <c r="G465" s="493">
        <f>SUM(G458:G464)</f>
        <v>39.769999999999996</v>
      </c>
      <c r="H465" s="464"/>
    </row>
    <row r="466" spans="1:8" s="465" customFormat="1" ht="69.75" customHeight="1">
      <c r="A466" s="464"/>
      <c r="B466" s="1231" t="s">
        <v>13575</v>
      </c>
      <c r="C466" s="1231"/>
      <c r="D466" s="1231"/>
      <c r="E466" s="1231"/>
      <c r="F466" s="1231"/>
      <c r="G466" s="1231"/>
      <c r="H466" s="464"/>
    </row>
    <row r="467" spans="1:8" s="465" customFormat="1" ht="99" customHeight="1">
      <c r="A467" s="464"/>
      <c r="B467" s="1230" t="s">
        <v>13585</v>
      </c>
      <c r="C467" s="1230"/>
      <c r="D467" s="1230"/>
      <c r="E467" s="1230"/>
      <c r="F467" s="1230"/>
      <c r="G467" s="1230"/>
      <c r="H467" s="464"/>
    </row>
    <row r="468" spans="1:8" s="465" customFormat="1" ht="15.75" thickBot="1">
      <c r="A468" s="464"/>
      <c r="B468" s="567"/>
      <c r="C468" s="567"/>
      <c r="D468" s="567"/>
      <c r="E468" s="567"/>
      <c r="F468" s="567"/>
      <c r="G468" s="567"/>
      <c r="H468" s="464"/>
    </row>
    <row r="469" spans="1:8" s="465" customFormat="1" ht="47.25" customHeight="1">
      <c r="A469" s="738"/>
      <c r="B469" s="729" t="str">
        <f>IF(COUNT($H$8:H469)&lt;10,CONCATENATE("COMP HID 00",COUNT($H$8:H469)),CONCATENATE("COMP HID 0",COUNT($H$8:H469)))</f>
        <v>COMP HID 031</v>
      </c>
      <c r="C469" s="1224" t="s">
        <v>12906</v>
      </c>
      <c r="D469" s="1225"/>
      <c r="E469" s="1225"/>
      <c r="F469" s="1225"/>
      <c r="G469" s="467" t="s">
        <v>28</v>
      </c>
      <c r="H469" s="568">
        <f>G478</f>
        <v>13.139999999999999</v>
      </c>
    </row>
    <row r="470" spans="1:8" s="465" customFormat="1" ht="31.5">
      <c r="A470" s="739"/>
      <c r="B470" s="731" t="s">
        <v>13463</v>
      </c>
      <c r="C470" s="470" t="s">
        <v>13464</v>
      </c>
      <c r="D470" s="470" t="s">
        <v>28</v>
      </c>
      <c r="E470" s="470" t="s">
        <v>13465</v>
      </c>
      <c r="F470" s="471" t="s">
        <v>13466</v>
      </c>
      <c r="G470" s="472" t="s">
        <v>13467</v>
      </c>
      <c r="H470" s="464"/>
    </row>
    <row r="471" spans="1:8" s="465" customFormat="1" ht="15.75">
      <c r="A471" s="739"/>
      <c r="B471" s="1220" t="s">
        <v>13468</v>
      </c>
      <c r="C471" s="1220"/>
      <c r="D471" s="1220"/>
      <c r="E471" s="1220"/>
      <c r="F471" s="1220"/>
      <c r="G471" s="1221"/>
      <c r="H471" s="464"/>
    </row>
    <row r="472" spans="1:8" s="465" customFormat="1" ht="15.75">
      <c r="A472" s="732" t="s">
        <v>13458</v>
      </c>
      <c r="B472" s="733">
        <v>20042</v>
      </c>
      <c r="C472" s="439" t="str">
        <f>IFERROR(VLOOKUP(B472,comp_nãodes,2,FALSE),VLOOKUP(B472,insnãodes,2,FALSE))</f>
        <v>REDUCAO EXCENTRICA PVC P/ ESG PREDIAL DN 75 X 50MM</v>
      </c>
      <c r="D472" s="476" t="s">
        <v>6636</v>
      </c>
      <c r="E472" s="558">
        <v>1</v>
      </c>
      <c r="F472" s="426">
        <f t="shared" ref="F472:F477" si="43">IFERROR(VLOOKUP(B472,comp_nãodes,4,FALSE),VLOOKUP(B472,insnãodes,4,FALSE))</f>
        <v>4.18</v>
      </c>
      <c r="G472" s="479">
        <f>TRUNC(E472*F472,2)</f>
        <v>4.18</v>
      </c>
      <c r="H472" s="464"/>
    </row>
    <row r="473" spans="1:8" s="465" customFormat="1" ht="30">
      <c r="A473" s="732" t="s">
        <v>13458</v>
      </c>
      <c r="B473" s="733">
        <v>296</v>
      </c>
      <c r="C473" s="439" t="str">
        <f>IFERROR(VLOOKUP(B473,comp_nãodes,2,FALSE),VLOOKUP(B473,insnãodes,2,FALSE))</f>
        <v>ANEL BORRACHA PARA TUBO ESGOTO PREDIAL DN 50 MM (NBR 5688)</v>
      </c>
      <c r="D473" s="476" t="s">
        <v>6636</v>
      </c>
      <c r="E473" s="569">
        <v>1</v>
      </c>
      <c r="F473" s="426">
        <f t="shared" si="43"/>
        <v>1.69</v>
      </c>
      <c r="G473" s="479">
        <f>TRUNC(E473*F473,2)</f>
        <v>1.69</v>
      </c>
      <c r="H473" s="464"/>
    </row>
    <row r="474" spans="1:8" s="465" customFormat="1" ht="30">
      <c r="A474" s="732" t="s">
        <v>13458</v>
      </c>
      <c r="B474" s="733">
        <v>20078</v>
      </c>
      <c r="C474" s="439" t="str">
        <f>IFERROR(VLOOKUP(B474,comp_nãodes,2,FALSE),VLOOKUP(B474,insnãodes,2,FALSE))</f>
        <v>PASTA LUBRIFICANTE PARA TUBOS E CONEXOES COM JUNTA ELASTICA (USO EM PVC, ACO, POLIETILENO E OUTROS) ( DE *400* G)</v>
      </c>
      <c r="D474" s="476" t="s">
        <v>6636</v>
      </c>
      <c r="E474" s="559">
        <v>3.2500000000000001E-2</v>
      </c>
      <c r="F474" s="426">
        <f t="shared" si="43"/>
        <v>25.6</v>
      </c>
      <c r="G474" s="479">
        <f>TRUNC(E474*F474,2)</f>
        <v>0.83</v>
      </c>
      <c r="H474" s="464"/>
    </row>
    <row r="475" spans="1:8" s="465" customFormat="1" ht="15.75">
      <c r="A475" s="739"/>
      <c r="B475" s="1220" t="s">
        <v>13469</v>
      </c>
      <c r="C475" s="1220"/>
      <c r="D475" s="1220"/>
      <c r="E475" s="1220"/>
      <c r="F475" s="1220"/>
      <c r="G475" s="1221"/>
      <c r="H475" s="464"/>
    </row>
    <row r="476" spans="1:8" s="465" customFormat="1" ht="15.75">
      <c r="A476" s="732" t="s">
        <v>13459</v>
      </c>
      <c r="B476" s="733">
        <v>88316</v>
      </c>
      <c r="C476" s="439" t="str">
        <f>IFERROR(VLOOKUP(B476,comp_nãodes,2,FALSE),VLOOKUP(B476,insnãodes,2,FALSE))</f>
        <v>SERVENTE COM ENCARGOS COMPLEMENTARES</v>
      </c>
      <c r="D476" s="476" t="s">
        <v>753</v>
      </c>
      <c r="E476" s="482">
        <v>0.18</v>
      </c>
      <c r="F476" s="426">
        <f t="shared" si="43"/>
        <v>15.91</v>
      </c>
      <c r="G476" s="479">
        <f>TRUNC(E476*F476,2)</f>
        <v>2.86</v>
      </c>
      <c r="H476" s="464"/>
    </row>
    <row r="477" spans="1:8" s="465" customFormat="1" ht="30.75" thickBot="1">
      <c r="A477" s="734" t="s">
        <v>13459</v>
      </c>
      <c r="B477" s="737">
        <v>88267</v>
      </c>
      <c r="C477" s="726" t="str">
        <f>IFERROR(VLOOKUP(B477,comp_nãodes,2,FALSE),VLOOKUP(B477,insnãodes,2,FALSE))</f>
        <v>ENCANADOR OU BOMBEIRO HIDRÁULICO COM ENCARGOS COMPLEMENTARES</v>
      </c>
      <c r="D477" s="485" t="s">
        <v>753</v>
      </c>
      <c r="E477" s="486">
        <v>0.18</v>
      </c>
      <c r="F477" s="727">
        <f t="shared" si="43"/>
        <v>19.899999999999999</v>
      </c>
      <c r="G477" s="488">
        <f>TRUNC(E477*F477,2)</f>
        <v>3.58</v>
      </c>
      <c r="H477" s="464"/>
    </row>
    <row r="478" spans="1:8" s="465" customFormat="1" ht="16.5" thickBot="1">
      <c r="A478" s="494"/>
      <c r="B478" s="605" t="s">
        <v>13587</v>
      </c>
      <c r="C478" s="605"/>
      <c r="D478" s="605"/>
      <c r="E478" s="606"/>
      <c r="F478" s="492" t="s">
        <v>22</v>
      </c>
      <c r="G478" s="493">
        <f>SUM(G472:G477)</f>
        <v>13.139999999999999</v>
      </c>
      <c r="H478" s="464"/>
    </row>
    <row r="479" spans="1:8" s="465" customFormat="1" ht="74.25" customHeight="1">
      <c r="A479" s="464"/>
      <c r="B479" s="1249" t="s">
        <v>13575</v>
      </c>
      <c r="C479" s="1249"/>
      <c r="D479" s="1249"/>
      <c r="E479" s="1249"/>
      <c r="F479" s="1249"/>
      <c r="G479" s="1249"/>
      <c r="H479" s="464"/>
    </row>
    <row r="480" spans="1:8" s="465" customFormat="1" ht="111.75" customHeight="1">
      <c r="A480" s="464"/>
      <c r="B480" s="1231" t="s">
        <v>13588</v>
      </c>
      <c r="C480" s="1231"/>
      <c r="D480" s="1231"/>
      <c r="E480" s="1231"/>
      <c r="F480" s="1231"/>
      <c r="G480" s="1231"/>
      <c r="H480" s="464"/>
    </row>
    <row r="481" spans="1:8" s="465" customFormat="1" hidden="1">
      <c r="A481" s="464"/>
      <c r="H481" s="464"/>
    </row>
    <row r="482" spans="1:8" s="465" customFormat="1" ht="15.75" hidden="1">
      <c r="A482" s="494"/>
      <c r="B482" s="466" t="str">
        <f>IF(COUNT($H$8:H482)&lt;10,CONCATENATE("COMP HID 00",COUNT($H$8:H482)),CONCATENATE("COMP HID 0",COUNT($H$8:H482)))</f>
        <v>COMP HID 032</v>
      </c>
      <c r="C482" s="1224" t="s">
        <v>13589</v>
      </c>
      <c r="D482" s="1225"/>
      <c r="E482" s="1225"/>
      <c r="F482" s="1225"/>
      <c r="G482" s="467" t="s">
        <v>28</v>
      </c>
      <c r="H482" s="468">
        <f>G491</f>
        <v>14.93</v>
      </c>
    </row>
    <row r="483" spans="1:8" s="465" customFormat="1" ht="31.5" hidden="1">
      <c r="A483" s="494"/>
      <c r="B483" s="469" t="s">
        <v>13463</v>
      </c>
      <c r="C483" s="470" t="s">
        <v>13464</v>
      </c>
      <c r="D483" s="470" t="s">
        <v>28</v>
      </c>
      <c r="E483" s="470" t="s">
        <v>13465</v>
      </c>
      <c r="F483" s="471" t="s">
        <v>13466</v>
      </c>
      <c r="G483" s="472" t="s">
        <v>13467</v>
      </c>
      <c r="H483" s="464"/>
    </row>
    <row r="484" spans="1:8" s="465" customFormat="1" ht="15.75" hidden="1">
      <c r="A484" s="494"/>
      <c r="B484" s="1232" t="s">
        <v>13468</v>
      </c>
      <c r="C484" s="1220"/>
      <c r="D484" s="1220"/>
      <c r="E484" s="1220"/>
      <c r="F484" s="1220"/>
      <c r="G484" s="1221"/>
      <c r="H484" s="464"/>
    </row>
    <row r="485" spans="1:8" s="465" customFormat="1" ht="15.75" hidden="1">
      <c r="A485" s="473" t="s">
        <v>13458</v>
      </c>
      <c r="B485" s="551">
        <v>20043</v>
      </c>
      <c r="C485" s="475" t="s">
        <v>910</v>
      </c>
      <c r="D485" s="476" t="s">
        <v>6636</v>
      </c>
      <c r="E485" s="558">
        <v>1</v>
      </c>
      <c r="F485" s="478">
        <v>4.75</v>
      </c>
      <c r="G485" s="479">
        <f>TRUNC(E485*F485,2)</f>
        <v>4.75</v>
      </c>
      <c r="H485" s="464"/>
    </row>
    <row r="486" spans="1:8" s="465" customFormat="1" ht="30" hidden="1">
      <c r="A486" s="473" t="s">
        <v>13458</v>
      </c>
      <c r="B486" s="551">
        <v>296</v>
      </c>
      <c r="C486" s="475" t="s">
        <v>906</v>
      </c>
      <c r="D486" s="476" t="s">
        <v>6636</v>
      </c>
      <c r="E486" s="569">
        <v>1</v>
      </c>
      <c r="F486" s="478">
        <v>1.75</v>
      </c>
      <c r="G486" s="479">
        <f>TRUNC(E486*F486,2)</f>
        <v>1.75</v>
      </c>
      <c r="H486" s="464"/>
    </row>
    <row r="487" spans="1:8" s="465" customFormat="1" ht="30" hidden="1">
      <c r="A487" s="473" t="s">
        <v>13458</v>
      </c>
      <c r="B487" s="551">
        <v>20078</v>
      </c>
      <c r="C487" s="475" t="s">
        <v>903</v>
      </c>
      <c r="D487" s="476" t="s">
        <v>6636</v>
      </c>
      <c r="E487" s="559">
        <v>8.0000000000000002E-3</v>
      </c>
      <c r="F487" s="478">
        <v>27.28</v>
      </c>
      <c r="G487" s="479">
        <f>TRUNC(E487*F487,2)</f>
        <v>0.21</v>
      </c>
      <c r="H487" s="464"/>
    </row>
    <row r="488" spans="1:8" s="465" customFormat="1" ht="15.75" hidden="1">
      <c r="A488" s="494"/>
      <c r="B488" s="1232" t="s">
        <v>13469</v>
      </c>
      <c r="C488" s="1220"/>
      <c r="D488" s="1220"/>
      <c r="E488" s="1220"/>
      <c r="F488" s="1220"/>
      <c r="G488" s="1221"/>
      <c r="H488" s="464"/>
    </row>
    <row r="489" spans="1:8" s="465" customFormat="1" ht="15.75" hidden="1">
      <c r="A489" s="473" t="s">
        <v>13459</v>
      </c>
      <c r="B489" s="551">
        <v>88316</v>
      </c>
      <c r="C489" s="475" t="s">
        <v>761</v>
      </c>
      <c r="D489" s="476" t="s">
        <v>753</v>
      </c>
      <c r="E489" s="482">
        <v>0.23</v>
      </c>
      <c r="F489" s="478">
        <v>15.91</v>
      </c>
      <c r="G489" s="479">
        <f>TRUNC(E489*F489,2)</f>
        <v>3.65</v>
      </c>
      <c r="H489" s="464"/>
    </row>
    <row r="490" spans="1:8" s="465" customFormat="1" ht="30.75" hidden="1" thickBot="1">
      <c r="A490" s="473" t="s">
        <v>13459</v>
      </c>
      <c r="B490" s="552">
        <v>88267</v>
      </c>
      <c r="C490" s="484" t="s">
        <v>759</v>
      </c>
      <c r="D490" s="485" t="s">
        <v>753</v>
      </c>
      <c r="E490" s="486">
        <v>0.23</v>
      </c>
      <c r="F490" s="487">
        <v>19.899999999999999</v>
      </c>
      <c r="G490" s="488">
        <f>TRUNC(E490*F490,2)</f>
        <v>4.57</v>
      </c>
      <c r="H490" s="464"/>
    </row>
    <row r="491" spans="1:8" s="465" customFormat="1" ht="16.5" hidden="1" thickBot="1">
      <c r="A491" s="494"/>
      <c r="B491" s="490" t="s">
        <v>13590</v>
      </c>
      <c r="C491" s="490"/>
      <c r="D491" s="490"/>
      <c r="E491" s="491"/>
      <c r="F491" s="492" t="s">
        <v>22</v>
      </c>
      <c r="G491" s="493">
        <f>SUM(G485:G490)</f>
        <v>14.93</v>
      </c>
      <c r="H491" s="464"/>
    </row>
    <row r="492" spans="1:8" s="465" customFormat="1" ht="74.25" hidden="1" customHeight="1">
      <c r="A492" s="464"/>
      <c r="B492" s="1231" t="s">
        <v>13575</v>
      </c>
      <c r="C492" s="1231"/>
      <c r="D492" s="1231"/>
      <c r="E492" s="1231"/>
      <c r="F492" s="1231"/>
      <c r="G492" s="1231"/>
      <c r="H492" s="464"/>
    </row>
    <row r="493" spans="1:8" s="465" customFormat="1" ht="108.75" hidden="1" customHeight="1">
      <c r="A493" s="464"/>
      <c r="B493" s="1230" t="s">
        <v>13591</v>
      </c>
      <c r="C493" s="1230"/>
      <c r="D493" s="1230"/>
      <c r="E493" s="1230"/>
      <c r="F493" s="1230"/>
      <c r="G493" s="1230"/>
      <c r="H493" s="464"/>
    </row>
    <row r="494" spans="1:8" s="465" customFormat="1" hidden="1">
      <c r="A494" s="464"/>
      <c r="H494" s="464"/>
    </row>
    <row r="495" spans="1:8" s="465" customFormat="1" ht="15.75" hidden="1">
      <c r="A495" s="494"/>
      <c r="B495" s="466" t="str">
        <f>IF(COUNT($H$8:H495)&lt;10,CONCATENATE("COMP HID 00",COUNT($H$8:H495)),CONCATENATE("COMP HID 0",COUNT($H$8:H495)))</f>
        <v>COMP HID 033</v>
      </c>
      <c r="C495" s="1224" t="s">
        <v>13592</v>
      </c>
      <c r="D495" s="1225"/>
      <c r="E495" s="1225"/>
      <c r="F495" s="1225"/>
      <c r="G495" s="467" t="s">
        <v>28</v>
      </c>
      <c r="H495" s="468">
        <f>G504</f>
        <v>18.829999999999998</v>
      </c>
    </row>
    <row r="496" spans="1:8" s="465" customFormat="1" ht="31.5" hidden="1">
      <c r="A496" s="494"/>
      <c r="B496" s="469" t="s">
        <v>13463</v>
      </c>
      <c r="C496" s="470" t="s">
        <v>13464</v>
      </c>
      <c r="D496" s="470" t="s">
        <v>28</v>
      </c>
      <c r="E496" s="470" t="s">
        <v>13465</v>
      </c>
      <c r="F496" s="471" t="s">
        <v>13466</v>
      </c>
      <c r="G496" s="472" t="s">
        <v>13467</v>
      </c>
      <c r="H496" s="464"/>
    </row>
    <row r="497" spans="1:14" s="465" customFormat="1" ht="15.75" hidden="1">
      <c r="A497" s="494"/>
      <c r="B497" s="1232" t="s">
        <v>13468</v>
      </c>
      <c r="C497" s="1220"/>
      <c r="D497" s="1220"/>
      <c r="E497" s="1220"/>
      <c r="F497" s="1220"/>
      <c r="G497" s="1221"/>
      <c r="H497" s="464"/>
    </row>
    <row r="498" spans="1:14" s="465" customFormat="1" ht="15.75" hidden="1">
      <c r="A498" s="473" t="s">
        <v>13458</v>
      </c>
      <c r="B498" s="551">
        <v>20044</v>
      </c>
      <c r="C498" s="475" t="s">
        <v>911</v>
      </c>
      <c r="D498" s="476" t="s">
        <v>6636</v>
      </c>
      <c r="E498" s="558">
        <v>1</v>
      </c>
      <c r="F498" s="478">
        <v>5.55</v>
      </c>
      <c r="G498" s="479">
        <f>TRUNC(E498*F498,2)</f>
        <v>5.55</v>
      </c>
      <c r="H498" s="464"/>
    </row>
    <row r="499" spans="1:14" s="465" customFormat="1" ht="30" hidden="1">
      <c r="A499" s="473" t="s">
        <v>13458</v>
      </c>
      <c r="B499" s="551">
        <v>297</v>
      </c>
      <c r="C499" s="475" t="s">
        <v>908</v>
      </c>
      <c r="D499" s="476" t="s">
        <v>6636</v>
      </c>
      <c r="E499" s="569">
        <v>1</v>
      </c>
      <c r="F499" s="478">
        <v>2.4700000000000002</v>
      </c>
      <c r="G499" s="479">
        <f>TRUNC(E499*F499,2)</f>
        <v>2.4700000000000002</v>
      </c>
      <c r="H499" s="464"/>
    </row>
    <row r="500" spans="1:14" s="465" customFormat="1" ht="30" hidden="1">
      <c r="A500" s="473" t="s">
        <v>13458</v>
      </c>
      <c r="B500" s="551">
        <v>20078</v>
      </c>
      <c r="C500" s="475" t="s">
        <v>903</v>
      </c>
      <c r="D500" s="476" t="s">
        <v>6636</v>
      </c>
      <c r="E500" s="559">
        <v>9.5000000000000001E-2</v>
      </c>
      <c r="F500" s="478">
        <v>27.28</v>
      </c>
      <c r="G500" s="479">
        <f>TRUNC(E500*F500,2)</f>
        <v>2.59</v>
      </c>
      <c r="H500" s="464"/>
    </row>
    <row r="501" spans="1:14" s="465" customFormat="1" ht="15.75" hidden="1">
      <c r="A501" s="494"/>
      <c r="B501" s="1232" t="s">
        <v>13469</v>
      </c>
      <c r="C501" s="1220"/>
      <c r="D501" s="1220"/>
      <c r="E501" s="1220"/>
      <c r="F501" s="1220"/>
      <c r="G501" s="1221"/>
      <c r="H501" s="464"/>
    </row>
    <row r="502" spans="1:14" s="465" customFormat="1" ht="15.75" hidden="1">
      <c r="A502" s="473" t="s">
        <v>13459</v>
      </c>
      <c r="B502" s="551">
        <v>88316</v>
      </c>
      <c r="C502" s="475" t="s">
        <v>761</v>
      </c>
      <c r="D502" s="476" t="s">
        <v>753</v>
      </c>
      <c r="E502" s="482">
        <v>0.23</v>
      </c>
      <c r="F502" s="478">
        <v>15.91</v>
      </c>
      <c r="G502" s="479">
        <f>TRUNC(E502*F502,2)</f>
        <v>3.65</v>
      </c>
      <c r="H502" s="464"/>
    </row>
    <row r="503" spans="1:14" s="465" customFormat="1" ht="30.75" hidden="1" thickBot="1">
      <c r="A503" s="473" t="s">
        <v>13459</v>
      </c>
      <c r="B503" s="552">
        <v>88267</v>
      </c>
      <c r="C503" s="484" t="s">
        <v>759</v>
      </c>
      <c r="D503" s="485" t="s">
        <v>753</v>
      </c>
      <c r="E503" s="486">
        <v>0.23</v>
      </c>
      <c r="F503" s="487">
        <v>19.899999999999999</v>
      </c>
      <c r="G503" s="488">
        <f>TRUNC(E503*F503,2)</f>
        <v>4.57</v>
      </c>
      <c r="H503" s="464"/>
    </row>
    <row r="504" spans="1:14" s="465" customFormat="1" ht="16.5" hidden="1" thickBot="1">
      <c r="A504" s="494"/>
      <c r="B504" s="490" t="s">
        <v>13593</v>
      </c>
      <c r="C504" s="490"/>
      <c r="D504" s="490"/>
      <c r="E504" s="491"/>
      <c r="F504" s="492" t="s">
        <v>22</v>
      </c>
      <c r="G504" s="493">
        <f>SUM(G498:G503)</f>
        <v>18.829999999999998</v>
      </c>
      <c r="H504" s="464"/>
    </row>
    <row r="505" spans="1:14" s="465" customFormat="1" ht="132" hidden="1" customHeight="1">
      <c r="A505" s="464"/>
      <c r="B505" s="1230" t="s">
        <v>13594</v>
      </c>
      <c r="C505" s="1230"/>
      <c r="D505" s="1230"/>
      <c r="E505" s="1230"/>
      <c r="F505" s="1230"/>
      <c r="G505" s="1230"/>
      <c r="H505" s="464"/>
      <c r="N505" s="465">
        <v>0</v>
      </c>
    </row>
    <row r="506" spans="1:14" s="465" customFormat="1" ht="15.75" thickBot="1">
      <c r="A506" s="464"/>
      <c r="B506" s="1250"/>
      <c r="C506" s="1250"/>
      <c r="D506" s="1250"/>
      <c r="E506" s="1250"/>
      <c r="F506" s="1250"/>
      <c r="G506" s="1250"/>
      <c r="H506" s="464"/>
    </row>
    <row r="507" spans="1:14" s="465" customFormat="1" ht="47.25" customHeight="1">
      <c r="A507" s="464"/>
      <c r="B507" s="466" t="str">
        <f>IF(COUNT($H$8:H507)&lt;10,CONCATENATE("COMP HID 00",COUNT($H$8:H507)),CONCATENATE("COMP HID 0",COUNT($H$8:H507)))</f>
        <v>COMP HID 034</v>
      </c>
      <c r="C507" s="1224" t="s">
        <v>12908</v>
      </c>
      <c r="D507" s="1224"/>
      <c r="E507" s="1224"/>
      <c r="F507" s="1224"/>
      <c r="G507" s="467" t="s">
        <v>28</v>
      </c>
      <c r="H507" s="468">
        <f>G514</f>
        <v>43.44</v>
      </c>
    </row>
    <row r="508" spans="1:14" s="465" customFormat="1" ht="31.5">
      <c r="A508" s="464"/>
      <c r="B508" s="469" t="s">
        <v>13463</v>
      </c>
      <c r="C508" s="470" t="s">
        <v>13464</v>
      </c>
      <c r="D508" s="470" t="s">
        <v>28</v>
      </c>
      <c r="E508" s="470" t="s">
        <v>13465</v>
      </c>
      <c r="F508" s="471" t="s">
        <v>13466</v>
      </c>
      <c r="G508" s="472" t="s">
        <v>13467</v>
      </c>
      <c r="H508" s="464"/>
    </row>
    <row r="509" spans="1:14" s="465" customFormat="1" ht="15.75">
      <c r="A509" s="464"/>
      <c r="B509" s="1232" t="s">
        <v>13468</v>
      </c>
      <c r="C509" s="1220"/>
      <c r="D509" s="1220"/>
      <c r="E509" s="1220"/>
      <c r="F509" s="1220"/>
      <c r="G509" s="1221"/>
      <c r="H509" s="464"/>
    </row>
    <row r="510" spans="1:14" s="465" customFormat="1" ht="30">
      <c r="A510" s="473" t="s">
        <v>13458</v>
      </c>
      <c r="B510" s="551">
        <v>11717</v>
      </c>
      <c r="C510" s="439" t="str">
        <f>IFERROR(VLOOKUP(B510,comp_nãodes,2,FALSE),VLOOKUP(B510,insnãodes,2,FALSE))</f>
        <v>CAIXA SIFONADA PVC, 150 X 150 X 50 MM, COM GRELHA REDONDA BRANCA</v>
      </c>
      <c r="D510" s="476" t="s">
        <v>6636</v>
      </c>
      <c r="E510" s="564">
        <v>1</v>
      </c>
      <c r="F510" s="426">
        <f t="shared" ref="F510:F513" si="44">IFERROR(VLOOKUP(B510,comp_nãodes,4,FALSE),VLOOKUP(B510,insnãodes,4,FALSE))</f>
        <v>29.33</v>
      </c>
      <c r="G510" s="479">
        <f>TRUNC(E510*F510,2)</f>
        <v>29.33</v>
      </c>
      <c r="H510" s="464"/>
    </row>
    <row r="511" spans="1:14" s="465" customFormat="1" ht="15.75">
      <c r="A511" s="464"/>
      <c r="B511" s="1232" t="s">
        <v>13469</v>
      </c>
      <c r="C511" s="1220"/>
      <c r="D511" s="1220"/>
      <c r="E511" s="1220"/>
      <c r="F511" s="1220"/>
      <c r="G511" s="1221"/>
      <c r="H511" s="464"/>
    </row>
    <row r="512" spans="1:14" s="465" customFormat="1" ht="30">
      <c r="A512" s="473" t="s">
        <v>13459</v>
      </c>
      <c r="B512" s="551">
        <v>88248</v>
      </c>
      <c r="C512" s="439" t="str">
        <f>IFERROR(VLOOKUP(B512,comp_nãodes,2,FALSE),VLOOKUP(B512,insnãodes,2,FALSE))</f>
        <v>AUXILIAR DE ENCANADOR OU BOMBEIRO HIDRÁULICO COM ENCARGOS COMPLEMENTARES</v>
      </c>
      <c r="D512" s="476" t="s">
        <v>753</v>
      </c>
      <c r="E512" s="482">
        <v>0.4</v>
      </c>
      <c r="F512" s="426">
        <f t="shared" si="44"/>
        <v>15.38</v>
      </c>
      <c r="G512" s="479">
        <f>TRUNC(E512*F512,2)</f>
        <v>6.15</v>
      </c>
      <c r="H512" s="464"/>
    </row>
    <row r="513" spans="1:8" s="465" customFormat="1" ht="30.75" thickBot="1">
      <c r="A513" s="473" t="s">
        <v>13459</v>
      </c>
      <c r="B513" s="552">
        <v>88267</v>
      </c>
      <c r="C513" s="726" t="str">
        <f>IFERROR(VLOOKUP(B513,comp_nãodes,2,FALSE),VLOOKUP(B513,insnãodes,2,FALSE))</f>
        <v>ENCANADOR OU BOMBEIRO HIDRÁULICO COM ENCARGOS COMPLEMENTARES</v>
      </c>
      <c r="D513" s="485" t="s">
        <v>753</v>
      </c>
      <c r="E513" s="486">
        <v>0.4</v>
      </c>
      <c r="F513" s="727">
        <f t="shared" si="44"/>
        <v>19.899999999999999</v>
      </c>
      <c r="G513" s="488">
        <f>TRUNC(E513*F513,2)</f>
        <v>7.96</v>
      </c>
      <c r="H513" s="464"/>
    </row>
    <row r="514" spans="1:8" s="465" customFormat="1" ht="16.5" thickBot="1">
      <c r="A514" s="464"/>
      <c r="B514" s="605" t="s">
        <v>13595</v>
      </c>
      <c r="C514" s="605"/>
      <c r="D514" s="605"/>
      <c r="E514" s="605"/>
      <c r="F514" s="492" t="s">
        <v>22</v>
      </c>
      <c r="G514" s="493">
        <f>SUM(G510:G513)</f>
        <v>43.44</v>
      </c>
      <c r="H514" s="464"/>
    </row>
    <row r="515" spans="1:8" s="465" customFormat="1">
      <c r="A515" s="464"/>
      <c r="H515" s="464"/>
    </row>
    <row r="516" spans="1:8" s="465" customFormat="1" ht="15.75" hidden="1">
      <c r="A516" s="464"/>
      <c r="B516" s="466" t="str">
        <f>IF(COUNT($H$8:H516)&lt;10,CONCATENATE("COMP HID 00",COUNT($H$8:H516)),CONCATENATE("COMP HID 0",COUNT($H$8:H516)))</f>
        <v>COMP HID 035</v>
      </c>
      <c r="C516" s="1224" t="s">
        <v>13596</v>
      </c>
      <c r="D516" s="1224"/>
      <c r="E516" s="1224"/>
      <c r="F516" s="1224"/>
      <c r="G516" s="467" t="s">
        <v>28</v>
      </c>
      <c r="H516" s="468">
        <f>G523</f>
        <v>41.1</v>
      </c>
    </row>
    <row r="517" spans="1:8" s="465" customFormat="1" ht="31.5" hidden="1">
      <c r="A517" s="464"/>
      <c r="B517" s="469" t="s">
        <v>13463</v>
      </c>
      <c r="C517" s="470" t="s">
        <v>13464</v>
      </c>
      <c r="D517" s="470" t="s">
        <v>28</v>
      </c>
      <c r="E517" s="470" t="s">
        <v>13465</v>
      </c>
      <c r="F517" s="471" t="s">
        <v>13466</v>
      </c>
      <c r="G517" s="472" t="s">
        <v>13467</v>
      </c>
      <c r="H517" s="464"/>
    </row>
    <row r="518" spans="1:8" s="465" customFormat="1" ht="15.75" hidden="1">
      <c r="A518" s="464"/>
      <c r="B518" s="1232" t="s">
        <v>13468</v>
      </c>
      <c r="C518" s="1220"/>
      <c r="D518" s="1220"/>
      <c r="E518" s="1220"/>
      <c r="F518" s="1220"/>
      <c r="G518" s="1221"/>
      <c r="H518" s="464"/>
    </row>
    <row r="519" spans="1:8" s="465" customFormat="1" ht="30" hidden="1">
      <c r="A519" s="473" t="s">
        <v>13458</v>
      </c>
      <c r="B519" s="551">
        <v>11712</v>
      </c>
      <c r="C519" s="475" t="s">
        <v>902</v>
      </c>
      <c r="D519" s="476" t="s">
        <v>6636</v>
      </c>
      <c r="E519" s="564">
        <v>1</v>
      </c>
      <c r="F519" s="478">
        <v>26.99</v>
      </c>
      <c r="G519" s="479">
        <f>TRUNC(E519*F519,2)</f>
        <v>26.99</v>
      </c>
      <c r="H519" s="464"/>
    </row>
    <row r="520" spans="1:8" s="465" customFormat="1" ht="15.75" hidden="1">
      <c r="A520" s="464"/>
      <c r="B520" s="1232" t="s">
        <v>13469</v>
      </c>
      <c r="C520" s="1220"/>
      <c r="D520" s="1220"/>
      <c r="E520" s="1220"/>
      <c r="F520" s="1220"/>
      <c r="G520" s="1221"/>
      <c r="H520" s="464"/>
    </row>
    <row r="521" spans="1:8" s="465" customFormat="1" ht="30" hidden="1">
      <c r="A521" s="473" t="s">
        <v>13459</v>
      </c>
      <c r="B521" s="551">
        <v>88248</v>
      </c>
      <c r="C521" s="475" t="s">
        <v>758</v>
      </c>
      <c r="D521" s="476" t="s">
        <v>753</v>
      </c>
      <c r="E521" s="482">
        <v>0.4</v>
      </c>
      <c r="F521" s="478">
        <v>15.38</v>
      </c>
      <c r="G521" s="479">
        <f>TRUNC(E521*F521,2)</f>
        <v>6.15</v>
      </c>
      <c r="H521" s="464"/>
    </row>
    <row r="522" spans="1:8" s="465" customFormat="1" ht="30.75" hidden="1" thickBot="1">
      <c r="A522" s="473" t="s">
        <v>13459</v>
      </c>
      <c r="B522" s="552">
        <v>88267</v>
      </c>
      <c r="C522" s="484" t="s">
        <v>759</v>
      </c>
      <c r="D522" s="485" t="s">
        <v>753</v>
      </c>
      <c r="E522" s="486">
        <v>0.4</v>
      </c>
      <c r="F522" s="487">
        <v>19.899999999999999</v>
      </c>
      <c r="G522" s="488">
        <f>TRUNC(E522*F522,2)</f>
        <v>7.96</v>
      </c>
      <c r="H522" s="464"/>
    </row>
    <row r="523" spans="1:8" s="465" customFormat="1" ht="16.5" hidden="1" thickBot="1">
      <c r="A523" s="464"/>
      <c r="B523" s="490" t="s">
        <v>13595</v>
      </c>
      <c r="C523" s="490"/>
      <c r="D523" s="490"/>
      <c r="E523" s="490"/>
      <c r="F523" s="492" t="s">
        <v>22</v>
      </c>
      <c r="G523" s="493">
        <f>SUM(G519:G522)</f>
        <v>41.1</v>
      </c>
      <c r="H523" s="464"/>
    </row>
    <row r="524" spans="1:8" s="465" customFormat="1" hidden="1">
      <c r="A524" s="464"/>
      <c r="H524" s="464"/>
    </row>
    <row r="525" spans="1:8" s="465" customFormat="1" ht="15.75" hidden="1">
      <c r="A525" s="464"/>
      <c r="B525" s="466" t="str">
        <f>IF(COUNT($H$8:H525)&lt;10,CONCATENATE("COMP HID 00",COUNT($H$8:H525)),CONCATENATE("COMP HID 0",COUNT($H$8:H525)))</f>
        <v>COMP HID 036</v>
      </c>
      <c r="C525" s="1224" t="s">
        <v>13597</v>
      </c>
      <c r="D525" s="1224"/>
      <c r="E525" s="1224"/>
      <c r="F525" s="1224"/>
      <c r="G525" s="467" t="s">
        <v>28</v>
      </c>
      <c r="H525" s="468">
        <f>G532</f>
        <v>40.880000000000003</v>
      </c>
    </row>
    <row r="526" spans="1:8" s="465" customFormat="1" ht="31.5" hidden="1">
      <c r="A526" s="464"/>
      <c r="B526" s="469" t="s">
        <v>13463</v>
      </c>
      <c r="C526" s="470" t="s">
        <v>13464</v>
      </c>
      <c r="D526" s="470" t="s">
        <v>28</v>
      </c>
      <c r="E526" s="470" t="s">
        <v>13465</v>
      </c>
      <c r="F526" s="471" t="s">
        <v>13466</v>
      </c>
      <c r="G526" s="472" t="s">
        <v>13467</v>
      </c>
      <c r="H526" s="464"/>
    </row>
    <row r="527" spans="1:8" s="465" customFormat="1" ht="15.75" hidden="1">
      <c r="A527" s="464"/>
      <c r="B527" s="1232" t="s">
        <v>13468</v>
      </c>
      <c r="C527" s="1220"/>
      <c r="D527" s="1220"/>
      <c r="E527" s="1220"/>
      <c r="F527" s="1220"/>
      <c r="G527" s="1221"/>
      <c r="H527" s="464"/>
    </row>
    <row r="528" spans="1:8" s="465" customFormat="1" ht="30" hidden="1">
      <c r="A528" s="473" t="s">
        <v>13458</v>
      </c>
      <c r="B528" s="551">
        <v>11713</v>
      </c>
      <c r="C528" s="475" t="s">
        <v>7503</v>
      </c>
      <c r="D528" s="476" t="s">
        <v>6636</v>
      </c>
      <c r="E528" s="564">
        <v>1</v>
      </c>
      <c r="F528" s="478">
        <v>26.77</v>
      </c>
      <c r="G528" s="479">
        <f>TRUNC(E528*F528,2)</f>
        <v>26.77</v>
      </c>
      <c r="H528" s="464"/>
    </row>
    <row r="529" spans="1:8" s="465" customFormat="1" ht="15.75" hidden="1">
      <c r="A529" s="464"/>
      <c r="B529" s="1232" t="s">
        <v>13469</v>
      </c>
      <c r="C529" s="1220"/>
      <c r="D529" s="1220"/>
      <c r="E529" s="1220"/>
      <c r="F529" s="1220"/>
      <c r="G529" s="1221"/>
      <c r="H529" s="464"/>
    </row>
    <row r="530" spans="1:8" s="465" customFormat="1" ht="30" hidden="1">
      <c r="A530" s="473" t="s">
        <v>13459</v>
      </c>
      <c r="B530" s="551">
        <v>88248</v>
      </c>
      <c r="C530" s="475" t="s">
        <v>758</v>
      </c>
      <c r="D530" s="476" t="s">
        <v>753</v>
      </c>
      <c r="E530" s="482">
        <v>0.4</v>
      </c>
      <c r="F530" s="478">
        <v>15.38</v>
      </c>
      <c r="G530" s="479">
        <f>TRUNC(E530*F530,2)</f>
        <v>6.15</v>
      </c>
      <c r="H530" s="464"/>
    </row>
    <row r="531" spans="1:8" s="465" customFormat="1" ht="30.75" hidden="1" thickBot="1">
      <c r="A531" s="473" t="s">
        <v>13459</v>
      </c>
      <c r="B531" s="552">
        <v>88267</v>
      </c>
      <c r="C531" s="484" t="s">
        <v>759</v>
      </c>
      <c r="D531" s="485" t="s">
        <v>753</v>
      </c>
      <c r="E531" s="486">
        <v>0.4</v>
      </c>
      <c r="F531" s="487">
        <v>19.899999999999999</v>
      </c>
      <c r="G531" s="488">
        <f>TRUNC(E531*F531,2)</f>
        <v>7.96</v>
      </c>
      <c r="H531" s="464"/>
    </row>
    <row r="532" spans="1:8" s="465" customFormat="1" ht="16.5" hidden="1" thickBot="1">
      <c r="A532" s="464"/>
      <c r="B532" s="490" t="s">
        <v>13595</v>
      </c>
      <c r="C532" s="490"/>
      <c r="D532" s="490"/>
      <c r="E532" s="490"/>
      <c r="F532" s="492" t="s">
        <v>22</v>
      </c>
      <c r="G532" s="493">
        <f>SUM(G528:G531)</f>
        <v>40.880000000000003</v>
      </c>
      <c r="H532" s="464"/>
    </row>
    <row r="533" spans="1:8" s="465" customFormat="1" ht="15.75" thickBot="1">
      <c r="A533" s="464"/>
      <c r="H533" s="464"/>
    </row>
    <row r="534" spans="1:8" s="465" customFormat="1" ht="47.25" customHeight="1">
      <c r="A534" s="464"/>
      <c r="B534" s="466" t="str">
        <f>IF(COUNT($H$8:H534)&lt;10,CONCATENATE("COMP HID 00",COUNT($H$8:H534)),CONCATENATE("COMP HID 0",COUNT($H$8:H534)))</f>
        <v>COMP HID 037</v>
      </c>
      <c r="C534" s="1224" t="s">
        <v>12912</v>
      </c>
      <c r="D534" s="1224"/>
      <c r="E534" s="1224"/>
      <c r="F534" s="1224"/>
      <c r="G534" s="467" t="s">
        <v>28</v>
      </c>
      <c r="H534" s="468">
        <f>G541</f>
        <v>56.089999999999996</v>
      </c>
    </row>
    <row r="535" spans="1:8" s="465" customFormat="1" ht="31.5">
      <c r="A535" s="464"/>
      <c r="B535" s="469" t="s">
        <v>13463</v>
      </c>
      <c r="C535" s="470" t="s">
        <v>13464</v>
      </c>
      <c r="D535" s="470" t="s">
        <v>28</v>
      </c>
      <c r="E535" s="470" t="s">
        <v>13465</v>
      </c>
      <c r="F535" s="471" t="s">
        <v>13466</v>
      </c>
      <c r="G535" s="472" t="s">
        <v>13467</v>
      </c>
      <c r="H535" s="464"/>
    </row>
    <row r="536" spans="1:8" s="465" customFormat="1" ht="15.75">
      <c r="A536" s="464"/>
      <c r="B536" s="1232" t="s">
        <v>13468</v>
      </c>
      <c r="C536" s="1220"/>
      <c r="D536" s="1220"/>
      <c r="E536" s="1220"/>
      <c r="F536" s="1220"/>
      <c r="G536" s="1221"/>
      <c r="H536" s="570"/>
    </row>
    <row r="537" spans="1:8" s="465" customFormat="1" ht="30">
      <c r="A537" s="473" t="s">
        <v>13458</v>
      </c>
      <c r="B537" s="551">
        <v>11715</v>
      </c>
      <c r="C537" s="439" t="str">
        <f>IFERROR(VLOOKUP(B537,comp_nãodes,2,FALSE),VLOOKUP(B537,insnãodes,2,FALSE))</f>
        <v>CAIXA SIFONADA PVC, 150 X 185 X 75 MM, COM TAMPA CEGA QUADRADA BRANCA</v>
      </c>
      <c r="D537" s="476" t="s">
        <v>6636</v>
      </c>
      <c r="E537" s="564">
        <v>1</v>
      </c>
      <c r="F537" s="426">
        <f t="shared" ref="F537:F540" si="45">IFERROR(VLOOKUP(B537,comp_nãodes,4,FALSE),VLOOKUP(B537,insnãodes,4,FALSE))</f>
        <v>41.98</v>
      </c>
      <c r="G537" s="479">
        <f>TRUNC(E537*F537,2)</f>
        <v>41.98</v>
      </c>
      <c r="H537" s="464"/>
    </row>
    <row r="538" spans="1:8" s="465" customFormat="1" ht="15.75">
      <c r="A538" s="464"/>
      <c r="B538" s="1232" t="s">
        <v>13469</v>
      </c>
      <c r="C538" s="1220"/>
      <c r="D538" s="1220"/>
      <c r="E538" s="1220"/>
      <c r="F538" s="1220"/>
      <c r="G538" s="1221"/>
      <c r="H538" s="464"/>
    </row>
    <row r="539" spans="1:8" s="465" customFormat="1" ht="30">
      <c r="A539" s="473" t="s">
        <v>13459</v>
      </c>
      <c r="B539" s="551">
        <v>88248</v>
      </c>
      <c r="C539" s="439" t="str">
        <f>IFERROR(VLOOKUP(B539,comp_nãodes,2,FALSE),VLOOKUP(B539,insnãodes,2,FALSE))</f>
        <v>AUXILIAR DE ENCANADOR OU BOMBEIRO HIDRÁULICO COM ENCARGOS COMPLEMENTARES</v>
      </c>
      <c r="D539" s="476" t="s">
        <v>753</v>
      </c>
      <c r="E539" s="482">
        <v>0.4</v>
      </c>
      <c r="F539" s="426">
        <f t="shared" si="45"/>
        <v>15.38</v>
      </c>
      <c r="G539" s="479">
        <f>TRUNC(E539*F539,2)</f>
        <v>6.15</v>
      </c>
      <c r="H539" s="464"/>
    </row>
    <row r="540" spans="1:8" s="465" customFormat="1" ht="30.75" thickBot="1">
      <c r="A540" s="473" t="s">
        <v>13459</v>
      </c>
      <c r="B540" s="552">
        <v>88267</v>
      </c>
      <c r="C540" s="726" t="str">
        <f>IFERROR(VLOOKUP(B540,comp_nãodes,2,FALSE),VLOOKUP(B540,insnãodes,2,FALSE))</f>
        <v>ENCANADOR OU BOMBEIRO HIDRÁULICO COM ENCARGOS COMPLEMENTARES</v>
      </c>
      <c r="D540" s="485" t="s">
        <v>753</v>
      </c>
      <c r="E540" s="486">
        <v>0.4</v>
      </c>
      <c r="F540" s="727">
        <f t="shared" si="45"/>
        <v>19.899999999999999</v>
      </c>
      <c r="G540" s="488">
        <f>TRUNC(E540*F540,2)</f>
        <v>7.96</v>
      </c>
      <c r="H540" s="464"/>
    </row>
    <row r="541" spans="1:8" s="465" customFormat="1" ht="16.5" thickBot="1">
      <c r="A541" s="464"/>
      <c r="B541" s="605" t="s">
        <v>13598</v>
      </c>
      <c r="C541" s="605"/>
      <c r="D541" s="605"/>
      <c r="E541" s="605"/>
      <c r="F541" s="492" t="s">
        <v>22</v>
      </c>
      <c r="G541" s="493">
        <f>SUM(G537:G540)</f>
        <v>56.089999999999996</v>
      </c>
      <c r="H541" s="464"/>
    </row>
    <row r="542" spans="1:8" s="465" customFormat="1" ht="15.75" thickBot="1">
      <c r="A542" s="464"/>
      <c r="H542" s="464"/>
    </row>
    <row r="543" spans="1:8" s="465" customFormat="1" ht="47.25" customHeight="1">
      <c r="A543" s="464"/>
      <c r="B543" s="466" t="str">
        <f>IF(COUNT($H$8:H543)&lt;10,CONCATENATE("COMP HID 00",COUNT($H$8:H543)),CONCATENATE("COMP HID 0",COUNT($H$8:H543)))</f>
        <v>COMP HID 038</v>
      </c>
      <c r="C543" s="1224" t="s">
        <v>12910</v>
      </c>
      <c r="D543" s="1224"/>
      <c r="E543" s="1224"/>
      <c r="F543" s="1224"/>
      <c r="G543" s="467" t="s">
        <v>28</v>
      </c>
      <c r="H543" s="468">
        <f>G551</f>
        <v>73.53</v>
      </c>
    </row>
    <row r="544" spans="1:8" s="465" customFormat="1" ht="31.5">
      <c r="A544" s="464"/>
      <c r="B544" s="469" t="s">
        <v>13463</v>
      </c>
      <c r="C544" s="470" t="s">
        <v>13464</v>
      </c>
      <c r="D544" s="470" t="s">
        <v>28</v>
      </c>
      <c r="E544" s="470" t="s">
        <v>13465</v>
      </c>
      <c r="F544" s="471" t="s">
        <v>13466</v>
      </c>
      <c r="G544" s="472" t="s">
        <v>13467</v>
      </c>
      <c r="H544" s="464"/>
    </row>
    <row r="545" spans="1:8" s="465" customFormat="1" ht="15.75">
      <c r="A545" s="464"/>
      <c r="B545" s="1232" t="s">
        <v>13468</v>
      </c>
      <c r="C545" s="1220"/>
      <c r="D545" s="1220"/>
      <c r="E545" s="1220"/>
      <c r="F545" s="1220"/>
      <c r="G545" s="1221"/>
      <c r="H545" s="570"/>
    </row>
    <row r="546" spans="1:8" s="465" customFormat="1" ht="30">
      <c r="A546" s="473" t="s">
        <v>13458</v>
      </c>
      <c r="B546" s="551" t="s">
        <v>13497</v>
      </c>
      <c r="C546" s="475" t="str">
        <f>C553</f>
        <v>CAIXA SIFONADA 150 X 150 X 50 MM COM TAMPA METÁLICA DO TIPO ABRE E FECHA (ESCAMOTEÁVEL)</v>
      </c>
      <c r="D546" s="571" t="str">
        <f>G553</f>
        <v>UN</v>
      </c>
      <c r="E546" s="564">
        <v>1</v>
      </c>
      <c r="F546" s="478">
        <f>D558</f>
        <v>29.43</v>
      </c>
      <c r="G546" s="479">
        <f>TRUNC(E546*F546,2)</f>
        <v>29.43</v>
      </c>
      <c r="H546" s="464"/>
    </row>
    <row r="547" spans="1:8" s="465" customFormat="1" ht="15.75">
      <c r="A547" s="473" t="s">
        <v>13458</v>
      </c>
      <c r="B547" s="551" t="s">
        <v>13497</v>
      </c>
      <c r="C547" s="475" t="str">
        <f>C560</f>
        <v>GRELHA METÁLICA DO TIPO ABRE E FECHA (ESCAMOTEÁVEL)</v>
      </c>
      <c r="D547" s="571" t="str">
        <f>G560</f>
        <v>UN</v>
      </c>
      <c r="E547" s="564">
        <v>1</v>
      </c>
      <c r="F547" s="478">
        <f>D565</f>
        <v>29.99</v>
      </c>
      <c r="G547" s="479">
        <f>TRUNC(E547*F547,2)</f>
        <v>29.99</v>
      </c>
      <c r="H547" s="464"/>
    </row>
    <row r="548" spans="1:8" s="465" customFormat="1" ht="15.75">
      <c r="A548" s="464"/>
      <c r="B548" s="1232" t="s">
        <v>13469</v>
      </c>
      <c r="C548" s="1220"/>
      <c r="D548" s="1220"/>
      <c r="E548" s="1220"/>
      <c r="F548" s="1220"/>
      <c r="G548" s="1221"/>
      <c r="H548" s="464"/>
    </row>
    <row r="549" spans="1:8" s="465" customFormat="1" ht="30">
      <c r="A549" s="473" t="s">
        <v>13459</v>
      </c>
      <c r="B549" s="551">
        <v>88248</v>
      </c>
      <c r="C549" s="439" t="str">
        <f>IFERROR(VLOOKUP(B549,comp_nãodes,2,FALSE),VLOOKUP(B549,insnãodes,2,FALSE))</f>
        <v>AUXILIAR DE ENCANADOR OU BOMBEIRO HIDRÁULICO COM ENCARGOS COMPLEMENTARES</v>
      </c>
      <c r="D549" s="476" t="s">
        <v>753</v>
      </c>
      <c r="E549" s="482">
        <v>0.4</v>
      </c>
      <c r="F549" s="426">
        <f t="shared" ref="F549:F550" si="46">IFERROR(VLOOKUP(B549,comp_nãodes,4,FALSE),VLOOKUP(B549,insnãodes,4,FALSE))</f>
        <v>15.38</v>
      </c>
      <c r="G549" s="479">
        <f>TRUNC(E549*F549,2)</f>
        <v>6.15</v>
      </c>
      <c r="H549" s="464"/>
    </row>
    <row r="550" spans="1:8" s="465" customFormat="1" ht="30.75" thickBot="1">
      <c r="A550" s="473" t="s">
        <v>13459</v>
      </c>
      <c r="B550" s="552">
        <v>88267</v>
      </c>
      <c r="C550" s="726" t="str">
        <f>IFERROR(VLOOKUP(B550,comp_nãodes,2,FALSE),VLOOKUP(B550,insnãodes,2,FALSE))</f>
        <v>ENCANADOR OU BOMBEIRO HIDRÁULICO COM ENCARGOS COMPLEMENTARES</v>
      </c>
      <c r="D550" s="485" t="s">
        <v>753</v>
      </c>
      <c r="E550" s="486">
        <v>0.4</v>
      </c>
      <c r="F550" s="727">
        <f t="shared" si="46"/>
        <v>19.899999999999999</v>
      </c>
      <c r="G550" s="488">
        <f>TRUNC(E550*F550,2)</f>
        <v>7.96</v>
      </c>
      <c r="H550" s="464"/>
    </row>
    <row r="551" spans="1:8" s="465" customFormat="1" ht="16.5" thickBot="1">
      <c r="A551" s="464"/>
      <c r="B551" s="605" t="s">
        <v>13598</v>
      </c>
      <c r="C551" s="605"/>
      <c r="D551" s="605"/>
      <c r="E551" s="605"/>
      <c r="F551" s="492" t="s">
        <v>22</v>
      </c>
      <c r="G551" s="493">
        <f>SUM(G546:G550)</f>
        <v>73.53</v>
      </c>
      <c r="H551" s="464"/>
    </row>
    <row r="552" spans="1:8" s="458" customFormat="1" ht="15.75" thickBot="1">
      <c r="A552" s="457"/>
      <c r="B552" s="465"/>
      <c r="C552" s="465"/>
      <c r="D552" s="465"/>
      <c r="E552" s="465"/>
      <c r="F552" s="465"/>
      <c r="G552" s="465"/>
      <c r="H552" s="464"/>
    </row>
    <row r="553" spans="1:8" s="458" customFormat="1" ht="32.25" customHeight="1">
      <c r="A553" s="457"/>
      <c r="B553" s="572"/>
      <c r="C553" s="723" t="s">
        <v>13599</v>
      </c>
      <c r="D553" s="574"/>
      <c r="E553" s="575"/>
      <c r="F553" s="576"/>
      <c r="G553" s="577" t="s">
        <v>28</v>
      </c>
      <c r="H553" s="515" t="s">
        <v>13600</v>
      </c>
    </row>
    <row r="554" spans="1:8" s="458" customFormat="1" ht="47.25">
      <c r="A554" s="457"/>
      <c r="B554" s="578" t="s">
        <v>13502</v>
      </c>
      <c r="C554" s="579" t="s">
        <v>13503</v>
      </c>
      <c r="D554" s="580" t="s">
        <v>13601</v>
      </c>
      <c r="E554" s="581" t="s">
        <v>13505</v>
      </c>
      <c r="F554" s="582" t="s">
        <v>13506</v>
      </c>
      <c r="G554" s="583" t="s">
        <v>13507</v>
      </c>
      <c r="H554" s="464"/>
    </row>
    <row r="555" spans="1:8" s="458" customFormat="1">
      <c r="A555" s="457"/>
      <c r="B555" s="584">
        <v>43907</v>
      </c>
      <c r="C555" s="585" t="s">
        <v>13602</v>
      </c>
      <c r="D555" s="586">
        <v>26.99</v>
      </c>
      <c r="E555" s="587" t="s">
        <v>13603</v>
      </c>
      <c r="F555" s="588" t="s">
        <v>13604</v>
      </c>
      <c r="G555" s="589" t="s">
        <v>13605</v>
      </c>
      <c r="H555" s="590"/>
    </row>
    <row r="556" spans="1:8" s="458" customFormat="1">
      <c r="A556" s="457"/>
      <c r="B556" s="591">
        <v>43907</v>
      </c>
      <c r="C556" s="592" t="s">
        <v>13606</v>
      </c>
      <c r="D556" s="593">
        <v>33.700000000000003</v>
      </c>
      <c r="E556" s="594" t="s">
        <v>13607</v>
      </c>
      <c r="F556" s="595" t="s">
        <v>13608</v>
      </c>
      <c r="G556" s="596" t="s">
        <v>13609</v>
      </c>
      <c r="H556" s="590"/>
    </row>
    <row r="557" spans="1:8" s="458" customFormat="1" ht="18" customHeight="1">
      <c r="A557" s="457"/>
      <c r="B557" s="597">
        <v>43907</v>
      </c>
      <c r="C557" s="592" t="s">
        <v>13610</v>
      </c>
      <c r="D557" s="593">
        <v>29.43</v>
      </c>
      <c r="E557" s="594" t="s">
        <v>13611</v>
      </c>
      <c r="F557" s="595" t="s">
        <v>13612</v>
      </c>
      <c r="G557" s="596" t="s">
        <v>13613</v>
      </c>
      <c r="H557" s="590"/>
    </row>
    <row r="558" spans="1:8" s="458" customFormat="1" ht="16.5" thickBot="1">
      <c r="A558" s="457"/>
      <c r="B558" s="598"/>
      <c r="C558" s="599" t="s">
        <v>13523</v>
      </c>
      <c r="D558" s="538">
        <f>IF(COUNT(D554:D557)=3,MEDIAN(D555:D557),SMALL(D555:D557,1))</f>
        <v>29.43</v>
      </c>
      <c r="E558" s="600"/>
      <c r="F558" s="601"/>
      <c r="G558" s="602"/>
      <c r="H558" s="464"/>
    </row>
    <row r="559" spans="1:8" s="458" customFormat="1" ht="15.75" thickBot="1">
      <c r="A559" s="457"/>
      <c r="B559" s="465"/>
      <c r="C559" s="465"/>
      <c r="D559" s="465"/>
      <c r="E559" s="465"/>
      <c r="F559" s="465"/>
      <c r="G559" s="465"/>
      <c r="H559" s="464"/>
    </row>
    <row r="560" spans="1:8" s="458" customFormat="1" ht="15.75">
      <c r="A560" s="457"/>
      <c r="B560" s="572"/>
      <c r="C560" s="573" t="s">
        <v>13614</v>
      </c>
      <c r="D560" s="574"/>
      <c r="E560" s="575"/>
      <c r="F560" s="576"/>
      <c r="G560" s="577" t="s">
        <v>28</v>
      </c>
      <c r="H560" s="515" t="s">
        <v>13600</v>
      </c>
    </row>
    <row r="561" spans="1:8" s="458" customFormat="1" ht="47.25">
      <c r="A561" s="457"/>
      <c r="B561" s="578" t="s">
        <v>13502</v>
      </c>
      <c r="C561" s="579" t="s">
        <v>13503</v>
      </c>
      <c r="D561" s="580" t="s">
        <v>13601</v>
      </c>
      <c r="E561" s="581" t="s">
        <v>13505</v>
      </c>
      <c r="F561" s="582" t="s">
        <v>13506</v>
      </c>
      <c r="G561" s="583" t="s">
        <v>13507</v>
      </c>
      <c r="H561" s="464"/>
    </row>
    <row r="562" spans="1:8" s="458" customFormat="1">
      <c r="A562" s="457"/>
      <c r="B562" s="584">
        <v>43907</v>
      </c>
      <c r="C562" s="585" t="s">
        <v>13602</v>
      </c>
      <c r="D562" s="586">
        <v>29.99</v>
      </c>
      <c r="E562" s="587" t="s">
        <v>13603</v>
      </c>
      <c r="F562" s="588" t="s">
        <v>13604</v>
      </c>
      <c r="G562" s="589" t="s">
        <v>13605</v>
      </c>
      <c r="H562" s="590"/>
    </row>
    <row r="563" spans="1:8" s="458" customFormat="1">
      <c r="A563" s="457"/>
      <c r="B563" s="591">
        <v>43907</v>
      </c>
      <c r="C563" s="592" t="s">
        <v>13606</v>
      </c>
      <c r="D563" s="593">
        <v>21.8</v>
      </c>
      <c r="E563" s="594" t="s">
        <v>13607</v>
      </c>
      <c r="F563" s="595" t="s">
        <v>13608</v>
      </c>
      <c r="G563" s="596" t="s">
        <v>13609</v>
      </c>
      <c r="H563" s="590"/>
    </row>
    <row r="564" spans="1:8" s="458" customFormat="1">
      <c r="A564" s="457"/>
      <c r="B564" s="597">
        <v>43907</v>
      </c>
      <c r="C564" s="592" t="s">
        <v>13610</v>
      </c>
      <c r="D564" s="593">
        <v>33.49</v>
      </c>
      <c r="E564" s="594" t="s">
        <v>13611</v>
      </c>
      <c r="F564" s="595" t="s">
        <v>13612</v>
      </c>
      <c r="G564" s="596" t="s">
        <v>13613</v>
      </c>
      <c r="H564" s="590"/>
    </row>
    <row r="565" spans="1:8" s="458" customFormat="1" ht="16.5" thickBot="1">
      <c r="A565" s="457"/>
      <c r="B565" s="598"/>
      <c r="C565" s="599" t="s">
        <v>13523</v>
      </c>
      <c r="D565" s="538">
        <f>IF(COUNT(D561:D564)=3,MEDIAN(D562:D564),SMALL(D562:D564,1))</f>
        <v>29.99</v>
      </c>
      <c r="E565" s="600"/>
      <c r="F565" s="601"/>
      <c r="G565" s="602"/>
      <c r="H565" s="464"/>
    </row>
    <row r="566" spans="1:8" s="465" customFormat="1">
      <c r="A566" s="464"/>
      <c r="H566" s="464"/>
    </row>
    <row r="567" spans="1:8" s="465" customFormat="1" ht="15.75" hidden="1">
      <c r="A567" s="464"/>
      <c r="B567" s="466" t="str">
        <f>IF(COUNT($H$8:H567)&lt;10,CONCATENATE("COMP HID 00",COUNT($H$8:H567)),CONCATENATE("COMP HID 0",COUNT($H$8:H567)))</f>
        <v>COMP HID 039</v>
      </c>
      <c r="C567" s="1224" t="s">
        <v>13615</v>
      </c>
      <c r="D567" s="1224"/>
      <c r="E567" s="1224"/>
      <c r="F567" s="1224"/>
      <c r="G567" s="467" t="s">
        <v>28</v>
      </c>
      <c r="H567" s="468">
        <f>G574</f>
        <v>27.15</v>
      </c>
    </row>
    <row r="568" spans="1:8" s="465" customFormat="1" ht="31.5" hidden="1">
      <c r="A568" s="464"/>
      <c r="B568" s="469" t="s">
        <v>13463</v>
      </c>
      <c r="C568" s="470" t="s">
        <v>13464</v>
      </c>
      <c r="D568" s="470" t="s">
        <v>28</v>
      </c>
      <c r="E568" s="470" t="s">
        <v>13465</v>
      </c>
      <c r="F568" s="471" t="s">
        <v>13466</v>
      </c>
      <c r="G568" s="472" t="s">
        <v>13467</v>
      </c>
      <c r="H568" s="464"/>
    </row>
    <row r="569" spans="1:8" s="465" customFormat="1" ht="15.75" hidden="1">
      <c r="A569" s="464"/>
      <c r="B569" s="1232" t="s">
        <v>13468</v>
      </c>
      <c r="C569" s="1220"/>
      <c r="D569" s="1220"/>
      <c r="E569" s="1220"/>
      <c r="F569" s="1220"/>
      <c r="G569" s="1221"/>
      <c r="H569" s="464"/>
    </row>
    <row r="570" spans="1:8" s="465" customFormat="1" ht="15.75" hidden="1">
      <c r="A570" s="473" t="s">
        <v>13458</v>
      </c>
      <c r="B570" s="551">
        <v>11707</v>
      </c>
      <c r="C570" s="475" t="s">
        <v>10299</v>
      </c>
      <c r="D570" s="476" t="s">
        <v>6636</v>
      </c>
      <c r="E570" s="564">
        <v>1</v>
      </c>
      <c r="F570" s="478">
        <v>9.25</v>
      </c>
      <c r="G570" s="479">
        <f>TRUNC(E570*F570,2)</f>
        <v>9.25</v>
      </c>
      <c r="H570" s="464"/>
    </row>
    <row r="571" spans="1:8" s="465" customFormat="1" ht="15.75" hidden="1">
      <c r="A571" s="464"/>
      <c r="B571" s="1232" t="s">
        <v>13469</v>
      </c>
      <c r="C571" s="1220"/>
      <c r="D571" s="1220"/>
      <c r="E571" s="1220"/>
      <c r="F571" s="1220"/>
      <c r="G571" s="1221"/>
      <c r="H571" s="464"/>
    </row>
    <row r="572" spans="1:8" s="465" customFormat="1" ht="15.75" hidden="1">
      <c r="A572" s="473" t="s">
        <v>13459</v>
      </c>
      <c r="B572" s="551">
        <v>88316</v>
      </c>
      <c r="C572" s="475" t="s">
        <v>761</v>
      </c>
      <c r="D572" s="476" t="s">
        <v>753</v>
      </c>
      <c r="E572" s="482">
        <v>0.5</v>
      </c>
      <c r="F572" s="478">
        <v>15.91</v>
      </c>
      <c r="G572" s="479">
        <f>TRUNC(E572*F572,2)</f>
        <v>7.95</v>
      </c>
      <c r="H572" s="464"/>
    </row>
    <row r="573" spans="1:8" s="465" customFormat="1" ht="30.75" hidden="1" thickBot="1">
      <c r="A573" s="473" t="s">
        <v>13459</v>
      </c>
      <c r="B573" s="552">
        <v>88267</v>
      </c>
      <c r="C573" s="484" t="s">
        <v>759</v>
      </c>
      <c r="D573" s="485" t="s">
        <v>753</v>
      </c>
      <c r="E573" s="486">
        <v>0.5</v>
      </c>
      <c r="F573" s="487">
        <v>19.899999999999999</v>
      </c>
      <c r="G573" s="488">
        <f>TRUNC(E573*F573,2)</f>
        <v>9.9499999999999993</v>
      </c>
      <c r="H573" s="464"/>
    </row>
    <row r="574" spans="1:8" s="465" customFormat="1" ht="16.5" hidden="1" thickBot="1">
      <c r="A574" s="464"/>
      <c r="B574" s="490" t="s">
        <v>13616</v>
      </c>
      <c r="C574" s="490"/>
      <c r="D574" s="490"/>
      <c r="E574" s="490"/>
      <c r="F574" s="492" t="s">
        <v>22</v>
      </c>
      <c r="G574" s="493">
        <f>SUM(G570:G573)</f>
        <v>27.15</v>
      </c>
      <c r="H574" s="464"/>
    </row>
    <row r="575" spans="1:8" s="465" customFormat="1" ht="15.75" thickBot="1">
      <c r="A575" s="464"/>
      <c r="H575" s="464"/>
    </row>
    <row r="576" spans="1:8" s="465" customFormat="1" ht="47.25" customHeight="1">
      <c r="A576" s="464"/>
      <c r="B576" s="466" t="str">
        <f>IF(COUNT($H$8:H576)&lt;10,CONCATENATE("COMP HID 00",COUNT($H$8:H576)),CONCATENATE("COMP HID 0",COUNT($H$8:H576)))</f>
        <v>COMP HID 040</v>
      </c>
      <c r="C576" s="1224" t="s">
        <v>12920</v>
      </c>
      <c r="D576" s="1224"/>
      <c r="E576" s="1224"/>
      <c r="F576" s="1224"/>
      <c r="G576" s="467" t="s">
        <v>28</v>
      </c>
      <c r="H576" s="468">
        <f>G583</f>
        <v>30.189999999999998</v>
      </c>
    </row>
    <row r="577" spans="1:8" s="465" customFormat="1" ht="31.5">
      <c r="A577" s="464"/>
      <c r="B577" s="469" t="s">
        <v>13463</v>
      </c>
      <c r="C577" s="470" t="s">
        <v>13464</v>
      </c>
      <c r="D577" s="470" t="s">
        <v>28</v>
      </c>
      <c r="E577" s="470" t="s">
        <v>13465</v>
      </c>
      <c r="F577" s="471" t="s">
        <v>13466</v>
      </c>
      <c r="G577" s="472" t="s">
        <v>13467</v>
      </c>
      <c r="H577" s="464"/>
    </row>
    <row r="578" spans="1:8" s="465" customFormat="1" ht="15.75">
      <c r="A578" s="464"/>
      <c r="B578" s="1232" t="s">
        <v>13468</v>
      </c>
      <c r="C578" s="1220"/>
      <c r="D578" s="1220"/>
      <c r="E578" s="1220"/>
      <c r="F578" s="1220"/>
      <c r="G578" s="1221"/>
      <c r="H578" s="464"/>
    </row>
    <row r="579" spans="1:8" s="465" customFormat="1" ht="15.75">
      <c r="A579" s="473" t="s">
        <v>13458</v>
      </c>
      <c r="B579" s="551">
        <v>11708</v>
      </c>
      <c r="C579" s="439" t="str">
        <f>IFERROR(VLOOKUP(B579,comp_nãodes,2,FALSE),VLOOKUP(B579,insnãodes,2,FALSE))</f>
        <v>RALO FOFO SEMIESFERICO, 100 MM, PARA LAJES/ CALHAS</v>
      </c>
      <c r="D579" s="476" t="s">
        <v>6636</v>
      </c>
      <c r="E579" s="564">
        <v>1</v>
      </c>
      <c r="F579" s="426">
        <f t="shared" ref="F579:F582" si="47">IFERROR(VLOOKUP(B579,comp_nãodes,4,FALSE),VLOOKUP(B579,insnãodes,4,FALSE))</f>
        <v>12.29</v>
      </c>
      <c r="G579" s="479">
        <f>TRUNC(E579*F579,2)</f>
        <v>12.29</v>
      </c>
      <c r="H579" s="464"/>
    </row>
    <row r="580" spans="1:8" s="465" customFormat="1" ht="15.75">
      <c r="A580" s="464"/>
      <c r="B580" s="1232" t="s">
        <v>13469</v>
      </c>
      <c r="C580" s="1220"/>
      <c r="D580" s="1220"/>
      <c r="E580" s="1220"/>
      <c r="F580" s="1220"/>
      <c r="G580" s="1221"/>
      <c r="H580" s="464"/>
    </row>
    <row r="581" spans="1:8" s="465" customFormat="1" ht="15.75">
      <c r="A581" s="473" t="s">
        <v>13459</v>
      </c>
      <c r="B581" s="551">
        <v>88316</v>
      </c>
      <c r="C581" s="439" t="str">
        <f>IFERROR(VLOOKUP(B581,comp_nãodes,2,FALSE),VLOOKUP(B581,insnãodes,2,FALSE))</f>
        <v>SERVENTE COM ENCARGOS COMPLEMENTARES</v>
      </c>
      <c r="D581" s="476" t="s">
        <v>753</v>
      </c>
      <c r="E581" s="482">
        <v>0.5</v>
      </c>
      <c r="F581" s="426">
        <f t="shared" si="47"/>
        <v>15.91</v>
      </c>
      <c r="G581" s="479">
        <f>TRUNC(E581*F581,2)</f>
        <v>7.95</v>
      </c>
      <c r="H581" s="464"/>
    </row>
    <row r="582" spans="1:8" s="465" customFormat="1" ht="30.75" thickBot="1">
      <c r="A582" s="473" t="s">
        <v>13459</v>
      </c>
      <c r="B582" s="552">
        <v>88267</v>
      </c>
      <c r="C582" s="726" t="str">
        <f>IFERROR(VLOOKUP(B582,comp_nãodes,2,FALSE),VLOOKUP(B582,insnãodes,2,FALSE))</f>
        <v>ENCANADOR OU BOMBEIRO HIDRÁULICO COM ENCARGOS COMPLEMENTARES</v>
      </c>
      <c r="D582" s="485" t="s">
        <v>753</v>
      </c>
      <c r="E582" s="486">
        <v>0.5</v>
      </c>
      <c r="F582" s="727">
        <f t="shared" si="47"/>
        <v>19.899999999999999</v>
      </c>
      <c r="G582" s="488">
        <f>TRUNC(E582*F582,2)</f>
        <v>9.9499999999999993</v>
      </c>
      <c r="H582" s="464"/>
    </row>
    <row r="583" spans="1:8" s="465" customFormat="1" ht="16.5" thickBot="1">
      <c r="A583" s="464"/>
      <c r="B583" s="605" t="s">
        <v>13617</v>
      </c>
      <c r="C583" s="605"/>
      <c r="D583" s="605"/>
      <c r="E583" s="605"/>
      <c r="F583" s="492" t="s">
        <v>22</v>
      </c>
      <c r="G583" s="493">
        <f>SUM(G579:G582)</f>
        <v>30.189999999999998</v>
      </c>
      <c r="H583" s="464"/>
    </row>
    <row r="584" spans="1:8" s="465" customFormat="1" ht="15.75" thickBot="1">
      <c r="A584" s="464"/>
      <c r="H584" s="464"/>
    </row>
    <row r="585" spans="1:8" s="465" customFormat="1" ht="15.75" hidden="1">
      <c r="A585" s="464"/>
      <c r="B585" s="466" t="str">
        <f>IF(COUNT($H$8:H585)&lt;10,CONCATENATE("COMP HID 00",COUNT($H$8:H585)),CONCATENATE("COMP HID 0",COUNT($H$8:H585)))</f>
        <v>COMP HID 041</v>
      </c>
      <c r="C585" s="1224" t="s">
        <v>13618</v>
      </c>
      <c r="D585" s="1224"/>
      <c r="E585" s="1224"/>
      <c r="F585" s="1224"/>
      <c r="G585" s="467" t="s">
        <v>28</v>
      </c>
      <c r="H585" s="468">
        <f>G592</f>
        <v>46.91</v>
      </c>
    </row>
    <row r="586" spans="1:8" s="465" customFormat="1" ht="31.5" hidden="1">
      <c r="A586" s="464"/>
      <c r="B586" s="469" t="s">
        <v>13463</v>
      </c>
      <c r="C586" s="470" t="s">
        <v>13464</v>
      </c>
      <c r="D586" s="470" t="s">
        <v>28</v>
      </c>
      <c r="E586" s="470" t="s">
        <v>13465</v>
      </c>
      <c r="F586" s="471" t="s">
        <v>13466</v>
      </c>
      <c r="G586" s="472" t="s">
        <v>13467</v>
      </c>
      <c r="H586" s="464"/>
    </row>
    <row r="587" spans="1:8" s="465" customFormat="1" ht="15.75" hidden="1">
      <c r="A587" s="464"/>
      <c r="B587" s="1232" t="s">
        <v>13468</v>
      </c>
      <c r="C587" s="1220"/>
      <c r="D587" s="1220"/>
      <c r="E587" s="1220"/>
      <c r="F587" s="1220"/>
      <c r="G587" s="1221"/>
      <c r="H587" s="464"/>
    </row>
    <row r="588" spans="1:8" s="465" customFormat="1" ht="15.75" hidden="1">
      <c r="A588" s="473" t="s">
        <v>13458</v>
      </c>
      <c r="B588" s="551">
        <v>11709</v>
      </c>
      <c r="C588" s="475" t="s">
        <v>10297</v>
      </c>
      <c r="D588" s="476" t="s">
        <v>6636</v>
      </c>
      <c r="E588" s="564">
        <v>1</v>
      </c>
      <c r="F588" s="478">
        <v>29.01</v>
      </c>
      <c r="G588" s="479">
        <f>TRUNC(E588*F588,2)</f>
        <v>29.01</v>
      </c>
      <c r="H588" s="464"/>
    </row>
    <row r="589" spans="1:8" s="465" customFormat="1" ht="15.75" hidden="1">
      <c r="A589" s="464"/>
      <c r="B589" s="1232" t="s">
        <v>13469</v>
      </c>
      <c r="C589" s="1220"/>
      <c r="D589" s="1220"/>
      <c r="E589" s="1220"/>
      <c r="F589" s="1220"/>
      <c r="G589" s="1221"/>
      <c r="H589" s="464"/>
    </row>
    <row r="590" spans="1:8" s="465" customFormat="1" ht="15.75" hidden="1">
      <c r="A590" s="473" t="s">
        <v>13459</v>
      </c>
      <c r="B590" s="551">
        <v>88316</v>
      </c>
      <c r="C590" s="475" t="s">
        <v>761</v>
      </c>
      <c r="D590" s="476" t="s">
        <v>753</v>
      </c>
      <c r="E590" s="482">
        <v>0.5</v>
      </c>
      <c r="F590" s="478">
        <v>15.91</v>
      </c>
      <c r="G590" s="479">
        <f>TRUNC(E590*F590,2)</f>
        <v>7.95</v>
      </c>
      <c r="H590" s="464"/>
    </row>
    <row r="591" spans="1:8" s="465" customFormat="1" ht="30.75" hidden="1" thickBot="1">
      <c r="A591" s="473" t="s">
        <v>13459</v>
      </c>
      <c r="B591" s="552">
        <v>88267</v>
      </c>
      <c r="C591" s="484" t="s">
        <v>759</v>
      </c>
      <c r="D591" s="485" t="s">
        <v>753</v>
      </c>
      <c r="E591" s="486">
        <v>0.5</v>
      </c>
      <c r="F591" s="487">
        <v>19.899999999999999</v>
      </c>
      <c r="G591" s="488">
        <f>TRUNC(E591*F591,2)</f>
        <v>9.9499999999999993</v>
      </c>
      <c r="H591" s="464"/>
    </row>
    <row r="592" spans="1:8" s="465" customFormat="1" ht="16.5" hidden="1" thickBot="1">
      <c r="A592" s="464"/>
      <c r="B592" s="490" t="s">
        <v>13619</v>
      </c>
      <c r="C592" s="490"/>
      <c r="D592" s="490"/>
      <c r="E592" s="490"/>
      <c r="F592" s="492" t="s">
        <v>22</v>
      </c>
      <c r="G592" s="493">
        <f>SUM(G588:G591)</f>
        <v>46.91</v>
      </c>
      <c r="H592" s="464"/>
    </row>
    <row r="593" spans="1:8" s="465" customFormat="1" ht="15.75" hidden="1" thickBot="1">
      <c r="A593" s="464"/>
      <c r="H593" s="464"/>
    </row>
    <row r="594" spans="1:8" s="465" customFormat="1" ht="15.75" hidden="1">
      <c r="A594" s="464"/>
      <c r="B594" s="466" t="str">
        <f>IF(COUNT($H$8:H594)&lt;10,CONCATENATE("COMP HID 00",COUNT($H$8:H594)),CONCATENATE("COMP HID 0",COUNT($H$8:H594)))</f>
        <v>COMP HID 042</v>
      </c>
      <c r="C594" s="1217" t="s">
        <v>13620</v>
      </c>
      <c r="D594" s="1218"/>
      <c r="E594" s="1218"/>
      <c r="F594" s="1219"/>
      <c r="G594" s="467" t="s">
        <v>28</v>
      </c>
      <c r="H594" s="468">
        <f>G600</f>
        <v>171.82999999999998</v>
      </c>
    </row>
    <row r="595" spans="1:8" s="465" customFormat="1" ht="31.5" hidden="1">
      <c r="A595" s="464"/>
      <c r="B595" s="469" t="s">
        <v>13463</v>
      </c>
      <c r="C595" s="470" t="s">
        <v>13464</v>
      </c>
      <c r="D595" s="470" t="s">
        <v>28</v>
      </c>
      <c r="E595" s="470" t="s">
        <v>13465</v>
      </c>
      <c r="F595" s="471" t="s">
        <v>13466</v>
      </c>
      <c r="G595" s="472" t="s">
        <v>13467</v>
      </c>
      <c r="H595" s="464"/>
    </row>
    <row r="596" spans="1:8" s="465" customFormat="1" ht="15.75" hidden="1">
      <c r="A596" s="464"/>
      <c r="B596" s="1240" t="s">
        <v>13468</v>
      </c>
      <c r="C596" s="1241"/>
      <c r="D596" s="1241"/>
      <c r="E596" s="1241"/>
      <c r="F596" s="1241"/>
      <c r="G596" s="1242"/>
      <c r="H596" s="464"/>
    </row>
    <row r="597" spans="1:8" s="465" customFormat="1" ht="15.75" hidden="1">
      <c r="A597" s="473" t="s">
        <v>13458</v>
      </c>
      <c r="B597" s="551">
        <v>34637</v>
      </c>
      <c r="C597" s="475" t="s">
        <v>7466</v>
      </c>
      <c r="D597" s="476" t="s">
        <v>6636</v>
      </c>
      <c r="E597" s="564">
        <v>1</v>
      </c>
      <c r="F597" s="478">
        <v>160.69999999999999</v>
      </c>
      <c r="G597" s="479">
        <f>TRUNC(E597*F597,2)</f>
        <v>160.69999999999999</v>
      </c>
      <c r="H597" s="464"/>
    </row>
    <row r="598" spans="1:8" s="465" customFormat="1" ht="15.75" hidden="1">
      <c r="A598" s="464"/>
      <c r="B598" s="1240" t="s">
        <v>13469</v>
      </c>
      <c r="C598" s="1241"/>
      <c r="D598" s="1241"/>
      <c r="E598" s="1241"/>
      <c r="F598" s="1241"/>
      <c r="G598" s="1242"/>
      <c r="H598" s="464"/>
    </row>
    <row r="599" spans="1:8" s="465" customFormat="1" ht="16.5" hidden="1" thickBot="1">
      <c r="A599" s="473" t="s">
        <v>13459</v>
      </c>
      <c r="B599" s="551">
        <v>88316</v>
      </c>
      <c r="C599" s="475" t="s">
        <v>761</v>
      </c>
      <c r="D599" s="476" t="s">
        <v>753</v>
      </c>
      <c r="E599" s="482">
        <v>0.7</v>
      </c>
      <c r="F599" s="478">
        <v>15.91</v>
      </c>
      <c r="G599" s="479">
        <f>TRUNC(E599*F599,2)</f>
        <v>11.13</v>
      </c>
      <c r="H599" s="464"/>
    </row>
    <row r="600" spans="1:8" s="465" customFormat="1" ht="16.5" hidden="1" customHeight="1" thickBot="1">
      <c r="A600" s="464"/>
      <c r="B600" s="490" t="s">
        <v>13621</v>
      </c>
      <c r="C600" s="490"/>
      <c r="D600" s="490"/>
      <c r="E600" s="490"/>
      <c r="F600" s="603" t="s">
        <v>22</v>
      </c>
      <c r="G600" s="604">
        <f>SUM(G597:G599)</f>
        <v>171.82999999999998</v>
      </c>
      <c r="H600" s="464"/>
    </row>
    <row r="601" spans="1:8" s="465" customFormat="1" ht="15.75" hidden="1" thickBot="1">
      <c r="A601" s="464"/>
      <c r="H601" s="464"/>
    </row>
    <row r="602" spans="1:8" s="465" customFormat="1" ht="15.75" hidden="1">
      <c r="A602" s="464"/>
      <c r="B602" s="466" t="str">
        <f>IF(COUNT($H$8:H602)&lt;10,CONCATENATE("COMP HID 00",COUNT($H$8:H602)),CONCATENATE("COMP HID 0",COUNT($H$8:H602)))</f>
        <v>COMP HID 043</v>
      </c>
      <c r="C602" s="1224" t="s">
        <v>13622</v>
      </c>
      <c r="D602" s="1224"/>
      <c r="E602" s="1224"/>
      <c r="F602" s="1224"/>
      <c r="G602" s="467" t="s">
        <v>28</v>
      </c>
      <c r="H602" s="468">
        <f>G619</f>
        <v>618.9899999999999</v>
      </c>
    </row>
    <row r="603" spans="1:8" s="465" customFormat="1" ht="31.5" hidden="1">
      <c r="A603" s="464"/>
      <c r="B603" s="469" t="s">
        <v>13463</v>
      </c>
      <c r="C603" s="470" t="s">
        <v>13464</v>
      </c>
      <c r="D603" s="470" t="s">
        <v>28</v>
      </c>
      <c r="E603" s="470" t="s">
        <v>13465</v>
      </c>
      <c r="F603" s="471" t="s">
        <v>13466</v>
      </c>
      <c r="G603" s="472" t="s">
        <v>13467</v>
      </c>
      <c r="H603" s="464"/>
    </row>
    <row r="604" spans="1:8" s="465" customFormat="1" ht="15.75" hidden="1">
      <c r="A604" s="464"/>
      <c r="B604" s="1232" t="s">
        <v>13468</v>
      </c>
      <c r="C604" s="1220"/>
      <c r="D604" s="1220"/>
      <c r="E604" s="1220"/>
      <c r="F604" s="1220"/>
      <c r="G604" s="1221"/>
      <c r="H604" s="464"/>
    </row>
    <row r="605" spans="1:8" s="465" customFormat="1" ht="15.75" hidden="1">
      <c r="A605" s="473" t="s">
        <v>13458</v>
      </c>
      <c r="B605" s="551">
        <v>3146</v>
      </c>
      <c r="C605" s="475" t="s">
        <v>885</v>
      </c>
      <c r="D605" s="476" t="s">
        <v>6636</v>
      </c>
      <c r="E605" s="564">
        <v>1.1000000000000001</v>
      </c>
      <c r="F605" s="478">
        <v>4.4800000000000004</v>
      </c>
      <c r="G605" s="479">
        <f t="shared" ref="G605:G613" si="48">TRUNC(E605*F605,2)</f>
        <v>4.92</v>
      </c>
      <c r="H605" s="464"/>
    </row>
    <row r="606" spans="1:8" s="465" customFormat="1" ht="15.75" hidden="1">
      <c r="A606" s="473" t="s">
        <v>13458</v>
      </c>
      <c r="B606" s="551">
        <v>6157</v>
      </c>
      <c r="C606" s="475" t="s">
        <v>11448</v>
      </c>
      <c r="D606" s="476" t="s">
        <v>6636</v>
      </c>
      <c r="E606" s="564">
        <v>1</v>
      </c>
      <c r="F606" s="478">
        <v>48.15</v>
      </c>
      <c r="G606" s="479">
        <f t="shared" si="48"/>
        <v>48.15</v>
      </c>
      <c r="H606" s="464"/>
    </row>
    <row r="607" spans="1:8" s="465" customFormat="1" ht="15.75" hidden="1">
      <c r="A607" s="473" t="s">
        <v>13458</v>
      </c>
      <c r="B607" s="551">
        <v>43062</v>
      </c>
      <c r="C607" s="475" t="s">
        <v>12215</v>
      </c>
      <c r="D607" s="476" t="s">
        <v>6698</v>
      </c>
      <c r="E607" s="564">
        <v>0.6</v>
      </c>
      <c r="F607" s="478">
        <v>5.41</v>
      </c>
      <c r="G607" s="479">
        <f t="shared" si="48"/>
        <v>3.24</v>
      </c>
      <c r="H607" s="464"/>
    </row>
    <row r="608" spans="1:8" s="465" customFormat="1" ht="30" hidden="1">
      <c r="A608" s="473" t="s">
        <v>13458</v>
      </c>
      <c r="B608" s="551">
        <v>4720</v>
      </c>
      <c r="C608" s="475" t="s">
        <v>853</v>
      </c>
      <c r="D608" s="476" t="s">
        <v>6781</v>
      </c>
      <c r="E608" s="564">
        <v>2.5999999999999999E-2</v>
      </c>
      <c r="F608" s="478">
        <v>102.15</v>
      </c>
      <c r="G608" s="479">
        <f t="shared" si="48"/>
        <v>2.65</v>
      </c>
      <c r="H608" s="464"/>
    </row>
    <row r="609" spans="1:8" s="465" customFormat="1" ht="30" hidden="1">
      <c r="A609" s="473" t="s">
        <v>13458</v>
      </c>
      <c r="B609" s="551">
        <v>11773</v>
      </c>
      <c r="C609" s="475" t="s">
        <v>10973</v>
      </c>
      <c r="D609" s="476" t="s">
        <v>6636</v>
      </c>
      <c r="E609" s="564">
        <v>1</v>
      </c>
      <c r="F609" s="478">
        <v>91.41</v>
      </c>
      <c r="G609" s="479">
        <f t="shared" si="48"/>
        <v>91.41</v>
      </c>
      <c r="H609" s="464"/>
    </row>
    <row r="610" spans="1:8" s="465" customFormat="1" ht="15.75" hidden="1">
      <c r="A610" s="473" t="s">
        <v>13458</v>
      </c>
      <c r="B610" s="551">
        <v>6136</v>
      </c>
      <c r="C610" s="475" t="s">
        <v>10486</v>
      </c>
      <c r="D610" s="476" t="s">
        <v>6636</v>
      </c>
      <c r="E610" s="564">
        <v>1</v>
      </c>
      <c r="F610" s="478">
        <v>141.01</v>
      </c>
      <c r="G610" s="479">
        <f t="shared" si="48"/>
        <v>141.01</v>
      </c>
      <c r="H610" s="464"/>
    </row>
    <row r="611" spans="1:8" s="465" customFormat="1" ht="30" hidden="1">
      <c r="A611" s="473" t="s">
        <v>13458</v>
      </c>
      <c r="B611" s="551">
        <v>370</v>
      </c>
      <c r="C611" s="475" t="s">
        <v>765</v>
      </c>
      <c r="D611" s="476" t="s">
        <v>6781</v>
      </c>
      <c r="E611" s="564">
        <v>1.9E-2</v>
      </c>
      <c r="F611" s="478">
        <v>62.5</v>
      </c>
      <c r="G611" s="479">
        <f t="shared" si="48"/>
        <v>1.18</v>
      </c>
      <c r="H611" s="464"/>
    </row>
    <row r="612" spans="1:8" s="465" customFormat="1" ht="15.75" hidden="1">
      <c r="A612" s="473" t="s">
        <v>13458</v>
      </c>
      <c r="B612" s="551">
        <v>1379</v>
      </c>
      <c r="C612" s="475" t="s">
        <v>817</v>
      </c>
      <c r="D612" s="476" t="s">
        <v>6698</v>
      </c>
      <c r="E612" s="564">
        <v>9.83</v>
      </c>
      <c r="F612" s="478">
        <v>0.51</v>
      </c>
      <c r="G612" s="479">
        <f t="shared" si="48"/>
        <v>5.01</v>
      </c>
      <c r="H612" s="464"/>
    </row>
    <row r="613" spans="1:8" s="465" customFormat="1" ht="45" hidden="1">
      <c r="A613" s="473" t="s">
        <v>13458</v>
      </c>
      <c r="B613" s="551">
        <v>37412</v>
      </c>
      <c r="C613" s="475" t="s">
        <v>7014</v>
      </c>
      <c r="D613" s="476" t="s">
        <v>6636</v>
      </c>
      <c r="E613" s="564">
        <v>1</v>
      </c>
      <c r="F613" s="478">
        <v>170.38</v>
      </c>
      <c r="G613" s="479">
        <f t="shared" si="48"/>
        <v>170.38</v>
      </c>
      <c r="H613" s="464"/>
    </row>
    <row r="614" spans="1:8" s="465" customFormat="1" ht="15.75" hidden="1">
      <c r="A614" s="464"/>
      <c r="B614" s="1232" t="s">
        <v>13469</v>
      </c>
      <c r="C614" s="1220"/>
      <c r="D614" s="1220"/>
      <c r="E614" s="1220"/>
      <c r="F614" s="1220"/>
      <c r="G614" s="1221"/>
      <c r="H614" s="464"/>
    </row>
    <row r="615" spans="1:8" s="465" customFormat="1" ht="15.75" hidden="1">
      <c r="A615" s="473" t="s">
        <v>13459</v>
      </c>
      <c r="B615" s="551">
        <v>88309</v>
      </c>
      <c r="C615" s="475" t="s">
        <v>760</v>
      </c>
      <c r="D615" s="476" t="s">
        <v>753</v>
      </c>
      <c r="E615" s="482">
        <v>2</v>
      </c>
      <c r="F615" s="478">
        <v>19.809999999999999</v>
      </c>
      <c r="G615" s="479">
        <f>TRUNC(E615*F615,2)</f>
        <v>39.619999999999997</v>
      </c>
      <c r="H615" s="464"/>
    </row>
    <row r="616" spans="1:8" s="465" customFormat="1" ht="15.75" hidden="1">
      <c r="A616" s="473" t="s">
        <v>13459</v>
      </c>
      <c r="B616" s="551">
        <v>88316</v>
      </c>
      <c r="C616" s="475" t="s">
        <v>761</v>
      </c>
      <c r="D616" s="476" t="s">
        <v>753</v>
      </c>
      <c r="E616" s="482">
        <v>2</v>
      </c>
      <c r="F616" s="478">
        <v>15.91</v>
      </c>
      <c r="G616" s="479">
        <f>TRUNC(E616*F616,2)</f>
        <v>31.82</v>
      </c>
      <c r="H616" s="464"/>
    </row>
    <row r="617" spans="1:8" s="465" customFormat="1" ht="30" hidden="1">
      <c r="A617" s="473"/>
      <c r="B617" s="551">
        <v>88267</v>
      </c>
      <c r="C617" s="475" t="s">
        <v>759</v>
      </c>
      <c r="D617" s="476" t="s">
        <v>753</v>
      </c>
      <c r="E617" s="482">
        <v>2</v>
      </c>
      <c r="F617" s="478">
        <v>19.899999999999999</v>
      </c>
      <c r="G617" s="479">
        <f>TRUNC(E617*F617,2)</f>
        <v>39.799999999999997</v>
      </c>
      <c r="H617" s="464"/>
    </row>
    <row r="618" spans="1:8" s="465" customFormat="1" ht="30.75" hidden="1" thickBot="1">
      <c r="A618" s="473" t="s">
        <v>13459</v>
      </c>
      <c r="B618" s="552">
        <v>88267</v>
      </c>
      <c r="C618" s="484" t="s">
        <v>759</v>
      </c>
      <c r="D618" s="485" t="s">
        <v>753</v>
      </c>
      <c r="E618" s="486">
        <v>2</v>
      </c>
      <c r="F618" s="487">
        <v>19.899999999999999</v>
      </c>
      <c r="G618" s="488">
        <f>TRUNC(E618*F618,2)</f>
        <v>39.799999999999997</v>
      </c>
      <c r="H618" s="464"/>
    </row>
    <row r="619" spans="1:8" s="465" customFormat="1" ht="16.5" hidden="1" customHeight="1" thickBot="1">
      <c r="A619" s="464"/>
      <c r="B619" s="605" t="s">
        <v>13623</v>
      </c>
      <c r="C619" s="605"/>
      <c r="D619" s="605"/>
      <c r="E619" s="606"/>
      <c r="F619" s="492" t="s">
        <v>22</v>
      </c>
      <c r="G619" s="493">
        <f>SUM(G605:G618)</f>
        <v>618.9899999999999</v>
      </c>
      <c r="H619" s="464"/>
    </row>
    <row r="620" spans="1:8" s="465" customFormat="1" ht="15.75" hidden="1" thickBot="1">
      <c r="A620" s="464"/>
      <c r="H620" s="464"/>
    </row>
    <row r="621" spans="1:8" s="465" customFormat="1" ht="15.75" hidden="1">
      <c r="A621" s="464"/>
      <c r="B621" s="466" t="str">
        <f>IF(COUNT($H$8:H621)&lt;10,CONCATENATE("COMP HID 00",COUNT($H$8:H621)),CONCATENATE("COMP HID 0",COUNT($H$8:H621)))</f>
        <v>COMP HID 044</v>
      </c>
      <c r="C621" s="1224" t="s">
        <v>13624</v>
      </c>
      <c r="D621" s="1224"/>
      <c r="E621" s="1224"/>
      <c r="F621" s="1224"/>
      <c r="G621" s="467" t="s">
        <v>28</v>
      </c>
      <c r="H621" s="468">
        <f>G633</f>
        <v>1052.9000000000001</v>
      </c>
    </row>
    <row r="622" spans="1:8" s="465" customFormat="1" ht="31.5" hidden="1">
      <c r="A622" s="464"/>
      <c r="B622" s="469" t="s">
        <v>13463</v>
      </c>
      <c r="C622" s="470" t="s">
        <v>13464</v>
      </c>
      <c r="D622" s="470" t="s">
        <v>28</v>
      </c>
      <c r="E622" s="470" t="s">
        <v>13465</v>
      </c>
      <c r="F622" s="471" t="s">
        <v>13466</v>
      </c>
      <c r="G622" s="472" t="s">
        <v>13467</v>
      </c>
      <c r="H622" s="464"/>
    </row>
    <row r="623" spans="1:8" s="465" customFormat="1" ht="15.75" hidden="1">
      <c r="A623" s="464"/>
      <c r="B623" s="1232" t="s">
        <v>13468</v>
      </c>
      <c r="C623" s="1220"/>
      <c r="D623" s="1220"/>
      <c r="E623" s="1220"/>
      <c r="F623" s="1220"/>
      <c r="G623" s="1221"/>
      <c r="H623" s="464"/>
    </row>
    <row r="624" spans="1:8" s="465" customFormat="1" ht="30" hidden="1">
      <c r="A624" s="473" t="s">
        <v>13458</v>
      </c>
      <c r="B624" s="551">
        <v>4720</v>
      </c>
      <c r="C624" s="475" t="s">
        <v>853</v>
      </c>
      <c r="D624" s="476" t="s">
        <v>6781</v>
      </c>
      <c r="E624" s="482">
        <v>0.03</v>
      </c>
      <c r="F624" s="478">
        <v>102.15</v>
      </c>
      <c r="G624" s="479">
        <f t="shared" ref="G624:G629" si="49">TRUNC(E624*F624,2)</f>
        <v>3.06</v>
      </c>
      <c r="H624" s="464"/>
    </row>
    <row r="625" spans="1:8" s="465" customFormat="1" ht="30" hidden="1">
      <c r="A625" s="473" t="s">
        <v>13458</v>
      </c>
      <c r="B625" s="551">
        <v>7319</v>
      </c>
      <c r="C625" s="475" t="s">
        <v>10935</v>
      </c>
      <c r="D625" s="476" t="s">
        <v>6700</v>
      </c>
      <c r="E625" s="482">
        <v>0.65</v>
      </c>
      <c r="F625" s="478">
        <v>8.84</v>
      </c>
      <c r="G625" s="479">
        <f t="shared" si="49"/>
        <v>5.74</v>
      </c>
      <c r="H625" s="464"/>
    </row>
    <row r="626" spans="1:8" s="465" customFormat="1" ht="30" hidden="1">
      <c r="A626" s="473" t="s">
        <v>13458</v>
      </c>
      <c r="B626" s="551">
        <v>367</v>
      </c>
      <c r="C626" s="475" t="s">
        <v>820</v>
      </c>
      <c r="D626" s="476" t="s">
        <v>6781</v>
      </c>
      <c r="E626" s="496">
        <v>1.4999999999999999E-2</v>
      </c>
      <c r="F626" s="478">
        <v>61.5</v>
      </c>
      <c r="G626" s="479">
        <f t="shared" si="49"/>
        <v>0.92</v>
      </c>
      <c r="H626" s="464"/>
    </row>
    <row r="627" spans="1:8" s="465" customFormat="1" ht="15.75" hidden="1">
      <c r="A627" s="473" t="s">
        <v>13458</v>
      </c>
      <c r="B627" s="551">
        <v>1379</v>
      </c>
      <c r="C627" s="475" t="s">
        <v>817</v>
      </c>
      <c r="D627" s="476" t="s">
        <v>6698</v>
      </c>
      <c r="E627" s="482">
        <v>5.35</v>
      </c>
      <c r="F627" s="478">
        <v>0.51</v>
      </c>
      <c r="G627" s="479">
        <f t="shared" si="49"/>
        <v>2.72</v>
      </c>
      <c r="H627" s="464"/>
    </row>
    <row r="628" spans="1:8" s="465" customFormat="1" ht="15.75" hidden="1">
      <c r="A628" s="473"/>
      <c r="B628" s="551" t="s">
        <v>13497</v>
      </c>
      <c r="C628" s="475" t="str">
        <f>C635</f>
        <v xml:space="preserve">PIA DE EXPURGO HOSPITALAR  </v>
      </c>
      <c r="D628" s="571" t="str">
        <f>G635</f>
        <v>UN</v>
      </c>
      <c r="E628" s="482">
        <v>1</v>
      </c>
      <c r="F628" s="478">
        <f>D640</f>
        <v>990</v>
      </c>
      <c r="G628" s="479">
        <f t="shared" si="49"/>
        <v>990</v>
      </c>
      <c r="H628" s="464"/>
    </row>
    <row r="629" spans="1:8" s="465" customFormat="1" ht="45" hidden="1">
      <c r="A629" s="473" t="s">
        <v>13458</v>
      </c>
      <c r="B629" s="551">
        <v>7155</v>
      </c>
      <c r="C629" s="475" t="s">
        <v>12355</v>
      </c>
      <c r="D629" s="476" t="s">
        <v>6638</v>
      </c>
      <c r="E629" s="482">
        <v>0.85</v>
      </c>
      <c r="F629" s="478">
        <v>14.55</v>
      </c>
      <c r="G629" s="479">
        <f t="shared" si="49"/>
        <v>12.36</v>
      </c>
      <c r="H629" s="464"/>
    </row>
    <row r="630" spans="1:8" s="465" customFormat="1" ht="15.75" hidden="1">
      <c r="A630" s="464"/>
      <c r="B630" s="1232" t="s">
        <v>13469</v>
      </c>
      <c r="C630" s="1220"/>
      <c r="D630" s="1220"/>
      <c r="E630" s="1220"/>
      <c r="F630" s="1220"/>
      <c r="G630" s="1221"/>
      <c r="H630" s="464"/>
    </row>
    <row r="631" spans="1:8" s="464" customFormat="1" ht="15.75" hidden="1">
      <c r="A631" s="473" t="s">
        <v>13459</v>
      </c>
      <c r="B631" s="551">
        <v>88316</v>
      </c>
      <c r="C631" s="475" t="s">
        <v>761</v>
      </c>
      <c r="D631" s="476" t="s">
        <v>753</v>
      </c>
      <c r="E631" s="482">
        <v>1.1499999999999999</v>
      </c>
      <c r="F631" s="478">
        <v>15.91</v>
      </c>
      <c r="G631" s="479">
        <f>TRUNC(E631*F631,2)</f>
        <v>18.29</v>
      </c>
    </row>
    <row r="632" spans="1:8" s="464" customFormat="1" ht="16.5" hidden="1" thickBot="1">
      <c r="A632" s="473" t="s">
        <v>13459</v>
      </c>
      <c r="B632" s="552">
        <v>88309</v>
      </c>
      <c r="C632" s="484" t="s">
        <v>760</v>
      </c>
      <c r="D632" s="485" t="s">
        <v>753</v>
      </c>
      <c r="E632" s="486">
        <v>1</v>
      </c>
      <c r="F632" s="487">
        <v>19.809999999999999</v>
      </c>
      <c r="G632" s="488">
        <f>TRUNC(E632*F632,2)</f>
        <v>19.809999999999999</v>
      </c>
    </row>
    <row r="633" spans="1:8" s="464" customFormat="1" ht="16.5" hidden="1" customHeight="1" thickBot="1">
      <c r="B633" s="605" t="s">
        <v>13625</v>
      </c>
      <c r="C633" s="605"/>
      <c r="D633" s="605"/>
      <c r="E633" s="606"/>
      <c r="F633" s="492" t="s">
        <v>22</v>
      </c>
      <c r="G633" s="493">
        <f>SUM(G624:G632)</f>
        <v>1052.9000000000001</v>
      </c>
    </row>
    <row r="634" spans="1:8" s="464" customFormat="1" ht="15.75" hidden="1" thickBot="1">
      <c r="B634" s="465"/>
      <c r="C634" s="465"/>
      <c r="D634" s="465"/>
      <c r="E634" s="465"/>
      <c r="F634" s="465"/>
      <c r="G634" s="465"/>
    </row>
    <row r="635" spans="1:8" s="464" customFormat="1" ht="15.75" hidden="1">
      <c r="B635" s="572"/>
      <c r="C635" s="607" t="s">
        <v>13626</v>
      </c>
      <c r="D635" s="574"/>
      <c r="E635" s="575"/>
      <c r="F635" s="608"/>
      <c r="G635" s="577" t="s">
        <v>28</v>
      </c>
      <c r="H635" s="609"/>
    </row>
    <row r="636" spans="1:8" s="464" customFormat="1" ht="31.5" hidden="1">
      <c r="B636" s="578" t="s">
        <v>13502</v>
      </c>
      <c r="C636" s="579" t="s">
        <v>13503</v>
      </c>
      <c r="D636" s="580" t="s">
        <v>13504</v>
      </c>
      <c r="E636" s="581" t="s">
        <v>13505</v>
      </c>
      <c r="F636" s="610" t="s">
        <v>13506</v>
      </c>
      <c r="G636" s="583" t="s">
        <v>13507</v>
      </c>
    </row>
    <row r="637" spans="1:8" s="464" customFormat="1" hidden="1">
      <c r="B637" s="611">
        <v>43116</v>
      </c>
      <c r="C637" s="612" t="s">
        <v>13627</v>
      </c>
      <c r="D637" s="613">
        <v>690</v>
      </c>
      <c r="E637" s="614" t="s">
        <v>13628</v>
      </c>
      <c r="F637" s="615" t="s">
        <v>13629</v>
      </c>
      <c r="G637" s="616" t="s">
        <v>13630</v>
      </c>
      <c r="H637" s="590"/>
    </row>
    <row r="638" spans="1:8" s="464" customFormat="1" hidden="1">
      <c r="B638" s="611">
        <v>43116</v>
      </c>
      <c r="C638" s="592" t="s">
        <v>13631</v>
      </c>
      <c r="D638" s="617">
        <f>84.67+989</f>
        <v>1073.67</v>
      </c>
      <c r="E638" s="614" t="s">
        <v>13632</v>
      </c>
      <c r="F638" s="615" t="s">
        <v>13633</v>
      </c>
      <c r="G638" s="618" t="s">
        <v>13634</v>
      </c>
      <c r="H638" s="590"/>
    </row>
    <row r="639" spans="1:8" s="464" customFormat="1" hidden="1">
      <c r="B639" s="611">
        <v>43116</v>
      </c>
      <c r="C639" s="592" t="s">
        <v>13635</v>
      </c>
      <c r="D639" s="617">
        <v>990</v>
      </c>
      <c r="E639" s="619" t="s">
        <v>13636</v>
      </c>
      <c r="F639" s="615" t="s">
        <v>13637</v>
      </c>
      <c r="G639" s="618" t="s">
        <v>13638</v>
      </c>
      <c r="H639" s="590"/>
    </row>
    <row r="640" spans="1:8" s="464" customFormat="1" ht="16.5" hidden="1" thickBot="1">
      <c r="B640" s="598"/>
      <c r="C640" s="599" t="s">
        <v>13523</v>
      </c>
      <c r="D640" s="538">
        <f>MEDIAN(D637:D639)</f>
        <v>990</v>
      </c>
      <c r="E640" s="600"/>
      <c r="F640" s="620"/>
      <c r="G640" s="602"/>
    </row>
    <row r="641" spans="1:8" s="464" customFormat="1" ht="15.75" hidden="1" thickBot="1">
      <c r="B641" s="465"/>
      <c r="C641" s="465"/>
      <c r="D641" s="465"/>
      <c r="E641" s="465"/>
      <c r="F641" s="465"/>
      <c r="G641" s="465"/>
    </row>
    <row r="642" spans="1:8" s="464" customFormat="1" ht="15.75" hidden="1">
      <c r="B642" s="466" t="str">
        <f>IF(COUNT($H$8:H642)&lt;10,CONCATENATE("COMP HID 00",COUNT($H$8:H642)),CONCATENATE("COMP HID 0",COUNT($H$8:H642)))</f>
        <v>COMP HID 045</v>
      </c>
      <c r="C642" s="1224" t="s">
        <v>13639</v>
      </c>
      <c r="D642" s="1224"/>
      <c r="E642" s="1224"/>
      <c r="F642" s="1224"/>
      <c r="G642" s="467" t="s">
        <v>28</v>
      </c>
      <c r="H642" s="468">
        <f>G651</f>
        <v>1325.28</v>
      </c>
    </row>
    <row r="643" spans="1:8" s="464" customFormat="1" ht="31.5" hidden="1">
      <c r="B643" s="469" t="s">
        <v>13463</v>
      </c>
      <c r="C643" s="470" t="s">
        <v>13464</v>
      </c>
      <c r="D643" s="470" t="s">
        <v>28</v>
      </c>
      <c r="E643" s="470" t="s">
        <v>13465</v>
      </c>
      <c r="F643" s="471" t="s">
        <v>13466</v>
      </c>
      <c r="G643" s="472" t="s">
        <v>13467</v>
      </c>
    </row>
    <row r="644" spans="1:8" s="464" customFormat="1" ht="15.75" hidden="1">
      <c r="B644" s="1232" t="s">
        <v>13468</v>
      </c>
      <c r="C644" s="1220"/>
      <c r="D644" s="1220"/>
      <c r="E644" s="1220"/>
      <c r="F644" s="1220"/>
      <c r="G644" s="1221"/>
    </row>
    <row r="645" spans="1:8" s="464" customFormat="1" ht="30" hidden="1">
      <c r="A645" s="473" t="s">
        <v>13458</v>
      </c>
      <c r="B645" s="551">
        <v>11687</v>
      </c>
      <c r="C645" s="475" t="s">
        <v>7017</v>
      </c>
      <c r="D645" s="476" t="s">
        <v>6649</v>
      </c>
      <c r="E645" s="482">
        <v>1</v>
      </c>
      <c r="F645" s="478">
        <v>754.35</v>
      </c>
      <c r="G645" s="479">
        <f>TRUNC(E645*F645,2)</f>
        <v>754.35</v>
      </c>
    </row>
    <row r="646" spans="1:8" s="464" customFormat="1" ht="30" hidden="1">
      <c r="A646" s="473" t="s">
        <v>13459</v>
      </c>
      <c r="B646" s="551">
        <v>94975</v>
      </c>
      <c r="C646" s="475" t="s">
        <v>811</v>
      </c>
      <c r="D646" s="476" t="s">
        <v>60</v>
      </c>
      <c r="E646" s="482">
        <v>0.03</v>
      </c>
      <c r="F646" s="478">
        <v>399.28</v>
      </c>
      <c r="G646" s="479">
        <f>TRUNC(E646*F646,2)</f>
        <v>11.97</v>
      </c>
    </row>
    <row r="647" spans="1:8" s="464" customFormat="1" ht="45" hidden="1">
      <c r="A647" s="473" t="s">
        <v>13458</v>
      </c>
      <c r="B647" s="551">
        <v>37412</v>
      </c>
      <c r="C647" s="475" t="s">
        <v>7014</v>
      </c>
      <c r="D647" s="476" t="s">
        <v>6636</v>
      </c>
      <c r="E647" s="482">
        <v>2.7</v>
      </c>
      <c r="F647" s="478">
        <v>170.38</v>
      </c>
      <c r="G647" s="479">
        <f>TRUNC(E647*F647,2)</f>
        <v>460.02</v>
      </c>
    </row>
    <row r="648" spans="1:8" s="464" customFormat="1" ht="15.75" hidden="1">
      <c r="B648" s="1232" t="s">
        <v>13469</v>
      </c>
      <c r="C648" s="1220"/>
      <c r="D648" s="1220"/>
      <c r="E648" s="1220"/>
      <c r="F648" s="1220"/>
      <c r="G648" s="1221"/>
    </row>
    <row r="649" spans="1:8" s="464" customFormat="1" ht="15.75" hidden="1">
      <c r="A649" s="473" t="s">
        <v>13459</v>
      </c>
      <c r="B649" s="551">
        <v>88309</v>
      </c>
      <c r="C649" s="475" t="s">
        <v>760</v>
      </c>
      <c r="D649" s="476" t="s">
        <v>753</v>
      </c>
      <c r="E649" s="482">
        <v>2.77</v>
      </c>
      <c r="F649" s="478">
        <v>19.809999999999999</v>
      </c>
      <c r="G649" s="479">
        <f>TRUNC(E649*F649,2)</f>
        <v>54.87</v>
      </c>
    </row>
    <row r="650" spans="1:8" s="464" customFormat="1" ht="16.5" hidden="1" thickBot="1">
      <c r="A650" s="473" t="s">
        <v>13459</v>
      </c>
      <c r="B650" s="552">
        <v>88316</v>
      </c>
      <c r="C650" s="484" t="s">
        <v>761</v>
      </c>
      <c r="D650" s="485" t="s">
        <v>753</v>
      </c>
      <c r="E650" s="486">
        <v>2.77</v>
      </c>
      <c r="F650" s="487">
        <v>15.91</v>
      </c>
      <c r="G650" s="488">
        <f>TRUNC(E650*F650,2)</f>
        <v>44.07</v>
      </c>
    </row>
    <row r="651" spans="1:8" s="464" customFormat="1" ht="16.5" hidden="1" customHeight="1" thickBot="1">
      <c r="B651" s="605" t="s">
        <v>13640</v>
      </c>
      <c r="C651" s="605"/>
      <c r="D651" s="605"/>
      <c r="E651" s="606"/>
      <c r="F651" s="492" t="s">
        <v>22</v>
      </c>
      <c r="G651" s="493">
        <f>SUM(G645:G650)</f>
        <v>1325.28</v>
      </c>
    </row>
    <row r="652" spans="1:8" s="464" customFormat="1" ht="15.75" hidden="1" thickBot="1">
      <c r="B652" s="465"/>
      <c r="C652" s="465"/>
      <c r="D652" s="465"/>
      <c r="E652" s="465"/>
      <c r="F652" s="465"/>
      <c r="G652" s="465"/>
    </row>
    <row r="653" spans="1:8" s="464" customFormat="1" ht="15.75">
      <c r="B653" s="466" t="str">
        <f>IF(COUNT($H$8:H653)&lt;10,CONCATENATE("COMP HID 00",COUNT($H$8:H653)),CONCATENATE("COMP HID 0",COUNT($H$8:H653)))</f>
        <v>COMP HID 046</v>
      </c>
      <c r="C653" s="1224" t="s">
        <v>12896</v>
      </c>
      <c r="D653" s="1224"/>
      <c r="E653" s="1224"/>
      <c r="F653" s="1224"/>
      <c r="G653" s="467" t="s">
        <v>28</v>
      </c>
      <c r="H653" s="566">
        <f>G661</f>
        <v>68.710000000000008</v>
      </c>
    </row>
    <row r="654" spans="1:8" s="464" customFormat="1" ht="31.5">
      <c r="B654" s="469" t="s">
        <v>13463</v>
      </c>
      <c r="C654" s="470" t="s">
        <v>13464</v>
      </c>
      <c r="D654" s="470" t="s">
        <v>28</v>
      </c>
      <c r="E654" s="470" t="s">
        <v>13465</v>
      </c>
      <c r="F654" s="471" t="s">
        <v>13466</v>
      </c>
      <c r="G654" s="472" t="s">
        <v>13467</v>
      </c>
    </row>
    <row r="655" spans="1:8" s="464" customFormat="1" ht="15.75">
      <c r="B655" s="1232" t="s">
        <v>13468</v>
      </c>
      <c r="C655" s="1220"/>
      <c r="D655" s="1220"/>
      <c r="E655" s="1220"/>
      <c r="F655" s="1220"/>
      <c r="G655" s="1221"/>
    </row>
    <row r="656" spans="1:8" s="464" customFormat="1" ht="30">
      <c r="A656" s="473" t="s">
        <v>13458</v>
      </c>
      <c r="B656" s="551">
        <v>11762</v>
      </c>
      <c r="C656" s="475" t="s">
        <v>10965</v>
      </c>
      <c r="D656" s="476" t="s">
        <v>6636</v>
      </c>
      <c r="E656" s="564">
        <v>1</v>
      </c>
      <c r="F656" s="478">
        <v>56.42</v>
      </c>
      <c r="G656" s="479">
        <f>TRUNC(E656*F656,2)</f>
        <v>56.42</v>
      </c>
    </row>
    <row r="657" spans="1:14" s="464" customFormat="1" ht="15.75">
      <c r="A657" s="473" t="s">
        <v>13458</v>
      </c>
      <c r="B657" s="551">
        <v>3146</v>
      </c>
      <c r="C657" s="475" t="s">
        <v>885</v>
      </c>
      <c r="D657" s="476" t="s">
        <v>6636</v>
      </c>
      <c r="E657" s="564">
        <v>0.03</v>
      </c>
      <c r="F657" s="478">
        <v>4.4800000000000004</v>
      </c>
      <c r="G657" s="479">
        <f>TRUNC(E657*F657,2)</f>
        <v>0.13</v>
      </c>
    </row>
    <row r="658" spans="1:14" s="465" customFormat="1" ht="15.75">
      <c r="A658" s="464"/>
      <c r="B658" s="1232" t="s">
        <v>13469</v>
      </c>
      <c r="C658" s="1220"/>
      <c r="D658" s="1220"/>
      <c r="E658" s="1220"/>
      <c r="F658" s="1220"/>
      <c r="G658" s="1221"/>
      <c r="H658" s="464"/>
    </row>
    <row r="659" spans="1:14" s="465" customFormat="1" ht="15.75">
      <c r="A659" s="473" t="s">
        <v>13459</v>
      </c>
      <c r="B659" s="551">
        <v>88316</v>
      </c>
      <c r="C659" s="475" t="s">
        <v>761</v>
      </c>
      <c r="D659" s="476" t="s">
        <v>753</v>
      </c>
      <c r="E659" s="482">
        <v>0.34</v>
      </c>
      <c r="F659" s="478">
        <v>15.91</v>
      </c>
      <c r="G659" s="479">
        <f>TRUNC(E659*F659,2)</f>
        <v>5.4</v>
      </c>
      <c r="H659" s="464"/>
    </row>
    <row r="660" spans="1:14" s="465" customFormat="1" ht="30.75" thickBot="1">
      <c r="A660" s="473" t="s">
        <v>13459</v>
      </c>
      <c r="B660" s="552">
        <v>88267</v>
      </c>
      <c r="C660" s="484" t="s">
        <v>759</v>
      </c>
      <c r="D660" s="485" t="s">
        <v>753</v>
      </c>
      <c r="E660" s="486">
        <v>0.34</v>
      </c>
      <c r="F660" s="487">
        <v>19.899999999999999</v>
      </c>
      <c r="G660" s="488">
        <f>TRUNC(E660*F660,2)</f>
        <v>6.76</v>
      </c>
      <c r="H660" s="464"/>
    </row>
    <row r="661" spans="1:14" s="465" customFormat="1" ht="16.5" customHeight="1" thickBot="1">
      <c r="A661" s="464"/>
      <c r="B661" s="605" t="s">
        <v>13641</v>
      </c>
      <c r="C661" s="605"/>
      <c r="D661" s="605"/>
      <c r="E661" s="606"/>
      <c r="F661" s="492" t="s">
        <v>22</v>
      </c>
      <c r="G661" s="493">
        <f>SUM(G656:G660)</f>
        <v>68.710000000000008</v>
      </c>
      <c r="H661" s="464"/>
    </row>
    <row r="662" spans="1:14" s="458" customFormat="1" ht="36" customHeight="1">
      <c r="A662" s="457"/>
      <c r="B662" s="1231" t="s">
        <v>13570</v>
      </c>
      <c r="C662" s="1231"/>
      <c r="D662" s="1231"/>
      <c r="E662" s="1231"/>
      <c r="F662" s="1231"/>
      <c r="G662" s="1231"/>
      <c r="H662" s="464"/>
    </row>
    <row r="663" spans="1:14" s="458" customFormat="1" ht="106.5" customHeight="1">
      <c r="A663" s="457"/>
      <c r="B663" s="1230" t="s">
        <v>13642</v>
      </c>
      <c r="C663" s="1230"/>
      <c r="D663" s="1230"/>
      <c r="E663" s="1230"/>
      <c r="F663" s="1230"/>
      <c r="G663" s="1230"/>
      <c r="H663" s="464"/>
    </row>
    <row r="664" spans="1:14" s="458" customFormat="1" ht="16.5" thickBot="1">
      <c r="A664" s="457"/>
      <c r="B664" s="1250"/>
      <c r="C664" s="1250"/>
      <c r="D664" s="1250"/>
      <c r="E664" s="1250"/>
      <c r="F664" s="1250"/>
      <c r="G664" s="1250"/>
      <c r="H664" s="464"/>
      <c r="I664"/>
      <c r="J664"/>
      <c r="K664"/>
      <c r="L664"/>
      <c r="M664"/>
      <c r="N664"/>
    </row>
    <row r="665" spans="1:14" s="458" customFormat="1" ht="15.75" hidden="1">
      <c r="A665" s="464"/>
      <c r="B665" s="466" t="str">
        <f>IF(COUNT($H$8:H665)&lt;10,CONCATENATE("COMP HID 00",COUNT($H$8:H665)),CONCATENATE("COMP HID 0",COUNT($H$8:H665)))</f>
        <v>COMP HID 047</v>
      </c>
      <c r="C665" s="1224" t="s">
        <v>13643</v>
      </c>
      <c r="D665" s="1224"/>
      <c r="E665" s="1224"/>
      <c r="F665" s="1224"/>
      <c r="G665" s="467" t="s">
        <v>28</v>
      </c>
      <c r="H665" s="570">
        <f>G674</f>
        <v>9.98</v>
      </c>
      <c r="I665"/>
      <c r="J665"/>
      <c r="K665"/>
      <c r="L665"/>
      <c r="M665"/>
      <c r="N665"/>
    </row>
    <row r="666" spans="1:14" s="458" customFormat="1" ht="31.5" hidden="1">
      <c r="A666" s="464"/>
      <c r="B666" s="469" t="s">
        <v>13463</v>
      </c>
      <c r="C666" s="470" t="s">
        <v>13464</v>
      </c>
      <c r="D666" s="470" t="s">
        <v>28</v>
      </c>
      <c r="E666" s="470" t="s">
        <v>13465</v>
      </c>
      <c r="F666" s="471" t="s">
        <v>13466</v>
      </c>
      <c r="G666" s="472" t="s">
        <v>13467</v>
      </c>
      <c r="H666" s="464"/>
      <c r="I666"/>
      <c r="J666"/>
      <c r="K666"/>
      <c r="L666"/>
      <c r="M666"/>
      <c r="N666"/>
    </row>
    <row r="667" spans="1:14" s="458" customFormat="1" ht="15.75" hidden="1">
      <c r="A667" s="464"/>
      <c r="B667" s="1232" t="s">
        <v>13468</v>
      </c>
      <c r="C667" s="1220"/>
      <c r="D667" s="1220"/>
      <c r="E667" s="1220"/>
      <c r="F667" s="1220"/>
      <c r="G667" s="1221"/>
      <c r="H667" s="464"/>
      <c r="I667"/>
      <c r="J667"/>
      <c r="K667"/>
      <c r="L667"/>
      <c r="M667"/>
      <c r="N667"/>
    </row>
    <row r="668" spans="1:14" s="458" customFormat="1" ht="30" hidden="1">
      <c r="A668" s="473" t="s">
        <v>13458</v>
      </c>
      <c r="B668" s="551">
        <v>3538</v>
      </c>
      <c r="C668" s="475" t="s">
        <v>9010</v>
      </c>
      <c r="D668" s="476" t="s">
        <v>6636</v>
      </c>
      <c r="E668" s="564">
        <v>1</v>
      </c>
      <c r="F668" s="478">
        <v>2.8</v>
      </c>
      <c r="G668" s="479">
        <f>TRUNC(E668*F668,2)</f>
        <v>2.8</v>
      </c>
      <c r="H668" s="464"/>
      <c r="I668"/>
      <c r="J668"/>
      <c r="K668"/>
      <c r="L668"/>
      <c r="M668"/>
      <c r="N668"/>
    </row>
    <row r="669" spans="1:14" s="458" customFormat="1" ht="15.75" hidden="1">
      <c r="A669" s="473" t="s">
        <v>13458</v>
      </c>
      <c r="B669" s="551">
        <v>122</v>
      </c>
      <c r="C669" s="475" t="s">
        <v>869</v>
      </c>
      <c r="D669" s="476" t="s">
        <v>6636</v>
      </c>
      <c r="E669" s="565">
        <v>4.0000000000000001E-3</v>
      </c>
      <c r="F669" s="478">
        <v>74.52</v>
      </c>
      <c r="G669" s="479">
        <f>TRUNC(E669*F669,2)</f>
        <v>0.28999999999999998</v>
      </c>
      <c r="H669" s="464"/>
      <c r="I669"/>
      <c r="J669"/>
      <c r="K669"/>
      <c r="L669"/>
      <c r="M669"/>
      <c r="N669"/>
    </row>
    <row r="670" spans="1:14" s="458" customFormat="1" ht="15.75" hidden="1">
      <c r="A670" s="473" t="s">
        <v>13458</v>
      </c>
      <c r="B670" s="551">
        <v>20083</v>
      </c>
      <c r="C670" s="475" t="s">
        <v>871</v>
      </c>
      <c r="D670" s="476" t="s">
        <v>6636</v>
      </c>
      <c r="E670" s="565">
        <v>7.0000000000000001E-3</v>
      </c>
      <c r="F670" s="478">
        <v>64.72</v>
      </c>
      <c r="G670" s="479">
        <f>TRUNC(E670*F670,2)</f>
        <v>0.45</v>
      </c>
      <c r="H670" s="464"/>
      <c r="I670"/>
      <c r="J670"/>
      <c r="K670"/>
      <c r="L670"/>
      <c r="M670"/>
      <c r="N670"/>
    </row>
    <row r="671" spans="1:14" s="458" customFormat="1" ht="15.75" hidden="1">
      <c r="A671" s="464"/>
      <c r="B671" s="1232" t="s">
        <v>13469</v>
      </c>
      <c r="C671" s="1220"/>
      <c r="D671" s="1220"/>
      <c r="E671" s="1220"/>
      <c r="F671" s="1220"/>
      <c r="G671" s="1221"/>
      <c r="H671" s="464"/>
      <c r="I671"/>
      <c r="J671"/>
      <c r="K671"/>
      <c r="L671"/>
      <c r="M671"/>
      <c r="N671"/>
    </row>
    <row r="672" spans="1:14" s="458" customFormat="1" ht="15.75" hidden="1">
      <c r="A672" s="473" t="s">
        <v>13459</v>
      </c>
      <c r="B672" s="551">
        <v>88316</v>
      </c>
      <c r="C672" s="475" t="s">
        <v>761</v>
      </c>
      <c r="D672" s="476" t="s">
        <v>753</v>
      </c>
      <c r="E672" s="482">
        <v>0.18</v>
      </c>
      <c r="F672" s="478">
        <v>15.91</v>
      </c>
      <c r="G672" s="479">
        <f>TRUNC(E672*F672,2)</f>
        <v>2.86</v>
      </c>
      <c r="H672" s="464"/>
      <c r="I672"/>
      <c r="J672"/>
      <c r="K672"/>
      <c r="L672"/>
      <c r="M672"/>
      <c r="N672"/>
    </row>
    <row r="673" spans="1:14" s="458" customFormat="1" ht="30.75" hidden="1" thickBot="1">
      <c r="A673" s="473" t="s">
        <v>13459</v>
      </c>
      <c r="B673" s="552">
        <v>88267</v>
      </c>
      <c r="C673" s="484" t="s">
        <v>759</v>
      </c>
      <c r="D673" s="485" t="s">
        <v>753</v>
      </c>
      <c r="E673" s="486">
        <v>0.18</v>
      </c>
      <c r="F673" s="487">
        <v>19.899999999999999</v>
      </c>
      <c r="G673" s="488">
        <f>TRUNC(E673*F673,2)</f>
        <v>3.58</v>
      </c>
      <c r="H673" s="464"/>
      <c r="I673"/>
      <c r="J673"/>
      <c r="K673"/>
      <c r="L673"/>
      <c r="M673"/>
      <c r="N673"/>
    </row>
    <row r="674" spans="1:14" s="458" customFormat="1" ht="16.5" hidden="1" customHeight="1" thickBot="1">
      <c r="A674" s="464"/>
      <c r="B674" s="605" t="s">
        <v>13644</v>
      </c>
      <c r="C674" s="605"/>
      <c r="D674" s="605"/>
      <c r="E674" s="606"/>
      <c r="F674" s="492" t="s">
        <v>22</v>
      </c>
      <c r="G674" s="493">
        <f>SUM(G668:G673)</f>
        <v>9.98</v>
      </c>
      <c r="H674" s="464"/>
      <c r="I674"/>
      <c r="J674"/>
      <c r="K674"/>
      <c r="L674"/>
      <c r="M674"/>
      <c r="N674"/>
    </row>
    <row r="675" spans="1:14" s="458" customFormat="1" ht="36" hidden="1" customHeight="1">
      <c r="A675" s="457"/>
      <c r="B675" s="1231" t="s">
        <v>13471</v>
      </c>
      <c r="C675" s="1231"/>
      <c r="D675" s="1231"/>
      <c r="E675" s="1231"/>
      <c r="F675" s="1231"/>
      <c r="G675" s="1231"/>
      <c r="H675" s="464"/>
      <c r="I675"/>
      <c r="J675"/>
      <c r="K675"/>
      <c r="L675"/>
      <c r="M675"/>
      <c r="N675"/>
    </row>
    <row r="676" spans="1:14" s="458" customFormat="1" ht="106.5" hidden="1" customHeight="1">
      <c r="A676" s="457"/>
      <c r="B676" s="1230" t="s">
        <v>13645</v>
      </c>
      <c r="C676" s="1230"/>
      <c r="D676" s="1230"/>
      <c r="E676" s="1230"/>
      <c r="F676" s="1230"/>
      <c r="G676" s="1230"/>
      <c r="H676" s="464"/>
    </row>
    <row r="677" spans="1:14" s="489" customFormat="1" ht="16.5" hidden="1" thickBot="1">
      <c r="B677" s="546"/>
      <c r="C677" s="546"/>
      <c r="D677" s="556"/>
      <c r="E677" s="556"/>
      <c r="F677" s="507"/>
      <c r="G677" s="508"/>
    </row>
    <row r="678" spans="1:14" s="489" customFormat="1" ht="40.5" hidden="1" customHeight="1">
      <c r="A678" s="494"/>
      <c r="B678" s="466" t="str">
        <f>IF(COUNT($H$8:H678)&lt;10,CONCATENATE("COMP HID 00",COUNT($H$8:H678)),CONCATENATE("COMP HID 0",COUNT($H$8:H678)))</f>
        <v>COMP HID 048</v>
      </c>
      <c r="C678" s="1224" t="s">
        <v>13646</v>
      </c>
      <c r="D678" s="1225"/>
      <c r="E678" s="1225"/>
      <c r="F678" s="1225"/>
      <c r="G678" s="467" t="s">
        <v>28</v>
      </c>
      <c r="H678" s="621">
        <f>G687</f>
        <v>14.27</v>
      </c>
    </row>
    <row r="679" spans="1:14" s="489" customFormat="1" ht="31.5" hidden="1">
      <c r="A679" s="494"/>
      <c r="B679" s="469" t="s">
        <v>13463</v>
      </c>
      <c r="C679" s="470" t="s">
        <v>13464</v>
      </c>
      <c r="D679" s="470" t="s">
        <v>28</v>
      </c>
      <c r="E679" s="470" t="s">
        <v>13465</v>
      </c>
      <c r="F679" s="471" t="s">
        <v>13466</v>
      </c>
      <c r="G679" s="472" t="s">
        <v>13467</v>
      </c>
    </row>
    <row r="680" spans="1:14" s="489" customFormat="1" ht="15.75" hidden="1">
      <c r="A680" s="494"/>
      <c r="B680" s="1232" t="s">
        <v>13468</v>
      </c>
      <c r="C680" s="1220"/>
      <c r="D680" s="1220"/>
      <c r="E680" s="1220"/>
      <c r="F680" s="1220"/>
      <c r="G680" s="1221"/>
    </row>
    <row r="681" spans="1:14" s="489" customFormat="1" ht="30" hidden="1">
      <c r="A681" s="473" t="s">
        <v>13458</v>
      </c>
      <c r="B681" s="551">
        <v>37949</v>
      </c>
      <c r="C681" s="475" t="s">
        <v>9055</v>
      </c>
      <c r="D681" s="476" t="s">
        <v>6636</v>
      </c>
      <c r="E681" s="558">
        <v>1</v>
      </c>
      <c r="F681" s="478">
        <v>1.2</v>
      </c>
      <c r="G681" s="479">
        <f>TRUNC(E681*F681,2)</f>
        <v>1.2</v>
      </c>
    </row>
    <row r="682" spans="1:14" s="489" customFormat="1" ht="30" hidden="1">
      <c r="A682" s="473" t="s">
        <v>13458</v>
      </c>
      <c r="B682" s="551">
        <v>295</v>
      </c>
      <c r="C682" s="475" t="s">
        <v>6819</v>
      </c>
      <c r="D682" s="476" t="s">
        <v>6636</v>
      </c>
      <c r="E682" s="569">
        <v>1</v>
      </c>
      <c r="F682" s="478">
        <v>1.69</v>
      </c>
      <c r="G682" s="479">
        <f>TRUNC(E682*F682,2)</f>
        <v>1.69</v>
      </c>
    </row>
    <row r="683" spans="1:14" s="489" customFormat="1" ht="30" hidden="1">
      <c r="A683" s="473" t="s">
        <v>13458</v>
      </c>
      <c r="B683" s="551">
        <v>20078</v>
      </c>
      <c r="C683" s="475" t="s">
        <v>903</v>
      </c>
      <c r="D683" s="476" t="s">
        <v>6636</v>
      </c>
      <c r="E683" s="569">
        <v>0.05</v>
      </c>
      <c r="F683" s="478">
        <v>27.28</v>
      </c>
      <c r="G683" s="479">
        <f>TRUNC(E683*F683,2)</f>
        <v>1.36</v>
      </c>
    </row>
    <row r="684" spans="1:14" s="489" customFormat="1" ht="15.75" hidden="1">
      <c r="A684" s="494"/>
      <c r="B684" s="1232" t="s">
        <v>13469</v>
      </c>
      <c r="C684" s="1220"/>
      <c r="D684" s="1220"/>
      <c r="E684" s="1220"/>
      <c r="F684" s="1220"/>
      <c r="G684" s="1221"/>
    </row>
    <row r="685" spans="1:14" s="489" customFormat="1" ht="15.75" hidden="1">
      <c r="A685" s="473" t="s">
        <v>13459</v>
      </c>
      <c r="B685" s="551">
        <v>88316</v>
      </c>
      <c r="C685" s="475" t="s">
        <v>761</v>
      </c>
      <c r="D685" s="476" t="s">
        <v>753</v>
      </c>
      <c r="E685" s="482">
        <v>0.28000000000000003</v>
      </c>
      <c r="F685" s="478">
        <v>15.91</v>
      </c>
      <c r="G685" s="479">
        <f>TRUNC(E685*F685,2)</f>
        <v>4.45</v>
      </c>
    </row>
    <row r="686" spans="1:14" s="489" customFormat="1" ht="30.75" hidden="1" thickBot="1">
      <c r="A686" s="473" t="s">
        <v>13459</v>
      </c>
      <c r="B686" s="552">
        <v>88267</v>
      </c>
      <c r="C686" s="484" t="s">
        <v>759</v>
      </c>
      <c r="D686" s="485" t="s">
        <v>753</v>
      </c>
      <c r="E686" s="486">
        <v>0.28000000000000003</v>
      </c>
      <c r="F686" s="487">
        <v>19.899999999999999</v>
      </c>
      <c r="G686" s="488">
        <f>TRUNC(E686*F686,2)</f>
        <v>5.57</v>
      </c>
    </row>
    <row r="687" spans="1:14" s="489" customFormat="1" ht="16.5" hidden="1" thickBot="1">
      <c r="A687" s="494"/>
      <c r="B687" s="546" t="s">
        <v>13647</v>
      </c>
      <c r="C687" s="622"/>
      <c r="D687" s="622"/>
      <c r="E687" s="622"/>
      <c r="F687" s="492" t="s">
        <v>22</v>
      </c>
      <c r="G687" s="493">
        <f>SUM(G681:G686)</f>
        <v>14.27</v>
      </c>
    </row>
    <row r="688" spans="1:14" s="489" customFormat="1" ht="64.5" hidden="1" customHeight="1">
      <c r="B688" s="1250" t="s">
        <v>13648</v>
      </c>
      <c r="C688" s="1250"/>
      <c r="D688" s="1250"/>
      <c r="E688" s="1250"/>
      <c r="F688" s="1250"/>
      <c r="G688" s="1250"/>
    </row>
    <row r="689" spans="1:14" s="489" customFormat="1" ht="104.25" hidden="1" customHeight="1">
      <c r="B689" s="1251" t="s">
        <v>13649</v>
      </c>
      <c r="C689" s="1251"/>
      <c r="D689" s="1251"/>
      <c r="E689" s="1251"/>
      <c r="F689" s="1251"/>
      <c r="G689" s="1251"/>
      <c r="H689" s="1251"/>
    </row>
    <row r="690" spans="1:14" s="458" customFormat="1" ht="15.75" hidden="1" thickBot="1">
      <c r="A690" s="457"/>
      <c r="B690" s="465"/>
      <c r="C690" s="465"/>
      <c r="D690" s="465"/>
      <c r="E690" s="465"/>
      <c r="F690" s="465"/>
      <c r="G690" s="465"/>
      <c r="H690" s="464"/>
    </row>
    <row r="691" spans="1:14" s="458" customFormat="1" ht="15.75" hidden="1">
      <c r="A691" s="464"/>
      <c r="B691" s="466" t="str">
        <f>IF(COUNT($H$8:H691)&lt;10,CONCATENATE("COMP HID 00",COUNT($H$8:H691)),CONCATENATE("COMP HID 0",COUNT($H$8:H691)))</f>
        <v>COMP HID 049</v>
      </c>
      <c r="C691" s="1224" t="s">
        <v>13650</v>
      </c>
      <c r="D691" s="1224"/>
      <c r="E691" s="1224"/>
      <c r="F691" s="1224"/>
      <c r="G691" s="467" t="s">
        <v>28</v>
      </c>
      <c r="H691" s="566">
        <f>G697</f>
        <v>1349.73</v>
      </c>
      <c r="I691"/>
      <c r="J691"/>
      <c r="K691"/>
      <c r="L691"/>
      <c r="M691"/>
      <c r="N691"/>
    </row>
    <row r="692" spans="1:14" s="458" customFormat="1" ht="31.5" hidden="1">
      <c r="A692" s="464"/>
      <c r="B692" s="469" t="s">
        <v>13463</v>
      </c>
      <c r="C692" s="470" t="s">
        <v>13464</v>
      </c>
      <c r="D692" s="470" t="s">
        <v>28</v>
      </c>
      <c r="E692" s="470" t="s">
        <v>13465</v>
      </c>
      <c r="F692" s="471" t="s">
        <v>13466</v>
      </c>
      <c r="G692" s="472" t="s">
        <v>13467</v>
      </c>
      <c r="H692" s="464"/>
      <c r="I692"/>
      <c r="J692"/>
      <c r="K692"/>
      <c r="L692"/>
      <c r="M692"/>
      <c r="N692"/>
    </row>
    <row r="693" spans="1:14" s="458" customFormat="1" ht="15.75" hidden="1">
      <c r="A693" s="464"/>
      <c r="B693" s="1232" t="s">
        <v>13468</v>
      </c>
      <c r="C693" s="1220"/>
      <c r="D693" s="1220"/>
      <c r="E693" s="1220"/>
      <c r="F693" s="1220"/>
      <c r="G693" s="1221"/>
      <c r="H693" s="464"/>
      <c r="I693"/>
      <c r="J693"/>
      <c r="K693"/>
      <c r="L693"/>
      <c r="M693"/>
      <c r="N693"/>
    </row>
    <row r="694" spans="1:14" s="458" customFormat="1" ht="15.75" hidden="1">
      <c r="A694" s="473" t="s">
        <v>13458</v>
      </c>
      <c r="B694" s="551" t="s">
        <v>13497</v>
      </c>
      <c r="C694" s="475" t="s">
        <v>13651</v>
      </c>
      <c r="D694" s="571" t="str">
        <f>G699</f>
        <v>UN</v>
      </c>
      <c r="E694" s="564">
        <v>1</v>
      </c>
      <c r="F694" s="478">
        <f>D704</f>
        <v>1338.6</v>
      </c>
      <c r="G694" s="479">
        <f>TRUNC(E694*F694,2)</f>
        <v>1338.6</v>
      </c>
      <c r="H694" s="464"/>
      <c r="I694"/>
      <c r="J694"/>
      <c r="K694"/>
      <c r="L694"/>
      <c r="M694"/>
      <c r="N694"/>
    </row>
    <row r="695" spans="1:14" s="458" customFormat="1" ht="15.75" hidden="1">
      <c r="A695" s="464"/>
      <c r="B695" s="1232" t="s">
        <v>13469</v>
      </c>
      <c r="C695" s="1220"/>
      <c r="D695" s="1220"/>
      <c r="E695" s="1220"/>
      <c r="F695" s="1220"/>
      <c r="G695" s="1221"/>
      <c r="H695" s="464"/>
      <c r="I695"/>
      <c r="J695"/>
      <c r="K695"/>
      <c r="L695"/>
      <c r="M695"/>
      <c r="N695"/>
    </row>
    <row r="696" spans="1:14" s="458" customFormat="1" ht="16.5" hidden="1" thickBot="1">
      <c r="A696" s="473" t="s">
        <v>13459</v>
      </c>
      <c r="B696" s="552">
        <v>88316</v>
      </c>
      <c r="C696" s="726" t="str">
        <f>IFERROR(VLOOKUP(B696,comp_nãodes,2,FALSE),VLOOKUP(B696,insnãodes,2,FALSE))</f>
        <v>SERVENTE COM ENCARGOS COMPLEMENTARES</v>
      </c>
      <c r="D696" s="485" t="s">
        <v>753</v>
      </c>
      <c r="E696" s="486">
        <v>0.7</v>
      </c>
      <c r="F696" s="426">
        <f t="shared" ref="F696" si="50">IFERROR(VLOOKUP(B696,comp_nãodes,4,FALSE),VLOOKUP(B696,insnãodes,4,FALSE))</f>
        <v>15.91</v>
      </c>
      <c r="G696" s="488">
        <f>TRUNC(E696*F696,2)</f>
        <v>11.13</v>
      </c>
      <c r="H696" s="464"/>
      <c r="I696"/>
      <c r="J696"/>
      <c r="K696"/>
      <c r="L696"/>
      <c r="M696"/>
      <c r="N696"/>
    </row>
    <row r="697" spans="1:14" s="458" customFormat="1" ht="16.5" hidden="1" customHeight="1" thickBot="1">
      <c r="A697" s="464"/>
      <c r="B697" s="605" t="s">
        <v>13558</v>
      </c>
      <c r="C697" s="605"/>
      <c r="D697" s="605"/>
      <c r="E697" s="606"/>
      <c r="F697" s="492" t="s">
        <v>22</v>
      </c>
      <c r="G697" s="493">
        <f>SUM(G694:G696)</f>
        <v>1349.73</v>
      </c>
      <c r="H697" s="464"/>
      <c r="I697"/>
      <c r="J697"/>
      <c r="K697"/>
      <c r="L697"/>
      <c r="M697"/>
      <c r="N697"/>
    </row>
    <row r="698" spans="1:14" s="458" customFormat="1" ht="16.5" hidden="1" thickBot="1">
      <c r="A698" s="457"/>
      <c r="B698" s="465"/>
      <c r="C698" s="465"/>
      <c r="D698" s="465"/>
      <c r="E698" s="465"/>
      <c r="F698" s="465"/>
      <c r="G698" s="465"/>
      <c r="H698" s="464"/>
      <c r="I698"/>
      <c r="J698"/>
      <c r="K698"/>
      <c r="L698"/>
      <c r="M698"/>
      <c r="N698"/>
    </row>
    <row r="699" spans="1:14" s="458" customFormat="1" ht="15.75" hidden="1">
      <c r="A699" s="457"/>
      <c r="B699" s="572" t="s">
        <v>13497</v>
      </c>
      <c r="C699" s="607" t="s">
        <v>13652</v>
      </c>
      <c r="D699" s="574"/>
      <c r="E699" s="575"/>
      <c r="F699" s="608"/>
      <c r="G699" s="577" t="s">
        <v>28</v>
      </c>
      <c r="H699" s="623" t="s">
        <v>13653</v>
      </c>
      <c r="I699"/>
      <c r="J699"/>
      <c r="K699"/>
      <c r="L699"/>
      <c r="M699"/>
      <c r="N699"/>
    </row>
    <row r="700" spans="1:14" s="458" customFormat="1" ht="47.25" hidden="1">
      <c r="A700" s="457"/>
      <c r="B700" s="578" t="s">
        <v>13502</v>
      </c>
      <c r="C700" s="579" t="s">
        <v>13503</v>
      </c>
      <c r="D700" s="580" t="s">
        <v>13601</v>
      </c>
      <c r="E700" s="581" t="s">
        <v>13505</v>
      </c>
      <c r="F700" s="610" t="s">
        <v>13506</v>
      </c>
      <c r="G700" s="583" t="s">
        <v>13507</v>
      </c>
      <c r="H700" s="464"/>
      <c r="I700"/>
      <c r="J700"/>
      <c r="K700"/>
      <c r="L700"/>
      <c r="M700"/>
      <c r="N700"/>
    </row>
    <row r="701" spans="1:14" s="458" customFormat="1" hidden="1">
      <c r="A701" s="457"/>
      <c r="B701" s="611">
        <v>43118</v>
      </c>
      <c r="C701" s="612" t="s">
        <v>13654</v>
      </c>
      <c r="D701" s="613">
        <v>1338.6</v>
      </c>
      <c r="E701" s="614"/>
      <c r="F701" s="624" t="s">
        <v>13655</v>
      </c>
      <c r="G701" s="625" t="s">
        <v>13656</v>
      </c>
      <c r="H701" s="590"/>
      <c r="I701"/>
      <c r="J701"/>
      <c r="K701"/>
      <c r="L701"/>
      <c r="M701"/>
      <c r="N701"/>
    </row>
    <row r="702" spans="1:14" s="458" customFormat="1" hidden="1">
      <c r="A702" s="457"/>
      <c r="B702" s="611"/>
      <c r="C702" s="592"/>
      <c r="D702" s="617"/>
      <c r="E702" s="614"/>
      <c r="F702" s="624"/>
      <c r="G702" s="626"/>
      <c r="H702" s="590"/>
      <c r="I702"/>
      <c r="J702"/>
      <c r="K702"/>
      <c r="L702"/>
      <c r="M702"/>
      <c r="N702"/>
    </row>
    <row r="703" spans="1:14" s="458" customFormat="1" ht="15.75" hidden="1">
      <c r="A703" s="457"/>
      <c r="B703" s="611"/>
      <c r="C703" s="592"/>
      <c r="D703" s="617"/>
      <c r="E703" s="619"/>
      <c r="F703" s="615"/>
      <c r="G703" s="618"/>
      <c r="H703" s="590"/>
      <c r="I703"/>
      <c r="J703"/>
      <c r="K703"/>
      <c r="L703"/>
      <c r="M703"/>
      <c r="N703"/>
    </row>
    <row r="704" spans="1:14" s="458" customFormat="1" ht="16.5" hidden="1" thickBot="1">
      <c r="A704" s="457"/>
      <c r="B704" s="598"/>
      <c r="C704" s="599" t="s">
        <v>13523</v>
      </c>
      <c r="D704" s="538">
        <f>IF(COUNT(D700:D703)=3,MEDIAN(D701:D703),SMALL(D701:D703,1))</f>
        <v>1338.6</v>
      </c>
      <c r="E704" s="600"/>
      <c r="F704" s="620"/>
      <c r="G704" s="602"/>
      <c r="H704" s="464"/>
      <c r="I704"/>
      <c r="J704"/>
      <c r="K704"/>
      <c r="L704"/>
      <c r="M704"/>
      <c r="N704"/>
    </row>
    <row r="705" spans="1:14" s="458" customFormat="1" ht="16.5" hidden="1" thickBot="1">
      <c r="A705" s="457"/>
      <c r="B705" s="465"/>
      <c r="C705" s="465"/>
      <c r="D705" s="465"/>
      <c r="E705" s="465"/>
      <c r="F705" s="465"/>
      <c r="G705" s="465"/>
      <c r="H705" s="464"/>
      <c r="I705"/>
      <c r="J705"/>
      <c r="K705"/>
      <c r="L705"/>
      <c r="M705"/>
      <c r="N705"/>
    </row>
    <row r="706" spans="1:14" s="458" customFormat="1" ht="15.75" hidden="1">
      <c r="A706" s="464"/>
      <c r="B706" s="466" t="str">
        <f>IF(COUNT($H$8:H706)&lt;10,CONCATENATE("COMP HID 00",COUNT($H$8:H706)),CONCATENATE("COMP HID 0",COUNT($H$8:H706)))</f>
        <v>COMP HID 050</v>
      </c>
      <c r="C706" s="1224" t="s">
        <v>13657</v>
      </c>
      <c r="D706" s="1224"/>
      <c r="E706" s="1224"/>
      <c r="F706" s="1224"/>
      <c r="G706" s="467" t="s">
        <v>35</v>
      </c>
      <c r="H706" s="566">
        <f>G714</f>
        <v>40.660000000000004</v>
      </c>
      <c r="I706"/>
      <c r="J706"/>
      <c r="K706"/>
      <c r="L706"/>
      <c r="M706"/>
      <c r="N706"/>
    </row>
    <row r="707" spans="1:14" s="458" customFormat="1" ht="31.5" hidden="1">
      <c r="A707" s="464"/>
      <c r="B707" s="469" t="s">
        <v>13463</v>
      </c>
      <c r="C707" s="470" t="s">
        <v>13464</v>
      </c>
      <c r="D707" s="470" t="s">
        <v>28</v>
      </c>
      <c r="E707" s="470" t="s">
        <v>13465</v>
      </c>
      <c r="F707" s="471" t="s">
        <v>13466</v>
      </c>
      <c r="G707" s="472" t="s">
        <v>13467</v>
      </c>
      <c r="H707" s="464"/>
      <c r="I707"/>
      <c r="J707"/>
      <c r="K707"/>
      <c r="L707"/>
      <c r="M707"/>
      <c r="N707"/>
    </row>
    <row r="708" spans="1:14" s="458" customFormat="1" ht="15.75" hidden="1">
      <c r="A708" s="464"/>
      <c r="B708" s="1232" t="s">
        <v>13468</v>
      </c>
      <c r="C708" s="1220"/>
      <c r="D708" s="1220"/>
      <c r="E708" s="1220"/>
      <c r="F708" s="1220"/>
      <c r="G708" s="1221"/>
      <c r="H708" s="464"/>
      <c r="I708"/>
      <c r="J708"/>
      <c r="K708"/>
      <c r="L708"/>
      <c r="M708"/>
      <c r="N708"/>
    </row>
    <row r="709" spans="1:14" s="458" customFormat="1" ht="45" hidden="1">
      <c r="A709" s="473" t="s">
        <v>13459</v>
      </c>
      <c r="B709" s="551">
        <v>87314</v>
      </c>
      <c r="C709" s="475" t="s">
        <v>11557</v>
      </c>
      <c r="D709" s="476" t="s">
        <v>60</v>
      </c>
      <c r="E709" s="564">
        <v>0.05</v>
      </c>
      <c r="F709" s="478">
        <v>335.79</v>
      </c>
      <c r="G709" s="479">
        <f>TRUNC(E709*F709,2)</f>
        <v>16.78</v>
      </c>
      <c r="H709" s="464"/>
      <c r="I709"/>
      <c r="J709"/>
      <c r="K709"/>
      <c r="L709"/>
      <c r="M709"/>
      <c r="N709"/>
    </row>
    <row r="710" spans="1:14" s="458" customFormat="1" ht="30" hidden="1">
      <c r="A710" s="473" t="s">
        <v>13458</v>
      </c>
      <c r="B710" s="551">
        <v>10931</v>
      </c>
      <c r="C710" s="475" t="s">
        <v>12371</v>
      </c>
      <c r="D710" s="476" t="s">
        <v>6638</v>
      </c>
      <c r="E710" s="564">
        <v>0.3</v>
      </c>
      <c r="F710" s="478">
        <v>8.2200000000000006</v>
      </c>
      <c r="G710" s="479">
        <f>TRUNC(E710*F710,2)</f>
        <v>2.46</v>
      </c>
      <c r="H710" s="464"/>
      <c r="I710"/>
      <c r="J710"/>
      <c r="K710"/>
      <c r="L710"/>
      <c r="M710"/>
      <c r="N710"/>
    </row>
    <row r="711" spans="1:14" s="458" customFormat="1" ht="15.75" hidden="1">
      <c r="A711" s="464"/>
      <c r="B711" s="1232" t="s">
        <v>13469</v>
      </c>
      <c r="C711" s="1220"/>
      <c r="D711" s="1220"/>
      <c r="E711" s="1220"/>
      <c r="F711" s="1220"/>
      <c r="G711" s="1221"/>
      <c r="H711" s="464"/>
      <c r="I711"/>
      <c r="J711"/>
      <c r="K711"/>
      <c r="L711"/>
      <c r="M711"/>
      <c r="N711"/>
    </row>
    <row r="712" spans="1:14" s="458" customFormat="1" ht="15.75" hidden="1">
      <c r="A712" s="473" t="s">
        <v>13459</v>
      </c>
      <c r="B712" s="551">
        <v>88316</v>
      </c>
      <c r="C712" s="475" t="s">
        <v>761</v>
      </c>
      <c r="D712" s="476" t="s">
        <v>753</v>
      </c>
      <c r="E712" s="482">
        <v>0.6</v>
      </c>
      <c r="F712" s="478">
        <v>15.91</v>
      </c>
      <c r="G712" s="479">
        <f>TRUNC(E712*F712,2)</f>
        <v>9.5399999999999991</v>
      </c>
      <c r="H712" s="464"/>
      <c r="I712"/>
      <c r="J712"/>
      <c r="K712"/>
      <c r="L712"/>
      <c r="M712"/>
      <c r="N712"/>
    </row>
    <row r="713" spans="1:14" s="458" customFormat="1" ht="16.5" hidden="1" thickBot="1">
      <c r="A713" s="473" t="s">
        <v>13459</v>
      </c>
      <c r="B713" s="552">
        <v>88309</v>
      </c>
      <c r="C713" s="484" t="s">
        <v>760</v>
      </c>
      <c r="D713" s="485" t="s">
        <v>753</v>
      </c>
      <c r="E713" s="486">
        <v>0.6</v>
      </c>
      <c r="F713" s="487">
        <v>19.809999999999999</v>
      </c>
      <c r="G713" s="488">
        <f>TRUNC(E713*F713,2)</f>
        <v>11.88</v>
      </c>
      <c r="H713" s="464"/>
      <c r="I713"/>
      <c r="J713"/>
      <c r="K713"/>
      <c r="L713"/>
      <c r="M713"/>
      <c r="N713"/>
    </row>
    <row r="714" spans="1:14" s="458" customFormat="1" ht="16.5" hidden="1" customHeight="1" thickBot="1">
      <c r="A714" s="464"/>
      <c r="B714" s="605" t="s">
        <v>13619</v>
      </c>
      <c r="C714" s="605"/>
      <c r="D714" s="605"/>
      <c r="E714" s="605"/>
      <c r="F714" s="492" t="s">
        <v>22</v>
      </c>
      <c r="G714" s="493">
        <f>SUM(G709:G713)</f>
        <v>40.660000000000004</v>
      </c>
      <c r="H714" s="464"/>
      <c r="I714"/>
      <c r="J714"/>
      <c r="K714"/>
      <c r="L714"/>
      <c r="M714"/>
      <c r="N714"/>
    </row>
    <row r="715" spans="1:14" s="458" customFormat="1" ht="16.5" hidden="1" thickBot="1">
      <c r="A715" s="457"/>
      <c r="B715" s="465"/>
      <c r="C715" s="465"/>
      <c r="D715" s="465"/>
      <c r="E715" s="465"/>
      <c r="F715" s="465"/>
      <c r="G715" s="465"/>
      <c r="H715" s="464"/>
      <c r="I715"/>
      <c r="J715"/>
      <c r="K715"/>
      <c r="L715"/>
      <c r="M715"/>
      <c r="N715"/>
    </row>
    <row r="716" spans="1:14" s="458" customFormat="1" ht="15.75" hidden="1">
      <c r="A716" s="464"/>
      <c r="B716" s="466" t="str">
        <f>IF(COUNT($H$8:H716)&lt;10,CONCATENATE("COMP HID 00",COUNT($H$8:H716)),CONCATENATE("COMP HID 0",COUNT($H$8:H716)))</f>
        <v>COMP HID 051</v>
      </c>
      <c r="C716" s="1224" t="s">
        <v>13658</v>
      </c>
      <c r="D716" s="1224"/>
      <c r="E716" s="1224"/>
      <c r="F716" s="1224"/>
      <c r="G716" s="467" t="s">
        <v>28</v>
      </c>
      <c r="H716" s="566">
        <f>G723</f>
        <v>1755.72</v>
      </c>
      <c r="I716"/>
      <c r="J716"/>
      <c r="K716"/>
      <c r="L716"/>
      <c r="M716"/>
      <c r="N716"/>
    </row>
    <row r="717" spans="1:14" s="458" customFormat="1" ht="31.5" hidden="1">
      <c r="A717" s="464"/>
      <c r="B717" s="469" t="s">
        <v>13463</v>
      </c>
      <c r="C717" s="470" t="s">
        <v>13464</v>
      </c>
      <c r="D717" s="470" t="s">
        <v>28</v>
      </c>
      <c r="E717" s="470" t="s">
        <v>13465</v>
      </c>
      <c r="F717" s="471" t="s">
        <v>13466</v>
      </c>
      <c r="G717" s="472" t="s">
        <v>13467</v>
      </c>
      <c r="H717" s="464"/>
      <c r="I717"/>
      <c r="J717"/>
      <c r="K717"/>
      <c r="L717"/>
      <c r="M717"/>
      <c r="N717"/>
    </row>
    <row r="718" spans="1:14" s="458" customFormat="1" ht="15.75" hidden="1">
      <c r="A718" s="464"/>
      <c r="B718" s="1232" t="s">
        <v>13468</v>
      </c>
      <c r="C718" s="1220"/>
      <c r="D718" s="1220"/>
      <c r="E718" s="1220"/>
      <c r="F718" s="1220"/>
      <c r="G718" s="1221"/>
      <c r="H718" s="464"/>
      <c r="I718"/>
      <c r="J718"/>
      <c r="K718"/>
      <c r="L718"/>
      <c r="M718"/>
      <c r="N718"/>
    </row>
    <row r="719" spans="1:14" s="458" customFormat="1" ht="15.75" hidden="1">
      <c r="A719" s="473"/>
      <c r="B719" s="551" t="s">
        <v>13497</v>
      </c>
      <c r="C719" s="475" t="str">
        <f>C725</f>
        <v>LAVATÓRIO COLETIVO EM AÇO INOXIDÁVEL - COMPRIMENTO: 1,50M</v>
      </c>
      <c r="D719" s="571" t="str">
        <f>G725</f>
        <v>UN</v>
      </c>
      <c r="E719" s="564">
        <v>1</v>
      </c>
      <c r="F719" s="478">
        <f>D730</f>
        <v>1720</v>
      </c>
      <c r="G719" s="479">
        <f>TRUNC(E719*F719,2)</f>
        <v>1720</v>
      </c>
      <c r="H719" s="464"/>
    </row>
    <row r="720" spans="1:14" s="458" customFormat="1" ht="15.75" hidden="1">
      <c r="A720" s="464"/>
      <c r="B720" s="1232" t="s">
        <v>13469</v>
      </c>
      <c r="C720" s="1220"/>
      <c r="D720" s="1220"/>
      <c r="E720" s="1220"/>
      <c r="F720" s="1220"/>
      <c r="G720" s="1221"/>
      <c r="H720" s="464"/>
      <c r="I720"/>
      <c r="J720"/>
      <c r="K720"/>
      <c r="L720"/>
      <c r="M720"/>
      <c r="N720"/>
    </row>
    <row r="721" spans="1:14" s="458" customFormat="1" ht="15.75" hidden="1">
      <c r="A721" s="473" t="s">
        <v>13459</v>
      </c>
      <c r="B721" s="551">
        <v>88316</v>
      </c>
      <c r="C721" s="475" t="s">
        <v>761</v>
      </c>
      <c r="D721" s="476" t="s">
        <v>753</v>
      </c>
      <c r="E721" s="482">
        <v>1</v>
      </c>
      <c r="F721" s="478">
        <v>15.91</v>
      </c>
      <c r="G721" s="479">
        <f>TRUNC(E721*F721,2)</f>
        <v>15.91</v>
      </c>
      <c r="H721" s="464"/>
      <c r="I721"/>
      <c r="J721"/>
      <c r="K721"/>
      <c r="L721"/>
      <c r="M721"/>
      <c r="N721"/>
    </row>
    <row r="722" spans="1:14" s="458" customFormat="1" ht="16.5" hidden="1" thickBot="1">
      <c r="A722" s="473"/>
      <c r="B722" s="552">
        <v>88309</v>
      </c>
      <c r="C722" s="484" t="s">
        <v>760</v>
      </c>
      <c r="D722" s="485" t="s">
        <v>753</v>
      </c>
      <c r="E722" s="486">
        <v>1</v>
      </c>
      <c r="F722" s="487">
        <v>19.809999999999999</v>
      </c>
      <c r="G722" s="488">
        <f>TRUNC(E722*F722,2)</f>
        <v>19.809999999999999</v>
      </c>
      <c r="H722" s="464"/>
    </row>
    <row r="723" spans="1:14" s="458" customFormat="1" ht="16.5" hidden="1" customHeight="1" thickBot="1">
      <c r="A723" s="464"/>
      <c r="B723" s="490" t="s">
        <v>13659</v>
      </c>
      <c r="C723" s="490"/>
      <c r="D723" s="490"/>
      <c r="E723" s="491"/>
      <c r="F723" s="492" t="s">
        <v>22</v>
      </c>
      <c r="G723" s="493">
        <f>SUM(G719:G722)</f>
        <v>1755.72</v>
      </c>
      <c r="H723" s="464"/>
      <c r="I723"/>
      <c r="J723"/>
      <c r="K723"/>
      <c r="L723"/>
      <c r="M723"/>
      <c r="N723"/>
    </row>
    <row r="724" spans="1:14" s="458" customFormat="1" ht="16.5" hidden="1" thickBot="1">
      <c r="A724" s="464"/>
      <c r="B724" s="627"/>
      <c r="C724" s="627"/>
      <c r="D724" s="627"/>
      <c r="E724" s="627"/>
      <c r="F724" s="628"/>
      <c r="G724" s="629"/>
      <c r="H724" s="464"/>
    </row>
    <row r="725" spans="1:14" s="458" customFormat="1" ht="31.5" hidden="1">
      <c r="A725" s="457"/>
      <c r="B725" s="572"/>
      <c r="C725" s="607" t="s">
        <v>13660</v>
      </c>
      <c r="D725" s="574"/>
      <c r="E725" s="575"/>
      <c r="F725" s="608"/>
      <c r="G725" s="577" t="s">
        <v>28</v>
      </c>
      <c r="H725" s="515" t="s">
        <v>13500</v>
      </c>
      <c r="I725"/>
      <c r="J725"/>
      <c r="K725"/>
      <c r="L725"/>
      <c r="M725"/>
      <c r="N725"/>
    </row>
    <row r="726" spans="1:14" s="458" customFormat="1" ht="47.25" hidden="1">
      <c r="A726" s="457"/>
      <c r="B726" s="578" t="s">
        <v>13502</v>
      </c>
      <c r="C726" s="579" t="s">
        <v>13503</v>
      </c>
      <c r="D726" s="580" t="s">
        <v>13601</v>
      </c>
      <c r="E726" s="581" t="s">
        <v>13505</v>
      </c>
      <c r="F726" s="610" t="s">
        <v>13506</v>
      </c>
      <c r="G726" s="583" t="s">
        <v>13507</v>
      </c>
      <c r="H726" s="464"/>
      <c r="I726"/>
      <c r="J726"/>
      <c r="K726"/>
      <c r="L726"/>
      <c r="M726"/>
      <c r="N726"/>
    </row>
    <row r="727" spans="1:14" s="458" customFormat="1" hidden="1">
      <c r="A727" s="457"/>
      <c r="B727" s="611">
        <v>43118</v>
      </c>
      <c r="C727" s="612" t="s">
        <v>13661</v>
      </c>
      <c r="D727" s="613">
        <v>1720</v>
      </c>
      <c r="E727" s="614" t="s">
        <v>13662</v>
      </c>
      <c r="F727" s="615" t="s">
        <v>13663</v>
      </c>
      <c r="G727" s="625" t="s">
        <v>13664</v>
      </c>
      <c r="H727" s="590"/>
      <c r="I727"/>
      <c r="J727"/>
      <c r="K727"/>
      <c r="L727"/>
      <c r="M727"/>
      <c r="N727"/>
    </row>
    <row r="728" spans="1:14" s="458" customFormat="1" hidden="1">
      <c r="A728" s="457"/>
      <c r="B728" s="611"/>
      <c r="C728" s="630"/>
      <c r="D728" s="617"/>
      <c r="E728" s="631"/>
      <c r="F728" s="624"/>
      <c r="G728" s="626"/>
      <c r="H728" s="590"/>
      <c r="I728"/>
      <c r="J728"/>
      <c r="K728"/>
      <c r="L728"/>
      <c r="M728"/>
      <c r="N728"/>
    </row>
    <row r="729" spans="1:14" s="458" customFormat="1" hidden="1">
      <c r="A729" s="457"/>
      <c r="B729" s="611"/>
      <c r="C729" s="630"/>
      <c r="D729" s="617"/>
      <c r="E729" s="631"/>
      <c r="F729" s="632"/>
      <c r="G729" s="626"/>
      <c r="H729" s="590"/>
      <c r="I729"/>
      <c r="J729"/>
      <c r="K729"/>
      <c r="L729"/>
      <c r="M729"/>
      <c r="N729"/>
    </row>
    <row r="730" spans="1:14" s="458" customFormat="1" ht="16.5" hidden="1" thickBot="1">
      <c r="A730" s="457"/>
      <c r="B730" s="598"/>
      <c r="C730" s="599" t="s">
        <v>13523</v>
      </c>
      <c r="D730" s="538">
        <f>IF(COUNT(D726:D729)=3,MEDIAN(D727:D729),SMALL(D727:D729,1))</f>
        <v>1720</v>
      </c>
      <c r="E730" s="600"/>
      <c r="F730" s="620"/>
      <c r="G730" s="602"/>
      <c r="H730" s="464"/>
      <c r="I730"/>
      <c r="J730"/>
      <c r="K730"/>
      <c r="L730"/>
      <c r="M730"/>
      <c r="N730"/>
    </row>
    <row r="731" spans="1:14" s="458" customFormat="1" ht="16.5" hidden="1" thickBot="1">
      <c r="A731" s="457"/>
      <c r="B731" s="465"/>
      <c r="C731" s="465"/>
      <c r="D731" s="465"/>
      <c r="E731" s="465"/>
      <c r="F731" s="465"/>
      <c r="G731" s="465"/>
      <c r="H731" s="464"/>
      <c r="I731"/>
      <c r="J731"/>
      <c r="K731"/>
      <c r="L731"/>
      <c r="M731"/>
      <c r="N731"/>
    </row>
    <row r="732" spans="1:14" s="458" customFormat="1" ht="15.75" hidden="1">
      <c r="A732" s="464"/>
      <c r="B732" s="466" t="str">
        <f>IF(COUNT($H$8:H732)&lt;10,CONCATENATE("COMP HID 00",COUNT($H$8:H732)),CONCATENATE("COMP HID 0",COUNT($H$8:H732)))</f>
        <v>COMP HID 052</v>
      </c>
      <c r="C732" s="1224" t="s">
        <v>13665</v>
      </c>
      <c r="D732" s="1224"/>
      <c r="E732" s="1224"/>
      <c r="F732" s="1224"/>
      <c r="G732" s="467" t="s">
        <v>28</v>
      </c>
      <c r="H732" s="566">
        <f>G739</f>
        <v>1623.1399999999999</v>
      </c>
      <c r="I732"/>
      <c r="J732"/>
      <c r="K732"/>
      <c r="L732"/>
      <c r="M732"/>
      <c r="N732"/>
    </row>
    <row r="733" spans="1:14" s="458" customFormat="1" ht="31.5" hidden="1">
      <c r="A733" s="464"/>
      <c r="B733" s="469" t="s">
        <v>13463</v>
      </c>
      <c r="C733" s="470" t="s">
        <v>13464</v>
      </c>
      <c r="D733" s="470" t="s">
        <v>28</v>
      </c>
      <c r="E733" s="470" t="s">
        <v>13465</v>
      </c>
      <c r="F733" s="471" t="s">
        <v>13466</v>
      </c>
      <c r="G733" s="472" t="s">
        <v>13467</v>
      </c>
      <c r="H733" s="464"/>
      <c r="I733"/>
      <c r="J733"/>
      <c r="K733"/>
      <c r="L733"/>
      <c r="M733"/>
      <c r="N733"/>
    </row>
    <row r="734" spans="1:14" s="458" customFormat="1" ht="15.75" hidden="1">
      <c r="A734" s="464"/>
      <c r="B734" s="1232" t="s">
        <v>13468</v>
      </c>
      <c r="C734" s="1220"/>
      <c r="D734" s="1220"/>
      <c r="E734" s="1220"/>
      <c r="F734" s="1220"/>
      <c r="G734" s="1221"/>
      <c r="H734" s="464"/>
      <c r="I734"/>
      <c r="J734"/>
      <c r="K734"/>
      <c r="L734"/>
      <c r="M734"/>
      <c r="N734"/>
    </row>
    <row r="735" spans="1:14" s="458" customFormat="1" ht="30" hidden="1">
      <c r="A735" s="473"/>
      <c r="B735" s="551" t="s">
        <v>13497</v>
      </c>
      <c r="C735" s="475" t="str">
        <f>C741</f>
        <v>MOTO BOMBA COM PRESSOSTATO ACOPLADO - (VAZÃO E ALTURA MANOMÉTRICA DE ACORDO COM O PROJETO)</v>
      </c>
      <c r="D735" s="571" t="str">
        <f>G741</f>
        <v>UN</v>
      </c>
      <c r="E735" s="564">
        <v>1</v>
      </c>
      <c r="F735" s="478">
        <f>D746</f>
        <v>1295.54</v>
      </c>
      <c r="G735" s="479">
        <f>TRUNC(E735*F735,2)</f>
        <v>1295.54</v>
      </c>
      <c r="H735" s="464"/>
      <c r="I735"/>
      <c r="J735"/>
      <c r="K735"/>
      <c r="L735"/>
      <c r="M735"/>
      <c r="N735"/>
    </row>
    <row r="736" spans="1:14" s="458" customFormat="1" ht="15.75" hidden="1">
      <c r="A736" s="464"/>
      <c r="B736" s="1232" t="s">
        <v>13469</v>
      </c>
      <c r="C736" s="1220"/>
      <c r="D736" s="1220"/>
      <c r="E736" s="1220"/>
      <c r="F736" s="1220"/>
      <c r="G736" s="1221"/>
      <c r="H736" s="464"/>
      <c r="I736"/>
      <c r="J736"/>
      <c r="K736"/>
      <c r="L736"/>
      <c r="M736"/>
      <c r="N736"/>
    </row>
    <row r="737" spans="1:14" s="458" customFormat="1" ht="15.75" hidden="1">
      <c r="A737" s="473" t="s">
        <v>13459</v>
      </c>
      <c r="B737" s="551">
        <v>88243</v>
      </c>
      <c r="C737" s="475" t="s">
        <v>834</v>
      </c>
      <c r="D737" s="476" t="s">
        <v>753</v>
      </c>
      <c r="E737" s="482">
        <v>8</v>
      </c>
      <c r="F737" s="478">
        <v>19.12</v>
      </c>
      <c r="G737" s="479">
        <f>TRUNC(E737*F737,2)</f>
        <v>152.96</v>
      </c>
      <c r="H737" s="464"/>
      <c r="I737"/>
      <c r="J737"/>
      <c r="K737"/>
      <c r="L737"/>
      <c r="M737"/>
      <c r="N737"/>
    </row>
    <row r="738" spans="1:14" s="458" customFormat="1" ht="30.75" hidden="1" thickBot="1">
      <c r="A738" s="473" t="s">
        <v>13459</v>
      </c>
      <c r="B738" s="552">
        <v>88279</v>
      </c>
      <c r="C738" s="484" t="s">
        <v>934</v>
      </c>
      <c r="D738" s="485" t="s">
        <v>753</v>
      </c>
      <c r="E738" s="486">
        <v>8</v>
      </c>
      <c r="F738" s="487">
        <v>21.83</v>
      </c>
      <c r="G738" s="488">
        <f>TRUNC(E738*F738,2)</f>
        <v>174.64</v>
      </c>
      <c r="H738" s="464"/>
      <c r="I738"/>
      <c r="J738"/>
      <c r="K738"/>
      <c r="L738"/>
      <c r="M738"/>
      <c r="N738"/>
    </row>
    <row r="739" spans="1:14" s="458" customFormat="1" ht="16.5" hidden="1" thickBot="1">
      <c r="A739" s="464"/>
      <c r="B739" s="633" t="s">
        <v>13666</v>
      </c>
      <c r="C739" s="633"/>
      <c r="D739" s="633"/>
      <c r="E739" s="634"/>
      <c r="F739" s="492" t="s">
        <v>22</v>
      </c>
      <c r="G739" s="493">
        <f>SUM(G735:G738)</f>
        <v>1623.1399999999999</v>
      </c>
      <c r="H739" s="464"/>
      <c r="I739"/>
      <c r="J739"/>
      <c r="K739"/>
      <c r="L739"/>
      <c r="M739"/>
      <c r="N739"/>
    </row>
    <row r="740" spans="1:14" s="458" customFormat="1" ht="16.5" hidden="1" thickBot="1">
      <c r="A740" s="457"/>
      <c r="B740" s="465"/>
      <c r="C740" s="465"/>
      <c r="D740" s="465"/>
      <c r="E740" s="465"/>
      <c r="F740" s="465"/>
      <c r="G740" s="465"/>
      <c r="H740" s="464"/>
      <c r="I740"/>
      <c r="J740"/>
      <c r="K740"/>
      <c r="L740"/>
      <c r="M740"/>
      <c r="N740"/>
    </row>
    <row r="741" spans="1:14" s="458" customFormat="1" ht="31.5" hidden="1">
      <c r="A741" s="457"/>
      <c r="B741" s="572"/>
      <c r="C741" s="607" t="s">
        <v>13667</v>
      </c>
      <c r="D741" s="574"/>
      <c r="E741" s="575"/>
      <c r="F741" s="608"/>
      <c r="G741" s="577" t="s">
        <v>28</v>
      </c>
      <c r="H741" s="515" t="s">
        <v>13500</v>
      </c>
      <c r="I741"/>
      <c r="J741"/>
      <c r="K741"/>
      <c r="L741"/>
      <c r="M741"/>
      <c r="N741"/>
    </row>
    <row r="742" spans="1:14" s="458" customFormat="1" ht="47.25" hidden="1">
      <c r="A742" s="457"/>
      <c r="B742" s="578" t="s">
        <v>13502</v>
      </c>
      <c r="C742" s="579" t="s">
        <v>13503</v>
      </c>
      <c r="D742" s="580" t="s">
        <v>13601</v>
      </c>
      <c r="E742" s="581" t="s">
        <v>13505</v>
      </c>
      <c r="F742" s="610" t="s">
        <v>13506</v>
      </c>
      <c r="G742" s="583" t="s">
        <v>13507</v>
      </c>
      <c r="H742" s="464"/>
      <c r="I742"/>
      <c r="J742"/>
      <c r="K742"/>
      <c r="L742"/>
      <c r="M742"/>
      <c r="N742"/>
    </row>
    <row r="743" spans="1:14" s="458" customFormat="1" hidden="1">
      <c r="A743" s="457"/>
      <c r="B743" s="611">
        <v>43116</v>
      </c>
      <c r="C743" s="592" t="s">
        <v>13668</v>
      </c>
      <c r="D743" s="635">
        <v>1295.54</v>
      </c>
      <c r="E743" s="636" t="s">
        <v>13669</v>
      </c>
      <c r="F743" s="637" t="s">
        <v>13670</v>
      </c>
      <c r="G743" s="638" t="s">
        <v>13671</v>
      </c>
      <c r="H743" s="590"/>
      <c r="I743"/>
      <c r="J743"/>
      <c r="K743"/>
      <c r="L743"/>
      <c r="M743"/>
      <c r="N743"/>
    </row>
    <row r="744" spans="1:14" s="458" customFormat="1" hidden="1">
      <c r="A744" s="457"/>
      <c r="B744" s="611">
        <v>43122</v>
      </c>
      <c r="C744" s="630" t="s">
        <v>13672</v>
      </c>
      <c r="D744" s="617">
        <v>1396</v>
      </c>
      <c r="E744" s="631" t="s">
        <v>13673</v>
      </c>
      <c r="F744" s="624" t="s">
        <v>13674</v>
      </c>
      <c r="G744" s="626" t="s">
        <v>13675</v>
      </c>
      <c r="H744" s="590"/>
      <c r="I744"/>
      <c r="J744"/>
      <c r="K744"/>
      <c r="L744"/>
      <c r="M744"/>
      <c r="N744"/>
    </row>
    <row r="745" spans="1:14" s="458" customFormat="1" hidden="1">
      <c r="A745" s="457"/>
      <c r="B745" s="611"/>
      <c r="C745" s="630"/>
      <c r="D745" s="617"/>
      <c r="E745" s="631"/>
      <c r="F745" s="632"/>
      <c r="G745" s="626"/>
      <c r="H745" s="590"/>
      <c r="I745"/>
      <c r="J745"/>
      <c r="K745"/>
      <c r="L745"/>
      <c r="M745"/>
      <c r="N745"/>
    </row>
    <row r="746" spans="1:14" s="458" customFormat="1" ht="16.5" hidden="1" thickBot="1">
      <c r="A746" s="457"/>
      <c r="B746" s="598"/>
      <c r="C746" s="599" t="s">
        <v>13523</v>
      </c>
      <c r="D746" s="538">
        <f>IF(COUNT(D742:D745)=3,MEDIAN(D743:D745),SMALL(D743:D745,1))</f>
        <v>1295.54</v>
      </c>
      <c r="E746" s="600"/>
      <c r="F746" s="620"/>
      <c r="G746" s="602"/>
      <c r="H746" s="464"/>
      <c r="I746"/>
      <c r="J746"/>
      <c r="K746"/>
      <c r="L746"/>
      <c r="M746"/>
      <c r="N746"/>
    </row>
    <row r="747" spans="1:14" s="458" customFormat="1" ht="16.5" hidden="1" thickBot="1">
      <c r="A747" s="457"/>
      <c r="B747" s="465"/>
      <c r="C747" s="489"/>
      <c r="D747" s="465"/>
      <c r="E747" s="465"/>
      <c r="F747" s="465"/>
      <c r="G747" s="465"/>
      <c r="H747" s="570"/>
      <c r="I747"/>
      <c r="J747"/>
      <c r="K747"/>
      <c r="L747"/>
      <c r="M747"/>
      <c r="N747"/>
    </row>
    <row r="748" spans="1:14" s="458" customFormat="1" ht="15.75" hidden="1">
      <c r="A748" s="464"/>
      <c r="B748" s="466" t="str">
        <f>IF(COUNT($H$8:H748)&lt;10,CONCATENATE("COMP HID 00",COUNT($H$8:H748)),CONCATENATE("COMP HID 0",COUNT($H$8:H748)))</f>
        <v>COMP HID 053</v>
      </c>
      <c r="C748" s="1224" t="s">
        <v>13676</v>
      </c>
      <c r="D748" s="1224"/>
      <c r="E748" s="1224"/>
      <c r="F748" s="1224"/>
      <c r="G748" s="467" t="s">
        <v>35</v>
      </c>
      <c r="H748" s="566">
        <f>G755</f>
        <v>880.27</v>
      </c>
      <c r="I748"/>
      <c r="J748"/>
      <c r="K748"/>
      <c r="L748"/>
      <c r="M748"/>
      <c r="N748"/>
    </row>
    <row r="749" spans="1:14" s="458" customFormat="1" ht="31.5" hidden="1">
      <c r="A749" s="464"/>
      <c r="B749" s="469" t="s">
        <v>13463</v>
      </c>
      <c r="C749" s="470" t="s">
        <v>13464</v>
      </c>
      <c r="D749" s="470" t="s">
        <v>28</v>
      </c>
      <c r="E749" s="470" t="s">
        <v>13465</v>
      </c>
      <c r="F749" s="471" t="s">
        <v>13466</v>
      </c>
      <c r="G749" s="472" t="s">
        <v>13467</v>
      </c>
      <c r="H749" s="464"/>
      <c r="I749"/>
      <c r="J749"/>
      <c r="K749"/>
      <c r="L749"/>
      <c r="M749"/>
      <c r="N749"/>
    </row>
    <row r="750" spans="1:14" s="458" customFormat="1" ht="15.75" hidden="1">
      <c r="A750" s="464"/>
      <c r="B750" s="1232" t="s">
        <v>13468</v>
      </c>
      <c r="C750" s="1220"/>
      <c r="D750" s="1220"/>
      <c r="E750" s="1220"/>
      <c r="F750" s="1220"/>
      <c r="G750" s="1221"/>
      <c r="H750" s="464"/>
      <c r="I750"/>
      <c r="J750"/>
      <c r="K750"/>
      <c r="L750"/>
      <c r="M750"/>
      <c r="N750"/>
    </row>
    <row r="751" spans="1:14" s="458" customFormat="1" ht="15.75" hidden="1">
      <c r="A751" s="473"/>
      <c r="B751" s="551" t="s">
        <v>13497</v>
      </c>
      <c r="C751" s="475" t="str">
        <f>C759</f>
        <v>CHUVEIRO E LAVA OLHOS EM PVC - COR VERDE</v>
      </c>
      <c r="D751" s="571" t="str">
        <f>G759</f>
        <v>UN</v>
      </c>
      <c r="E751" s="564">
        <v>1</v>
      </c>
      <c r="F751" s="478">
        <f>D764</f>
        <v>860</v>
      </c>
      <c r="G751" s="479">
        <f>TRUNC(E751*F751,2)</f>
        <v>860</v>
      </c>
      <c r="H751" s="464"/>
      <c r="I751"/>
      <c r="J751"/>
      <c r="K751"/>
      <c r="L751"/>
      <c r="M751"/>
      <c r="N751"/>
    </row>
    <row r="752" spans="1:14" s="458" customFormat="1" ht="15.75" hidden="1">
      <c r="A752" s="473" t="s">
        <v>13458</v>
      </c>
      <c r="B752" s="551">
        <v>3146</v>
      </c>
      <c r="C752" s="475" t="s">
        <v>885</v>
      </c>
      <c r="D752" s="476" t="s">
        <v>6636</v>
      </c>
      <c r="E752" s="565">
        <v>8.4000000000000005E-2</v>
      </c>
      <c r="F752" s="478">
        <v>4.4800000000000004</v>
      </c>
      <c r="G752" s="479">
        <f>TRUNC(E752*F752,2)</f>
        <v>0.37</v>
      </c>
      <c r="H752" s="464"/>
    </row>
    <row r="753" spans="1:14" s="458" customFormat="1" ht="15.75" hidden="1">
      <c r="A753" s="464"/>
      <c r="B753" s="1232" t="s">
        <v>13469</v>
      </c>
      <c r="C753" s="1220"/>
      <c r="D753" s="1220"/>
      <c r="E753" s="1220"/>
      <c r="F753" s="1220"/>
      <c r="G753" s="1221"/>
      <c r="H753" s="464"/>
      <c r="I753"/>
      <c r="J753"/>
      <c r="K753"/>
      <c r="L753"/>
      <c r="M753"/>
      <c r="N753"/>
    </row>
    <row r="754" spans="1:14" s="458" customFormat="1" ht="30.75" hidden="1" thickBot="1">
      <c r="A754" s="473" t="s">
        <v>13459</v>
      </c>
      <c r="B754" s="552">
        <v>88267</v>
      </c>
      <c r="C754" s="484" t="s">
        <v>759</v>
      </c>
      <c r="D754" s="485" t="s">
        <v>753</v>
      </c>
      <c r="E754" s="486">
        <v>1</v>
      </c>
      <c r="F754" s="487">
        <v>19.899999999999999</v>
      </c>
      <c r="G754" s="488">
        <f>TRUNC(E754*F754,2)</f>
        <v>19.899999999999999</v>
      </c>
      <c r="H754" s="464"/>
      <c r="I754"/>
      <c r="J754"/>
      <c r="K754"/>
      <c r="L754"/>
      <c r="M754"/>
      <c r="N754"/>
    </row>
    <row r="755" spans="1:14" s="458" customFormat="1" ht="16.5" hidden="1" customHeight="1" thickBot="1">
      <c r="A755" s="464"/>
      <c r="B755" s="605" t="s">
        <v>13677</v>
      </c>
      <c r="C755" s="605"/>
      <c r="D755" s="605"/>
      <c r="E755" s="605"/>
      <c r="F755" s="492" t="s">
        <v>22</v>
      </c>
      <c r="G755" s="493">
        <f>SUM(G751:G754)</f>
        <v>880.27</v>
      </c>
      <c r="H755" s="464"/>
      <c r="I755"/>
      <c r="J755"/>
      <c r="K755"/>
      <c r="L755"/>
      <c r="M755"/>
      <c r="N755"/>
    </row>
    <row r="756" spans="1:14" s="458" customFormat="1" ht="52.5" hidden="1" customHeight="1">
      <c r="A756" s="457"/>
      <c r="B756" s="1231" t="s">
        <v>13570</v>
      </c>
      <c r="C756" s="1231"/>
      <c r="D756" s="1231"/>
      <c r="E756" s="1231"/>
      <c r="F756" s="1231"/>
      <c r="G756" s="1231"/>
      <c r="H756" s="464"/>
      <c r="I756"/>
      <c r="J756"/>
      <c r="K756"/>
      <c r="L756"/>
      <c r="M756"/>
      <c r="N756"/>
    </row>
    <row r="757" spans="1:14" s="458" customFormat="1" ht="52.5" hidden="1" customHeight="1">
      <c r="A757" s="457"/>
      <c r="B757" s="1231" t="s">
        <v>13571</v>
      </c>
      <c r="C757" s="1252"/>
      <c r="D757" s="1252"/>
      <c r="E757" s="1252"/>
      <c r="F757" s="1252"/>
      <c r="G757" s="1252"/>
      <c r="H757" s="464"/>
    </row>
    <row r="758" spans="1:14" s="458" customFormat="1" ht="15.75" hidden="1" thickBot="1">
      <c r="A758" s="457"/>
      <c r="B758" s="465"/>
      <c r="C758" s="465"/>
      <c r="D758" s="465"/>
      <c r="E758" s="465"/>
      <c r="F758" s="465"/>
      <c r="G758" s="465"/>
      <c r="H758" s="464"/>
    </row>
    <row r="759" spans="1:14" s="458" customFormat="1" ht="15.75" hidden="1">
      <c r="A759" s="457"/>
      <c r="B759" s="639"/>
      <c r="C759" s="607" t="s">
        <v>13678</v>
      </c>
      <c r="D759" s="640"/>
      <c r="E759" s="641"/>
      <c r="F759" s="608"/>
      <c r="G759" s="642" t="s">
        <v>28</v>
      </c>
      <c r="H759" s="623" t="s">
        <v>13500</v>
      </c>
      <c r="I759"/>
      <c r="J759"/>
      <c r="K759"/>
      <c r="L759"/>
      <c r="M759"/>
      <c r="N759"/>
    </row>
    <row r="760" spans="1:14" s="458" customFormat="1" ht="47.25" hidden="1">
      <c r="A760" s="457"/>
      <c r="B760" s="643" t="s">
        <v>13502</v>
      </c>
      <c r="C760" s="644" t="s">
        <v>13503</v>
      </c>
      <c r="D760" s="645" t="s">
        <v>13601</v>
      </c>
      <c r="E760" s="646" t="s">
        <v>13505</v>
      </c>
      <c r="F760" s="647" t="s">
        <v>13506</v>
      </c>
      <c r="G760" s="646" t="s">
        <v>13507</v>
      </c>
      <c r="H760" s="464"/>
      <c r="I760"/>
      <c r="J760"/>
      <c r="K760"/>
      <c r="L760"/>
      <c r="M760"/>
      <c r="N760"/>
    </row>
    <row r="761" spans="1:14" s="458" customFormat="1" hidden="1">
      <c r="A761" s="457"/>
      <c r="B761" s="648">
        <v>43566</v>
      </c>
      <c r="C761" s="592" t="s">
        <v>13679</v>
      </c>
      <c r="D761" s="649">
        <v>860</v>
      </c>
      <c r="E761" s="650" t="s">
        <v>13680</v>
      </c>
      <c r="F761" s="651" t="s">
        <v>13681</v>
      </c>
      <c r="G761" s="614" t="s">
        <v>13682</v>
      </c>
      <c r="H761" s="590"/>
      <c r="I761"/>
      <c r="J761"/>
      <c r="K761"/>
      <c r="L761"/>
      <c r="M761"/>
      <c r="N761"/>
    </row>
    <row r="762" spans="1:14" s="458" customFormat="1" hidden="1">
      <c r="A762" s="457"/>
      <c r="B762" s="648">
        <v>43549</v>
      </c>
      <c r="C762" s="592" t="s">
        <v>13683</v>
      </c>
      <c r="D762" s="649">
        <v>2238.59</v>
      </c>
      <c r="E762" s="652" t="s">
        <v>13684</v>
      </c>
      <c r="F762" s="651" t="s">
        <v>13685</v>
      </c>
      <c r="G762" s="653" t="s">
        <v>13686</v>
      </c>
      <c r="H762" s="590"/>
      <c r="I762"/>
      <c r="J762"/>
      <c r="K762"/>
      <c r="L762"/>
      <c r="M762"/>
      <c r="N762"/>
    </row>
    <row r="763" spans="1:14" s="458" customFormat="1" hidden="1">
      <c r="A763" s="457"/>
      <c r="B763" s="654"/>
      <c r="C763" s="655"/>
      <c r="D763" s="656"/>
      <c r="E763" s="657"/>
      <c r="F763" s="658"/>
      <c r="G763" s="659"/>
      <c r="H763" s="590"/>
      <c r="I763"/>
      <c r="J763"/>
      <c r="K763"/>
      <c r="L763"/>
      <c r="M763"/>
      <c r="N763"/>
    </row>
    <row r="764" spans="1:14" s="458" customFormat="1" ht="16.5" hidden="1" thickBot="1">
      <c r="A764" s="457"/>
      <c r="B764" s="660"/>
      <c r="C764" s="661" t="s">
        <v>13523</v>
      </c>
      <c r="D764" s="538">
        <f>IF(COUNT(D760:D763)=3,MEDIAN(D761:D763),SMALL(D761:D763,1))</f>
        <v>860</v>
      </c>
      <c r="E764" s="662"/>
      <c r="F764" s="620"/>
      <c r="G764" s="663"/>
      <c r="H764" s="464"/>
      <c r="I764"/>
      <c r="J764"/>
      <c r="K764"/>
      <c r="L764"/>
      <c r="M764"/>
      <c r="N764"/>
    </row>
    <row r="765" spans="1:14" s="458" customFormat="1" ht="16.5" hidden="1" thickBot="1">
      <c r="A765" s="457"/>
      <c r="B765" s="465"/>
      <c r="C765" s="465"/>
      <c r="D765" s="465"/>
      <c r="E765" s="465"/>
      <c r="F765" s="465"/>
      <c r="G765" s="465"/>
      <c r="H765" s="464"/>
      <c r="I765"/>
      <c r="J765"/>
      <c r="K765"/>
      <c r="L765"/>
      <c r="M765"/>
      <c r="N765"/>
    </row>
    <row r="766" spans="1:14" s="458" customFormat="1" ht="15.75" hidden="1">
      <c r="A766" s="464"/>
      <c r="B766" s="466" t="str">
        <f>IF(COUNT($H$8:H766)&lt;10,CONCATENATE("COMP HID 00",COUNT($H$8:H766)),CONCATENATE("COMP HID 0",COUNT($H$8:H766)))</f>
        <v>COMP HID 054</v>
      </c>
      <c r="C766" s="1224" t="s">
        <v>13687</v>
      </c>
      <c r="D766" s="1225"/>
      <c r="E766" s="1225"/>
      <c r="F766" s="1225"/>
      <c r="G766" s="467" t="s">
        <v>28</v>
      </c>
      <c r="H766" s="664">
        <f>G770</f>
        <v>12872.1</v>
      </c>
      <c r="I766"/>
      <c r="J766"/>
      <c r="K766"/>
      <c r="L766"/>
      <c r="M766"/>
      <c r="N766"/>
    </row>
    <row r="767" spans="1:14" s="458" customFormat="1" ht="31.5" hidden="1">
      <c r="A767" s="464"/>
      <c r="B767" s="469" t="s">
        <v>13688</v>
      </c>
      <c r="C767" s="470" t="s">
        <v>13464</v>
      </c>
      <c r="D767" s="470" t="s">
        <v>28</v>
      </c>
      <c r="E767" s="470" t="s">
        <v>13465</v>
      </c>
      <c r="F767" s="471" t="s">
        <v>13466</v>
      </c>
      <c r="G767" s="472" t="s">
        <v>13467</v>
      </c>
      <c r="H767" s="464"/>
      <c r="I767"/>
      <c r="J767"/>
      <c r="K767"/>
      <c r="L767"/>
      <c r="M767"/>
      <c r="N767"/>
    </row>
    <row r="768" spans="1:14" s="458" customFormat="1" ht="15.75" hidden="1">
      <c r="A768" s="464"/>
      <c r="B768" s="1232" t="s">
        <v>13468</v>
      </c>
      <c r="C768" s="1220"/>
      <c r="D768" s="1220"/>
      <c r="E768" s="1220"/>
      <c r="F768" s="1220"/>
      <c r="G768" s="1221"/>
      <c r="H768" s="464"/>
      <c r="I768"/>
      <c r="J768"/>
      <c r="K768"/>
      <c r="L768"/>
      <c r="M768"/>
      <c r="N768"/>
    </row>
    <row r="769" spans="1:14" s="458" customFormat="1" ht="30.75" hidden="1" thickBot="1">
      <c r="A769" s="473"/>
      <c r="B769" s="483" t="s">
        <v>13497</v>
      </c>
      <c r="C769" s="484" t="s">
        <v>13689</v>
      </c>
      <c r="D769" s="504" t="s">
        <v>28</v>
      </c>
      <c r="E769" s="505">
        <v>1</v>
      </c>
      <c r="F769" s="487">
        <f>D795</f>
        <v>12872.1</v>
      </c>
      <c r="G769" s="488">
        <f>TRUNC(E769*F769,2)</f>
        <v>12872.1</v>
      </c>
      <c r="H769" s="464"/>
      <c r="I769"/>
      <c r="J769"/>
      <c r="K769"/>
      <c r="L769"/>
      <c r="M769"/>
      <c r="N769"/>
    </row>
    <row r="770" spans="1:14" s="458" customFormat="1" ht="16.5" hidden="1" customHeight="1" thickBot="1">
      <c r="A770" s="489"/>
      <c r="B770" s="665" t="s">
        <v>13498</v>
      </c>
      <c r="C770" s="665"/>
      <c r="D770" s="665"/>
      <c r="E770" s="666"/>
      <c r="F770" s="492" t="s">
        <v>22</v>
      </c>
      <c r="G770" s="493">
        <f>G769</f>
        <v>12872.1</v>
      </c>
      <c r="H770" s="464"/>
      <c r="I770"/>
      <c r="J770"/>
      <c r="K770"/>
      <c r="L770"/>
      <c r="M770"/>
      <c r="N770"/>
    </row>
    <row r="771" spans="1:14" s="458" customFormat="1" ht="16.5" hidden="1" thickBot="1">
      <c r="A771" s="489"/>
      <c r="B771" s="667"/>
      <c r="C771" s="667"/>
      <c r="D771" s="667"/>
      <c r="E771" s="667"/>
      <c r="F771" s="507"/>
      <c r="G771" s="508"/>
      <c r="H771" s="464"/>
    </row>
    <row r="772" spans="1:14" s="458" customFormat="1" ht="31.5" hidden="1">
      <c r="A772" s="464"/>
      <c r="B772" s="572"/>
      <c r="C772" s="607" t="s">
        <v>13689</v>
      </c>
      <c r="D772" s="574"/>
      <c r="E772" s="575"/>
      <c r="F772" s="608"/>
      <c r="G772" s="577" t="s">
        <v>28</v>
      </c>
      <c r="H772" s="515" t="s">
        <v>13500</v>
      </c>
      <c r="I772"/>
      <c r="J772"/>
      <c r="K772"/>
      <c r="L772"/>
      <c r="M772"/>
      <c r="N772"/>
    </row>
    <row r="773" spans="1:14" s="458" customFormat="1" ht="31.5" hidden="1">
      <c r="A773" s="464"/>
      <c r="B773" s="668" t="s">
        <v>13502</v>
      </c>
      <c r="C773" s="669" t="s">
        <v>13503</v>
      </c>
      <c r="D773" s="670" t="s">
        <v>13504</v>
      </c>
      <c r="E773" s="671" t="s">
        <v>13505</v>
      </c>
      <c r="F773" s="647" t="s">
        <v>13506</v>
      </c>
      <c r="G773" s="672" t="s">
        <v>13507</v>
      </c>
      <c r="H773" s="464"/>
      <c r="I773"/>
      <c r="J773"/>
      <c r="K773"/>
      <c r="L773"/>
      <c r="M773"/>
      <c r="N773"/>
    </row>
    <row r="774" spans="1:14" s="465" customFormat="1" hidden="1">
      <c r="A774" s="464"/>
      <c r="B774" s="1237" t="s">
        <v>13501</v>
      </c>
      <c r="C774" s="1238"/>
      <c r="D774" s="1238"/>
      <c r="E774" s="1238"/>
      <c r="F774" s="1238"/>
      <c r="G774" s="1239"/>
      <c r="H774" s="464"/>
    </row>
    <row r="775" spans="1:14" s="465" customFormat="1" ht="25.5" hidden="1">
      <c r="A775" s="464"/>
      <c r="B775" s="516" t="s">
        <v>13502</v>
      </c>
      <c r="C775" s="517" t="s">
        <v>13503</v>
      </c>
      <c r="D775" s="518" t="s">
        <v>13504</v>
      </c>
      <c r="E775" s="519" t="s">
        <v>13505</v>
      </c>
      <c r="F775" s="520" t="s">
        <v>13506</v>
      </c>
      <c r="G775" s="521" t="s">
        <v>13507</v>
      </c>
      <c r="H775" s="464"/>
    </row>
    <row r="776" spans="1:14" s="465" customFormat="1" hidden="1">
      <c r="A776" s="464"/>
      <c r="B776" s="673">
        <v>43108</v>
      </c>
      <c r="C776" s="523" t="s">
        <v>13515</v>
      </c>
      <c r="D776" s="524">
        <v>6622</v>
      </c>
      <c r="E776" s="526" t="s">
        <v>13516</v>
      </c>
      <c r="F776" s="528" t="s">
        <v>13690</v>
      </c>
      <c r="G776" s="674" t="s">
        <v>13691</v>
      </c>
      <c r="H776" s="590"/>
    </row>
    <row r="777" spans="1:14" s="465" customFormat="1" hidden="1">
      <c r="A777" s="464"/>
      <c r="B777" s="673">
        <v>43109</v>
      </c>
      <c r="C777" s="523" t="s">
        <v>13552</v>
      </c>
      <c r="D777" s="524">
        <v>6874</v>
      </c>
      <c r="E777" s="526" t="s">
        <v>13553</v>
      </c>
      <c r="F777" s="528" t="s">
        <v>13554</v>
      </c>
      <c r="G777" s="674" t="s">
        <v>13535</v>
      </c>
      <c r="H777" s="590"/>
    </row>
    <row r="778" spans="1:14" s="465" customFormat="1" hidden="1">
      <c r="A778" s="464"/>
      <c r="B778" s="673">
        <v>43108</v>
      </c>
      <c r="C778" s="523" t="s">
        <v>13692</v>
      </c>
      <c r="D778" s="524">
        <v>6630</v>
      </c>
      <c r="E778" s="526" t="s">
        <v>13693</v>
      </c>
      <c r="F778" s="528" t="s">
        <v>13694</v>
      </c>
      <c r="G778" s="674" t="s">
        <v>13695</v>
      </c>
      <c r="H778" s="590"/>
    </row>
    <row r="779" spans="1:14" s="465" customFormat="1" hidden="1">
      <c r="A779" s="464"/>
      <c r="B779" s="1237" t="s">
        <v>13519</v>
      </c>
      <c r="C779" s="1238"/>
      <c r="D779" s="1238"/>
      <c r="E779" s="1238"/>
      <c r="F779" s="1238"/>
      <c r="G779" s="1239"/>
      <c r="H779" s="464"/>
    </row>
    <row r="780" spans="1:14" s="465" customFormat="1" ht="25.5" hidden="1">
      <c r="A780" s="464"/>
      <c r="B780" s="516" t="s">
        <v>13502</v>
      </c>
      <c r="C780" s="517" t="s">
        <v>13503</v>
      </c>
      <c r="D780" s="518" t="s">
        <v>13504</v>
      </c>
      <c r="E780" s="519" t="s">
        <v>13505</v>
      </c>
      <c r="F780" s="520" t="s">
        <v>13506</v>
      </c>
      <c r="G780" s="521" t="s">
        <v>13507</v>
      </c>
      <c r="H780" s="464"/>
    </row>
    <row r="781" spans="1:14" s="465" customFormat="1" hidden="1">
      <c r="A781" s="464"/>
      <c r="B781" s="673">
        <f t="shared" ref="B781:C783" si="51">B776</f>
        <v>43108</v>
      </c>
      <c r="C781" s="523" t="str">
        <f t="shared" si="51"/>
        <v>FAZ FORTE</v>
      </c>
      <c r="D781" s="524">
        <v>2372</v>
      </c>
      <c r="E781" s="526" t="str">
        <f t="shared" ref="E781:G783" si="52">E776</f>
        <v>18.399.461/0001-44</v>
      </c>
      <c r="F781" s="528" t="str">
        <f t="shared" si="52"/>
        <v xml:space="preserve">(18) 3659-2673 </v>
      </c>
      <c r="G781" s="674" t="str">
        <f t="shared" si="52"/>
        <v>MAURICIO</v>
      </c>
      <c r="H781" s="464"/>
    </row>
    <row r="782" spans="1:14" s="465" customFormat="1" hidden="1">
      <c r="A782" s="464"/>
      <c r="B782" s="673">
        <f t="shared" si="51"/>
        <v>43109</v>
      </c>
      <c r="C782" s="523" t="str">
        <f t="shared" si="51"/>
        <v>CAIXA D' AGUÁ BRASIL</v>
      </c>
      <c r="D782" s="524">
        <v>5450</v>
      </c>
      <c r="E782" s="526" t="str">
        <f t="shared" si="52"/>
        <v>03.113.840/0001-59</v>
      </c>
      <c r="F782" s="528" t="str">
        <f t="shared" si="52"/>
        <v>(18) 3641-9066</v>
      </c>
      <c r="G782" s="674" t="str">
        <f t="shared" si="52"/>
        <v>ELAINE</v>
      </c>
      <c r="H782" s="464"/>
    </row>
    <row r="783" spans="1:14" s="465" customFormat="1" hidden="1">
      <c r="A783" s="464"/>
      <c r="B783" s="673">
        <f t="shared" si="51"/>
        <v>43108</v>
      </c>
      <c r="C783" s="528" t="str">
        <f t="shared" si="51"/>
        <v>STOCK CAIXAS</v>
      </c>
      <c r="D783" s="524">
        <v>5400</v>
      </c>
      <c r="E783" s="528" t="str">
        <f t="shared" si="52"/>
        <v>24.103.775/0001-50</v>
      </c>
      <c r="F783" s="528" t="str">
        <f t="shared" si="52"/>
        <v>(19)4042-1047</v>
      </c>
      <c r="G783" s="675" t="str">
        <f t="shared" si="52"/>
        <v>ALESSANDRO</v>
      </c>
      <c r="H783" s="464"/>
    </row>
    <row r="784" spans="1:14" s="465" customFormat="1" hidden="1">
      <c r="A784" s="464"/>
      <c r="B784" s="530" t="s">
        <v>13520</v>
      </c>
      <c r="C784" s="531"/>
      <c r="D784" s="532"/>
      <c r="E784" s="533"/>
      <c r="F784" s="534"/>
      <c r="G784" s="535"/>
      <c r="H784" s="464"/>
    </row>
    <row r="785" spans="1:14" s="465" customFormat="1" hidden="1">
      <c r="A785" s="464"/>
      <c r="B785" s="1237" t="s">
        <v>13521</v>
      </c>
      <c r="C785" s="1238"/>
      <c r="D785" s="1238"/>
      <c r="E785" s="1238"/>
      <c r="F785" s="1238"/>
      <c r="G785" s="1239"/>
      <c r="H785" s="464"/>
    </row>
    <row r="786" spans="1:14" s="465" customFormat="1" ht="25.5" hidden="1">
      <c r="A786" s="464"/>
      <c r="B786" s="516" t="s">
        <v>13502</v>
      </c>
      <c r="C786" s="517" t="s">
        <v>13503</v>
      </c>
      <c r="D786" s="518" t="s">
        <v>13504</v>
      </c>
      <c r="E786" s="519" t="s">
        <v>13505</v>
      </c>
      <c r="F786" s="520" t="s">
        <v>13506</v>
      </c>
      <c r="G786" s="521" t="s">
        <v>13507</v>
      </c>
      <c r="H786" s="464"/>
    </row>
    <row r="787" spans="1:14" s="465" customFormat="1" hidden="1">
      <c r="A787" s="464"/>
      <c r="B787" s="673">
        <f t="shared" ref="B787:C789" si="53">B776</f>
        <v>43108</v>
      </c>
      <c r="C787" s="523" t="str">
        <f t="shared" si="53"/>
        <v>FAZ FORTE</v>
      </c>
      <c r="D787" s="524">
        <f>TRUNC(((D776+D781)*0.07),2)</f>
        <v>629.58000000000004</v>
      </c>
      <c r="E787" s="526" t="str">
        <f t="shared" ref="E787:G789" si="54">E776</f>
        <v>18.399.461/0001-44</v>
      </c>
      <c r="F787" s="528" t="str">
        <f t="shared" si="54"/>
        <v xml:space="preserve">(18) 3659-2673 </v>
      </c>
      <c r="G787" s="674" t="str">
        <f t="shared" si="54"/>
        <v>MAURICIO</v>
      </c>
      <c r="H787" s="464"/>
    </row>
    <row r="788" spans="1:14" s="465" customFormat="1" hidden="1">
      <c r="A788" s="464"/>
      <c r="B788" s="673">
        <f t="shared" si="53"/>
        <v>43109</v>
      </c>
      <c r="C788" s="523" t="str">
        <f t="shared" si="53"/>
        <v>CAIXA D' AGUÁ BRASIL</v>
      </c>
      <c r="D788" s="524">
        <f>TRUNC(((D777+D782)*0.07),2)</f>
        <v>862.68</v>
      </c>
      <c r="E788" s="526" t="str">
        <f t="shared" si="54"/>
        <v>03.113.840/0001-59</v>
      </c>
      <c r="F788" s="528" t="str">
        <f t="shared" si="54"/>
        <v>(18) 3641-9066</v>
      </c>
      <c r="G788" s="674" t="str">
        <f t="shared" si="54"/>
        <v>ELAINE</v>
      </c>
      <c r="H788" s="464"/>
    </row>
    <row r="789" spans="1:14" s="465" customFormat="1" hidden="1">
      <c r="A789" s="464"/>
      <c r="B789" s="673">
        <f t="shared" si="53"/>
        <v>43108</v>
      </c>
      <c r="C789" s="528" t="str">
        <f t="shared" si="53"/>
        <v>STOCK CAIXAS</v>
      </c>
      <c r="D789" s="524">
        <f>TRUNC(((D778+D783)*0.07),2)</f>
        <v>842.1</v>
      </c>
      <c r="E789" s="528" t="str">
        <f t="shared" si="54"/>
        <v>24.103.775/0001-50</v>
      </c>
      <c r="F789" s="528" t="str">
        <f t="shared" si="54"/>
        <v>(19)4042-1047</v>
      </c>
      <c r="G789" s="675" t="str">
        <f t="shared" si="54"/>
        <v>ALESSANDRO</v>
      </c>
      <c r="H789" s="464"/>
    </row>
    <row r="790" spans="1:14" s="465" customFormat="1" hidden="1">
      <c r="A790" s="464"/>
      <c r="B790" s="1237" t="s">
        <v>13522</v>
      </c>
      <c r="C790" s="1238"/>
      <c r="D790" s="1238"/>
      <c r="E790" s="1238"/>
      <c r="F790" s="1238"/>
      <c r="G790" s="1239"/>
      <c r="H790" s="464"/>
    </row>
    <row r="791" spans="1:14" s="465" customFormat="1" ht="25.5" hidden="1">
      <c r="A791" s="464"/>
      <c r="B791" s="516" t="s">
        <v>13502</v>
      </c>
      <c r="C791" s="517" t="s">
        <v>13503</v>
      </c>
      <c r="D791" s="518" t="s">
        <v>13504</v>
      </c>
      <c r="E791" s="519" t="s">
        <v>13505</v>
      </c>
      <c r="F791" s="520" t="s">
        <v>13506</v>
      </c>
      <c r="G791" s="521" t="s">
        <v>13507</v>
      </c>
      <c r="H791" s="464"/>
    </row>
    <row r="792" spans="1:14" s="465" customFormat="1" hidden="1">
      <c r="A792" s="464"/>
      <c r="B792" s="673">
        <f t="shared" ref="B792:C794" si="55">B776</f>
        <v>43108</v>
      </c>
      <c r="C792" s="523" t="str">
        <f t="shared" si="55"/>
        <v>FAZ FORTE</v>
      </c>
      <c r="D792" s="524">
        <f>D776+D781+D787</f>
        <v>9623.58</v>
      </c>
      <c r="E792" s="526" t="str">
        <f t="shared" ref="E792:G794" si="56">E776</f>
        <v>18.399.461/0001-44</v>
      </c>
      <c r="F792" s="528" t="str">
        <f t="shared" si="56"/>
        <v xml:space="preserve">(18) 3659-2673 </v>
      </c>
      <c r="G792" s="674" t="str">
        <f t="shared" si="56"/>
        <v>MAURICIO</v>
      </c>
      <c r="H792" s="464"/>
    </row>
    <row r="793" spans="1:14" s="465" customFormat="1" hidden="1">
      <c r="A793" s="464"/>
      <c r="B793" s="673">
        <f t="shared" si="55"/>
        <v>43109</v>
      </c>
      <c r="C793" s="523" t="str">
        <f t="shared" si="55"/>
        <v>CAIXA D' AGUÁ BRASIL</v>
      </c>
      <c r="D793" s="524">
        <f>D777+D782+D788</f>
        <v>13186.68</v>
      </c>
      <c r="E793" s="526" t="str">
        <f t="shared" si="56"/>
        <v>03.113.840/0001-59</v>
      </c>
      <c r="F793" s="528" t="str">
        <f t="shared" si="56"/>
        <v>(18) 3641-9066</v>
      </c>
      <c r="G793" s="674" t="str">
        <f t="shared" si="56"/>
        <v>ELAINE</v>
      </c>
      <c r="H793" s="464"/>
    </row>
    <row r="794" spans="1:14" s="465" customFormat="1" hidden="1">
      <c r="A794" s="464"/>
      <c r="B794" s="673">
        <f t="shared" si="55"/>
        <v>43108</v>
      </c>
      <c r="C794" s="528" t="str">
        <f t="shared" si="55"/>
        <v>STOCK CAIXAS</v>
      </c>
      <c r="D794" s="524">
        <f>D778+D783+D789</f>
        <v>12872.1</v>
      </c>
      <c r="E794" s="528" t="str">
        <f t="shared" si="56"/>
        <v>24.103.775/0001-50</v>
      </c>
      <c r="F794" s="528" t="str">
        <f t="shared" si="56"/>
        <v>(19)4042-1047</v>
      </c>
      <c r="G794" s="675" t="str">
        <f t="shared" si="56"/>
        <v>ALESSANDRO</v>
      </c>
      <c r="H794" s="464"/>
    </row>
    <row r="795" spans="1:14" s="465" customFormat="1" ht="16.5" hidden="1" thickBot="1">
      <c r="A795" s="464"/>
      <c r="B795" s="536"/>
      <c r="C795" s="537" t="s">
        <v>13523</v>
      </c>
      <c r="D795" s="538">
        <f>IF(COUNT(D791:D794)=3,MEDIAN(D792:D794),SMALL(D792:D794,1))</f>
        <v>12872.1</v>
      </c>
      <c r="E795" s="539"/>
      <c r="F795" s="540"/>
      <c r="G795" s="541"/>
      <c r="H795" s="464"/>
    </row>
    <row r="796" spans="1:14" s="458" customFormat="1" ht="16.5" hidden="1" thickBot="1">
      <c r="A796"/>
      <c r="B796" s="465"/>
      <c r="C796" s="465"/>
      <c r="D796" s="465"/>
      <c r="E796" s="465"/>
      <c r="F796" s="465"/>
      <c r="G796" s="465"/>
      <c r="H796" s="457"/>
      <c r="I796"/>
      <c r="J796"/>
      <c r="K796"/>
      <c r="L796"/>
      <c r="M796"/>
      <c r="N796"/>
    </row>
    <row r="797" spans="1:14" s="458" customFormat="1" ht="15.75" hidden="1">
      <c r="A797" s="464"/>
      <c r="B797" s="466" t="str">
        <f>IF(COUNT($H$8:H797)&lt;10,CONCATENATE("COMP HID 00",COUNT($H$8:H797)),CONCATENATE("COMP HID 0",COUNT($H$8:H797)))</f>
        <v>COMP HID 055</v>
      </c>
      <c r="C797" s="1224" t="s">
        <v>13696</v>
      </c>
      <c r="D797" s="1224"/>
      <c r="E797" s="1224"/>
      <c r="F797" s="1224"/>
      <c r="G797" s="467" t="s">
        <v>28</v>
      </c>
      <c r="H797" s="676">
        <f>G805</f>
        <v>210.74999999999997</v>
      </c>
      <c r="I797"/>
      <c r="J797"/>
      <c r="K797"/>
      <c r="L797"/>
      <c r="M797"/>
      <c r="N797"/>
    </row>
    <row r="798" spans="1:14" s="458" customFormat="1" ht="31.5" hidden="1">
      <c r="A798" s="464"/>
      <c r="B798" s="469" t="s">
        <v>13463</v>
      </c>
      <c r="C798" s="470" t="s">
        <v>13464</v>
      </c>
      <c r="D798" s="470" t="s">
        <v>28</v>
      </c>
      <c r="E798" s="470" t="s">
        <v>13465</v>
      </c>
      <c r="F798" s="471" t="s">
        <v>13466</v>
      </c>
      <c r="G798" s="472" t="s">
        <v>13467</v>
      </c>
      <c r="H798" s="457"/>
      <c r="I798"/>
      <c r="J798"/>
      <c r="K798"/>
      <c r="L798"/>
      <c r="M798"/>
      <c r="N798"/>
    </row>
    <row r="799" spans="1:14" s="458" customFormat="1" ht="15.75" hidden="1">
      <c r="A799" s="464"/>
      <c r="B799" s="1232" t="s">
        <v>13468</v>
      </c>
      <c r="C799" s="1220"/>
      <c r="D799" s="1220"/>
      <c r="E799" s="1220"/>
      <c r="F799" s="1220"/>
      <c r="G799" s="1221"/>
      <c r="H799" s="457"/>
      <c r="I799"/>
      <c r="J799"/>
      <c r="K799"/>
      <c r="L799"/>
      <c r="M799"/>
      <c r="N799"/>
    </row>
    <row r="800" spans="1:14" s="458" customFormat="1" ht="30" hidden="1">
      <c r="A800" s="473" t="s">
        <v>13458</v>
      </c>
      <c r="B800" s="551" t="s">
        <v>13497</v>
      </c>
      <c r="C800" s="475" t="s">
        <v>13697</v>
      </c>
      <c r="D800" s="476" t="s">
        <v>28</v>
      </c>
      <c r="E800" s="564">
        <v>1</v>
      </c>
      <c r="F800" s="478">
        <f>D814</f>
        <v>186.66000000000003</v>
      </c>
      <c r="G800" s="479">
        <f>TRUNC(E800*F800,2)</f>
        <v>186.66</v>
      </c>
      <c r="H800" s="457"/>
      <c r="I800"/>
      <c r="J800"/>
      <c r="K800"/>
      <c r="L800"/>
      <c r="M800"/>
      <c r="N800"/>
    </row>
    <row r="801" spans="1:14" s="458" customFormat="1" ht="15.75" hidden="1">
      <c r="A801" s="473" t="s">
        <v>13458</v>
      </c>
      <c r="B801" s="551">
        <v>3146</v>
      </c>
      <c r="C801" s="475" t="s">
        <v>885</v>
      </c>
      <c r="D801" s="476" t="s">
        <v>6636</v>
      </c>
      <c r="E801" s="564">
        <v>0.05</v>
      </c>
      <c r="F801" s="478">
        <v>4.4800000000000004</v>
      </c>
      <c r="G801" s="479">
        <f>TRUNC(E801*F801,2)</f>
        <v>0.22</v>
      </c>
      <c r="H801" s="457"/>
      <c r="I801"/>
      <c r="J801"/>
      <c r="K801"/>
      <c r="L801"/>
      <c r="M801"/>
      <c r="N801"/>
    </row>
    <row r="802" spans="1:14" s="458" customFormat="1" ht="15.75" hidden="1">
      <c r="A802" s="464"/>
      <c r="B802" s="1232" t="s">
        <v>13469</v>
      </c>
      <c r="C802" s="1220"/>
      <c r="D802" s="1220"/>
      <c r="E802" s="1220"/>
      <c r="F802" s="1220"/>
      <c r="G802" s="1221"/>
      <c r="H802" s="457"/>
      <c r="I802"/>
      <c r="J802"/>
      <c r="K802"/>
      <c r="L802"/>
      <c r="M802"/>
      <c r="N802"/>
    </row>
    <row r="803" spans="1:14" s="458" customFormat="1" ht="15.75" hidden="1">
      <c r="A803" s="473" t="s">
        <v>13459</v>
      </c>
      <c r="B803" s="551">
        <v>88316</v>
      </c>
      <c r="C803" s="475" t="s">
        <v>761</v>
      </c>
      <c r="D803" s="476" t="s">
        <v>753</v>
      </c>
      <c r="E803" s="564">
        <v>0.5</v>
      </c>
      <c r="F803" s="478">
        <v>15.91</v>
      </c>
      <c r="G803" s="479">
        <f>TRUNC(E803*F803,2)</f>
        <v>7.95</v>
      </c>
      <c r="H803" s="457"/>
      <c r="I803"/>
      <c r="J803"/>
      <c r="K803"/>
      <c r="L803"/>
      <c r="M803"/>
      <c r="N803"/>
    </row>
    <row r="804" spans="1:14" s="458" customFormat="1" ht="30.75" hidden="1" thickBot="1">
      <c r="A804" s="473" t="s">
        <v>13459</v>
      </c>
      <c r="B804" s="552">
        <v>88267</v>
      </c>
      <c r="C804" s="484" t="s">
        <v>759</v>
      </c>
      <c r="D804" s="485" t="s">
        <v>753</v>
      </c>
      <c r="E804" s="677">
        <v>0.8</v>
      </c>
      <c r="F804" s="487">
        <v>19.899999999999999</v>
      </c>
      <c r="G804" s="488">
        <f>TRUNC(E804*F804,2)</f>
        <v>15.92</v>
      </c>
      <c r="H804" s="457"/>
      <c r="I804"/>
      <c r="J804"/>
      <c r="K804"/>
      <c r="L804"/>
      <c r="M804"/>
      <c r="N804"/>
    </row>
    <row r="805" spans="1:14" s="458" customFormat="1" ht="16.5" hidden="1" customHeight="1" thickBot="1">
      <c r="A805" s="464"/>
      <c r="B805" s="605" t="s">
        <v>13698</v>
      </c>
      <c r="C805" s="605"/>
      <c r="D805" s="605"/>
      <c r="E805" s="605"/>
      <c r="F805" s="492" t="s">
        <v>22</v>
      </c>
      <c r="G805" s="493">
        <f>SUM(G800:G804)</f>
        <v>210.74999999999997</v>
      </c>
      <c r="H805" s="457"/>
      <c r="I805"/>
      <c r="J805"/>
      <c r="K805"/>
      <c r="L805"/>
      <c r="M805"/>
      <c r="N805"/>
    </row>
    <row r="806" spans="1:14" s="458" customFormat="1" ht="41.25" hidden="1" customHeight="1">
      <c r="A806" s="457"/>
      <c r="B806" s="1231" t="s">
        <v>13570</v>
      </c>
      <c r="C806" s="1231"/>
      <c r="D806" s="1231"/>
      <c r="E806" s="1231"/>
      <c r="F806" s="1231"/>
      <c r="G806" s="1231"/>
      <c r="H806" s="457"/>
    </row>
    <row r="807" spans="1:14" s="458" customFormat="1" ht="58.5" hidden="1" customHeight="1">
      <c r="A807" s="457"/>
      <c r="B807" s="1231" t="s">
        <v>13573</v>
      </c>
      <c r="C807" s="1252"/>
      <c r="D807" s="1252"/>
      <c r="E807" s="1252"/>
      <c r="F807" s="1252"/>
      <c r="G807" s="1252"/>
      <c r="H807" s="457"/>
    </row>
    <row r="808" spans="1:14" s="458" customFormat="1" ht="15.75" hidden="1" thickBot="1">
      <c r="A808" s="457"/>
      <c r="H808" s="457"/>
      <c r="I808"/>
      <c r="J808"/>
      <c r="K808"/>
      <c r="L808"/>
      <c r="M808"/>
      <c r="N808"/>
    </row>
    <row r="809" spans="1:14" s="458" customFormat="1" ht="15.75" hidden="1">
      <c r="A809"/>
      <c r="B809" s="639" t="s">
        <v>13497</v>
      </c>
      <c r="C809" s="678" t="s">
        <v>13699</v>
      </c>
      <c r="D809" s="640"/>
      <c r="E809" s="641"/>
      <c r="F809" s="608"/>
      <c r="G809" s="679" t="s">
        <v>28</v>
      </c>
      <c r="H809" s="680" t="s">
        <v>13500</v>
      </c>
      <c r="I809"/>
      <c r="J809"/>
      <c r="K809"/>
      <c r="L809"/>
      <c r="M809"/>
      <c r="N809"/>
    </row>
    <row r="810" spans="1:14" s="458" customFormat="1" ht="47.25" hidden="1">
      <c r="A810"/>
      <c r="B810" s="643" t="s">
        <v>13502</v>
      </c>
      <c r="C810" s="644" t="s">
        <v>13503</v>
      </c>
      <c r="D810" s="645" t="s">
        <v>13601</v>
      </c>
      <c r="E810" s="646" t="s">
        <v>13505</v>
      </c>
      <c r="F810" s="647" t="s">
        <v>13506</v>
      </c>
      <c r="G810" s="646" t="s">
        <v>13507</v>
      </c>
      <c r="H810" s="457"/>
      <c r="I810"/>
      <c r="J810"/>
      <c r="K810"/>
      <c r="L810"/>
      <c r="M810"/>
      <c r="N810"/>
    </row>
    <row r="811" spans="1:14" s="458" customFormat="1" hidden="1">
      <c r="A811"/>
      <c r="B811" s="648">
        <v>43550</v>
      </c>
      <c r="C811" s="592" t="s">
        <v>13700</v>
      </c>
      <c r="D811" s="649">
        <f>94.9+91.76</f>
        <v>186.66000000000003</v>
      </c>
      <c r="E811" s="650" t="s">
        <v>13701</v>
      </c>
      <c r="F811" s="651" t="s">
        <v>13702</v>
      </c>
      <c r="G811" s="614" t="s">
        <v>13703</v>
      </c>
      <c r="H811" s="590"/>
      <c r="I811"/>
      <c r="J811"/>
      <c r="K811"/>
      <c r="L811"/>
      <c r="M811"/>
      <c r="N811"/>
    </row>
    <row r="812" spans="1:14" s="458" customFormat="1" hidden="1">
      <c r="A812"/>
      <c r="B812" s="648">
        <v>43566</v>
      </c>
      <c r="C812" s="592" t="s">
        <v>13704</v>
      </c>
      <c r="D812" s="649">
        <f>69.87+42.08</f>
        <v>111.95</v>
      </c>
      <c r="E812" s="652" t="s">
        <v>13705</v>
      </c>
      <c r="F812" s="651" t="s">
        <v>13706</v>
      </c>
      <c r="G812" s="653" t="s">
        <v>13707</v>
      </c>
      <c r="H812" s="590"/>
      <c r="I812"/>
      <c r="J812"/>
      <c r="K812"/>
      <c r="L812"/>
      <c r="M812"/>
      <c r="N812"/>
    </row>
    <row r="813" spans="1:14" s="458" customFormat="1" hidden="1">
      <c r="A813"/>
      <c r="B813" s="648">
        <v>43566</v>
      </c>
      <c r="C813" s="592" t="s">
        <v>13708</v>
      </c>
      <c r="D813" s="649">
        <f>89.9+108.65</f>
        <v>198.55</v>
      </c>
      <c r="E813" s="614" t="s">
        <v>13701</v>
      </c>
      <c r="F813" s="651" t="s">
        <v>13709</v>
      </c>
      <c r="G813" s="614" t="s">
        <v>13710</v>
      </c>
      <c r="H813" s="590"/>
      <c r="I813"/>
      <c r="J813"/>
      <c r="K813"/>
      <c r="L813"/>
      <c r="M813"/>
      <c r="N813"/>
    </row>
    <row r="814" spans="1:14" s="458" customFormat="1" ht="16.5" hidden="1" thickBot="1">
      <c r="A814"/>
      <c r="B814" s="660"/>
      <c r="C814" s="661" t="s">
        <v>13523</v>
      </c>
      <c r="D814" s="538">
        <f>IF(COUNT(D810:D813)=3,MEDIAN(D811:D813),SMALL(D811:D813,1))</f>
        <v>186.66000000000003</v>
      </c>
      <c r="E814" s="662"/>
      <c r="F814" s="620"/>
      <c r="G814" s="681"/>
      <c r="H814" s="457"/>
      <c r="I814"/>
      <c r="J814"/>
      <c r="K814"/>
      <c r="L814"/>
      <c r="M814"/>
      <c r="N814"/>
    </row>
    <row r="815" spans="1:14" s="458" customFormat="1" ht="15.75" hidden="1" thickBot="1">
      <c r="A815"/>
      <c r="B815"/>
      <c r="C815"/>
      <c r="D815"/>
      <c r="E815"/>
      <c r="F815"/>
      <c r="G815"/>
      <c r="H815" s="457"/>
      <c r="I815"/>
      <c r="J815"/>
      <c r="K815"/>
      <c r="L815"/>
      <c r="M815"/>
      <c r="N815"/>
    </row>
    <row r="816" spans="1:14" s="458" customFormat="1" ht="47.25" customHeight="1">
      <c r="A816" s="728"/>
      <c r="B816" s="729" t="str">
        <f>IF(COUNT($H$8:H816)&lt;10,CONCATENATE("COMP HID 00",COUNT($H$8:H816)),CONCATENATE("COMP HID 0",COUNT($H$8:H816)))</f>
        <v>COMP HID 056</v>
      </c>
      <c r="C816" s="1224" t="s">
        <v>12914</v>
      </c>
      <c r="D816" s="1224"/>
      <c r="E816" s="1224"/>
      <c r="F816" s="1224"/>
      <c r="G816" s="467" t="s">
        <v>35</v>
      </c>
      <c r="H816" s="676">
        <f>G828</f>
        <v>139.37</v>
      </c>
      <c r="I816"/>
      <c r="J816"/>
      <c r="K816"/>
      <c r="L816"/>
      <c r="M816"/>
      <c r="N816"/>
    </row>
    <row r="817" spans="1:14" s="458" customFormat="1" ht="31.5">
      <c r="A817" s="730"/>
      <c r="B817" s="731" t="s">
        <v>13463</v>
      </c>
      <c r="C817" s="470" t="s">
        <v>13464</v>
      </c>
      <c r="D817" s="470" t="s">
        <v>28</v>
      </c>
      <c r="E817" s="470" t="s">
        <v>13465</v>
      </c>
      <c r="F817" s="471" t="s">
        <v>13466</v>
      </c>
      <c r="G817" s="472" t="s">
        <v>13467</v>
      </c>
      <c r="H817" s="457"/>
      <c r="I817"/>
      <c r="J817"/>
      <c r="K817"/>
      <c r="L817"/>
      <c r="M817"/>
      <c r="N817"/>
    </row>
    <row r="818" spans="1:14" s="458" customFormat="1" ht="15.75">
      <c r="A818" s="730"/>
      <c r="B818" s="1220" t="s">
        <v>13468</v>
      </c>
      <c r="C818" s="1220"/>
      <c r="D818" s="1220"/>
      <c r="E818" s="1220"/>
      <c r="F818" s="1220"/>
      <c r="G818" s="1221"/>
      <c r="H818" s="457"/>
      <c r="I818"/>
      <c r="J818"/>
      <c r="K818"/>
      <c r="L818"/>
      <c r="M818"/>
      <c r="N818"/>
    </row>
    <row r="819" spans="1:14" s="458" customFormat="1" ht="30">
      <c r="A819" s="732" t="s">
        <v>13458</v>
      </c>
      <c r="B819" s="733">
        <v>1363</v>
      </c>
      <c r="C819" s="439" t="str">
        <f>IFERROR(VLOOKUP(B819,comp_nãodes,2,FALSE),VLOOKUP(B819,insnãodes,2,FALSE))</f>
        <v>CHAPA DE MADEIRA COMPENSADA DE PINUS, VIROLA OU EQUIVALENTE, DE *2,2 X 1,6* M, E = 6 MM</v>
      </c>
      <c r="D819" s="476" t="s">
        <v>6638</v>
      </c>
      <c r="E819" s="682">
        <v>0.66</v>
      </c>
      <c r="F819" s="426">
        <f t="shared" ref="F819:F827" si="57">IFERROR(VLOOKUP(B819,comp_nãodes,4,FALSE),VLOOKUP(B819,insnãodes,4,FALSE))</f>
        <v>16.760000000000002</v>
      </c>
      <c r="G819" s="479">
        <f>TRUNC(E819*F819,2)</f>
        <v>11.06</v>
      </c>
      <c r="H819" s="457"/>
      <c r="I819"/>
      <c r="J819"/>
      <c r="K819"/>
      <c r="L819"/>
      <c r="M819"/>
      <c r="N819"/>
    </row>
    <row r="820" spans="1:14" s="458" customFormat="1" ht="45">
      <c r="A820" s="732" t="s">
        <v>13458</v>
      </c>
      <c r="B820" s="733">
        <v>11146</v>
      </c>
      <c r="C820" s="439" t="str">
        <f>IFERROR(VLOOKUP(B820,comp_nãodes,2,FALSE),VLOOKUP(B820,insnãodes,2,FALSE))</f>
        <v>CONCRETO AUTOADENSAVEL (CAA) CLASSE DE RESISTENCIA C15, ESPALHAMENTO SF2, INCLUI SERVICO DE BOMBEAMENTO (NBR 15823)</v>
      </c>
      <c r="D820" s="476" t="s">
        <v>6781</v>
      </c>
      <c r="E820" s="682">
        <v>0.06</v>
      </c>
      <c r="F820" s="426">
        <f t="shared" si="57"/>
        <v>370.42</v>
      </c>
      <c r="G820" s="479">
        <f>TRUNC(E820*F820,2)</f>
        <v>22.22</v>
      </c>
      <c r="H820" s="457"/>
    </row>
    <row r="821" spans="1:14" s="458" customFormat="1" ht="15.75">
      <c r="A821" s="732" t="s">
        <v>13458</v>
      </c>
      <c r="B821" s="733">
        <v>5067</v>
      </c>
      <c r="C821" s="439" t="str">
        <f>IFERROR(VLOOKUP(B821,comp_nãodes,2,FALSE),VLOOKUP(B821,insnãodes,2,FALSE))</f>
        <v>PREGO DE ACO POLIDO COM CABECA 16 X 24 (2 1/4 X 12)</v>
      </c>
      <c r="D821" s="476" t="s">
        <v>6698</v>
      </c>
      <c r="E821" s="682">
        <v>0.26</v>
      </c>
      <c r="F821" s="426">
        <f t="shared" si="57"/>
        <v>11.91</v>
      </c>
      <c r="G821" s="479">
        <f>TRUNC(E821*F821,2)</f>
        <v>3.09</v>
      </c>
      <c r="H821" s="457"/>
    </row>
    <row r="822" spans="1:14" s="458" customFormat="1" ht="30">
      <c r="A822" s="732" t="s">
        <v>13458</v>
      </c>
      <c r="B822" s="733">
        <v>20206</v>
      </c>
      <c r="C822" s="439" t="str">
        <f>IFERROR(VLOOKUP(B822,comp_nãodes,2,FALSE),VLOOKUP(B822,insnãodes,2,FALSE))</f>
        <v>SARRAFO DE MADEIRA APARELHADA *2 X 10* CM, MACARANDUBA, ANGELIM OU EQUIVALENTE DA REGIAO</v>
      </c>
      <c r="D822" s="476" t="s">
        <v>6649</v>
      </c>
      <c r="E822" s="682">
        <v>2.64</v>
      </c>
      <c r="F822" s="426">
        <f t="shared" si="57"/>
        <v>4.5199999999999996</v>
      </c>
      <c r="G822" s="479">
        <f>TRUNC(E822*F822,2)</f>
        <v>11.93</v>
      </c>
      <c r="H822" s="457"/>
    </row>
    <row r="823" spans="1:14" s="458" customFormat="1" ht="15.75">
      <c r="A823" s="730"/>
      <c r="B823" s="1220" t="s">
        <v>13469</v>
      </c>
      <c r="C823" s="1220"/>
      <c r="D823" s="1220"/>
      <c r="E823" s="1220"/>
      <c r="F823" s="1220"/>
      <c r="G823" s="1221"/>
      <c r="H823" s="457"/>
      <c r="I823"/>
      <c r="J823"/>
      <c r="K823"/>
      <c r="L823"/>
      <c r="M823"/>
      <c r="N823"/>
    </row>
    <row r="824" spans="1:14" s="458" customFormat="1" ht="32.25" customHeight="1">
      <c r="A824" s="732" t="s">
        <v>13459</v>
      </c>
      <c r="B824" s="733">
        <v>88239</v>
      </c>
      <c r="C824" s="439" t="str">
        <f>IFERROR(VLOOKUP(B824,comp_nãodes,2,FALSE),VLOOKUP(B824,insnãodes,2,FALSE))</f>
        <v>AJUDANTE DE CARPINTEIRO COM ENCARGOS COMPLEMENTARES</v>
      </c>
      <c r="D824" s="476" t="s">
        <v>753</v>
      </c>
      <c r="E824" s="682">
        <v>1.45</v>
      </c>
      <c r="F824" s="426">
        <f t="shared" si="57"/>
        <v>16.52</v>
      </c>
      <c r="G824" s="479">
        <f>TRUNC(E824*F824,2)</f>
        <v>23.95</v>
      </c>
      <c r="H824" s="457"/>
    </row>
    <row r="825" spans="1:14" s="458" customFormat="1" ht="32.25" customHeight="1">
      <c r="A825" s="732" t="s">
        <v>13459</v>
      </c>
      <c r="B825" s="733">
        <v>88261</v>
      </c>
      <c r="C825" s="439" t="str">
        <f>IFERROR(VLOOKUP(B825,comp_nãodes,2,FALSE),VLOOKUP(B825,insnãodes,2,FALSE))</f>
        <v>CARPINTEIRO DE ESQUADRIA COM ENCARGOS COMPLEMENTARES</v>
      </c>
      <c r="D825" s="476" t="s">
        <v>753</v>
      </c>
      <c r="E825" s="682">
        <v>1.45</v>
      </c>
      <c r="F825" s="426">
        <f t="shared" si="57"/>
        <v>21.06</v>
      </c>
      <c r="G825" s="479">
        <f>TRUNC(E825*F825,2)</f>
        <v>30.53</v>
      </c>
      <c r="H825" s="457"/>
    </row>
    <row r="826" spans="1:14" s="458" customFormat="1" ht="15.75">
      <c r="A826" s="732" t="s">
        <v>13459</v>
      </c>
      <c r="B826" s="733">
        <v>88309</v>
      </c>
      <c r="C826" s="439" t="str">
        <f>IFERROR(VLOOKUP(B826,comp_nãodes,2,FALSE),VLOOKUP(B826,insnãodes,2,FALSE))</f>
        <v>PEDREIRO COM ENCARGOS COMPLEMENTARES</v>
      </c>
      <c r="D826" s="476" t="s">
        <v>753</v>
      </c>
      <c r="E826" s="682">
        <v>0.37</v>
      </c>
      <c r="F826" s="426">
        <f t="shared" si="57"/>
        <v>19.809999999999999</v>
      </c>
      <c r="G826" s="479">
        <f>TRUNC(E826*F826,2)</f>
        <v>7.32</v>
      </c>
      <c r="H826" s="457"/>
    </row>
    <row r="827" spans="1:14" s="458" customFormat="1" ht="16.5" thickBot="1">
      <c r="A827" s="734" t="s">
        <v>13459</v>
      </c>
      <c r="B827" s="737">
        <v>88316</v>
      </c>
      <c r="C827" s="726" t="str">
        <f>IFERROR(VLOOKUP(B827,comp_nãodes,2,FALSE),VLOOKUP(B827,insnãodes,2,FALSE))</f>
        <v>SERVENTE COM ENCARGOS COMPLEMENTARES</v>
      </c>
      <c r="D827" s="485" t="s">
        <v>753</v>
      </c>
      <c r="E827" s="683">
        <v>1.84</v>
      </c>
      <c r="F827" s="727">
        <f t="shared" si="57"/>
        <v>15.91</v>
      </c>
      <c r="G827" s="488">
        <f>TRUNC(E827*F827,2)</f>
        <v>29.27</v>
      </c>
      <c r="H827" s="457"/>
    </row>
    <row r="828" spans="1:14" s="458" customFormat="1" ht="16.5" customHeight="1" thickBot="1">
      <c r="A828" s="464"/>
      <c r="B828" s="605" t="s">
        <v>13711</v>
      </c>
      <c r="C828" s="605"/>
      <c r="D828" s="605"/>
      <c r="E828" s="605"/>
      <c r="F828" s="492" t="s">
        <v>22</v>
      </c>
      <c r="G828" s="493">
        <f>SUM(G819:G827)</f>
        <v>139.37</v>
      </c>
      <c r="H828" s="457"/>
      <c r="I828"/>
      <c r="J828"/>
      <c r="K828"/>
      <c r="L828"/>
      <c r="M828"/>
      <c r="N828"/>
    </row>
    <row r="829" spans="1:14" ht="15.75" thickBot="1"/>
    <row r="830" spans="1:14" s="458" customFormat="1" ht="15.75" hidden="1">
      <c r="A830" s="464"/>
      <c r="B830" s="466" t="str">
        <f>IF(COUNT($H$8:H830)&lt;10,CONCATENATE("COMP HID 00",COUNT($H$8:H830)),CONCATENATE("COMP HID 0",COUNT($H$8:H830)))</f>
        <v>COMP HID 057</v>
      </c>
      <c r="C830" s="1224" t="s">
        <v>13712</v>
      </c>
      <c r="D830" s="1224"/>
      <c r="E830" s="1224"/>
      <c r="F830" s="1224"/>
      <c r="G830" s="467" t="s">
        <v>35</v>
      </c>
      <c r="H830" s="676">
        <f>G842</f>
        <v>135.79000000000002</v>
      </c>
      <c r="I830"/>
      <c r="J830"/>
      <c r="K830"/>
      <c r="L830"/>
      <c r="M830"/>
      <c r="N830"/>
    </row>
    <row r="831" spans="1:14" s="458" customFormat="1" ht="31.5" hidden="1">
      <c r="A831"/>
      <c r="B831" s="469" t="s">
        <v>13463</v>
      </c>
      <c r="C831" s="470" t="s">
        <v>13464</v>
      </c>
      <c r="D831" s="470" t="s">
        <v>28</v>
      </c>
      <c r="E831" s="470" t="s">
        <v>13465</v>
      </c>
      <c r="F831" s="471" t="s">
        <v>13466</v>
      </c>
      <c r="G831" s="472" t="s">
        <v>13467</v>
      </c>
      <c r="H831" s="457"/>
      <c r="I831"/>
      <c r="J831"/>
      <c r="K831"/>
      <c r="L831"/>
      <c r="M831"/>
      <c r="N831"/>
    </row>
    <row r="832" spans="1:14" s="458" customFormat="1" ht="15.75" hidden="1">
      <c r="A832" s="464"/>
      <c r="B832" s="1232" t="s">
        <v>13468</v>
      </c>
      <c r="C832" s="1220"/>
      <c r="D832" s="1220"/>
      <c r="E832" s="1220"/>
      <c r="F832" s="1220"/>
      <c r="G832" s="1221"/>
      <c r="H832" s="457"/>
      <c r="I832"/>
      <c r="J832"/>
      <c r="K832"/>
      <c r="L832"/>
      <c r="M832"/>
      <c r="N832"/>
    </row>
    <row r="833" spans="1:14" s="458" customFormat="1" ht="45" hidden="1">
      <c r="A833" s="473" t="s">
        <v>13458</v>
      </c>
      <c r="B833" s="551">
        <v>1363</v>
      </c>
      <c r="C833" s="475" t="s">
        <v>14244</v>
      </c>
      <c r="D833" s="476" t="s">
        <v>6638</v>
      </c>
      <c r="E833" s="564">
        <v>0.66</v>
      </c>
      <c r="F833" s="478">
        <v>16.760000000000002</v>
      </c>
      <c r="G833" s="479">
        <f>TRUNC(E833*F833,2)</f>
        <v>11.06</v>
      </c>
      <c r="H833" s="457"/>
      <c r="I833"/>
      <c r="J833"/>
      <c r="K833"/>
      <c r="L833"/>
      <c r="M833"/>
      <c r="N833"/>
    </row>
    <row r="834" spans="1:14" s="458" customFormat="1" ht="45" hidden="1">
      <c r="A834" s="473" t="s">
        <v>13458</v>
      </c>
      <c r="B834" s="551">
        <v>11146</v>
      </c>
      <c r="C834" s="475" t="s">
        <v>7794</v>
      </c>
      <c r="D834" s="476" t="s">
        <v>6781</v>
      </c>
      <c r="E834" s="564">
        <v>0.06</v>
      </c>
      <c r="F834" s="478">
        <v>370.42</v>
      </c>
      <c r="G834" s="479">
        <f>TRUNC(E834*F834,2)</f>
        <v>22.22</v>
      </c>
      <c r="H834" s="457"/>
      <c r="I834"/>
      <c r="J834"/>
      <c r="K834"/>
      <c r="L834"/>
      <c r="M834"/>
      <c r="N834"/>
    </row>
    <row r="835" spans="1:14" s="458" customFormat="1" ht="15.75" hidden="1">
      <c r="A835" s="473" t="s">
        <v>13458</v>
      </c>
      <c r="B835" s="551">
        <v>5067</v>
      </c>
      <c r="C835" s="475" t="s">
        <v>10237</v>
      </c>
      <c r="D835" s="476" t="s">
        <v>6698</v>
      </c>
      <c r="E835" s="564">
        <v>0.26</v>
      </c>
      <c r="F835" s="478">
        <v>11.91</v>
      </c>
      <c r="G835" s="479">
        <f>TRUNC(E835*F835,2)</f>
        <v>3.09</v>
      </c>
      <c r="H835" s="457"/>
      <c r="I835"/>
      <c r="J835"/>
      <c r="K835"/>
      <c r="L835"/>
      <c r="M835"/>
      <c r="N835"/>
    </row>
    <row r="836" spans="1:14" s="458" customFormat="1" ht="30" hidden="1">
      <c r="A836" s="473" t="s">
        <v>13458</v>
      </c>
      <c r="B836" s="551">
        <v>20206</v>
      </c>
      <c r="C836" s="475" t="s">
        <v>10448</v>
      </c>
      <c r="D836" s="476" t="s">
        <v>6649</v>
      </c>
      <c r="E836" s="564">
        <v>2.64</v>
      </c>
      <c r="F836" s="478">
        <v>4.43</v>
      </c>
      <c r="G836" s="479">
        <f>TRUNC(E836*F836,2)</f>
        <v>11.69</v>
      </c>
      <c r="H836" s="457"/>
      <c r="I836"/>
      <c r="J836"/>
      <c r="K836"/>
      <c r="L836"/>
      <c r="M836"/>
      <c r="N836"/>
    </row>
    <row r="837" spans="1:14" s="458" customFormat="1" ht="15.75" hidden="1">
      <c r="A837" s="464"/>
      <c r="B837" s="1232" t="s">
        <v>13469</v>
      </c>
      <c r="C837" s="1220"/>
      <c r="D837" s="1220"/>
      <c r="E837" s="1220"/>
      <c r="F837" s="1220"/>
      <c r="G837" s="1221"/>
      <c r="H837" s="457"/>
      <c r="I837"/>
      <c r="J837"/>
      <c r="K837"/>
      <c r="L837"/>
      <c r="M837"/>
      <c r="N837"/>
    </row>
    <row r="838" spans="1:14" s="458" customFormat="1" ht="15.75" hidden="1">
      <c r="A838" s="473" t="s">
        <v>13459</v>
      </c>
      <c r="B838" s="551">
        <v>88239</v>
      </c>
      <c r="C838" s="475" t="s">
        <v>843</v>
      </c>
      <c r="D838" s="476" t="s">
        <v>753</v>
      </c>
      <c r="E838" s="482">
        <v>1.45</v>
      </c>
      <c r="F838" s="478">
        <v>16.52</v>
      </c>
      <c r="G838" s="479">
        <f>TRUNC(E838*F838,2)</f>
        <v>23.95</v>
      </c>
      <c r="H838" s="457"/>
      <c r="I838"/>
      <c r="J838"/>
      <c r="K838"/>
      <c r="L838"/>
      <c r="M838"/>
      <c r="N838"/>
    </row>
    <row r="839" spans="1:14" s="458" customFormat="1" ht="15.75" hidden="1">
      <c r="A839" s="473" t="s">
        <v>13459</v>
      </c>
      <c r="B839" s="551">
        <v>88261</v>
      </c>
      <c r="C839" s="475" t="s">
        <v>6425</v>
      </c>
      <c r="D839" s="476" t="s">
        <v>753</v>
      </c>
      <c r="E839" s="482">
        <v>1.45</v>
      </c>
      <c r="F839" s="478">
        <v>21.06</v>
      </c>
      <c r="G839" s="479">
        <f>TRUNC(E839*F839,2)</f>
        <v>30.53</v>
      </c>
      <c r="H839" s="457"/>
      <c r="I839"/>
      <c r="J839"/>
      <c r="K839"/>
      <c r="L839"/>
      <c r="M839"/>
      <c r="N839"/>
    </row>
    <row r="840" spans="1:14" s="458" customFormat="1" ht="15.75" hidden="1">
      <c r="A840" s="473" t="s">
        <v>13459</v>
      </c>
      <c r="B840" s="551">
        <v>88309</v>
      </c>
      <c r="C840" s="475" t="s">
        <v>760</v>
      </c>
      <c r="D840" s="476" t="s">
        <v>753</v>
      </c>
      <c r="E840" s="482">
        <v>0.33</v>
      </c>
      <c r="F840" s="478">
        <v>19.809999999999999</v>
      </c>
      <c r="G840" s="479">
        <f>TRUNC(E840*F840,2)</f>
        <v>6.53</v>
      </c>
      <c r="H840" s="457"/>
    </row>
    <row r="841" spans="1:14" s="458" customFormat="1" ht="16.5" hidden="1" thickBot="1">
      <c r="A841" s="473" t="s">
        <v>13459</v>
      </c>
      <c r="B841" s="552">
        <v>88316</v>
      </c>
      <c r="C841" s="484" t="s">
        <v>761</v>
      </c>
      <c r="D841" s="485" t="s">
        <v>753</v>
      </c>
      <c r="E841" s="486">
        <v>1.68</v>
      </c>
      <c r="F841" s="487">
        <v>15.91</v>
      </c>
      <c r="G841" s="488">
        <f>TRUNC(E841*F841,2)</f>
        <v>26.72</v>
      </c>
      <c r="H841" s="457"/>
      <c r="I841"/>
      <c r="J841"/>
      <c r="K841"/>
      <c r="L841"/>
      <c r="M841"/>
      <c r="N841"/>
    </row>
    <row r="842" spans="1:14" s="458" customFormat="1" ht="16.5" hidden="1" customHeight="1" thickBot="1">
      <c r="A842" s="464"/>
      <c r="B842" s="605" t="s">
        <v>13713</v>
      </c>
      <c r="C842" s="605"/>
      <c r="D842" s="605"/>
      <c r="E842" s="605"/>
      <c r="F842" s="492" t="s">
        <v>22</v>
      </c>
      <c r="G842" s="493">
        <f>SUM(G833:G841)</f>
        <v>135.79000000000002</v>
      </c>
      <c r="H842" s="457"/>
      <c r="I842"/>
      <c r="J842"/>
      <c r="K842"/>
      <c r="L842"/>
      <c r="M842"/>
      <c r="N842"/>
    </row>
    <row r="843" spans="1:14" s="458" customFormat="1" ht="15.75" hidden="1" thickBot="1">
      <c r="A843" s="457"/>
      <c r="H843" s="457"/>
      <c r="I843"/>
      <c r="J843"/>
      <c r="K843"/>
      <c r="L843"/>
      <c r="M843"/>
      <c r="N843"/>
    </row>
    <row r="844" spans="1:14" s="458" customFormat="1" ht="15.75" hidden="1">
      <c r="A844" s="464"/>
      <c r="B844" s="466" t="str">
        <f>IF(COUNT($H$8:H844)&lt;10,CONCATENATE("COMP HID 00",COUNT($H$8:H844)),CONCATENATE("COMP HID 0",COUNT($H$8:H844)))</f>
        <v>COMP HID 058</v>
      </c>
      <c r="C844" s="1224" t="s">
        <v>13714</v>
      </c>
      <c r="D844" s="1225"/>
      <c r="E844" s="1225"/>
      <c r="F844" s="1225"/>
      <c r="G844" s="467" t="s">
        <v>28</v>
      </c>
      <c r="H844" s="676">
        <f>G850</f>
        <v>286.70999999999998</v>
      </c>
    </row>
    <row r="845" spans="1:14" s="458" customFormat="1" ht="31.5" hidden="1">
      <c r="A845" s="464"/>
      <c r="B845" s="469" t="s">
        <v>13463</v>
      </c>
      <c r="C845" s="470" t="s">
        <v>13464</v>
      </c>
      <c r="D845" s="470" t="s">
        <v>28</v>
      </c>
      <c r="E845" s="470" t="s">
        <v>13465</v>
      </c>
      <c r="F845" s="471" t="s">
        <v>13466</v>
      </c>
      <c r="G845" s="472" t="s">
        <v>13467</v>
      </c>
      <c r="H845" s="457"/>
    </row>
    <row r="846" spans="1:14" s="458" customFormat="1" ht="15.75" hidden="1">
      <c r="A846" s="464"/>
      <c r="B846" s="1232" t="s">
        <v>13468</v>
      </c>
      <c r="C846" s="1220"/>
      <c r="D846" s="1220"/>
      <c r="E846" s="1220"/>
      <c r="F846" s="1220"/>
      <c r="G846" s="1221"/>
      <c r="H846" s="457"/>
    </row>
    <row r="847" spans="1:14" s="458" customFormat="1" ht="15.75" hidden="1">
      <c r="A847" s="473" t="s">
        <v>13458</v>
      </c>
      <c r="B847" s="474">
        <v>34638</v>
      </c>
      <c r="C847" s="475" t="s">
        <v>7467</v>
      </c>
      <c r="D847" s="476" t="s">
        <v>6636</v>
      </c>
      <c r="E847" s="477">
        <v>1</v>
      </c>
      <c r="F847" s="478">
        <v>275.58</v>
      </c>
      <c r="G847" s="479">
        <f>TRUNC(E847*F847,2)</f>
        <v>275.58</v>
      </c>
      <c r="H847" s="457"/>
    </row>
    <row r="848" spans="1:14" s="458" customFormat="1" ht="15.75" hidden="1">
      <c r="A848" s="464"/>
      <c r="B848" s="1232" t="s">
        <v>13469</v>
      </c>
      <c r="C848" s="1220"/>
      <c r="D848" s="1220"/>
      <c r="E848" s="1220"/>
      <c r="F848" s="1220"/>
      <c r="G848" s="1221"/>
      <c r="H848" s="457"/>
    </row>
    <row r="849" spans="1:14" s="458" customFormat="1" ht="16.5" hidden="1" thickBot="1">
      <c r="A849" s="473" t="s">
        <v>13459</v>
      </c>
      <c r="B849" s="483">
        <v>88316</v>
      </c>
      <c r="C849" s="484" t="s">
        <v>761</v>
      </c>
      <c r="D849" s="485" t="s">
        <v>753</v>
      </c>
      <c r="E849" s="486">
        <v>0.7</v>
      </c>
      <c r="F849" s="487">
        <v>15.91</v>
      </c>
      <c r="G849" s="488">
        <f>TRUNC(E849*F849,2)</f>
        <v>11.13</v>
      </c>
      <c r="H849" s="457"/>
    </row>
    <row r="850" spans="1:14" s="458" customFormat="1" ht="16.5" hidden="1" thickBot="1">
      <c r="A850" s="489"/>
      <c r="B850" s="605" t="s">
        <v>13558</v>
      </c>
      <c r="C850" s="605"/>
      <c r="D850" s="605"/>
      <c r="E850" s="606"/>
      <c r="F850" s="492" t="s">
        <v>22</v>
      </c>
      <c r="G850" s="493">
        <f>SUM(G847:G849)</f>
        <v>286.70999999999998</v>
      </c>
      <c r="H850" s="457"/>
    </row>
    <row r="851" spans="1:14" s="458" customFormat="1" ht="15.75" hidden="1" thickBot="1">
      <c r="A851" s="457"/>
      <c r="H851" s="457"/>
      <c r="I851"/>
      <c r="J851"/>
      <c r="K851"/>
      <c r="L851"/>
      <c r="M851"/>
      <c r="N851"/>
    </row>
    <row r="852" spans="1:14" s="458" customFormat="1" ht="15.75" hidden="1">
      <c r="A852" s="464"/>
      <c r="B852" s="466" t="str">
        <f>IF(COUNT($H$8:H852)&lt;10,CONCATENATE("COMP HID 00",COUNT($H$8:H852)),CONCATENATE("COMP HID 0",COUNT($H$8:H852)))</f>
        <v>COMP HID 059</v>
      </c>
      <c r="C852" s="1224" t="s">
        <v>13715</v>
      </c>
      <c r="D852" s="1224"/>
      <c r="E852" s="1224"/>
      <c r="F852" s="1224"/>
      <c r="G852" s="467" t="s">
        <v>28</v>
      </c>
      <c r="H852" s="676">
        <f>G860</f>
        <v>438.04</v>
      </c>
      <c r="I852"/>
      <c r="J852"/>
      <c r="K852"/>
      <c r="L852"/>
      <c r="M852"/>
      <c r="N852"/>
    </row>
    <row r="853" spans="1:14" s="458" customFormat="1" ht="31.5" hidden="1">
      <c r="A853" s="464"/>
      <c r="B853" s="469" t="s">
        <v>13463</v>
      </c>
      <c r="C853" s="470" t="s">
        <v>13464</v>
      </c>
      <c r="D853" s="470" t="s">
        <v>28</v>
      </c>
      <c r="E853" s="470" t="s">
        <v>13465</v>
      </c>
      <c r="F853" s="471" t="s">
        <v>13466</v>
      </c>
      <c r="G853" s="472" t="s">
        <v>13467</v>
      </c>
      <c r="H853" s="457"/>
      <c r="I853"/>
      <c r="J853"/>
      <c r="K853"/>
      <c r="L853"/>
      <c r="M853"/>
      <c r="N853"/>
    </row>
    <row r="854" spans="1:14" s="458" customFormat="1" ht="15.75" hidden="1">
      <c r="A854" s="464"/>
      <c r="B854" s="1232" t="s">
        <v>13468</v>
      </c>
      <c r="C854" s="1220"/>
      <c r="D854" s="1220"/>
      <c r="E854" s="1220"/>
      <c r="F854" s="1220"/>
      <c r="G854" s="1221"/>
      <c r="H854" s="457"/>
      <c r="I854"/>
      <c r="J854"/>
      <c r="K854"/>
      <c r="L854"/>
      <c r="M854"/>
      <c r="N854"/>
    </row>
    <row r="855" spans="1:14" s="458" customFormat="1" ht="15.75" hidden="1">
      <c r="A855" s="473" t="s">
        <v>13458</v>
      </c>
      <c r="B855" s="551" t="s">
        <v>13497</v>
      </c>
      <c r="C855" s="475" t="str">
        <f>C864</f>
        <v>TORNEIRA COM SENSOR DE PAREDE BIVOLT - BICA MÓVEL</v>
      </c>
      <c r="D855" s="476" t="s">
        <v>28</v>
      </c>
      <c r="E855" s="564">
        <v>1</v>
      </c>
      <c r="F855" s="478">
        <f>D869</f>
        <v>415</v>
      </c>
      <c r="G855" s="479">
        <f>TRUNC(E855*F855,2)</f>
        <v>415</v>
      </c>
      <c r="H855" s="457"/>
      <c r="I855"/>
      <c r="J855"/>
      <c r="K855"/>
      <c r="L855"/>
      <c r="M855"/>
      <c r="N855"/>
    </row>
    <row r="856" spans="1:14" s="458" customFormat="1" ht="15.75" hidden="1">
      <c r="A856" s="473" t="s">
        <v>13458</v>
      </c>
      <c r="B856" s="551">
        <v>3146</v>
      </c>
      <c r="C856" s="475" t="s">
        <v>885</v>
      </c>
      <c r="D856" s="476" t="s">
        <v>6636</v>
      </c>
      <c r="E856" s="565">
        <v>2.8000000000000001E-2</v>
      </c>
      <c r="F856" s="478">
        <v>4.4800000000000004</v>
      </c>
      <c r="G856" s="479">
        <f>TRUNC(E856*F856,2)</f>
        <v>0.12</v>
      </c>
      <c r="H856" s="457"/>
      <c r="I856"/>
      <c r="J856"/>
      <c r="K856"/>
      <c r="L856"/>
      <c r="M856"/>
      <c r="N856"/>
    </row>
    <row r="857" spans="1:14" s="458" customFormat="1" ht="15.75" hidden="1">
      <c r="A857" s="464"/>
      <c r="B857" s="1232" t="s">
        <v>13469</v>
      </c>
      <c r="C857" s="1220"/>
      <c r="D857" s="1220"/>
      <c r="E857" s="1220"/>
      <c r="F857" s="1220"/>
      <c r="G857" s="1221"/>
      <c r="H857" s="457"/>
      <c r="I857"/>
      <c r="J857"/>
      <c r="K857"/>
      <c r="L857"/>
      <c r="M857"/>
      <c r="N857"/>
    </row>
    <row r="858" spans="1:14" s="458" customFormat="1" ht="30" hidden="1">
      <c r="A858" s="473" t="s">
        <v>13459</v>
      </c>
      <c r="B858" s="551">
        <v>88267</v>
      </c>
      <c r="C858" s="475" t="s">
        <v>759</v>
      </c>
      <c r="D858" s="476" t="s">
        <v>753</v>
      </c>
      <c r="E858" s="564">
        <v>0.65</v>
      </c>
      <c r="F858" s="478">
        <v>19.899999999999999</v>
      </c>
      <c r="G858" s="479">
        <f>TRUNC(E858*F858,2)</f>
        <v>12.93</v>
      </c>
      <c r="H858" s="457"/>
      <c r="I858"/>
      <c r="J858"/>
      <c r="K858"/>
      <c r="L858"/>
      <c r="M858"/>
      <c r="N858"/>
    </row>
    <row r="859" spans="1:14" s="458" customFormat="1" ht="30.75" hidden="1" thickBot="1">
      <c r="A859" s="473" t="s">
        <v>13459</v>
      </c>
      <c r="B859" s="552">
        <v>88248</v>
      </c>
      <c r="C859" s="484" t="s">
        <v>758</v>
      </c>
      <c r="D859" s="485" t="s">
        <v>753</v>
      </c>
      <c r="E859" s="677">
        <v>0.65</v>
      </c>
      <c r="F859" s="487">
        <v>15.38</v>
      </c>
      <c r="G859" s="488">
        <f>TRUNC(E859*F859,2)</f>
        <v>9.99</v>
      </c>
      <c r="H859" s="457"/>
      <c r="I859"/>
      <c r="J859"/>
      <c r="K859"/>
      <c r="L859"/>
      <c r="M859"/>
      <c r="N859"/>
    </row>
    <row r="860" spans="1:14" s="458" customFormat="1" ht="16.5" hidden="1" customHeight="1" thickBot="1">
      <c r="A860" s="464"/>
      <c r="B860" s="605" t="s">
        <v>13716</v>
      </c>
      <c r="C860" s="605"/>
      <c r="D860" s="605"/>
      <c r="E860" s="605"/>
      <c r="F860" s="492" t="s">
        <v>22</v>
      </c>
      <c r="G860" s="493">
        <f>SUM(G855:G859)</f>
        <v>438.04</v>
      </c>
      <c r="H860" s="457"/>
      <c r="I860"/>
      <c r="J860"/>
      <c r="K860"/>
      <c r="L860"/>
      <c r="M860"/>
      <c r="N860"/>
    </row>
    <row r="861" spans="1:14" s="458" customFormat="1" ht="41.25" hidden="1" customHeight="1">
      <c r="A861" s="457"/>
      <c r="B861" s="1231" t="s">
        <v>13570</v>
      </c>
      <c r="C861" s="1231"/>
      <c r="D861" s="1231"/>
      <c r="E861" s="1231"/>
      <c r="F861" s="1231"/>
      <c r="G861" s="1231"/>
      <c r="H861" s="457"/>
    </row>
    <row r="862" spans="1:14" s="458" customFormat="1" ht="58.5" hidden="1" customHeight="1">
      <c r="A862" s="457"/>
      <c r="B862" s="1231" t="s">
        <v>13717</v>
      </c>
      <c r="C862" s="1252"/>
      <c r="D862" s="1252"/>
      <c r="E862" s="1252"/>
      <c r="F862" s="1252"/>
      <c r="G862" s="1252"/>
      <c r="H862" s="457"/>
    </row>
    <row r="863" spans="1:14" s="458" customFormat="1" ht="15.75" hidden="1" thickBot="1">
      <c r="A863" s="457"/>
      <c r="H863" s="457"/>
      <c r="I863"/>
      <c r="J863"/>
      <c r="K863"/>
      <c r="L863"/>
      <c r="M863"/>
      <c r="N863"/>
    </row>
    <row r="864" spans="1:14" s="458" customFormat="1" ht="15.75" hidden="1">
      <c r="A864" s="457"/>
      <c r="B864" s="639" t="s">
        <v>13497</v>
      </c>
      <c r="C864" s="684" t="s">
        <v>13718</v>
      </c>
      <c r="D864" s="640"/>
      <c r="E864" s="641"/>
      <c r="F864" s="608"/>
      <c r="G864" s="642" t="s">
        <v>28</v>
      </c>
      <c r="H864" s="680" t="s">
        <v>13653</v>
      </c>
      <c r="I864"/>
      <c r="J864"/>
      <c r="K864"/>
      <c r="L864"/>
      <c r="M864"/>
      <c r="N864"/>
    </row>
    <row r="865" spans="1:14" s="458" customFormat="1" ht="47.25" hidden="1">
      <c r="A865" s="457"/>
      <c r="B865" s="643" t="s">
        <v>13502</v>
      </c>
      <c r="C865" s="644" t="s">
        <v>13503</v>
      </c>
      <c r="D865" s="645" t="s">
        <v>13601</v>
      </c>
      <c r="E865" s="646" t="s">
        <v>13505</v>
      </c>
      <c r="F865" s="647" t="s">
        <v>13506</v>
      </c>
      <c r="G865" s="685" t="s">
        <v>13507</v>
      </c>
      <c r="H865" s="457"/>
      <c r="I865"/>
      <c r="J865"/>
      <c r="K865"/>
      <c r="L865"/>
      <c r="M865"/>
      <c r="N865"/>
    </row>
    <row r="866" spans="1:14" s="458" customFormat="1" hidden="1">
      <c r="A866" s="457"/>
      <c r="B866" s="686"/>
      <c r="C866" s="687"/>
      <c r="D866" s="688"/>
      <c r="E866" s="689"/>
      <c r="F866" s="690"/>
      <c r="G866" s="691"/>
      <c r="H866" s="692"/>
      <c r="I866"/>
      <c r="J866"/>
      <c r="K866"/>
      <c r="L866"/>
      <c r="M866"/>
      <c r="N866"/>
    </row>
    <row r="867" spans="1:14" s="458" customFormat="1" hidden="1">
      <c r="A867" s="457"/>
      <c r="B867" s="686"/>
      <c r="C867" s="687"/>
      <c r="D867" s="688">
        <v>420</v>
      </c>
      <c r="E867" s="689"/>
      <c r="F867" s="690"/>
      <c r="G867" s="693"/>
      <c r="H867" s="692"/>
      <c r="I867"/>
      <c r="J867"/>
      <c r="K867"/>
      <c r="L867"/>
      <c r="M867"/>
      <c r="N867"/>
    </row>
    <row r="868" spans="1:14" s="458" customFormat="1" hidden="1">
      <c r="A868" s="457"/>
      <c r="B868" s="686"/>
      <c r="C868" s="687"/>
      <c r="D868" s="688">
        <v>415</v>
      </c>
      <c r="E868" s="689"/>
      <c r="F868" s="690"/>
      <c r="G868" s="694"/>
      <c r="H868" s="692"/>
      <c r="I868"/>
      <c r="J868"/>
      <c r="K868"/>
      <c r="L868"/>
      <c r="M868"/>
      <c r="N868"/>
    </row>
    <row r="869" spans="1:14" s="458" customFormat="1" ht="16.5" hidden="1" thickBot="1">
      <c r="A869" s="457"/>
      <c r="B869" s="660"/>
      <c r="C869" s="661" t="s">
        <v>13523</v>
      </c>
      <c r="D869" s="538">
        <f>IF(COUNT(D865:D868)=3,MEDIAN(D866:D868),SMALL(D866:D868,1))</f>
        <v>415</v>
      </c>
      <c r="E869" s="662"/>
      <c r="F869" s="620"/>
      <c r="G869" s="663"/>
      <c r="H869" s="457"/>
      <c r="I869"/>
      <c r="J869"/>
      <c r="K869"/>
      <c r="L869"/>
      <c r="M869"/>
      <c r="N869"/>
    </row>
    <row r="870" spans="1:14" s="458" customFormat="1" ht="15.75" hidden="1" thickBot="1">
      <c r="A870" s="457"/>
      <c r="H870" s="457"/>
      <c r="I870"/>
      <c r="J870"/>
      <c r="K870"/>
      <c r="L870"/>
      <c r="M870"/>
      <c r="N870"/>
    </row>
    <row r="871" spans="1:14" s="458" customFormat="1" ht="15.75">
      <c r="A871" s="464"/>
      <c r="B871" s="466" t="str">
        <f>IF(COUNT($H$8:H871)&lt;10,CONCATENATE("COMP HID 00",COUNT($H$8:H871)),CONCATENATE("COMP HID 0",COUNT($H$8:H871)))</f>
        <v>COMP HID 060</v>
      </c>
      <c r="C871" s="1224" t="s">
        <v>12890</v>
      </c>
      <c r="D871" s="1224"/>
      <c r="E871" s="1224"/>
      <c r="F871" s="1224"/>
      <c r="G871" s="467" t="s">
        <v>28</v>
      </c>
      <c r="H871" s="676">
        <f>G878</f>
        <v>13.54</v>
      </c>
      <c r="I871"/>
      <c r="J871"/>
      <c r="K871"/>
      <c r="L871"/>
      <c r="M871"/>
      <c r="N871"/>
    </row>
    <row r="872" spans="1:14" s="458" customFormat="1" ht="31.5">
      <c r="A872" s="464"/>
      <c r="B872" s="469" t="s">
        <v>13463</v>
      </c>
      <c r="C872" s="470" t="s">
        <v>13464</v>
      </c>
      <c r="D872" s="470" t="s">
        <v>28</v>
      </c>
      <c r="E872" s="470" t="s">
        <v>13465</v>
      </c>
      <c r="F872" s="471" t="s">
        <v>13466</v>
      </c>
      <c r="G872" s="472" t="s">
        <v>13467</v>
      </c>
      <c r="H872" s="457"/>
      <c r="I872"/>
      <c r="J872"/>
      <c r="K872"/>
      <c r="L872"/>
      <c r="M872"/>
      <c r="N872"/>
    </row>
    <row r="873" spans="1:14" s="458" customFormat="1" ht="15.75">
      <c r="A873" s="464"/>
      <c r="B873" s="1232" t="s">
        <v>13468</v>
      </c>
      <c r="C873" s="1220"/>
      <c r="D873" s="1220"/>
      <c r="E873" s="1220"/>
      <c r="F873" s="1220"/>
      <c r="G873" s="1221"/>
      <c r="H873" s="457"/>
      <c r="I873"/>
      <c r="J873"/>
      <c r="K873"/>
      <c r="L873"/>
      <c r="M873"/>
      <c r="N873"/>
    </row>
    <row r="874" spans="1:14" s="458" customFormat="1" ht="15.75">
      <c r="A874" s="473" t="s">
        <v>13458</v>
      </c>
      <c r="B874" s="551">
        <v>1370</v>
      </c>
      <c r="C874" s="475" t="s">
        <v>901</v>
      </c>
      <c r="D874" s="476" t="s">
        <v>6636</v>
      </c>
      <c r="E874" s="565">
        <v>4.2000000000000003E-2</v>
      </c>
      <c r="F874" s="478">
        <v>81.36</v>
      </c>
      <c r="G874" s="479">
        <f>TRUNC(E874*F874,2)</f>
        <v>3.41</v>
      </c>
      <c r="H874" s="457"/>
      <c r="I874"/>
      <c r="J874"/>
      <c r="K874"/>
      <c r="L874"/>
      <c r="M874"/>
      <c r="N874"/>
    </row>
    <row r="875" spans="1:14" s="458" customFormat="1" ht="15.75">
      <c r="A875" s="473" t="s">
        <v>13458</v>
      </c>
      <c r="B875" s="551">
        <v>3146</v>
      </c>
      <c r="C875" s="475" t="s">
        <v>885</v>
      </c>
      <c r="D875" s="476" t="s">
        <v>6636</v>
      </c>
      <c r="E875" s="565">
        <v>4.2000000000000003E-2</v>
      </c>
      <c r="F875" s="478">
        <v>4.4800000000000004</v>
      </c>
      <c r="G875" s="479">
        <f>TRUNC(E875*F875,2)</f>
        <v>0.18</v>
      </c>
      <c r="H875" s="457"/>
      <c r="I875"/>
      <c r="J875"/>
      <c r="K875"/>
      <c r="L875"/>
      <c r="M875"/>
      <c r="N875"/>
    </row>
    <row r="876" spans="1:14" s="458" customFormat="1" ht="15.75">
      <c r="A876" s="464"/>
      <c r="B876" s="1232" t="s">
        <v>13469</v>
      </c>
      <c r="C876" s="1220"/>
      <c r="D876" s="1220"/>
      <c r="E876" s="1220"/>
      <c r="F876" s="1220"/>
      <c r="G876" s="1221"/>
      <c r="H876" s="457"/>
      <c r="I876"/>
      <c r="J876"/>
      <c r="K876"/>
      <c r="L876"/>
      <c r="M876"/>
      <c r="N876"/>
    </row>
    <row r="877" spans="1:14" s="458" customFormat="1" ht="30">
      <c r="A877" s="473" t="s">
        <v>13459</v>
      </c>
      <c r="B877" s="551">
        <v>88267</v>
      </c>
      <c r="C877" s="475" t="s">
        <v>759</v>
      </c>
      <c r="D877" s="476" t="s">
        <v>753</v>
      </c>
      <c r="E877" s="564">
        <v>0.5</v>
      </c>
      <c r="F877" s="478">
        <v>19.899999999999999</v>
      </c>
      <c r="G877" s="479">
        <f>TRUNC(E877*F877,2)</f>
        <v>9.9499999999999993</v>
      </c>
      <c r="H877" s="457"/>
      <c r="I877"/>
      <c r="J877"/>
      <c r="K877"/>
      <c r="L877"/>
      <c r="M877"/>
      <c r="N877"/>
    </row>
    <row r="878" spans="1:14" s="458" customFormat="1" ht="16.5" customHeight="1" thickBot="1">
      <c r="A878" s="464"/>
      <c r="B878" s="605" t="s">
        <v>13719</v>
      </c>
      <c r="C878" s="605"/>
      <c r="D878" s="605"/>
      <c r="E878" s="605"/>
      <c r="F878" s="492" t="s">
        <v>22</v>
      </c>
      <c r="G878" s="493">
        <f>SUM(G874:G877)</f>
        <v>13.54</v>
      </c>
      <c r="H878" s="457"/>
      <c r="I878"/>
      <c r="J878"/>
      <c r="K878"/>
      <c r="L878"/>
      <c r="M878"/>
      <c r="N878"/>
    </row>
    <row r="879" spans="1:14" s="458" customFormat="1" ht="41.25" customHeight="1">
      <c r="A879" s="457"/>
      <c r="B879" s="1231" t="s">
        <v>13570</v>
      </c>
      <c r="C879" s="1231"/>
      <c r="D879" s="1231"/>
      <c r="E879" s="1231"/>
      <c r="F879" s="1231"/>
      <c r="G879" s="1231"/>
      <c r="H879" s="457"/>
    </row>
    <row r="880" spans="1:14" s="458" customFormat="1" ht="58.5" customHeight="1">
      <c r="A880" s="457"/>
      <c r="B880" s="1231" t="s">
        <v>13720</v>
      </c>
      <c r="C880" s="1252"/>
      <c r="D880" s="1252"/>
      <c r="E880" s="1252"/>
      <c r="F880" s="1252"/>
      <c r="G880" s="1252"/>
      <c r="H880" s="457"/>
    </row>
    <row r="881" spans="1:14" s="458" customFormat="1" hidden="1">
      <c r="A881" s="457"/>
      <c r="H881" s="457"/>
      <c r="I881"/>
      <c r="J881"/>
      <c r="K881"/>
      <c r="L881"/>
      <c r="M881"/>
      <c r="N881"/>
    </row>
    <row r="882" spans="1:14" s="458" customFormat="1" ht="15.75" hidden="1">
      <c r="A882" s="464"/>
      <c r="B882" s="466" t="str">
        <f>IF(COUNT($H$8:H882)&lt;10,CONCATENATE("COMP HID 00",COUNT($H$8:H882)),CONCATENATE("COMP HID 0",COUNT($H$8:H882)))</f>
        <v>COMP HID 061</v>
      </c>
      <c r="C882" s="1224" t="s">
        <v>13721</v>
      </c>
      <c r="D882" s="1224"/>
      <c r="E882" s="1224"/>
      <c r="F882" s="1224"/>
      <c r="G882" s="467" t="s">
        <v>28</v>
      </c>
      <c r="H882" s="676">
        <f>G890</f>
        <v>63.120000000000005</v>
      </c>
      <c r="I882"/>
      <c r="J882"/>
      <c r="K882"/>
      <c r="L882"/>
      <c r="M882"/>
      <c r="N882"/>
    </row>
    <row r="883" spans="1:14" s="458" customFormat="1" ht="31.5" hidden="1">
      <c r="A883" s="464"/>
      <c r="B883" s="469" t="s">
        <v>13463</v>
      </c>
      <c r="C883" s="470" t="s">
        <v>13464</v>
      </c>
      <c r="D883" s="470" t="s">
        <v>28</v>
      </c>
      <c r="E883" s="470" t="s">
        <v>13465</v>
      </c>
      <c r="F883" s="471" t="s">
        <v>13466</v>
      </c>
      <c r="G883" s="472" t="s">
        <v>13467</v>
      </c>
      <c r="H883" s="457"/>
      <c r="I883"/>
      <c r="J883"/>
      <c r="K883"/>
      <c r="L883"/>
      <c r="M883"/>
      <c r="N883"/>
    </row>
    <row r="884" spans="1:14" s="458" customFormat="1" ht="15.75" hidden="1">
      <c r="A884" s="464"/>
      <c r="B884" s="1232" t="s">
        <v>13468</v>
      </c>
      <c r="C884" s="1220"/>
      <c r="D884" s="1220"/>
      <c r="E884" s="1220"/>
      <c r="F884" s="1220"/>
      <c r="G884" s="1221"/>
      <c r="H884" s="457"/>
      <c r="I884"/>
      <c r="J884"/>
      <c r="K884"/>
      <c r="L884"/>
      <c r="M884"/>
      <c r="N884"/>
    </row>
    <row r="885" spans="1:14" s="458" customFormat="1" ht="15.75" hidden="1">
      <c r="A885" s="473" t="s">
        <v>13458</v>
      </c>
      <c r="B885" s="551" t="s">
        <v>13497</v>
      </c>
      <c r="C885" s="475" t="str">
        <f>C893</f>
        <v>TORNEIRA JATO ESGUICHO PARA BEBEDOURO - 3/4"</v>
      </c>
      <c r="D885" s="476" t="s">
        <v>28</v>
      </c>
      <c r="E885" s="564">
        <v>1</v>
      </c>
      <c r="F885" s="478">
        <f>D898</f>
        <v>45</v>
      </c>
      <c r="G885" s="479">
        <f>TRUNC(E885*F885,2)</f>
        <v>45</v>
      </c>
      <c r="H885" s="457"/>
      <c r="I885"/>
      <c r="J885"/>
      <c r="K885"/>
      <c r="L885"/>
      <c r="M885"/>
      <c r="N885"/>
    </row>
    <row r="886" spans="1:14" s="458" customFormat="1" ht="15.75" hidden="1">
      <c r="A886" s="473" t="s">
        <v>13458</v>
      </c>
      <c r="B886" s="551">
        <v>3146</v>
      </c>
      <c r="C886" s="475" t="s">
        <v>885</v>
      </c>
      <c r="D886" s="476" t="s">
        <v>6636</v>
      </c>
      <c r="E886" s="564">
        <v>0.05</v>
      </c>
      <c r="F886" s="478">
        <v>4.4800000000000004</v>
      </c>
      <c r="G886" s="479">
        <f>TRUNC(E886*F886,2)</f>
        <v>0.22</v>
      </c>
      <c r="H886" s="457"/>
      <c r="I886"/>
      <c r="J886"/>
      <c r="K886"/>
      <c r="L886"/>
      <c r="M886"/>
      <c r="N886"/>
    </row>
    <row r="887" spans="1:14" s="458" customFormat="1" ht="15.75" hidden="1">
      <c r="A887" s="464"/>
      <c r="B887" s="1232" t="s">
        <v>13469</v>
      </c>
      <c r="C887" s="1220"/>
      <c r="D887" s="1220"/>
      <c r="E887" s="1220"/>
      <c r="F887" s="1220"/>
      <c r="G887" s="1221"/>
      <c r="H887" s="457"/>
      <c r="I887"/>
      <c r="J887"/>
      <c r="K887"/>
      <c r="L887"/>
      <c r="M887"/>
      <c r="N887"/>
    </row>
    <row r="888" spans="1:14" s="458" customFormat="1" ht="30" hidden="1">
      <c r="A888" s="473" t="s">
        <v>13459</v>
      </c>
      <c r="B888" s="551">
        <v>88267</v>
      </c>
      <c r="C888" s="475" t="s">
        <v>759</v>
      </c>
      <c r="D888" s="476" t="s">
        <v>753</v>
      </c>
      <c r="E888" s="564">
        <v>0.5</v>
      </c>
      <c r="F888" s="478">
        <v>19.899999999999999</v>
      </c>
      <c r="G888" s="479">
        <f>TRUNC(E888*F888,2)</f>
        <v>9.9499999999999993</v>
      </c>
      <c r="H888" s="457"/>
      <c r="I888"/>
      <c r="J888"/>
      <c r="K888"/>
      <c r="L888"/>
      <c r="M888"/>
      <c r="N888"/>
    </row>
    <row r="889" spans="1:14" s="458" customFormat="1" ht="16.5" hidden="1" thickBot="1">
      <c r="A889" s="473" t="s">
        <v>13459</v>
      </c>
      <c r="B889" s="552">
        <v>88316</v>
      </c>
      <c r="C889" s="484" t="s">
        <v>761</v>
      </c>
      <c r="D889" s="485" t="s">
        <v>753</v>
      </c>
      <c r="E889" s="677">
        <v>0.5</v>
      </c>
      <c r="F889" s="487">
        <v>15.91</v>
      </c>
      <c r="G889" s="488">
        <f>TRUNC(E889*F889,2)</f>
        <v>7.95</v>
      </c>
      <c r="H889" s="457"/>
      <c r="I889"/>
      <c r="J889"/>
      <c r="K889"/>
      <c r="L889"/>
      <c r="M889"/>
      <c r="N889"/>
    </row>
    <row r="890" spans="1:14" s="458" customFormat="1" ht="16.5" hidden="1" customHeight="1" thickBot="1">
      <c r="A890" s="464"/>
      <c r="B890" s="605" t="s">
        <v>13722</v>
      </c>
      <c r="C890" s="605"/>
      <c r="D890" s="605"/>
      <c r="E890" s="605"/>
      <c r="F890" s="492" t="s">
        <v>22</v>
      </c>
      <c r="G890" s="493">
        <f>SUM(G885:G889)</f>
        <v>63.120000000000005</v>
      </c>
      <c r="H890" s="457"/>
      <c r="I890"/>
      <c r="J890"/>
      <c r="K890"/>
      <c r="L890"/>
      <c r="M890"/>
      <c r="N890"/>
    </row>
    <row r="891" spans="1:14" s="458" customFormat="1" ht="41.25" hidden="1" customHeight="1">
      <c r="A891" s="457"/>
      <c r="B891" s="1231" t="s">
        <v>13570</v>
      </c>
      <c r="C891" s="1231"/>
      <c r="D891" s="1231"/>
      <c r="E891" s="1231"/>
      <c r="F891" s="1231"/>
      <c r="G891" s="1231"/>
      <c r="H891" s="457"/>
      <c r="I891"/>
      <c r="J891"/>
      <c r="K891"/>
      <c r="L891"/>
      <c r="M891"/>
      <c r="N891"/>
    </row>
    <row r="892" spans="1:14" s="458" customFormat="1" ht="58.5" hidden="1" customHeight="1" thickBot="1">
      <c r="A892" s="457"/>
      <c r="B892" s="1231" t="s">
        <v>13723</v>
      </c>
      <c r="C892" s="1252"/>
      <c r="D892" s="1252"/>
      <c r="E892" s="1252"/>
      <c r="F892" s="1252"/>
      <c r="G892" s="1252"/>
      <c r="H892" s="457"/>
      <c r="I892"/>
      <c r="J892"/>
      <c r="K892"/>
      <c r="L892"/>
      <c r="M892"/>
      <c r="N892"/>
    </row>
    <row r="893" spans="1:14" s="458" customFormat="1" ht="15.75" hidden="1">
      <c r="A893" s="457"/>
      <c r="B893" s="639" t="s">
        <v>13497</v>
      </c>
      <c r="C893" s="678" t="s">
        <v>13724</v>
      </c>
      <c r="D893" s="640"/>
      <c r="E893" s="641"/>
      <c r="F893" s="608"/>
      <c r="G893" s="642" t="s">
        <v>28</v>
      </c>
      <c r="H893" s="695" t="s">
        <v>13653</v>
      </c>
      <c r="I893"/>
      <c r="J893"/>
      <c r="K893"/>
      <c r="L893"/>
      <c r="M893"/>
      <c r="N893"/>
    </row>
    <row r="894" spans="1:14" s="458" customFormat="1" ht="47.25" hidden="1">
      <c r="A894" s="457"/>
      <c r="B894" s="643" t="s">
        <v>13502</v>
      </c>
      <c r="C894" s="644" t="s">
        <v>13503</v>
      </c>
      <c r="D894" s="645" t="s">
        <v>13601</v>
      </c>
      <c r="E894" s="646" t="s">
        <v>13505</v>
      </c>
      <c r="F894" s="647" t="s">
        <v>13506</v>
      </c>
      <c r="G894" s="685" t="s">
        <v>13507</v>
      </c>
      <c r="H894" s="457"/>
      <c r="I894"/>
      <c r="J894"/>
      <c r="K894"/>
      <c r="L894"/>
      <c r="M894"/>
      <c r="N894"/>
    </row>
    <row r="895" spans="1:14" s="458" customFormat="1" hidden="1">
      <c r="A895" s="457"/>
      <c r="B895" s="686"/>
      <c r="C895" s="687"/>
      <c r="D895" s="688"/>
      <c r="E895" s="689"/>
      <c r="F895" s="690"/>
      <c r="G895" s="691"/>
      <c r="H895" s="457"/>
      <c r="I895"/>
      <c r="J895"/>
      <c r="K895"/>
      <c r="L895"/>
      <c r="M895"/>
      <c r="N895"/>
    </row>
    <row r="896" spans="1:14" s="458" customFormat="1" hidden="1">
      <c r="A896" s="457"/>
      <c r="B896" s="686"/>
      <c r="C896" s="687"/>
      <c r="D896" s="688">
        <v>50</v>
      </c>
      <c r="E896" s="689"/>
      <c r="F896" s="690"/>
      <c r="G896" s="693"/>
      <c r="H896" s="457"/>
      <c r="I896"/>
      <c r="J896"/>
      <c r="K896"/>
      <c r="L896"/>
      <c r="M896"/>
      <c r="N896"/>
    </row>
    <row r="897" spans="1:14" s="458" customFormat="1" hidden="1">
      <c r="A897" s="457"/>
      <c r="B897" s="686"/>
      <c r="C897" s="687"/>
      <c r="D897" s="688">
        <v>45</v>
      </c>
      <c r="E897" s="689"/>
      <c r="F897" s="690"/>
      <c r="G897" s="694"/>
      <c r="H897" s="457"/>
      <c r="I897"/>
      <c r="J897"/>
      <c r="K897"/>
      <c r="L897"/>
      <c r="M897"/>
      <c r="N897"/>
    </row>
    <row r="898" spans="1:14" s="458" customFormat="1" ht="16.5" hidden="1" thickBot="1">
      <c r="A898" s="457"/>
      <c r="B898" s="660"/>
      <c r="C898" s="661" t="s">
        <v>13523</v>
      </c>
      <c r="D898" s="538">
        <f>IF(COUNT(D894:D897)=3,MEDIAN(D895:D897),SMALL(D895:D897,1))</f>
        <v>45</v>
      </c>
      <c r="E898" s="662"/>
      <c r="F898" s="620"/>
      <c r="G898" s="663"/>
      <c r="H898" s="457"/>
      <c r="I898"/>
      <c r="J898"/>
      <c r="K898"/>
      <c r="L898"/>
      <c r="M898"/>
      <c r="N898"/>
    </row>
    <row r="899" spans="1:14" s="458" customFormat="1" ht="15.75" hidden="1" thickBot="1">
      <c r="A899" s="457"/>
      <c r="H899" s="457"/>
      <c r="I899"/>
      <c r="J899"/>
      <c r="K899"/>
      <c r="L899"/>
      <c r="M899"/>
      <c r="N899"/>
    </row>
    <row r="900" spans="1:14" s="458" customFormat="1" ht="15.75" hidden="1">
      <c r="A900" s="696"/>
      <c r="B900" s="466" t="str">
        <f>IF(COUNT($H$8:H900)&lt;10,CONCATENATE("COMP HID 00",COUNT($H$8:H900)),CONCATENATE("COMP HID 0",COUNT($H$8:H900)))</f>
        <v>COMP HID 062</v>
      </c>
      <c r="C900" s="1224" t="s">
        <v>13725</v>
      </c>
      <c r="D900" s="1224"/>
      <c r="E900" s="1224"/>
      <c r="F900" s="1224"/>
      <c r="G900" s="467" t="s">
        <v>28</v>
      </c>
      <c r="H900" s="676">
        <f>G906</f>
        <v>598.9</v>
      </c>
      <c r="I900"/>
      <c r="J900"/>
      <c r="K900"/>
      <c r="L900"/>
      <c r="M900"/>
      <c r="N900"/>
    </row>
    <row r="901" spans="1:14" s="458" customFormat="1" ht="31.5" hidden="1">
      <c r="A901" s="464"/>
      <c r="B901" s="469" t="s">
        <v>13463</v>
      </c>
      <c r="C901" s="470" t="s">
        <v>13464</v>
      </c>
      <c r="D901" s="470" t="s">
        <v>28</v>
      </c>
      <c r="E901" s="470" t="s">
        <v>13465</v>
      </c>
      <c r="F901" s="471" t="s">
        <v>13466</v>
      </c>
      <c r="G901" s="472" t="s">
        <v>13467</v>
      </c>
      <c r="H901" s="457"/>
      <c r="I901"/>
      <c r="J901"/>
      <c r="K901"/>
      <c r="L901"/>
      <c r="M901"/>
      <c r="N901"/>
    </row>
    <row r="902" spans="1:14" s="458" customFormat="1" ht="15.75" hidden="1">
      <c r="A902" s="464"/>
      <c r="B902" s="1232" t="s">
        <v>13468</v>
      </c>
      <c r="C902" s="1220"/>
      <c r="D902" s="1220"/>
      <c r="E902" s="1220"/>
      <c r="F902" s="1220"/>
      <c r="G902" s="1221"/>
      <c r="H902" s="457"/>
      <c r="I902"/>
      <c r="J902"/>
      <c r="K902"/>
      <c r="L902"/>
      <c r="M902"/>
      <c r="N902"/>
    </row>
    <row r="903" spans="1:14" s="458" customFormat="1" ht="15.75" hidden="1">
      <c r="A903" s="473" t="s">
        <v>13458</v>
      </c>
      <c r="B903" s="551" t="s">
        <v>13497</v>
      </c>
      <c r="C903" s="475" t="str">
        <f>C908</f>
        <v>BANHEIRA INOX PARA BERÇÁRIO - 75X40X20 CM</v>
      </c>
      <c r="D903" s="476" t="s">
        <v>28</v>
      </c>
      <c r="E903" s="564">
        <v>1</v>
      </c>
      <c r="F903" s="478">
        <f>D913</f>
        <v>579</v>
      </c>
      <c r="G903" s="479">
        <f>TRUNC(E903*F903,2)</f>
        <v>579</v>
      </c>
      <c r="H903" s="457"/>
      <c r="I903"/>
      <c r="J903"/>
      <c r="K903"/>
      <c r="L903"/>
      <c r="M903"/>
      <c r="N903"/>
    </row>
    <row r="904" spans="1:14" s="458" customFormat="1" ht="15.75" hidden="1">
      <c r="A904" s="464"/>
      <c r="B904" s="1232" t="s">
        <v>13469</v>
      </c>
      <c r="C904" s="1220"/>
      <c r="D904" s="1220"/>
      <c r="E904" s="1220"/>
      <c r="F904" s="1220"/>
      <c r="G904" s="1221"/>
      <c r="H904" s="457"/>
      <c r="I904"/>
      <c r="J904"/>
      <c r="K904"/>
      <c r="L904"/>
      <c r="M904"/>
      <c r="N904"/>
    </row>
    <row r="905" spans="1:14" s="458" customFormat="1" ht="30" hidden="1">
      <c r="A905" s="473" t="s">
        <v>13459</v>
      </c>
      <c r="B905" s="551">
        <v>88267</v>
      </c>
      <c r="C905" s="475" t="s">
        <v>759</v>
      </c>
      <c r="D905" s="476" t="s">
        <v>753</v>
      </c>
      <c r="E905" s="564">
        <v>1</v>
      </c>
      <c r="F905" s="478">
        <v>19.899999999999999</v>
      </c>
      <c r="G905" s="479">
        <f>TRUNC(E905*F905,2)</f>
        <v>19.899999999999999</v>
      </c>
      <c r="H905" s="457"/>
      <c r="I905"/>
      <c r="J905"/>
      <c r="K905"/>
      <c r="L905"/>
      <c r="M905"/>
      <c r="N905"/>
    </row>
    <row r="906" spans="1:14" s="458" customFormat="1" ht="16.5" hidden="1" customHeight="1" thickBot="1">
      <c r="A906" s="464"/>
      <c r="B906" s="605" t="s">
        <v>13726</v>
      </c>
      <c r="C906" s="605"/>
      <c r="D906" s="605"/>
      <c r="E906" s="605"/>
      <c r="F906" s="492" t="s">
        <v>22</v>
      </c>
      <c r="G906" s="493">
        <f>SUM(G903:G905)</f>
        <v>598.9</v>
      </c>
      <c r="H906" s="457"/>
      <c r="I906"/>
      <c r="J906"/>
      <c r="K906"/>
      <c r="L906"/>
      <c r="M906"/>
      <c r="N906"/>
    </row>
    <row r="907" spans="1:14" s="458" customFormat="1" ht="15.75" hidden="1" thickBot="1">
      <c r="A907" s="457"/>
      <c r="B907" s="1250"/>
      <c r="C907" s="1250"/>
      <c r="D907" s="1250"/>
      <c r="E907" s="1250"/>
      <c r="F907" s="1250"/>
      <c r="G907" s="1250"/>
      <c r="H907" s="457"/>
      <c r="I907"/>
      <c r="J907"/>
      <c r="K907"/>
      <c r="L907"/>
      <c r="M907"/>
      <c r="N907"/>
    </row>
    <row r="908" spans="1:14" s="458" customFormat="1" ht="15.75" hidden="1">
      <c r="A908" s="457"/>
      <c r="B908" s="639" t="s">
        <v>13497</v>
      </c>
      <c r="C908" s="684" t="s">
        <v>13727</v>
      </c>
      <c r="D908" s="640"/>
      <c r="E908" s="641"/>
      <c r="F908" s="608"/>
      <c r="G908" s="642" t="s">
        <v>28</v>
      </c>
      <c r="H908" s="457"/>
      <c r="I908"/>
      <c r="J908"/>
      <c r="K908"/>
      <c r="L908"/>
      <c r="M908"/>
      <c r="N908"/>
    </row>
    <row r="909" spans="1:14" s="458" customFormat="1" ht="47.25" hidden="1">
      <c r="A909" s="457"/>
      <c r="B909" s="643" t="s">
        <v>13502</v>
      </c>
      <c r="C909" s="644" t="s">
        <v>13503</v>
      </c>
      <c r="D909" s="645" t="s">
        <v>13601</v>
      </c>
      <c r="E909" s="646" t="s">
        <v>13505</v>
      </c>
      <c r="F909" s="647" t="s">
        <v>13506</v>
      </c>
      <c r="G909" s="685" t="s">
        <v>13507</v>
      </c>
      <c r="H909" s="457"/>
      <c r="I909"/>
      <c r="J909"/>
      <c r="K909"/>
      <c r="L909"/>
      <c r="M909"/>
      <c r="N909"/>
    </row>
    <row r="910" spans="1:14" s="458" customFormat="1" hidden="1">
      <c r="A910" s="457"/>
      <c r="B910" s="686"/>
      <c r="C910" s="687"/>
      <c r="D910" s="688">
        <v>579</v>
      </c>
      <c r="E910" s="689"/>
      <c r="F910" s="690"/>
      <c r="G910" s="691"/>
      <c r="H910" s="457"/>
      <c r="I910"/>
      <c r="J910"/>
      <c r="K910"/>
      <c r="L910"/>
      <c r="M910"/>
      <c r="N910"/>
    </row>
    <row r="911" spans="1:14" s="458" customFormat="1" hidden="1">
      <c r="A911" s="457"/>
      <c r="B911" s="686"/>
      <c r="C911" s="687"/>
      <c r="D911" s="688"/>
      <c r="E911" s="689"/>
      <c r="F911" s="690"/>
      <c r="G911" s="693"/>
      <c r="H911" s="457"/>
      <c r="I911"/>
      <c r="J911"/>
      <c r="K911"/>
      <c r="L911"/>
      <c r="M911"/>
      <c r="N911"/>
    </row>
    <row r="912" spans="1:14" s="458" customFormat="1" hidden="1">
      <c r="A912" s="457"/>
      <c r="B912" s="686"/>
      <c r="C912" s="687"/>
      <c r="D912" s="688"/>
      <c r="E912" s="689"/>
      <c r="F912" s="690"/>
      <c r="G912" s="694"/>
      <c r="H912" s="457"/>
      <c r="I912"/>
      <c r="J912"/>
      <c r="K912"/>
      <c r="L912"/>
      <c r="M912"/>
      <c r="N912"/>
    </row>
    <row r="913" spans="1:14" s="458" customFormat="1" ht="16.5" hidden="1" thickBot="1">
      <c r="A913" s="457"/>
      <c r="B913" s="660"/>
      <c r="C913" s="661" t="s">
        <v>13523</v>
      </c>
      <c r="D913" s="538">
        <f>IF(COUNT(D909:D912)=3,MEDIAN(D910:D912),SMALL(D910:D912,1))</f>
        <v>579</v>
      </c>
      <c r="E913" s="662"/>
      <c r="F913" s="620"/>
      <c r="G913" s="663"/>
      <c r="H913" s="457"/>
      <c r="I913"/>
      <c r="J913"/>
      <c r="K913"/>
      <c r="L913"/>
      <c r="M913"/>
      <c r="N913"/>
    </row>
    <row r="914" spans="1:14" s="458" customFormat="1" ht="15.75" hidden="1" thickBot="1">
      <c r="A914" s="457"/>
      <c r="H914" s="457"/>
      <c r="I914"/>
      <c r="J914"/>
      <c r="K914"/>
      <c r="L914"/>
      <c r="M914"/>
      <c r="N914"/>
    </row>
    <row r="915" spans="1:14" s="458" customFormat="1" ht="15.75" hidden="1">
      <c r="A915" s="464"/>
      <c r="B915" s="466" t="str">
        <f>IF(COUNT($H$8:H915)&lt;10,CONCATENATE("COMP HID 00",COUNT($H$8:H915)),CONCATENATE("COMP HID 0",COUNT($H$8:H915)))</f>
        <v>COMP HID 063</v>
      </c>
      <c r="C915" s="1224" t="s">
        <v>13728</v>
      </c>
      <c r="D915" s="1224"/>
      <c r="E915" s="1224"/>
      <c r="F915" s="1224"/>
      <c r="G915" s="467" t="s">
        <v>28</v>
      </c>
      <c r="H915" s="697">
        <f>G923</f>
        <v>196.49</v>
      </c>
      <c r="I915"/>
      <c r="J915"/>
      <c r="K915"/>
      <c r="L915"/>
      <c r="M915"/>
      <c r="N915"/>
    </row>
    <row r="916" spans="1:14" s="458" customFormat="1" ht="31.5" hidden="1">
      <c r="A916" s="464"/>
      <c r="B916" s="469" t="s">
        <v>13463</v>
      </c>
      <c r="C916" s="470" t="s">
        <v>13464</v>
      </c>
      <c r="D916" s="470" t="s">
        <v>28</v>
      </c>
      <c r="E916" s="470" t="s">
        <v>13465</v>
      </c>
      <c r="F916" s="471" t="s">
        <v>13466</v>
      </c>
      <c r="G916" s="472" t="s">
        <v>13467</v>
      </c>
      <c r="H916" s="457"/>
      <c r="I916"/>
      <c r="J916"/>
      <c r="K916"/>
      <c r="L916"/>
      <c r="M916"/>
      <c r="N916"/>
    </row>
    <row r="917" spans="1:14" s="458" customFormat="1" ht="15.75" hidden="1">
      <c r="A917" s="464"/>
      <c r="B917" s="1232" t="s">
        <v>13468</v>
      </c>
      <c r="C917" s="1220"/>
      <c r="D917" s="1220"/>
      <c r="E917" s="1220"/>
      <c r="F917" s="1220"/>
      <c r="G917" s="1221"/>
      <c r="H917" s="457"/>
      <c r="I917"/>
      <c r="J917"/>
      <c r="K917"/>
      <c r="L917"/>
      <c r="M917"/>
      <c r="N917"/>
    </row>
    <row r="918" spans="1:14" s="458" customFormat="1" ht="30" hidden="1">
      <c r="A918" s="473" t="s">
        <v>13458</v>
      </c>
      <c r="B918" s="551">
        <v>38189</v>
      </c>
      <c r="C918" s="475" t="s">
        <v>8412</v>
      </c>
      <c r="D918" s="476" t="s">
        <v>6636</v>
      </c>
      <c r="E918" s="565">
        <v>1</v>
      </c>
      <c r="F918" s="478">
        <v>184.3</v>
      </c>
      <c r="G918" s="479">
        <f>TRUNC(E918*F918,2)</f>
        <v>184.3</v>
      </c>
      <c r="H918" s="457"/>
      <c r="I918"/>
      <c r="J918"/>
      <c r="K918"/>
      <c r="L918"/>
      <c r="M918"/>
      <c r="N918"/>
    </row>
    <row r="919" spans="1:14" s="458" customFormat="1" ht="15.75" hidden="1">
      <c r="A919" s="473" t="s">
        <v>13458</v>
      </c>
      <c r="B919" s="551">
        <v>3146</v>
      </c>
      <c r="C919" s="475" t="s">
        <v>885</v>
      </c>
      <c r="D919" s="476" t="s">
        <v>6636</v>
      </c>
      <c r="E919" s="565">
        <v>4.2000000000000003E-2</v>
      </c>
      <c r="F919" s="478">
        <v>4.4800000000000004</v>
      </c>
      <c r="G919" s="479">
        <f>TRUNC(E919*F919,2)</f>
        <v>0.18</v>
      </c>
      <c r="H919" s="457"/>
      <c r="I919"/>
      <c r="J919"/>
      <c r="K919"/>
      <c r="L919"/>
      <c r="M919"/>
      <c r="N919"/>
    </row>
    <row r="920" spans="1:14" s="458" customFormat="1" ht="15.75" hidden="1">
      <c r="A920" s="464"/>
      <c r="B920" s="1232" t="s">
        <v>13469</v>
      </c>
      <c r="C920" s="1220"/>
      <c r="D920" s="1220"/>
      <c r="E920" s="1220"/>
      <c r="F920" s="1220"/>
      <c r="G920" s="1221"/>
      <c r="H920" s="457"/>
      <c r="I920"/>
      <c r="J920"/>
      <c r="K920"/>
      <c r="L920"/>
      <c r="M920"/>
      <c r="N920"/>
    </row>
    <row r="921" spans="1:14" s="458" customFormat="1" ht="15.75" hidden="1">
      <c r="A921" s="473" t="s">
        <v>13459</v>
      </c>
      <c r="B921" s="551">
        <v>88274</v>
      </c>
      <c r="C921" s="475" t="s">
        <v>818</v>
      </c>
      <c r="D921" s="476" t="s">
        <v>753</v>
      </c>
      <c r="E921" s="564">
        <v>0.48</v>
      </c>
      <c r="F921" s="478">
        <v>20.07</v>
      </c>
      <c r="G921" s="479">
        <f>TRUNC(E921*F921,2)</f>
        <v>9.6300000000000008</v>
      </c>
      <c r="H921" s="457"/>
      <c r="I921"/>
      <c r="J921"/>
      <c r="K921"/>
      <c r="L921"/>
      <c r="M921"/>
      <c r="N921"/>
    </row>
    <row r="922" spans="1:14" s="458" customFormat="1" ht="16.5" hidden="1" thickBot="1">
      <c r="A922" s="473" t="s">
        <v>13459</v>
      </c>
      <c r="B922" s="552">
        <v>88316</v>
      </c>
      <c r="C922" s="484" t="s">
        <v>761</v>
      </c>
      <c r="D922" s="485" t="s">
        <v>753</v>
      </c>
      <c r="E922" s="677">
        <v>0.15</v>
      </c>
      <c r="F922" s="487">
        <v>15.91</v>
      </c>
      <c r="G922" s="488">
        <f>TRUNC(E922*F922,2)</f>
        <v>2.38</v>
      </c>
      <c r="H922" s="457"/>
      <c r="I922"/>
      <c r="J922"/>
      <c r="K922"/>
      <c r="L922"/>
      <c r="M922"/>
      <c r="N922"/>
    </row>
    <row r="923" spans="1:14" s="458" customFormat="1" ht="16.5" hidden="1" thickBot="1">
      <c r="A923" s="464"/>
      <c r="B923" s="1254" t="s">
        <v>13729</v>
      </c>
      <c r="C923" s="1254"/>
      <c r="D923" s="1254"/>
      <c r="E923" s="1254"/>
      <c r="F923" s="492" t="s">
        <v>22</v>
      </c>
      <c r="G923" s="493">
        <f>SUM(G918:G922)</f>
        <v>196.49</v>
      </c>
      <c r="H923" s="457"/>
      <c r="I923"/>
      <c r="J923"/>
      <c r="K923"/>
      <c r="L923"/>
      <c r="M923"/>
      <c r="N923"/>
    </row>
    <row r="924" spans="1:14" s="458" customFormat="1" ht="41.25" hidden="1" customHeight="1">
      <c r="A924" s="457"/>
      <c r="B924" s="1250" t="s">
        <v>13730</v>
      </c>
      <c r="C924" s="1250"/>
      <c r="D924" s="1250"/>
      <c r="E924" s="1250"/>
      <c r="F924" s="1250"/>
      <c r="G924" s="1250"/>
      <c r="H924" s="457"/>
      <c r="I924"/>
      <c r="J924"/>
      <c r="K924"/>
      <c r="L924"/>
      <c r="M924"/>
      <c r="N924"/>
    </row>
    <row r="925" spans="1:14" s="458" customFormat="1" ht="58.5" hidden="1" customHeight="1">
      <c r="A925" s="457"/>
      <c r="B925" s="1251" t="s">
        <v>13720</v>
      </c>
      <c r="C925" s="1253"/>
      <c r="D925" s="1253"/>
      <c r="E925" s="1253"/>
      <c r="F925" s="1253"/>
      <c r="G925" s="1253"/>
      <c r="H925" s="457"/>
      <c r="I925"/>
      <c r="J925"/>
      <c r="K925"/>
      <c r="L925"/>
      <c r="M925"/>
      <c r="N925"/>
    </row>
    <row r="926" spans="1:14" s="458" customFormat="1" ht="15.75" hidden="1" thickBot="1">
      <c r="A926" s="457"/>
      <c r="H926" s="457"/>
      <c r="I926"/>
      <c r="J926"/>
      <c r="K926"/>
      <c r="L926"/>
      <c r="M926"/>
      <c r="N926"/>
    </row>
    <row r="927" spans="1:14" s="458" customFormat="1" ht="15.75" hidden="1">
      <c r="A927" s="464"/>
      <c r="B927" s="466" t="str">
        <f>IF(COUNT($H$8:H927)&lt;10,CONCATENATE("COMP HID 00",COUNT($H$8:H927)),CONCATENATE("COMP HID 0",COUNT($H$8:H927)))</f>
        <v>COMP HID 064</v>
      </c>
      <c r="C927" s="1224" t="s">
        <v>13731</v>
      </c>
      <c r="D927" s="1224"/>
      <c r="E927" s="1224"/>
      <c r="F927" s="1224"/>
      <c r="G927" s="467" t="s">
        <v>28</v>
      </c>
      <c r="H927" s="697">
        <f>G937</f>
        <v>483.6</v>
      </c>
      <c r="I927"/>
      <c r="J927"/>
      <c r="K927"/>
      <c r="L927"/>
      <c r="M927"/>
      <c r="N927"/>
    </row>
    <row r="928" spans="1:14" s="458" customFormat="1" ht="31.5" hidden="1">
      <c r="A928" s="464"/>
      <c r="B928" s="469" t="s">
        <v>13463</v>
      </c>
      <c r="C928" s="470" t="s">
        <v>13464</v>
      </c>
      <c r="D928" s="470" t="s">
        <v>28</v>
      </c>
      <c r="E928" s="470" t="s">
        <v>13465</v>
      </c>
      <c r="F928" s="471" t="s">
        <v>13466</v>
      </c>
      <c r="G928" s="472" t="s">
        <v>13467</v>
      </c>
      <c r="H928" s="457"/>
      <c r="I928"/>
      <c r="J928"/>
      <c r="K928"/>
      <c r="L928"/>
      <c r="M928"/>
      <c r="N928"/>
    </row>
    <row r="929" spans="1:14" s="458" customFormat="1" ht="15.75" hidden="1">
      <c r="A929" s="464"/>
      <c r="B929" s="1232" t="s">
        <v>13468</v>
      </c>
      <c r="C929" s="1220"/>
      <c r="D929" s="1220"/>
      <c r="E929" s="1220"/>
      <c r="F929" s="1220"/>
      <c r="G929" s="1221"/>
      <c r="H929" s="457"/>
      <c r="I929"/>
      <c r="J929"/>
      <c r="K929"/>
      <c r="L929"/>
      <c r="M929"/>
      <c r="N929"/>
    </row>
    <row r="930" spans="1:14" s="458" customFormat="1" ht="30" hidden="1">
      <c r="A930" s="473" t="s">
        <v>13458</v>
      </c>
      <c r="B930" s="551">
        <v>367</v>
      </c>
      <c r="C930" s="475" t="s">
        <v>820</v>
      </c>
      <c r="D930" s="476" t="s">
        <v>6781</v>
      </c>
      <c r="E930" s="565">
        <v>1E-3</v>
      </c>
      <c r="F930" s="478">
        <v>61.5</v>
      </c>
      <c r="G930" s="479">
        <f>TRUNC(E930*F930,2)</f>
        <v>0.06</v>
      </c>
      <c r="H930" s="457"/>
      <c r="I930"/>
      <c r="J930"/>
      <c r="K930"/>
      <c r="L930"/>
      <c r="M930"/>
      <c r="N930"/>
    </row>
    <row r="931" spans="1:14" s="458" customFormat="1" ht="15.75" hidden="1">
      <c r="A931" s="473" t="s">
        <v>13458</v>
      </c>
      <c r="B931" s="551">
        <v>1380</v>
      </c>
      <c r="C931" s="475" t="s">
        <v>819</v>
      </c>
      <c r="D931" s="476" t="s">
        <v>6698</v>
      </c>
      <c r="E931" s="565">
        <v>0.4</v>
      </c>
      <c r="F931" s="478">
        <v>3.03</v>
      </c>
      <c r="G931" s="479">
        <f>TRUNC(E931*F931,2)</f>
        <v>1.21</v>
      </c>
      <c r="H931" s="457"/>
    </row>
    <row r="932" spans="1:14" s="458" customFormat="1" ht="15.75" hidden="1">
      <c r="A932" s="473" t="s">
        <v>13458</v>
      </c>
      <c r="B932" s="551">
        <v>11784</v>
      </c>
      <c r="C932" s="475" t="s">
        <v>7003</v>
      </c>
      <c r="D932" s="476" t="s">
        <v>6636</v>
      </c>
      <c r="E932" s="565">
        <v>1</v>
      </c>
      <c r="F932" s="478">
        <v>379.79</v>
      </c>
      <c r="G932" s="479">
        <f>TRUNC(E932*F932,2)</f>
        <v>379.79</v>
      </c>
      <c r="H932" s="457"/>
    </row>
    <row r="933" spans="1:14" s="458" customFormat="1" ht="15.75" hidden="1">
      <c r="A933" s="464"/>
      <c r="B933" s="1232" t="s">
        <v>13469</v>
      </c>
      <c r="C933" s="1220"/>
      <c r="D933" s="1220"/>
      <c r="E933" s="1220"/>
      <c r="F933" s="1220"/>
      <c r="G933" s="1221"/>
      <c r="H933" s="457"/>
      <c r="I933"/>
      <c r="J933"/>
      <c r="K933"/>
      <c r="L933"/>
      <c r="M933"/>
      <c r="N933"/>
    </row>
    <row r="934" spans="1:14" s="458" customFormat="1" ht="15.75" hidden="1">
      <c r="A934" s="473" t="s">
        <v>13459</v>
      </c>
      <c r="B934" s="551">
        <v>88309</v>
      </c>
      <c r="C934" s="475" t="s">
        <v>760</v>
      </c>
      <c r="D934" s="476" t="s">
        <v>753</v>
      </c>
      <c r="E934" s="564">
        <v>1.1000000000000001</v>
      </c>
      <c r="F934" s="478">
        <v>19.809999999999999</v>
      </c>
      <c r="G934" s="479">
        <f>TRUNC(E934*F934,2)</f>
        <v>21.79</v>
      </c>
      <c r="H934" s="457"/>
      <c r="I934"/>
      <c r="J934"/>
      <c r="K934"/>
      <c r="L934"/>
      <c r="M934"/>
      <c r="N934"/>
    </row>
    <row r="935" spans="1:14" s="458" customFormat="1" ht="15.75" hidden="1">
      <c r="A935" s="473" t="s">
        <v>13459</v>
      </c>
      <c r="B935" s="551">
        <v>88316</v>
      </c>
      <c r="C935" s="475" t="s">
        <v>761</v>
      </c>
      <c r="D935" s="476" t="s">
        <v>753</v>
      </c>
      <c r="E935" s="564">
        <v>2.8</v>
      </c>
      <c r="F935" s="478">
        <v>15.91</v>
      </c>
      <c r="G935" s="479">
        <f>TRUNC(E935*F935,2)</f>
        <v>44.54</v>
      </c>
      <c r="H935" s="457"/>
    </row>
    <row r="936" spans="1:14" s="458" customFormat="1" ht="30.75" hidden="1" thickBot="1">
      <c r="A936" s="473" t="s">
        <v>13459</v>
      </c>
      <c r="B936" s="552">
        <v>88267</v>
      </c>
      <c r="C936" s="484" t="s">
        <v>759</v>
      </c>
      <c r="D936" s="485" t="s">
        <v>753</v>
      </c>
      <c r="E936" s="677">
        <v>1.82</v>
      </c>
      <c r="F936" s="487">
        <v>19.899999999999999</v>
      </c>
      <c r="G936" s="488">
        <f>TRUNC(E936*F936,2)</f>
        <v>36.21</v>
      </c>
      <c r="H936" s="457"/>
      <c r="I936"/>
      <c r="J936"/>
      <c r="K936"/>
      <c r="L936"/>
      <c r="M936"/>
      <c r="N936"/>
    </row>
    <row r="937" spans="1:14" s="458" customFormat="1" ht="16.5" hidden="1" thickBot="1">
      <c r="A937" s="464"/>
      <c r="B937" s="1254" t="s">
        <v>13732</v>
      </c>
      <c r="C937" s="1254"/>
      <c r="D937" s="1254"/>
      <c r="E937" s="1254"/>
      <c r="F937" s="492" t="s">
        <v>22</v>
      </c>
      <c r="G937" s="493">
        <f>SUM(G930:G936)</f>
        <v>483.6</v>
      </c>
      <c r="H937" s="457"/>
      <c r="I937"/>
      <c r="J937"/>
      <c r="K937"/>
      <c r="L937"/>
      <c r="M937"/>
      <c r="N937"/>
    </row>
    <row r="938" spans="1:14" s="458" customFormat="1" ht="13.5" thickBot="1">
      <c r="A938" s="457"/>
      <c r="H938" s="457"/>
    </row>
    <row r="939" spans="1:14" s="458" customFormat="1" ht="47.25" customHeight="1">
      <c r="A939" s="728"/>
      <c r="B939" s="729" t="str">
        <f>IF(COUNT($H$8:H939)&lt;10,CONCATENATE("COMP HID 00",COUNT($H$8:H939)),CONCATENATE("COMP HID 0",COUNT($H$8:H939)))</f>
        <v>COMP HID 065</v>
      </c>
      <c r="C939" s="1224" t="s">
        <v>12916</v>
      </c>
      <c r="D939" s="1225"/>
      <c r="E939" s="1225"/>
      <c r="F939" s="1225"/>
      <c r="G939" s="467" t="s">
        <v>28</v>
      </c>
      <c r="H939" s="698">
        <f>G950</f>
        <v>5181.21</v>
      </c>
    </row>
    <row r="940" spans="1:14" s="458" customFormat="1" ht="31.5">
      <c r="A940" s="730"/>
      <c r="B940" s="731" t="s">
        <v>13463</v>
      </c>
      <c r="C940" s="470" t="s">
        <v>13464</v>
      </c>
      <c r="D940" s="470" t="s">
        <v>28</v>
      </c>
      <c r="E940" s="470" t="s">
        <v>13465</v>
      </c>
      <c r="F940" s="471" t="s">
        <v>13466</v>
      </c>
      <c r="G940" s="472" t="s">
        <v>13467</v>
      </c>
      <c r="H940" s="457"/>
    </row>
    <row r="941" spans="1:14" s="458" customFormat="1" ht="15.75">
      <c r="A941" s="730"/>
      <c r="B941" s="1220" t="s">
        <v>13468</v>
      </c>
      <c r="C941" s="1220"/>
      <c r="D941" s="1220"/>
      <c r="E941" s="1220"/>
      <c r="F941" s="1220"/>
      <c r="G941" s="1221"/>
      <c r="H941" s="457"/>
    </row>
    <row r="942" spans="1:14" s="458" customFormat="1" ht="60">
      <c r="A942" s="732" t="s">
        <v>13459</v>
      </c>
      <c r="B942" s="733">
        <v>5678</v>
      </c>
      <c r="C942" s="439" t="str">
        <f t="shared" ref="C942:C948" si="58">IFERROR(VLOOKUP(B942,comp_nãodes,2,FALSE),VLOOKUP(B942,insnãodes,2,FALSE))</f>
        <v>RETROESCAVADEIRA SOBRE RODAS COM CARREGADEIRA, TRAÇÃO 4X4, POTÊNCIA LÍQ. 88 HP, CAÇAMBA CARREG. CAP. MÍN. 1 M3, CAÇAMBA RETRO CAP. 0,26 M3, PESO OPERACIONAL MÍN. 6.674 KG, PROFUNDIDADE ESCAVAÇÃO MÁX. 4,37 M - CHP DIURNO. AF_06/2014</v>
      </c>
      <c r="D942" s="476" t="s">
        <v>791</v>
      </c>
      <c r="E942" s="564">
        <v>0.75</v>
      </c>
      <c r="F942" s="426">
        <f t="shared" ref="F942:F948" si="59">IFERROR(VLOOKUP(B942,comp_nãodes,4,FALSE),VLOOKUP(B942,insnãodes,4,FALSE))</f>
        <v>87.7</v>
      </c>
      <c r="G942" s="479">
        <f>TRUNC(E942*F942,2)</f>
        <v>65.77</v>
      </c>
      <c r="H942" s="457"/>
    </row>
    <row r="943" spans="1:14" s="458" customFormat="1" ht="60">
      <c r="A943" s="732" t="s">
        <v>13459</v>
      </c>
      <c r="B943" s="733">
        <v>5679</v>
      </c>
      <c r="C943" s="439" t="str">
        <f t="shared" si="58"/>
        <v>RETROESCAVADEIRA SOBRE RODAS COM CARREGADEIRA, TRAÇÃO 4X4, POTÊNCIA LÍQ. 88 HP, CAÇAMBA CARREG. CAP. MÍN. 1 M3, CAÇAMBA RETRO CAP. 0,26 M3, PESO OPERACIONAL MÍN. 6.674 KG, PROFUNDIDADE ESCAVAÇÃO MÁX. 4,37 M - CHI DIURNO. AF_06/2014</v>
      </c>
      <c r="D943" s="476" t="s">
        <v>793</v>
      </c>
      <c r="E943" s="564">
        <v>1.65</v>
      </c>
      <c r="F943" s="426">
        <f t="shared" si="59"/>
        <v>34.08</v>
      </c>
      <c r="G943" s="479">
        <f t="shared" ref="G943:G949" si="60">TRUNC(E943*F943,2)</f>
        <v>56.23</v>
      </c>
      <c r="H943" s="457"/>
    </row>
    <row r="944" spans="1:14" s="458" customFormat="1" ht="15.75">
      <c r="A944" s="732" t="s">
        <v>13458</v>
      </c>
      <c r="B944" s="733">
        <v>12565</v>
      </c>
      <c r="C944" s="439" t="str">
        <f t="shared" si="58"/>
        <v>ANEL DE CONCRETO ARMADO, D = 2,00 M, H = 0,50 M</v>
      </c>
      <c r="D944" s="476" t="s">
        <v>6636</v>
      </c>
      <c r="E944" s="564">
        <v>5</v>
      </c>
      <c r="F944" s="426">
        <f t="shared" si="59"/>
        <v>371.08</v>
      </c>
      <c r="G944" s="479">
        <f t="shared" si="60"/>
        <v>1855.4</v>
      </c>
      <c r="H944" s="457"/>
    </row>
    <row r="945" spans="1:8" s="458" customFormat="1" ht="45">
      <c r="A945" s="732" t="s">
        <v>13459</v>
      </c>
      <c r="B945" s="733">
        <v>94116</v>
      </c>
      <c r="C945" s="439" t="str">
        <f t="shared" si="58"/>
        <v>LASTRO COM PREPARO DE FUNDO, LARGURA MAIOR OU IGUAL A 1,5 M, COM CAMADA DE BRITA, LANÇAMENTO MECANIZADO, EM LOCAL COM NÍVEL BAIXO DE INTERFERÊNCIA. AF_06/2016</v>
      </c>
      <c r="D945" s="476" t="s">
        <v>60</v>
      </c>
      <c r="E945" s="564">
        <v>0.5</v>
      </c>
      <c r="F945" s="426">
        <f t="shared" si="59"/>
        <v>159.93</v>
      </c>
      <c r="G945" s="479">
        <f t="shared" si="60"/>
        <v>79.959999999999994</v>
      </c>
      <c r="H945" s="457"/>
    </row>
    <row r="946" spans="1:8" s="458" customFormat="1" ht="60">
      <c r="A946" s="732" t="s">
        <v>13459</v>
      </c>
      <c r="B946" s="733">
        <v>87360</v>
      </c>
      <c r="C946" s="439" t="str">
        <f t="shared" si="58"/>
        <v>ARGAMASSA TRAÇO 1:3 (EM VOLUME DE CIMENTO E AREIA GROSSA ÚMIDA) COM ADIÇÃO DE EMULSÃO POLIMÉRICA PARA CHAPISCO ROLADO, PREPARO MECÂNICO COM MISTURADOR DE EIXO HORIZONTAL DE 160 KG. AF_08/2019</v>
      </c>
      <c r="D946" s="476" t="s">
        <v>60</v>
      </c>
      <c r="E946" s="564">
        <v>0.5</v>
      </c>
      <c r="F946" s="426">
        <f t="shared" si="59"/>
        <v>2400.5300000000002</v>
      </c>
      <c r="G946" s="479">
        <f t="shared" si="60"/>
        <v>1200.26</v>
      </c>
      <c r="H946" s="457"/>
    </row>
    <row r="947" spans="1:8" s="458" customFormat="1" ht="45">
      <c r="A947" s="732" t="s">
        <v>13459</v>
      </c>
      <c r="B947" s="733">
        <v>97738</v>
      </c>
      <c r="C947" s="439" t="str">
        <f t="shared" si="58"/>
        <v>PEÇA CIRCULAR PRÉ-MOLDADA, VOLUME DE CONCRETO DE 10 A 30 LITROS, TAXA DE FIBRA DE POLIPROPILENO APROXIMADA DE 6 KG/M³. AF_01/2018_P</v>
      </c>
      <c r="D947" s="476" t="s">
        <v>60</v>
      </c>
      <c r="E947" s="564">
        <v>0.25</v>
      </c>
      <c r="F947" s="426">
        <f t="shared" si="59"/>
        <v>3195.59</v>
      </c>
      <c r="G947" s="479">
        <f t="shared" si="60"/>
        <v>798.89</v>
      </c>
      <c r="H947" s="457"/>
    </row>
    <row r="948" spans="1:8" s="458" customFormat="1" ht="30">
      <c r="A948" s="732" t="s">
        <v>13459</v>
      </c>
      <c r="B948" s="733">
        <v>97739</v>
      </c>
      <c r="C948" s="439" t="str">
        <f t="shared" si="58"/>
        <v>PEÇA CIRCULAR PRÉ-MOLDADA, VOLUME DE CONCRETO DE 30 A 100 LITROS, TAXA DE AÇO APROXIMADA DE 30KG/M³. AF_01/2018</v>
      </c>
      <c r="D948" s="476" t="s">
        <v>60</v>
      </c>
      <c r="E948" s="564">
        <v>0.55000000000000004</v>
      </c>
      <c r="F948" s="426">
        <f t="shared" si="59"/>
        <v>1966.1</v>
      </c>
      <c r="G948" s="479">
        <f t="shared" si="60"/>
        <v>1081.3499999999999</v>
      </c>
      <c r="H948" s="457"/>
    </row>
    <row r="949" spans="1:8" s="458" customFormat="1" ht="30.75" thickBot="1">
      <c r="A949" s="734" t="s">
        <v>13459</v>
      </c>
      <c r="B949" s="735" t="str">
        <f>B952</f>
        <v>COMP. AUX 01</v>
      </c>
      <c r="C949" s="484" t="str">
        <f>C952</f>
        <v>ARMACAO EM TELA DE ACO SOLDADA NERVURADA Q-92, ACO CA-60, 4,2MM, MALHA 15X15CM</v>
      </c>
      <c r="D949" s="485" t="str">
        <f>G952</f>
        <v>M2</v>
      </c>
      <c r="E949" s="736">
        <v>3.92</v>
      </c>
      <c r="F949" s="487">
        <f>G960</f>
        <v>11.06</v>
      </c>
      <c r="G949" s="488">
        <f t="shared" si="60"/>
        <v>43.35</v>
      </c>
      <c r="H949" s="457"/>
    </row>
    <row r="950" spans="1:8" s="458" customFormat="1" ht="16.5" thickBot="1">
      <c r="A950" s="489"/>
      <c r="B950" s="1254" t="s">
        <v>13733</v>
      </c>
      <c r="C950" s="1254"/>
      <c r="D950" s="1254"/>
      <c r="E950" s="1258"/>
      <c r="F950" s="492" t="s">
        <v>22</v>
      </c>
      <c r="G950" s="493">
        <f>SUM(G942:G949)</f>
        <v>5181.21</v>
      </c>
      <c r="H950" s="457"/>
    </row>
    <row r="951" spans="1:8" s="459" customFormat="1" ht="13.5" thickBot="1">
      <c r="B951" s="699"/>
      <c r="C951" s="699"/>
      <c r="D951" s="700"/>
      <c r="E951" s="701"/>
      <c r="F951" s="702"/>
      <c r="G951" s="703"/>
    </row>
    <row r="952" spans="1:8" s="459" customFormat="1" ht="47.25" customHeight="1">
      <c r="B952" s="704" t="s">
        <v>13734</v>
      </c>
      <c r="C952" s="1257" t="s">
        <v>12431</v>
      </c>
      <c r="D952" s="1257"/>
      <c r="E952" s="1257"/>
      <c r="F952" s="1257"/>
      <c r="G952" s="705" t="s">
        <v>117</v>
      </c>
      <c r="H952" s="706"/>
    </row>
    <row r="953" spans="1:8" s="489" customFormat="1" ht="31.5">
      <c r="A953" s="473"/>
      <c r="B953" s="469" t="s">
        <v>13463</v>
      </c>
      <c r="C953" s="707" t="s">
        <v>13464</v>
      </c>
      <c r="D953" s="707" t="s">
        <v>28</v>
      </c>
      <c r="E953" s="707" t="s">
        <v>13465</v>
      </c>
      <c r="F953" s="293" t="s">
        <v>13466</v>
      </c>
      <c r="G953" s="708" t="s">
        <v>13467</v>
      </c>
    </row>
    <row r="954" spans="1:8" s="489" customFormat="1" ht="15.75">
      <c r="A954" s="473"/>
      <c r="B954" s="1246" t="s">
        <v>13735</v>
      </c>
      <c r="C954" s="1247"/>
      <c r="D954" s="1247"/>
      <c r="E954" s="1247"/>
      <c r="F954" s="1247"/>
      <c r="G954" s="1248"/>
    </row>
    <row r="955" spans="1:8" s="489" customFormat="1" ht="45">
      <c r="A955" s="473" t="s">
        <v>13458</v>
      </c>
      <c r="B955" s="709">
        <v>21141</v>
      </c>
      <c r="C955" s="439" t="str">
        <f>IFERROR(VLOOKUP(B955,comp_nãodes,2,FALSE),VLOOKUP(B955,insnãodes,2,FALSE))</f>
        <v>TELA DE ACO SOLDADA NERVURADA, CA-60, Q-92, (1,48 KG/M2), DIAMETRO DO FIO = 4,2 MM, LARGURA = 2,45 X 60 M DE COMPRIMENTO, ESPACAMENTO DA MALHA = 15  X 15 CM</v>
      </c>
      <c r="D955" s="711" t="s">
        <v>6638</v>
      </c>
      <c r="E955" s="712">
        <v>1.03</v>
      </c>
      <c r="F955" s="426">
        <f t="shared" ref="F955:F959" si="61">IFERROR(VLOOKUP(B955,comp_nãodes,4,FALSE),VLOOKUP(B955,insnãodes,4,FALSE))</f>
        <v>9.08</v>
      </c>
      <c r="G955" s="714">
        <f>TRUNC(E955*F955,2)</f>
        <v>9.35</v>
      </c>
    </row>
    <row r="956" spans="1:8" s="489" customFormat="1" ht="30">
      <c r="A956" s="473" t="s">
        <v>13458</v>
      </c>
      <c r="B956" s="709">
        <v>43132</v>
      </c>
      <c r="C956" s="439" t="str">
        <f>IFERROR(VLOOKUP(B956,comp_nãodes,2,FALSE),VLOOKUP(B956,insnãodes,2,FALSE))</f>
        <v>ARAME RECOZIDO 16 BWG, D = 1,60 MM (0,016 KG/M) OU 18 BWG, D = 1,25 MM (0,01 KG/M)</v>
      </c>
      <c r="D956" s="711" t="s">
        <v>6698</v>
      </c>
      <c r="E956" s="712">
        <v>1.4999999999999999E-2</v>
      </c>
      <c r="F956" s="426">
        <f t="shared" si="61"/>
        <v>11.7</v>
      </c>
      <c r="G956" s="714">
        <f>TRUNC(E956*F956,2)</f>
        <v>0.17</v>
      </c>
    </row>
    <row r="957" spans="1:8" s="489" customFormat="1" ht="15.75">
      <c r="A957" s="473"/>
      <c r="B957" s="1246" t="s">
        <v>13736</v>
      </c>
      <c r="C957" s="1247"/>
      <c r="D957" s="1247"/>
      <c r="E957" s="1247"/>
      <c r="F957" s="1247"/>
      <c r="G957" s="1248"/>
    </row>
    <row r="958" spans="1:8" s="489" customFormat="1" ht="15.75">
      <c r="A958" s="473" t="s">
        <v>13459</v>
      </c>
      <c r="B958" s="709">
        <v>88245</v>
      </c>
      <c r="C958" s="439" t="str">
        <f>IFERROR(VLOOKUP(B958,comp_nãodes,2,FALSE),VLOOKUP(B958,insnãodes,2,FALSE))</f>
        <v>ARMADOR COM ENCARGOS COMPLEMENTARES</v>
      </c>
      <c r="D958" s="711" t="s">
        <v>753</v>
      </c>
      <c r="E958" s="715">
        <v>0.03</v>
      </c>
      <c r="F958" s="426">
        <f t="shared" si="61"/>
        <v>19.71</v>
      </c>
      <c r="G958" s="714">
        <f>TRUNC(E958*F958,2)</f>
        <v>0.59</v>
      </c>
    </row>
    <row r="959" spans="1:8" s="489" customFormat="1" ht="16.5" thickBot="1">
      <c r="A959" s="473" t="s">
        <v>13459</v>
      </c>
      <c r="B959" s="716">
        <v>88316</v>
      </c>
      <c r="C959" s="726" t="str">
        <f>IFERROR(VLOOKUP(B959,comp_nãodes,2,FALSE),VLOOKUP(B959,insnãodes,2,FALSE))</f>
        <v>SERVENTE COM ENCARGOS COMPLEMENTARES</v>
      </c>
      <c r="D959" s="718" t="s">
        <v>753</v>
      </c>
      <c r="E959" s="719">
        <v>0.06</v>
      </c>
      <c r="F959" s="727">
        <f t="shared" si="61"/>
        <v>15.91</v>
      </c>
      <c r="G959" s="721">
        <f>TRUNC(E959*F959,2)</f>
        <v>0.95</v>
      </c>
    </row>
    <row r="960" spans="1:8" s="489" customFormat="1" ht="16.5" thickBot="1">
      <c r="A960" s="473"/>
      <c r="B960" s="1255" t="s">
        <v>13737</v>
      </c>
      <c r="C960" s="1255"/>
      <c r="D960" s="1255"/>
      <c r="E960" s="1256"/>
      <c r="F960" s="492" t="s">
        <v>13738</v>
      </c>
      <c r="G960" s="493">
        <f>TRUNC(SUM(G955:G959),2)</f>
        <v>11.06</v>
      </c>
      <c r="H960" s="621"/>
    </row>
    <row r="961" spans="1:8" s="459" customFormat="1" ht="13.5" thickBot="1">
      <c r="B961" s="699"/>
      <c r="C961" s="699"/>
      <c r="D961" s="700"/>
      <c r="E961" s="701"/>
      <c r="F961" s="702"/>
      <c r="G961" s="703"/>
    </row>
    <row r="962" spans="1:8" s="459" customFormat="1" ht="15.75" hidden="1">
      <c r="B962" s="704" t="s">
        <v>13739</v>
      </c>
      <c r="C962" s="1257" t="s">
        <v>12543</v>
      </c>
      <c r="D962" s="1257"/>
      <c r="E962" s="1257"/>
      <c r="F962" s="1257"/>
      <c r="G962" s="705" t="s">
        <v>60</v>
      </c>
      <c r="H962" s="706"/>
    </row>
    <row r="963" spans="1:8" s="489" customFormat="1" ht="31.5" hidden="1">
      <c r="A963" s="473"/>
      <c r="B963" s="469" t="s">
        <v>13463</v>
      </c>
      <c r="C963" s="707" t="s">
        <v>13464</v>
      </c>
      <c r="D963" s="707" t="s">
        <v>28</v>
      </c>
      <c r="E963" s="707" t="s">
        <v>13465</v>
      </c>
      <c r="F963" s="293" t="s">
        <v>13466</v>
      </c>
      <c r="G963" s="708" t="s">
        <v>13467</v>
      </c>
    </row>
    <row r="964" spans="1:8" s="489" customFormat="1" ht="15.75" hidden="1">
      <c r="A964" s="473"/>
      <c r="B964" s="1246" t="s">
        <v>13735</v>
      </c>
      <c r="C964" s="1247"/>
      <c r="D964" s="1247"/>
      <c r="E964" s="1247"/>
      <c r="F964" s="1247"/>
      <c r="G964" s="1248"/>
    </row>
    <row r="965" spans="1:8" s="489" customFormat="1" ht="30" hidden="1">
      <c r="A965" s="473" t="s">
        <v>13458</v>
      </c>
      <c r="B965" s="709">
        <v>4723</v>
      </c>
      <c r="C965" s="439" t="str">
        <f>IFERROR(VLOOKUP(B965,comp_nãodes,2,FALSE),VLOOKUP(B965,insnãodes,2,FALSE))</f>
        <v>PEDRA BRITADA N. 4 (50 A 76 MM) POSTO PEDREIRA/FORNECEDOR, SEM FRETE</v>
      </c>
      <c r="D965" s="711" t="s">
        <v>6781</v>
      </c>
      <c r="E965" s="712">
        <v>1.05</v>
      </c>
      <c r="F965" s="426">
        <f t="shared" ref="F965:F968" si="62">IFERROR(VLOOKUP(B965,comp_nãodes,4,FALSE),VLOOKUP(B965,insnãodes,4,FALSE))</f>
        <v>87.28</v>
      </c>
      <c r="G965" s="714">
        <f>TRUNC(E965*F965,2)</f>
        <v>91.64</v>
      </c>
    </row>
    <row r="966" spans="1:8" s="489" customFormat="1" ht="15.75" hidden="1">
      <c r="A966" s="473"/>
      <c r="B966" s="1246" t="s">
        <v>13736</v>
      </c>
      <c r="C966" s="1247"/>
      <c r="D966" s="1247"/>
      <c r="E966" s="1247"/>
      <c r="F966" s="1247"/>
      <c r="G966" s="1248"/>
    </row>
    <row r="967" spans="1:8" s="489" customFormat="1" ht="15.75" hidden="1">
      <c r="A967" s="473" t="s">
        <v>13459</v>
      </c>
      <c r="B967" s="709">
        <v>88309</v>
      </c>
      <c r="C967" s="439" t="str">
        <f>IFERROR(VLOOKUP(B967,comp_nãodes,2,FALSE),VLOOKUP(B967,insnãodes,2,FALSE))</f>
        <v>PEDREIRO COM ENCARGOS COMPLEMENTARES</v>
      </c>
      <c r="D967" s="711" t="s">
        <v>753</v>
      </c>
      <c r="E967" s="715">
        <v>2.5</v>
      </c>
      <c r="F967" s="426">
        <f t="shared" si="62"/>
        <v>19.809999999999999</v>
      </c>
      <c r="G967" s="714">
        <f>TRUNC(E967*F967,2)</f>
        <v>49.52</v>
      </c>
    </row>
    <row r="968" spans="1:8" s="489" customFormat="1" ht="16.5" hidden="1" thickBot="1">
      <c r="A968" s="473" t="s">
        <v>13459</v>
      </c>
      <c r="B968" s="716">
        <v>88316</v>
      </c>
      <c r="C968" s="439" t="str">
        <f>IFERROR(VLOOKUP(B968,comp_nãodes,2,FALSE),VLOOKUP(B968,insnãodes,2,FALSE))</f>
        <v>SERVENTE COM ENCARGOS COMPLEMENTARES</v>
      </c>
      <c r="D968" s="718" t="s">
        <v>753</v>
      </c>
      <c r="E968" s="719">
        <v>2.5</v>
      </c>
      <c r="F968" s="426">
        <f t="shared" si="62"/>
        <v>15.91</v>
      </c>
      <c r="G968" s="721">
        <f>TRUNC(E968*F968,2)</f>
        <v>39.770000000000003</v>
      </c>
    </row>
    <row r="969" spans="1:8" s="489" customFormat="1" ht="16.5" hidden="1" thickBot="1">
      <c r="A969" s="473"/>
      <c r="B969" s="1255" t="s">
        <v>13740</v>
      </c>
      <c r="C969" s="1255"/>
      <c r="D969" s="1255"/>
      <c r="E969" s="1256"/>
      <c r="F969" s="492" t="s">
        <v>13738</v>
      </c>
      <c r="G969" s="493">
        <f>TRUNC(SUM(G965:G968),2)</f>
        <v>180.93</v>
      </c>
      <c r="H969" s="621"/>
    </row>
    <row r="970" spans="1:8" s="458" customFormat="1" ht="13.5" hidden="1" thickBot="1">
      <c r="A970" s="457"/>
      <c r="H970" s="457"/>
    </row>
    <row r="971" spans="1:8" s="458" customFormat="1" ht="47.25" customHeight="1">
      <c r="A971" s="464"/>
      <c r="B971" s="466" t="str">
        <f>IF(COUNT($H$8:H971)&lt;10,CONCATENATE("COMP HID 00",COUNT($H$8:H971)),CONCATENATE("COMP HID 0",COUNT($H$8:H971)))</f>
        <v>COMP HID 066</v>
      </c>
      <c r="C971" s="1224" t="s">
        <v>12918</v>
      </c>
      <c r="D971" s="1225"/>
      <c r="E971" s="1225"/>
      <c r="F971" s="1225"/>
      <c r="G971" s="467" t="s">
        <v>28</v>
      </c>
      <c r="H971" s="698">
        <f>G984</f>
        <v>3779.78</v>
      </c>
    </row>
    <row r="972" spans="1:8" s="458" customFormat="1" ht="31.5">
      <c r="A972" s="464"/>
      <c r="B972" s="469" t="s">
        <v>13463</v>
      </c>
      <c r="C972" s="470" t="s">
        <v>13464</v>
      </c>
      <c r="D972" s="470" t="s">
        <v>28</v>
      </c>
      <c r="E972" s="470" t="s">
        <v>13465</v>
      </c>
      <c r="F972" s="471" t="s">
        <v>13466</v>
      </c>
      <c r="G972" s="472" t="s">
        <v>13467</v>
      </c>
      <c r="H972" s="457"/>
    </row>
    <row r="973" spans="1:8" s="458" customFormat="1" ht="15.75">
      <c r="A973" s="464"/>
      <c r="B973" s="1232" t="s">
        <v>13468</v>
      </c>
      <c r="C973" s="1220"/>
      <c r="D973" s="1220"/>
      <c r="E973" s="1220"/>
      <c r="F973" s="1220"/>
      <c r="G973" s="1221"/>
      <c r="H973" s="457"/>
    </row>
    <row r="974" spans="1:8" s="458" customFormat="1" ht="75">
      <c r="A974" s="473" t="s">
        <v>13459</v>
      </c>
      <c r="B974" s="474">
        <v>90084</v>
      </c>
      <c r="C974" s="439" t="str">
        <f t="shared" ref="C974:C980" si="63">IFERROR(VLOOKUP(B974,comp_nãodes,2,FALSE),VLOOKUP(B974,insnãodes,2,FALSE))</f>
        <v>ESCAVAÇÃO MECANIZADA DE VALA COM PROF. MAIOR QUE 1,5 M ATÉ 3,0 M (MÉDIA ENTRE MONTANTE E JUSANTE/UMA COMPOSIÇÃO POR TRECHO), COM ESCAVADEIRA HIDRÁULICA (0,8 M3/111 HP), LARGURA ATÉ 1,5 M, EM SOLO DE 1A CATEGORIA, EM LOCAIS COM ALTO NÍVEL DE INTERFERÊNCIA. AF_01/2015</v>
      </c>
      <c r="D974" s="476" t="s">
        <v>60</v>
      </c>
      <c r="E974" s="477">
        <v>20.93</v>
      </c>
      <c r="F974" s="426">
        <f t="shared" ref="F974:F983" si="64">IFERROR(VLOOKUP(B974,comp_nãodes,4,FALSE),VLOOKUP(B974,insnãodes,4,FALSE))</f>
        <v>6.95</v>
      </c>
      <c r="G974" s="479">
        <f>TRUNC(E974*F974,2)</f>
        <v>145.46</v>
      </c>
      <c r="H974" s="457"/>
    </row>
    <row r="975" spans="1:8" s="458" customFormat="1" ht="15.75">
      <c r="A975" s="473" t="s">
        <v>13459</v>
      </c>
      <c r="B975" s="474">
        <v>96995</v>
      </c>
      <c r="C975" s="439" t="str">
        <f t="shared" si="63"/>
        <v>REATERRO MANUAL APILOADO COM SOQUETE. AF_10/2017</v>
      </c>
      <c r="D975" s="476" t="s">
        <v>60</v>
      </c>
      <c r="E975" s="477">
        <v>6.06</v>
      </c>
      <c r="F975" s="426">
        <f t="shared" si="64"/>
        <v>38.159999999999997</v>
      </c>
      <c r="G975" s="479">
        <f t="shared" ref="G975:G983" si="65">TRUNC(E975*F975,2)</f>
        <v>231.24</v>
      </c>
      <c r="H975" s="457"/>
    </row>
    <row r="976" spans="1:8" s="458" customFormat="1" ht="75">
      <c r="A976" s="473" t="s">
        <v>13459</v>
      </c>
      <c r="B976" s="474">
        <v>87510</v>
      </c>
      <c r="C976" s="439" t="str">
        <f t="shared" si="63"/>
        <v>ALVENARIA DE VEDAÇÃO DE BLOCOS CERÂMICOS FURADOS NA HORIZONTAL DE 14X9X19CM (ESPESSURA 14CM, BLOCO DEITADO) DE PAREDES COM ÁREA LÍQUIDA MAIOR OU IGUAL A 6M² SEM VÃOS E ARGAMASSA DE ASSENTAMENTO COM PREPARO MANUAL. AF_06/2014</v>
      </c>
      <c r="D976" s="476" t="s">
        <v>117</v>
      </c>
      <c r="E976" s="477">
        <v>19.98</v>
      </c>
      <c r="F976" s="426">
        <f t="shared" si="64"/>
        <v>96.61</v>
      </c>
      <c r="G976" s="479">
        <f t="shared" si="65"/>
        <v>1930.26</v>
      </c>
      <c r="H976" s="457"/>
    </row>
    <row r="977" spans="1:8" s="458" customFormat="1" ht="45">
      <c r="A977" s="473" t="s">
        <v>13459</v>
      </c>
      <c r="B977" s="474">
        <v>72132</v>
      </c>
      <c r="C977" s="439" t="str">
        <f t="shared" si="63"/>
        <v>ALVENARIA EM TIJOLO CERAMICO MACICO 5X10X20CM 1/2 VEZ (ESPESSURA 10CM), ASSENTADO COM ARGAMASSA TRACO 1:2:8 (CIMENTO, CAL E AREIA)</v>
      </c>
      <c r="D977" s="476" t="s">
        <v>117</v>
      </c>
      <c r="E977" s="477">
        <v>1.73</v>
      </c>
      <c r="F977" s="426">
        <f t="shared" si="64"/>
        <v>64.89</v>
      </c>
      <c r="G977" s="479">
        <f t="shared" si="65"/>
        <v>112.25</v>
      </c>
      <c r="H977" s="457"/>
    </row>
    <row r="978" spans="1:8" s="458" customFormat="1" ht="30">
      <c r="A978" s="473" t="s">
        <v>13459</v>
      </c>
      <c r="B978" s="474">
        <v>94965</v>
      </c>
      <c r="C978" s="439" t="str">
        <f t="shared" si="63"/>
        <v>CONCRETO FCK = 25MPA, TRAÇO 1:2,3:2,7 (CIMENTO/ AREIA MÉDIA/ BRITA 1)  - PREPARO MECÂNICO COM BETONEIRA 400 L. AF_07/2016</v>
      </c>
      <c r="D978" s="476" t="s">
        <v>60</v>
      </c>
      <c r="E978" s="477">
        <v>0.53</v>
      </c>
      <c r="F978" s="426">
        <f t="shared" si="64"/>
        <v>329</v>
      </c>
      <c r="G978" s="479">
        <f t="shared" si="65"/>
        <v>174.37</v>
      </c>
      <c r="H978" s="457"/>
    </row>
    <row r="979" spans="1:8" s="458" customFormat="1" ht="30">
      <c r="A979" s="473" t="s">
        <v>13459</v>
      </c>
      <c r="B979" s="474">
        <v>6087</v>
      </c>
      <c r="C979" s="439" t="str">
        <f t="shared" si="63"/>
        <v>TAMPA EM CONCRETO ARMADO 60X60X5CM P/CX INSPECAO/FOSSA SEPTICA</v>
      </c>
      <c r="D979" s="476" t="s">
        <v>28</v>
      </c>
      <c r="E979" s="477">
        <v>1</v>
      </c>
      <c r="F979" s="426">
        <f t="shared" si="64"/>
        <v>23.74</v>
      </c>
      <c r="G979" s="479">
        <f t="shared" si="65"/>
        <v>23.74</v>
      </c>
      <c r="H979" s="457"/>
    </row>
    <row r="980" spans="1:8" s="458" customFormat="1" ht="45">
      <c r="A980" s="473" t="s">
        <v>13459</v>
      </c>
      <c r="B980" s="474">
        <v>89744</v>
      </c>
      <c r="C980" s="439" t="str">
        <f t="shared" si="63"/>
        <v>JOELHO 90 GRAUS, PVC, SERIE NORMAL, ESGOTO PREDIAL, DN 100 MM, JUNTA ELÁSTICA, FORNECIDO E INSTALADO EM RAMAL DE DESCARGA OU RAMAL DE ESGOTO SANITÁRIO. AF_12/2014</v>
      </c>
      <c r="D980" s="476" t="s">
        <v>28</v>
      </c>
      <c r="E980" s="477">
        <v>1</v>
      </c>
      <c r="F980" s="426">
        <f t="shared" si="64"/>
        <v>18.510000000000002</v>
      </c>
      <c r="G980" s="479">
        <f t="shared" si="65"/>
        <v>18.510000000000002</v>
      </c>
      <c r="H980" s="457"/>
    </row>
    <row r="981" spans="1:8" s="458" customFormat="1" ht="15.75">
      <c r="A981" s="473" t="s">
        <v>13459</v>
      </c>
      <c r="B981" s="474" t="str">
        <f>B986</f>
        <v>COMP. AUX 01</v>
      </c>
      <c r="C981" s="475" t="str">
        <f>C986</f>
        <v>LEITO FILTRANTE - FORN.E ENCHIMENTO C/ BRITA NO. 4</v>
      </c>
      <c r="D981" s="476" t="str">
        <f>G986</f>
        <v>M3</v>
      </c>
      <c r="E981" s="477">
        <v>1.9</v>
      </c>
      <c r="F981" s="478">
        <f>G993</f>
        <v>180.93</v>
      </c>
      <c r="G981" s="479">
        <f t="shared" si="65"/>
        <v>343.76</v>
      </c>
      <c r="H981" s="457"/>
    </row>
    <row r="982" spans="1:8" s="458" customFormat="1" ht="30">
      <c r="A982" s="473" t="s">
        <v>13459</v>
      </c>
      <c r="B982" s="474">
        <v>97086</v>
      </c>
      <c r="C982" s="439" t="str">
        <f>IFERROR(VLOOKUP(B982,comp_nãodes,2,FALSE),VLOOKUP(B982,insnãodes,2,FALSE))</f>
        <v>FABRICAÇÃO, MONTAGEM E DESMONTAGEM DE FORMA PARA RADIER, EM MADEIRA SERRADA, 4 UTILIZAÇÕES. AF_09/2017</v>
      </c>
      <c r="D982" s="476" t="s">
        <v>117</v>
      </c>
      <c r="E982" s="477">
        <v>6.12</v>
      </c>
      <c r="F982" s="426">
        <f t="shared" si="64"/>
        <v>82.16</v>
      </c>
      <c r="G982" s="479">
        <f t="shared" si="65"/>
        <v>502.81</v>
      </c>
      <c r="H982" s="457"/>
    </row>
    <row r="983" spans="1:8" s="458" customFormat="1" ht="70.5" customHeight="1" thickBot="1">
      <c r="A983" s="473" t="s">
        <v>13459</v>
      </c>
      <c r="B983" s="483">
        <v>92787</v>
      </c>
      <c r="C983" s="726" t="str">
        <f>IFERROR(VLOOKUP(B983,comp_nãodes,2,FALSE),VLOOKUP(B983,insnãodes,2,FALSE))</f>
        <v>ARMAÇÃO DE LAJE DE UMA ESTRUTURA CONVENCIONAL DE CONCRETO ARMADO EM UMA EDIFICAÇÃO TÉRREA OU SOBRADO UTILIZANDO AÇO CA-50 DE 10,0 MM - MONTAGEM. AF_12/2015</v>
      </c>
      <c r="D983" s="485" t="s">
        <v>34</v>
      </c>
      <c r="E983" s="505">
        <v>39.81</v>
      </c>
      <c r="F983" s="727">
        <f t="shared" si="64"/>
        <v>7.47</v>
      </c>
      <c r="G983" s="488">
        <f t="shared" si="65"/>
        <v>297.38</v>
      </c>
      <c r="H983" s="457"/>
    </row>
    <row r="984" spans="1:8" s="458" customFormat="1" ht="16.5" thickBot="1">
      <c r="A984" s="489"/>
      <c r="B984" s="1254" t="s">
        <v>13733</v>
      </c>
      <c r="C984" s="1254"/>
      <c r="D984" s="1254"/>
      <c r="E984" s="1258"/>
      <c r="F984" s="492" t="s">
        <v>22</v>
      </c>
      <c r="G984" s="493">
        <f>SUM(G974:G983)</f>
        <v>3779.78</v>
      </c>
      <c r="H984" s="457"/>
    </row>
    <row r="985" spans="1:8" s="459" customFormat="1" ht="13.5" thickBot="1">
      <c r="B985" s="699"/>
      <c r="C985" s="699"/>
      <c r="D985" s="700"/>
      <c r="E985" s="701"/>
      <c r="F985" s="702"/>
      <c r="G985" s="703"/>
    </row>
    <row r="986" spans="1:8" s="459" customFormat="1" ht="47.25" customHeight="1">
      <c r="B986" s="704" t="s">
        <v>13734</v>
      </c>
      <c r="C986" s="1257" t="s">
        <v>12543</v>
      </c>
      <c r="D986" s="1257"/>
      <c r="E986" s="1257"/>
      <c r="F986" s="1257"/>
      <c r="G986" s="705" t="s">
        <v>60</v>
      </c>
      <c r="H986" s="706"/>
    </row>
    <row r="987" spans="1:8" s="489" customFormat="1" ht="31.5">
      <c r="A987" s="473"/>
      <c r="B987" s="469" t="s">
        <v>13463</v>
      </c>
      <c r="C987" s="707" t="s">
        <v>13464</v>
      </c>
      <c r="D987" s="707" t="s">
        <v>28</v>
      </c>
      <c r="E987" s="707" t="s">
        <v>13465</v>
      </c>
      <c r="F987" s="293" t="s">
        <v>13466</v>
      </c>
      <c r="G987" s="708" t="s">
        <v>13467</v>
      </c>
    </row>
    <row r="988" spans="1:8" s="489" customFormat="1" ht="15.75">
      <c r="A988" s="473"/>
      <c r="B988" s="1246" t="s">
        <v>13735</v>
      </c>
      <c r="C988" s="1247"/>
      <c r="D988" s="1247"/>
      <c r="E988" s="1247"/>
      <c r="F988" s="1247"/>
      <c r="G988" s="1248"/>
    </row>
    <row r="989" spans="1:8" s="489" customFormat="1" ht="30">
      <c r="A989" s="473" t="s">
        <v>13458</v>
      </c>
      <c r="B989" s="709">
        <v>4723</v>
      </c>
      <c r="C989" s="439" t="str">
        <f>IFERROR(VLOOKUP(B989,comp_nãodes,2,FALSE),VLOOKUP(B989,insnãodes,2,FALSE))</f>
        <v>PEDRA BRITADA N. 4 (50 A 76 MM) POSTO PEDREIRA/FORNECEDOR, SEM FRETE</v>
      </c>
      <c r="D989" s="711" t="s">
        <v>6781</v>
      </c>
      <c r="E989" s="712">
        <v>1.05</v>
      </c>
      <c r="F989" s="426">
        <f t="shared" ref="F989:F992" si="66">IFERROR(VLOOKUP(B989,comp_nãodes,4,FALSE),VLOOKUP(B989,insnãodes,4,FALSE))</f>
        <v>87.28</v>
      </c>
      <c r="G989" s="714">
        <f>TRUNC(E989*F989,2)</f>
        <v>91.64</v>
      </c>
    </row>
    <row r="990" spans="1:8" s="489" customFormat="1" ht="15.75">
      <c r="A990" s="473"/>
      <c r="B990" s="1246" t="s">
        <v>13736</v>
      </c>
      <c r="C990" s="1247"/>
      <c r="D990" s="1247"/>
      <c r="E990" s="1247"/>
      <c r="F990" s="1247"/>
      <c r="G990" s="1248"/>
    </row>
    <row r="991" spans="1:8" s="489" customFormat="1" ht="15.75">
      <c r="A991" s="473" t="s">
        <v>13459</v>
      </c>
      <c r="B991" s="709">
        <v>88309</v>
      </c>
      <c r="C991" s="439" t="str">
        <f>IFERROR(VLOOKUP(B991,comp_nãodes,2,FALSE),VLOOKUP(B991,insnãodes,2,FALSE))</f>
        <v>PEDREIRO COM ENCARGOS COMPLEMENTARES</v>
      </c>
      <c r="D991" s="711" t="s">
        <v>753</v>
      </c>
      <c r="E991" s="715">
        <v>2.5</v>
      </c>
      <c r="F991" s="426">
        <f t="shared" si="66"/>
        <v>19.809999999999999</v>
      </c>
      <c r="G991" s="714">
        <f>TRUNC(E991*F991,2)</f>
        <v>49.52</v>
      </c>
    </row>
    <row r="992" spans="1:8" s="489" customFormat="1" ht="16.5" thickBot="1">
      <c r="A992" s="473" t="s">
        <v>13459</v>
      </c>
      <c r="B992" s="716">
        <v>88316</v>
      </c>
      <c r="C992" s="726" t="str">
        <f>IFERROR(VLOOKUP(B992,comp_nãodes,2,FALSE),VLOOKUP(B992,insnãodes,2,FALSE))</f>
        <v>SERVENTE COM ENCARGOS COMPLEMENTARES</v>
      </c>
      <c r="D992" s="718" t="s">
        <v>753</v>
      </c>
      <c r="E992" s="719">
        <v>2.5</v>
      </c>
      <c r="F992" s="727">
        <f t="shared" si="66"/>
        <v>15.91</v>
      </c>
      <c r="G992" s="721">
        <f>TRUNC(E992*F992,2)</f>
        <v>39.770000000000003</v>
      </c>
    </row>
    <row r="993" spans="1:8" s="489" customFormat="1" ht="16.5" thickBot="1">
      <c r="A993" s="473"/>
      <c r="B993" s="1255" t="s">
        <v>13740</v>
      </c>
      <c r="C993" s="1255"/>
      <c r="D993" s="1255"/>
      <c r="E993" s="1256"/>
      <c r="F993" s="492" t="s">
        <v>13738</v>
      </c>
      <c r="G993" s="493">
        <f>TRUNC(SUM(G989:G992),2)</f>
        <v>180.93</v>
      </c>
      <c r="H993" s="621"/>
    </row>
    <row r="994" spans="1:8" s="459" customFormat="1" ht="12.75">
      <c r="B994" s="699"/>
      <c r="C994" s="699"/>
      <c r="D994" s="700"/>
      <c r="E994" s="701"/>
      <c r="F994" s="702"/>
      <c r="G994" s="703"/>
    </row>
    <row r="995" spans="1:8" s="459" customFormat="1" ht="15.75" hidden="1">
      <c r="B995" s="466" t="str">
        <f>IF(COUNT($H$8:H995)&lt;10,CONCATENATE("COMP HID 00",COUNT($H$8:H995)),CONCATENATE("COMP HID 0",COUNT($H$8:H995)))</f>
        <v>COMP HID 067</v>
      </c>
      <c r="C995" s="1257" t="s">
        <v>12387</v>
      </c>
      <c r="D995" s="1257"/>
      <c r="E995" s="1257"/>
      <c r="F995" s="1257"/>
      <c r="G995" s="705" t="s">
        <v>35</v>
      </c>
      <c r="H995" s="706">
        <f>G1001</f>
        <v>140.16999999999999</v>
      </c>
    </row>
    <row r="996" spans="1:8" s="489" customFormat="1" ht="31.5" hidden="1">
      <c r="A996" s="473"/>
      <c r="B996" s="469" t="s">
        <v>13463</v>
      </c>
      <c r="C996" s="707" t="s">
        <v>13464</v>
      </c>
      <c r="D996" s="707" t="s">
        <v>28</v>
      </c>
      <c r="E996" s="707" t="s">
        <v>13465</v>
      </c>
      <c r="F996" s="293" t="s">
        <v>13466</v>
      </c>
      <c r="G996" s="708" t="s">
        <v>13467</v>
      </c>
    </row>
    <row r="997" spans="1:8" s="489" customFormat="1" ht="15.75" hidden="1">
      <c r="A997" s="473"/>
      <c r="B997" s="1246" t="s">
        <v>13735</v>
      </c>
      <c r="C997" s="1247"/>
      <c r="D997" s="1247"/>
      <c r="E997" s="1247"/>
      <c r="F997" s="1247"/>
      <c r="G997" s="1248"/>
    </row>
    <row r="998" spans="1:8" s="489" customFormat="1" ht="30" hidden="1">
      <c r="A998" s="473" t="s">
        <v>13458</v>
      </c>
      <c r="B998" s="709">
        <v>11236</v>
      </c>
      <c r="C998" s="710" t="s">
        <v>922</v>
      </c>
      <c r="D998" s="711" t="s">
        <v>6636</v>
      </c>
      <c r="E998" s="712">
        <v>1</v>
      </c>
      <c r="F998" s="713">
        <v>137.01</v>
      </c>
      <c r="G998" s="714">
        <f>TRUNC(E998*F998,2)</f>
        <v>137.01</v>
      </c>
    </row>
    <row r="999" spans="1:8" s="489" customFormat="1" ht="15.75" hidden="1">
      <c r="A999" s="473"/>
      <c r="B999" s="1246" t="s">
        <v>13736</v>
      </c>
      <c r="C999" s="1247"/>
      <c r="D999" s="1247"/>
      <c r="E999" s="1247"/>
      <c r="F999" s="1247"/>
      <c r="G999" s="1248"/>
    </row>
    <row r="1000" spans="1:8" s="489" customFormat="1" ht="16.5" hidden="1" thickBot="1">
      <c r="A1000" s="473" t="s">
        <v>13459</v>
      </c>
      <c r="B1000" s="716">
        <v>88309</v>
      </c>
      <c r="C1000" s="717" t="s">
        <v>760</v>
      </c>
      <c r="D1000" s="718" t="s">
        <v>753</v>
      </c>
      <c r="E1000" s="719">
        <v>0.16</v>
      </c>
      <c r="F1000" s="720">
        <v>19.809999999999999</v>
      </c>
      <c r="G1000" s="721">
        <f>TRUNC(E1000*F1000,2)</f>
        <v>3.16</v>
      </c>
    </row>
    <row r="1001" spans="1:8" s="489" customFormat="1" ht="16.5" hidden="1" thickBot="1">
      <c r="A1001" s="473"/>
      <c r="B1001" s="1255" t="s">
        <v>13741</v>
      </c>
      <c r="C1001" s="1255"/>
      <c r="D1001" s="1255"/>
      <c r="E1001" s="1256"/>
      <c r="F1001" s="492" t="s">
        <v>13738</v>
      </c>
      <c r="G1001" s="493">
        <f>TRUNC(SUM(G998:G1000),2)</f>
        <v>140.16999999999999</v>
      </c>
      <c r="H1001" s="621"/>
    </row>
    <row r="1002" spans="1:8" s="459" customFormat="1" ht="12.75" hidden="1">
      <c r="B1002" s="699"/>
      <c r="C1002" s="699"/>
      <c r="D1002" s="700"/>
      <c r="E1002" s="701"/>
      <c r="F1002" s="702"/>
      <c r="G1002" s="703"/>
    </row>
    <row r="1003" spans="1:8" s="459" customFormat="1" ht="15.75" hidden="1">
      <c r="B1003" s="466" t="str">
        <f>IF(COUNT($H$8:H1003)&lt;10,CONCATENATE("COMP HID 00",COUNT($H$8:H1003)),CONCATENATE("COMP HID 0",COUNT($H$8:H1003)))</f>
        <v>COMP HID 068</v>
      </c>
      <c r="C1003" s="1257" t="s">
        <v>12388</v>
      </c>
      <c r="D1003" s="1257"/>
      <c r="E1003" s="1257"/>
      <c r="F1003" s="1257"/>
      <c r="G1003" s="705" t="s">
        <v>35</v>
      </c>
      <c r="H1003" s="706">
        <f>G1009</f>
        <v>110.97</v>
      </c>
    </row>
    <row r="1004" spans="1:8" s="489" customFormat="1" ht="31.5" hidden="1">
      <c r="A1004" s="473"/>
      <c r="B1004" s="469" t="s">
        <v>13463</v>
      </c>
      <c r="C1004" s="707" t="s">
        <v>13464</v>
      </c>
      <c r="D1004" s="707" t="s">
        <v>28</v>
      </c>
      <c r="E1004" s="707" t="s">
        <v>13465</v>
      </c>
      <c r="F1004" s="293" t="s">
        <v>13466</v>
      </c>
      <c r="G1004" s="708" t="s">
        <v>13467</v>
      </c>
    </row>
    <row r="1005" spans="1:8" s="489" customFormat="1" ht="15.75" hidden="1">
      <c r="A1005" s="473"/>
      <c r="B1005" s="1246" t="s">
        <v>13735</v>
      </c>
      <c r="C1005" s="1247"/>
      <c r="D1005" s="1247"/>
      <c r="E1005" s="1247"/>
      <c r="F1005" s="1247"/>
      <c r="G1005" s="1248"/>
    </row>
    <row r="1006" spans="1:8" s="489" customFormat="1" ht="30" hidden="1">
      <c r="A1006" s="473" t="s">
        <v>13458</v>
      </c>
      <c r="B1006" s="709">
        <v>11235</v>
      </c>
      <c r="C1006" s="710" t="s">
        <v>8856</v>
      </c>
      <c r="D1006" s="711" t="s">
        <v>6636</v>
      </c>
      <c r="E1006" s="712">
        <v>1</v>
      </c>
      <c r="F1006" s="713">
        <v>107.81</v>
      </c>
      <c r="G1006" s="714">
        <f>TRUNC(E1006*F1006,2)</f>
        <v>107.81</v>
      </c>
    </row>
    <row r="1007" spans="1:8" s="489" customFormat="1" ht="15.75" hidden="1">
      <c r="A1007" s="473"/>
      <c r="B1007" s="1246" t="s">
        <v>13736</v>
      </c>
      <c r="C1007" s="1247"/>
      <c r="D1007" s="1247"/>
      <c r="E1007" s="1247"/>
      <c r="F1007" s="1247"/>
      <c r="G1007" s="1248"/>
    </row>
    <row r="1008" spans="1:8" s="489" customFormat="1" ht="16.5" hidden="1" thickBot="1">
      <c r="A1008" s="473" t="s">
        <v>13459</v>
      </c>
      <c r="B1008" s="716">
        <v>88309</v>
      </c>
      <c r="C1008" s="717" t="s">
        <v>760</v>
      </c>
      <c r="D1008" s="718" t="s">
        <v>753</v>
      </c>
      <c r="E1008" s="719">
        <v>0.16</v>
      </c>
      <c r="F1008" s="720">
        <v>19.809999999999999</v>
      </c>
      <c r="G1008" s="721">
        <f>TRUNC(E1008*F1008,2)</f>
        <v>3.16</v>
      </c>
    </row>
    <row r="1009" spans="1:8" s="489" customFormat="1" ht="16.5" hidden="1" thickBot="1">
      <c r="A1009" s="473"/>
      <c r="B1009" s="1255" t="s">
        <v>13742</v>
      </c>
      <c r="C1009" s="1255"/>
      <c r="D1009" s="1255"/>
      <c r="E1009" s="1256"/>
      <c r="F1009" s="492" t="s">
        <v>13738</v>
      </c>
      <c r="G1009" s="493">
        <f>TRUNC(SUM(G1006:G1008),2)</f>
        <v>110.97</v>
      </c>
      <c r="H1009" s="621"/>
    </row>
    <row r="1010" spans="1:8" s="459" customFormat="1" ht="12.75" hidden="1">
      <c r="B1010" s="699"/>
      <c r="C1010" s="699"/>
      <c r="D1010" s="700"/>
      <c r="E1010" s="701"/>
      <c r="F1010" s="702"/>
      <c r="G1010" s="703"/>
    </row>
    <row r="1011" spans="1:8" s="459" customFormat="1" ht="15.75" hidden="1">
      <c r="B1011" s="466" t="str">
        <f>IF(COUNT($H$8:H1011)&lt;10,CONCATENATE("COMP HID 00",COUNT($H$8:H1011)),CONCATENATE("COMP HID 0",COUNT($H$8:H1011)))</f>
        <v>COMP HID 069</v>
      </c>
      <c r="C1011" s="1257" t="s">
        <v>12404</v>
      </c>
      <c r="D1011" s="1257"/>
      <c r="E1011" s="1257"/>
      <c r="F1011" s="1257"/>
      <c r="G1011" s="705" t="s">
        <v>117</v>
      </c>
      <c r="H1011" s="706">
        <f>G1017</f>
        <v>9.7200000000000006</v>
      </c>
    </row>
    <row r="1012" spans="1:8" s="489" customFormat="1" ht="31.5" hidden="1">
      <c r="A1012" s="473"/>
      <c r="B1012" s="469" t="s">
        <v>13463</v>
      </c>
      <c r="C1012" s="707" t="s">
        <v>13464</v>
      </c>
      <c r="D1012" s="707" t="s">
        <v>28</v>
      </c>
      <c r="E1012" s="707" t="s">
        <v>13465</v>
      </c>
      <c r="F1012" s="293" t="s">
        <v>13466</v>
      </c>
      <c r="G1012" s="708" t="s">
        <v>13467</v>
      </c>
    </row>
    <row r="1013" spans="1:8" s="489" customFormat="1" ht="15.75" hidden="1">
      <c r="A1013" s="473"/>
      <c r="B1013" s="1246" t="s">
        <v>13735</v>
      </c>
      <c r="C1013" s="1247"/>
      <c r="D1013" s="1247"/>
      <c r="E1013" s="1247"/>
      <c r="F1013" s="1247"/>
      <c r="G1013" s="1248"/>
    </row>
    <row r="1014" spans="1:8" s="489" customFormat="1" ht="30" hidden="1">
      <c r="A1014" s="473" t="s">
        <v>13458</v>
      </c>
      <c r="B1014" s="709">
        <v>4019</v>
      </c>
      <c r="C1014" s="710" t="s">
        <v>8819</v>
      </c>
      <c r="D1014" s="711" t="s">
        <v>6638</v>
      </c>
      <c r="E1014" s="712">
        <v>1.08</v>
      </c>
      <c r="F1014" s="713">
        <v>8.57</v>
      </c>
      <c r="G1014" s="714">
        <f>TRUNC(E1014*F1014,2)</f>
        <v>9.25</v>
      </c>
    </row>
    <row r="1015" spans="1:8" s="489" customFormat="1" ht="15.75" hidden="1">
      <c r="A1015" s="473"/>
      <c r="B1015" s="1246" t="s">
        <v>13736</v>
      </c>
      <c r="C1015" s="1247"/>
      <c r="D1015" s="1247"/>
      <c r="E1015" s="1247"/>
      <c r="F1015" s="1247"/>
      <c r="G1015" s="1248"/>
    </row>
    <row r="1016" spans="1:8" s="489" customFormat="1" ht="16.5" hidden="1" thickBot="1">
      <c r="A1016" s="473" t="s">
        <v>13459</v>
      </c>
      <c r="B1016" s="716">
        <v>88316</v>
      </c>
      <c r="C1016" s="717" t="s">
        <v>761</v>
      </c>
      <c r="D1016" s="718" t="s">
        <v>753</v>
      </c>
      <c r="E1016" s="719">
        <v>0.03</v>
      </c>
      <c r="F1016" s="720">
        <v>15.91</v>
      </c>
      <c r="G1016" s="721">
        <f>TRUNC(E1016*F1016,2)</f>
        <v>0.47</v>
      </c>
    </row>
    <row r="1017" spans="1:8" s="489" customFormat="1" ht="16.5" hidden="1" thickBot="1">
      <c r="A1017" s="473"/>
      <c r="B1017" s="1255" t="s">
        <v>13743</v>
      </c>
      <c r="C1017" s="1255"/>
      <c r="D1017" s="1255"/>
      <c r="E1017" s="1256"/>
      <c r="F1017" s="492" t="s">
        <v>13738</v>
      </c>
      <c r="G1017" s="493">
        <f>TRUNC(SUM(G1014:G1016),2)</f>
        <v>9.7200000000000006</v>
      </c>
      <c r="H1017" s="621"/>
    </row>
    <row r="1018" spans="1:8" s="459" customFormat="1" ht="12.75" hidden="1">
      <c r="B1018" s="699"/>
      <c r="C1018" s="699"/>
      <c r="D1018" s="700"/>
      <c r="E1018" s="701"/>
      <c r="F1018" s="702"/>
      <c r="G1018" s="703"/>
    </row>
    <row r="1019" spans="1:8" s="459" customFormat="1" ht="15.75" hidden="1">
      <c r="B1019" s="466" t="str">
        <f>IF(COUNT($H$8:H1019)&lt;10,CONCATENATE("COMP HID 00",COUNT($H$8:H1019)),CONCATENATE("COMP HID 0",COUNT($H$8:H1019)))</f>
        <v>COMP HID 070</v>
      </c>
      <c r="C1019" s="1257" t="s">
        <v>12565</v>
      </c>
      <c r="D1019" s="1257"/>
      <c r="E1019" s="1257"/>
      <c r="F1019" s="1257"/>
      <c r="G1019" s="705" t="s">
        <v>60</v>
      </c>
      <c r="H1019" s="706">
        <f>G1025</f>
        <v>99.91</v>
      </c>
    </row>
    <row r="1020" spans="1:8" s="489" customFormat="1" ht="31.5" hidden="1">
      <c r="A1020" s="473"/>
      <c r="B1020" s="469" t="s">
        <v>13463</v>
      </c>
      <c r="C1020" s="707" t="s">
        <v>13464</v>
      </c>
      <c r="D1020" s="707" t="s">
        <v>28</v>
      </c>
      <c r="E1020" s="707" t="s">
        <v>13465</v>
      </c>
      <c r="F1020" s="293" t="s">
        <v>13466</v>
      </c>
      <c r="G1020" s="708" t="s">
        <v>13467</v>
      </c>
    </row>
    <row r="1021" spans="1:8" s="489" customFormat="1" ht="15.75" hidden="1">
      <c r="A1021" s="473"/>
      <c r="B1021" s="1246" t="s">
        <v>13735</v>
      </c>
      <c r="C1021" s="1247"/>
      <c r="D1021" s="1247"/>
      <c r="E1021" s="1247"/>
      <c r="F1021" s="1247"/>
      <c r="G1021" s="1248"/>
    </row>
    <row r="1022" spans="1:8" s="489" customFormat="1" ht="30" hidden="1">
      <c r="A1022" s="473" t="s">
        <v>13458</v>
      </c>
      <c r="B1022" s="709">
        <v>4718</v>
      </c>
      <c r="C1022" s="710" t="s">
        <v>860</v>
      </c>
      <c r="D1022" s="711" t="s">
        <v>6781</v>
      </c>
      <c r="E1022" s="712">
        <v>1.05</v>
      </c>
      <c r="F1022" s="713">
        <v>80</v>
      </c>
      <c r="G1022" s="714">
        <f>TRUNC(E1022*F1022,2)</f>
        <v>84</v>
      </c>
    </row>
    <row r="1023" spans="1:8" s="489" customFormat="1" ht="15.75" hidden="1">
      <c r="A1023" s="473"/>
      <c r="B1023" s="1246" t="s">
        <v>13736</v>
      </c>
      <c r="C1023" s="1247"/>
      <c r="D1023" s="1247"/>
      <c r="E1023" s="1247"/>
      <c r="F1023" s="1247"/>
      <c r="G1023" s="1248"/>
    </row>
    <row r="1024" spans="1:8" s="489" customFormat="1" ht="16.5" hidden="1" thickBot="1">
      <c r="A1024" s="473" t="s">
        <v>13459</v>
      </c>
      <c r="B1024" s="716">
        <v>88316</v>
      </c>
      <c r="C1024" s="717" t="s">
        <v>761</v>
      </c>
      <c r="D1024" s="718" t="s">
        <v>753</v>
      </c>
      <c r="E1024" s="719">
        <v>1</v>
      </c>
      <c r="F1024" s="720">
        <v>15.91</v>
      </c>
      <c r="G1024" s="721">
        <f>TRUNC(E1024*F1024,2)</f>
        <v>15.91</v>
      </c>
    </row>
    <row r="1025" spans="1:14" s="489" customFormat="1" ht="16.5" hidden="1" thickBot="1">
      <c r="A1025" s="473"/>
      <c r="B1025" s="1255" t="s">
        <v>13744</v>
      </c>
      <c r="C1025" s="1255"/>
      <c r="D1025" s="1255"/>
      <c r="E1025" s="1256"/>
      <c r="F1025" s="492" t="s">
        <v>13738</v>
      </c>
      <c r="G1025" s="493">
        <f>TRUNC(SUM(G1022:G1024),2)</f>
        <v>99.91</v>
      </c>
      <c r="H1025" s="621"/>
    </row>
    <row r="1026" spans="1:14" s="458" customFormat="1" hidden="1">
      <c r="A1026" s="457"/>
      <c r="H1026" s="457"/>
      <c r="I1026"/>
      <c r="J1026"/>
      <c r="K1026"/>
      <c r="L1026"/>
      <c r="M1026"/>
      <c r="N1026"/>
    </row>
    <row r="1027" spans="1:14" s="458" customFormat="1">
      <c r="A1027" s="457"/>
      <c r="H1027" s="457"/>
      <c r="I1027"/>
      <c r="J1027"/>
      <c r="K1027"/>
      <c r="L1027"/>
      <c r="M1027"/>
      <c r="N1027"/>
    </row>
    <row r="1037" spans="1:14">
      <c r="C1037" s="742"/>
    </row>
    <row r="1038" spans="1:14" ht="15.75">
      <c r="C1038" s="743" t="s">
        <v>12862</v>
      </c>
    </row>
    <row r="1039" spans="1:14">
      <c r="C1039" s="744" t="s">
        <v>12863</v>
      </c>
    </row>
    <row r="1040" spans="1:14">
      <c r="C1040" s="744" t="s">
        <v>12864</v>
      </c>
    </row>
  </sheetData>
  <mergeCells count="312">
    <mergeCell ref="C1019:F1019"/>
    <mergeCell ref="B1021:G1021"/>
    <mergeCell ref="B1023:G1023"/>
    <mergeCell ref="B1025:E1025"/>
    <mergeCell ref="B1007:G1007"/>
    <mergeCell ref="B1009:E1009"/>
    <mergeCell ref="C1011:F1011"/>
    <mergeCell ref="B1013:G1013"/>
    <mergeCell ref="B1015:G1015"/>
    <mergeCell ref="B1017:E1017"/>
    <mergeCell ref="C995:F995"/>
    <mergeCell ref="B997:G997"/>
    <mergeCell ref="B999:G999"/>
    <mergeCell ref="B1001:E1001"/>
    <mergeCell ref="C1003:F1003"/>
    <mergeCell ref="B1005:G1005"/>
    <mergeCell ref="B973:G973"/>
    <mergeCell ref="B984:E984"/>
    <mergeCell ref="C986:F986"/>
    <mergeCell ref="B988:G988"/>
    <mergeCell ref="B990:G990"/>
    <mergeCell ref="B993:E993"/>
    <mergeCell ref="B960:E960"/>
    <mergeCell ref="C962:F962"/>
    <mergeCell ref="B964:G964"/>
    <mergeCell ref="B966:G966"/>
    <mergeCell ref="B969:E969"/>
    <mergeCell ref="C971:F971"/>
    <mergeCell ref="C939:F939"/>
    <mergeCell ref="B941:G941"/>
    <mergeCell ref="B950:E950"/>
    <mergeCell ref="C952:F952"/>
    <mergeCell ref="B954:G954"/>
    <mergeCell ref="B957:G957"/>
    <mergeCell ref="B924:G924"/>
    <mergeCell ref="B925:G925"/>
    <mergeCell ref="C927:F927"/>
    <mergeCell ref="B929:G929"/>
    <mergeCell ref="B933:G933"/>
    <mergeCell ref="B937:E937"/>
    <mergeCell ref="B904:G904"/>
    <mergeCell ref="B907:G907"/>
    <mergeCell ref="C915:F915"/>
    <mergeCell ref="B917:G917"/>
    <mergeCell ref="B920:G920"/>
    <mergeCell ref="B923:E923"/>
    <mergeCell ref="B884:G884"/>
    <mergeCell ref="B887:G887"/>
    <mergeCell ref="B891:G891"/>
    <mergeCell ref="B892:G892"/>
    <mergeCell ref="C900:F900"/>
    <mergeCell ref="B902:G902"/>
    <mergeCell ref="C871:F871"/>
    <mergeCell ref="B873:G873"/>
    <mergeCell ref="B876:G876"/>
    <mergeCell ref="B879:G879"/>
    <mergeCell ref="B880:G880"/>
    <mergeCell ref="C882:F882"/>
    <mergeCell ref="B848:G848"/>
    <mergeCell ref="C852:F852"/>
    <mergeCell ref="B854:G854"/>
    <mergeCell ref="B857:G857"/>
    <mergeCell ref="B861:G861"/>
    <mergeCell ref="B862:G862"/>
    <mergeCell ref="B823:G823"/>
    <mergeCell ref="C830:F830"/>
    <mergeCell ref="B832:G832"/>
    <mergeCell ref="B837:G837"/>
    <mergeCell ref="C844:F844"/>
    <mergeCell ref="B846:G846"/>
    <mergeCell ref="B799:G799"/>
    <mergeCell ref="B802:G802"/>
    <mergeCell ref="B806:G806"/>
    <mergeCell ref="B807:G807"/>
    <mergeCell ref="C816:F816"/>
    <mergeCell ref="B818:G818"/>
    <mergeCell ref="B768:G768"/>
    <mergeCell ref="B774:G774"/>
    <mergeCell ref="B779:G779"/>
    <mergeCell ref="B785:G785"/>
    <mergeCell ref="B790:G790"/>
    <mergeCell ref="C797:F797"/>
    <mergeCell ref="C748:F748"/>
    <mergeCell ref="B750:G750"/>
    <mergeCell ref="B753:G753"/>
    <mergeCell ref="B756:G756"/>
    <mergeCell ref="B757:G757"/>
    <mergeCell ref="C766:F766"/>
    <mergeCell ref="C716:F716"/>
    <mergeCell ref="B718:G718"/>
    <mergeCell ref="B720:G720"/>
    <mergeCell ref="C732:F732"/>
    <mergeCell ref="B734:G734"/>
    <mergeCell ref="B736:G736"/>
    <mergeCell ref="C691:F691"/>
    <mergeCell ref="B693:G693"/>
    <mergeCell ref="B695:G695"/>
    <mergeCell ref="C706:F706"/>
    <mergeCell ref="B708:G708"/>
    <mergeCell ref="B711:G711"/>
    <mergeCell ref="B676:G676"/>
    <mergeCell ref="C678:F678"/>
    <mergeCell ref="B680:G680"/>
    <mergeCell ref="B684:G684"/>
    <mergeCell ref="B688:G688"/>
    <mergeCell ref="B689:H689"/>
    <mergeCell ref="B663:G663"/>
    <mergeCell ref="B664:G664"/>
    <mergeCell ref="C665:F665"/>
    <mergeCell ref="B667:G667"/>
    <mergeCell ref="B671:G671"/>
    <mergeCell ref="B675:G675"/>
    <mergeCell ref="B644:G644"/>
    <mergeCell ref="B648:G648"/>
    <mergeCell ref="C653:F653"/>
    <mergeCell ref="B655:G655"/>
    <mergeCell ref="B658:G658"/>
    <mergeCell ref="B662:G662"/>
    <mergeCell ref="B604:G604"/>
    <mergeCell ref="B614:G614"/>
    <mergeCell ref="C621:F621"/>
    <mergeCell ref="B623:G623"/>
    <mergeCell ref="B630:G630"/>
    <mergeCell ref="C642:F642"/>
    <mergeCell ref="B587:G587"/>
    <mergeCell ref="B589:G589"/>
    <mergeCell ref="C594:F594"/>
    <mergeCell ref="B596:G596"/>
    <mergeCell ref="B598:G598"/>
    <mergeCell ref="C602:F602"/>
    <mergeCell ref="B569:G569"/>
    <mergeCell ref="B571:G571"/>
    <mergeCell ref="C576:F576"/>
    <mergeCell ref="B578:G578"/>
    <mergeCell ref="B580:G580"/>
    <mergeCell ref="C585:F585"/>
    <mergeCell ref="B536:G536"/>
    <mergeCell ref="B538:G538"/>
    <mergeCell ref="C543:F543"/>
    <mergeCell ref="B545:G545"/>
    <mergeCell ref="B548:G548"/>
    <mergeCell ref="C567:F567"/>
    <mergeCell ref="B518:G518"/>
    <mergeCell ref="B520:G520"/>
    <mergeCell ref="C525:F525"/>
    <mergeCell ref="B527:G527"/>
    <mergeCell ref="B529:G529"/>
    <mergeCell ref="C534:F534"/>
    <mergeCell ref="B505:G505"/>
    <mergeCell ref="B506:G506"/>
    <mergeCell ref="C507:F507"/>
    <mergeCell ref="B509:G509"/>
    <mergeCell ref="B511:G511"/>
    <mergeCell ref="C516:F516"/>
    <mergeCell ref="B488:G488"/>
    <mergeCell ref="B492:G492"/>
    <mergeCell ref="B493:G493"/>
    <mergeCell ref="C495:F495"/>
    <mergeCell ref="B497:G497"/>
    <mergeCell ref="B501:G501"/>
    <mergeCell ref="B471:G471"/>
    <mergeCell ref="B475:G475"/>
    <mergeCell ref="B479:G479"/>
    <mergeCell ref="B480:G480"/>
    <mergeCell ref="C482:F482"/>
    <mergeCell ref="B484:G484"/>
    <mergeCell ref="C455:F455"/>
    <mergeCell ref="B457:G457"/>
    <mergeCell ref="B462:G462"/>
    <mergeCell ref="B466:G466"/>
    <mergeCell ref="B467:G467"/>
    <mergeCell ref="C469:F469"/>
    <mergeCell ref="B439:H439"/>
    <mergeCell ref="C441:F441"/>
    <mergeCell ref="B443:G443"/>
    <mergeCell ref="B448:G448"/>
    <mergeCell ref="B452:G452"/>
    <mergeCell ref="B453:G453"/>
    <mergeCell ref="B424:G424"/>
    <mergeCell ref="B425:H425"/>
    <mergeCell ref="C427:F427"/>
    <mergeCell ref="B429:G429"/>
    <mergeCell ref="B434:G434"/>
    <mergeCell ref="B438:G438"/>
    <mergeCell ref="B407:G407"/>
    <mergeCell ref="B411:G411"/>
    <mergeCell ref="B412:H412"/>
    <mergeCell ref="C414:F414"/>
    <mergeCell ref="B416:G416"/>
    <mergeCell ref="B420:G420"/>
    <mergeCell ref="B390:G390"/>
    <mergeCell ref="B394:G394"/>
    <mergeCell ref="B398:G398"/>
    <mergeCell ref="B399:H399"/>
    <mergeCell ref="C401:F401"/>
    <mergeCell ref="B403:G403"/>
    <mergeCell ref="C376:F376"/>
    <mergeCell ref="B378:G378"/>
    <mergeCell ref="B381:G381"/>
    <mergeCell ref="B385:G385"/>
    <mergeCell ref="B386:H386"/>
    <mergeCell ref="C388:F388"/>
    <mergeCell ref="B358:G358"/>
    <mergeCell ref="C360:F360"/>
    <mergeCell ref="B362:G362"/>
    <mergeCell ref="B368:G368"/>
    <mergeCell ref="B372:G372"/>
    <mergeCell ref="B373:H373"/>
    <mergeCell ref="C335:F335"/>
    <mergeCell ref="B337:G337"/>
    <mergeCell ref="B341:G341"/>
    <mergeCell ref="C346:F346"/>
    <mergeCell ref="B348:G348"/>
    <mergeCell ref="B354:G354"/>
    <mergeCell ref="C317:F317"/>
    <mergeCell ref="B319:G319"/>
    <mergeCell ref="B321:G321"/>
    <mergeCell ref="C325:F325"/>
    <mergeCell ref="B327:G327"/>
    <mergeCell ref="B330:G330"/>
    <mergeCell ref="C300:F300"/>
    <mergeCell ref="B302:G302"/>
    <mergeCell ref="B304:G304"/>
    <mergeCell ref="C308:F308"/>
    <mergeCell ref="B310:G310"/>
    <mergeCell ref="B312:G312"/>
    <mergeCell ref="B274:G274"/>
    <mergeCell ref="B280:G280"/>
    <mergeCell ref="B285:G285"/>
    <mergeCell ref="C292:F292"/>
    <mergeCell ref="B294:G294"/>
    <mergeCell ref="B296:G296"/>
    <mergeCell ref="B243:G243"/>
    <mergeCell ref="B249:G249"/>
    <mergeCell ref="B254:G254"/>
    <mergeCell ref="C261:F261"/>
    <mergeCell ref="B263:G263"/>
    <mergeCell ref="B269:G269"/>
    <mergeCell ref="B212:G212"/>
    <mergeCell ref="B218:G218"/>
    <mergeCell ref="B223:G223"/>
    <mergeCell ref="C230:F230"/>
    <mergeCell ref="B232:G232"/>
    <mergeCell ref="B238:G238"/>
    <mergeCell ref="B181:G181"/>
    <mergeCell ref="B187:G187"/>
    <mergeCell ref="B192:G192"/>
    <mergeCell ref="C199:F199"/>
    <mergeCell ref="B201:G201"/>
    <mergeCell ref="B207:G207"/>
    <mergeCell ref="B150:G150"/>
    <mergeCell ref="B156:G156"/>
    <mergeCell ref="B161:G161"/>
    <mergeCell ref="C168:F168"/>
    <mergeCell ref="B170:G170"/>
    <mergeCell ref="B176:G176"/>
    <mergeCell ref="B131:G131"/>
    <mergeCell ref="B135:G135"/>
    <mergeCell ref="B136:G136"/>
    <mergeCell ref="C138:F138"/>
    <mergeCell ref="B140:G140"/>
    <mergeCell ref="B145:G145"/>
    <mergeCell ref="B114:G114"/>
    <mergeCell ref="B118:G118"/>
    <mergeCell ref="B122:G122"/>
    <mergeCell ref="B123:G123"/>
    <mergeCell ref="C125:F125"/>
    <mergeCell ref="B127:G127"/>
    <mergeCell ref="C99:F99"/>
    <mergeCell ref="B101:G101"/>
    <mergeCell ref="B105:G105"/>
    <mergeCell ref="B109:G109"/>
    <mergeCell ref="B110:G110"/>
    <mergeCell ref="C112:F112"/>
    <mergeCell ref="C86:F86"/>
    <mergeCell ref="B88:G88"/>
    <mergeCell ref="B92:G92"/>
    <mergeCell ref="B95:E95"/>
    <mergeCell ref="B96:G96"/>
    <mergeCell ref="B97:G97"/>
    <mergeCell ref="B71:G71"/>
    <mergeCell ref="C73:F73"/>
    <mergeCell ref="B75:G75"/>
    <mergeCell ref="B79:G79"/>
    <mergeCell ref="B83:G83"/>
    <mergeCell ref="B84:G84"/>
    <mergeCell ref="B57:G57"/>
    <mergeCell ref="B58:G58"/>
    <mergeCell ref="C60:F60"/>
    <mergeCell ref="B62:G62"/>
    <mergeCell ref="B66:G66"/>
    <mergeCell ref="B70:G70"/>
    <mergeCell ref="B43:E43"/>
    <mergeCell ref="B44:G44"/>
    <mergeCell ref="B45:G45"/>
    <mergeCell ref="C47:F47"/>
    <mergeCell ref="B49:G49"/>
    <mergeCell ref="B53:G53"/>
    <mergeCell ref="B6:G6"/>
    <mergeCell ref="C8:F8"/>
    <mergeCell ref="B27:G27"/>
    <mergeCell ref="B31:G31"/>
    <mergeCell ref="B32:G32"/>
    <mergeCell ref="C34:F34"/>
    <mergeCell ref="B36:G36"/>
    <mergeCell ref="B40:G40"/>
    <mergeCell ref="B10:G10"/>
    <mergeCell ref="B14:G14"/>
    <mergeCell ref="B18:G18"/>
    <mergeCell ref="B19:G19"/>
    <mergeCell ref="C21:F21"/>
    <mergeCell ref="B23:G23"/>
  </mergeCells>
  <dataValidations disablePrompts="1" count="1">
    <dataValidation type="list" allowBlank="1" showInputMessage="1" showErrorMessage="1" sqref="A369:A370 A989 A967:A968 A965 A955:A956 A958:A959 A1024 A1022 A1016 A1014 A1008 A1006 A1000 A998 A685:A686 A681:A683 A546:A547 A645:A647 A649:A650 A363:A367 A590:A591 A588 A549:A550 A719 A539:A540 A537 A974:A983 A991:A992 A605:A613 A849 A754 A735 A737:A738 A624:A629 A721:A722 A847 A712:A713 A709:A710 A694 A696 A668:A670 A672:A673 A615:A618 A656:A657 A659:A660 A631:A632 A342:A343 A599 A597 A751:A752 A379:A380 A382:A383 A581:A582 A579 A572:A573 A570 A530:A531 A528 A521:A522 A519 A502:A503 A498:A500 A489:A490 A485:A487 A476:A477 A472:A474 A331:A332 A328:A329 A458:A461 A463:A464 A430:A433 A435:A436 A421:A422 A417:A419 A408:A409 A404:A406 A395:A396 A391:A393 A320 A322 A311 A313 A303 A305 A295 A297 A338:A340 A349:A353 A355:A356 A141 A132:A133 A128:A130 A119:A120 A115:A117 A106:A107 A102:A104 A93:A94 A89:A91 A80:A81 A76:A78 A67:A68 A63:A65 A54:A55 A50:A52 A41:A42 A37:A39 A28:A29 A24:A26 A15:A16 A11:A13 A444:A447 A512:A513 A449:A450 A510">
      <formula1>#REF!</formula1>
    </dataValidation>
  </dataValidations>
  <printOptions horizontalCentered="1"/>
  <pageMargins left="0.59055118110236227" right="0.59055118110236227" top="1.7716535433070868" bottom="0.78740157480314965" header="0.19685039370078741" footer="0.19685039370078741"/>
  <pageSetup paperSize="9" scale="49" fitToHeight="100" orientation="portrait" r:id="rId1"/>
  <headerFooter scaleWithDoc="0" alignWithMargins="0">
    <oddFooter>Página &amp;P de &amp;N</oddFooter>
  </headerFooter>
  <rowBreaks count="7" manualBreakCount="7">
    <brk id="72" min="1" max="6" man="1"/>
    <brk id="334" min="1" max="6" man="1"/>
    <brk id="426" min="1" max="6" man="1"/>
    <brk id="454" min="1" max="6" man="1"/>
    <brk id="533" min="1" max="6" man="1"/>
    <brk id="584" min="1" max="6" man="1"/>
    <brk id="938" min="1" max="6" man="1"/>
  </rowBreaks>
</worksheet>
</file>

<file path=xl/worksheets/sheet8.xml><?xml version="1.0" encoding="utf-8"?>
<worksheet xmlns="http://schemas.openxmlformats.org/spreadsheetml/2006/main" xmlns:r="http://schemas.openxmlformats.org/officeDocument/2006/relationships">
  <sheetPr codeName="Planilha13">
    <tabColor theme="5" tint="0.39997558519241921"/>
  </sheetPr>
  <dimension ref="A1:Q1580"/>
  <sheetViews>
    <sheetView view="pageBreakPreview" topLeftCell="B1561" zoomScale="85" zoomScaleSheetLayoutView="85" workbookViewId="0">
      <selection activeCell="C1577" sqref="C1577:C1580"/>
    </sheetView>
  </sheetViews>
  <sheetFormatPr defaultRowHeight="12.75"/>
  <cols>
    <col min="1" max="1" width="17.42578125" style="457" hidden="1" customWidth="1"/>
    <col min="2" max="2" width="24.5703125" style="458" customWidth="1"/>
    <col min="3" max="3" width="74.7109375" style="458" customWidth="1"/>
    <col min="4" max="4" width="11.85546875" style="458" bestFit="1" customWidth="1"/>
    <col min="5" max="5" width="24" style="458" bestFit="1" customWidth="1"/>
    <col min="6" max="6" width="18.140625" style="458" customWidth="1"/>
    <col min="7" max="7" width="16.140625" style="458" bestFit="1" customWidth="1"/>
    <col min="8" max="8" width="16.140625" style="457" hidden="1" customWidth="1"/>
    <col min="9" max="9" width="16.5703125" style="458" hidden="1" customWidth="1"/>
    <col min="10" max="257" width="9.140625" style="458"/>
    <col min="258" max="258" width="24.5703125" style="458" customWidth="1"/>
    <col min="259" max="259" width="71.7109375" style="458" customWidth="1"/>
    <col min="260" max="260" width="17.140625" style="458" bestFit="1" customWidth="1"/>
    <col min="261" max="261" width="16.7109375" style="458" bestFit="1" customWidth="1"/>
    <col min="262" max="262" width="16.85546875" style="458" bestFit="1" customWidth="1"/>
    <col min="263" max="263" width="21.42578125" style="458" customWidth="1"/>
    <col min="264" max="264" width="9.140625" style="458"/>
    <col min="265" max="265" width="16.5703125" style="458" bestFit="1" customWidth="1"/>
    <col min="266" max="513" width="9.140625" style="458"/>
    <col min="514" max="514" width="24.5703125" style="458" customWidth="1"/>
    <col min="515" max="515" width="71.7109375" style="458" customWidth="1"/>
    <col min="516" max="516" width="17.140625" style="458" bestFit="1" customWidth="1"/>
    <col min="517" max="517" width="16.7109375" style="458" bestFit="1" customWidth="1"/>
    <col min="518" max="518" width="16.85546875" style="458" bestFit="1" customWidth="1"/>
    <col min="519" max="519" width="21.42578125" style="458" customWidth="1"/>
    <col min="520" max="520" width="9.140625" style="458"/>
    <col min="521" max="521" width="16.5703125" style="458" bestFit="1" customWidth="1"/>
    <col min="522" max="769" width="9.140625" style="458"/>
    <col min="770" max="770" width="24.5703125" style="458" customWidth="1"/>
    <col min="771" max="771" width="71.7109375" style="458" customWidth="1"/>
    <col min="772" max="772" width="17.140625" style="458" bestFit="1" customWidth="1"/>
    <col min="773" max="773" width="16.7109375" style="458" bestFit="1" customWidth="1"/>
    <col min="774" max="774" width="16.85546875" style="458" bestFit="1" customWidth="1"/>
    <col min="775" max="775" width="21.42578125" style="458" customWidth="1"/>
    <col min="776" max="776" width="9.140625" style="458"/>
    <col min="777" max="777" width="16.5703125" style="458" bestFit="1" customWidth="1"/>
    <col min="778" max="1025" width="9.140625" style="458"/>
    <col min="1026" max="1026" width="24.5703125" style="458" customWidth="1"/>
    <col min="1027" max="1027" width="71.7109375" style="458" customWidth="1"/>
    <col min="1028" max="1028" width="17.140625" style="458" bestFit="1" customWidth="1"/>
    <col min="1029" max="1029" width="16.7109375" style="458" bestFit="1" customWidth="1"/>
    <col min="1030" max="1030" width="16.85546875" style="458" bestFit="1" customWidth="1"/>
    <col min="1031" max="1031" width="21.42578125" style="458" customWidth="1"/>
    <col min="1032" max="1032" width="9.140625" style="458"/>
    <col min="1033" max="1033" width="16.5703125" style="458" bestFit="1" customWidth="1"/>
    <col min="1034" max="1281" width="9.140625" style="458"/>
    <col min="1282" max="1282" width="24.5703125" style="458" customWidth="1"/>
    <col min="1283" max="1283" width="71.7109375" style="458" customWidth="1"/>
    <col min="1284" max="1284" width="17.140625" style="458" bestFit="1" customWidth="1"/>
    <col min="1285" max="1285" width="16.7109375" style="458" bestFit="1" customWidth="1"/>
    <col min="1286" max="1286" width="16.85546875" style="458" bestFit="1" customWidth="1"/>
    <col min="1287" max="1287" width="21.42578125" style="458" customWidth="1"/>
    <col min="1288" max="1288" width="9.140625" style="458"/>
    <col min="1289" max="1289" width="16.5703125" style="458" bestFit="1" customWidth="1"/>
    <col min="1290" max="1537" width="9.140625" style="458"/>
    <col min="1538" max="1538" width="24.5703125" style="458" customWidth="1"/>
    <col min="1539" max="1539" width="71.7109375" style="458" customWidth="1"/>
    <col min="1540" max="1540" width="17.140625" style="458" bestFit="1" customWidth="1"/>
    <col min="1541" max="1541" width="16.7109375" style="458" bestFit="1" customWidth="1"/>
    <col min="1542" max="1542" width="16.85546875" style="458" bestFit="1" customWidth="1"/>
    <col min="1543" max="1543" width="21.42578125" style="458" customWidth="1"/>
    <col min="1544" max="1544" width="9.140625" style="458"/>
    <col min="1545" max="1545" width="16.5703125" style="458" bestFit="1" customWidth="1"/>
    <col min="1546" max="1793" width="9.140625" style="458"/>
    <col min="1794" max="1794" width="24.5703125" style="458" customWidth="1"/>
    <col min="1795" max="1795" width="71.7109375" style="458" customWidth="1"/>
    <col min="1796" max="1796" width="17.140625" style="458" bestFit="1" customWidth="1"/>
    <col min="1797" max="1797" width="16.7109375" style="458" bestFit="1" customWidth="1"/>
    <col min="1798" max="1798" width="16.85546875" style="458" bestFit="1" customWidth="1"/>
    <col min="1799" max="1799" width="21.42578125" style="458" customWidth="1"/>
    <col min="1800" max="1800" width="9.140625" style="458"/>
    <col min="1801" max="1801" width="16.5703125" style="458" bestFit="1" customWidth="1"/>
    <col min="1802" max="2049" width="9.140625" style="458"/>
    <col min="2050" max="2050" width="24.5703125" style="458" customWidth="1"/>
    <col min="2051" max="2051" width="71.7109375" style="458" customWidth="1"/>
    <col min="2052" max="2052" width="17.140625" style="458" bestFit="1" customWidth="1"/>
    <col min="2053" max="2053" width="16.7109375" style="458" bestFit="1" customWidth="1"/>
    <col min="2054" max="2054" width="16.85546875" style="458" bestFit="1" customWidth="1"/>
    <col min="2055" max="2055" width="21.42578125" style="458" customWidth="1"/>
    <col min="2056" max="2056" width="9.140625" style="458"/>
    <col min="2057" max="2057" width="16.5703125" style="458" bestFit="1" customWidth="1"/>
    <col min="2058" max="2305" width="9.140625" style="458"/>
    <col min="2306" max="2306" width="24.5703125" style="458" customWidth="1"/>
    <col min="2307" max="2307" width="71.7109375" style="458" customWidth="1"/>
    <col min="2308" max="2308" width="17.140625" style="458" bestFit="1" customWidth="1"/>
    <col min="2309" max="2309" width="16.7109375" style="458" bestFit="1" customWidth="1"/>
    <col min="2310" max="2310" width="16.85546875" style="458" bestFit="1" customWidth="1"/>
    <col min="2311" max="2311" width="21.42578125" style="458" customWidth="1"/>
    <col min="2312" max="2312" width="9.140625" style="458"/>
    <col min="2313" max="2313" width="16.5703125" style="458" bestFit="1" customWidth="1"/>
    <col min="2314" max="2561" width="9.140625" style="458"/>
    <col min="2562" max="2562" width="24.5703125" style="458" customWidth="1"/>
    <col min="2563" max="2563" width="71.7109375" style="458" customWidth="1"/>
    <col min="2564" max="2564" width="17.140625" style="458" bestFit="1" customWidth="1"/>
    <col min="2565" max="2565" width="16.7109375" style="458" bestFit="1" customWidth="1"/>
    <col min="2566" max="2566" width="16.85546875" style="458" bestFit="1" customWidth="1"/>
    <col min="2567" max="2567" width="21.42578125" style="458" customWidth="1"/>
    <col min="2568" max="2568" width="9.140625" style="458"/>
    <col min="2569" max="2569" width="16.5703125" style="458" bestFit="1" customWidth="1"/>
    <col min="2570" max="2817" width="9.140625" style="458"/>
    <col min="2818" max="2818" width="24.5703125" style="458" customWidth="1"/>
    <col min="2819" max="2819" width="71.7109375" style="458" customWidth="1"/>
    <col min="2820" max="2820" width="17.140625" style="458" bestFit="1" customWidth="1"/>
    <col min="2821" max="2821" width="16.7109375" style="458" bestFit="1" customWidth="1"/>
    <col min="2822" max="2822" width="16.85546875" style="458" bestFit="1" customWidth="1"/>
    <col min="2823" max="2823" width="21.42578125" style="458" customWidth="1"/>
    <col min="2824" max="2824" width="9.140625" style="458"/>
    <col min="2825" max="2825" width="16.5703125" style="458" bestFit="1" customWidth="1"/>
    <col min="2826" max="3073" width="9.140625" style="458"/>
    <col min="3074" max="3074" width="24.5703125" style="458" customWidth="1"/>
    <col min="3075" max="3075" width="71.7109375" style="458" customWidth="1"/>
    <col min="3076" max="3076" width="17.140625" style="458" bestFit="1" customWidth="1"/>
    <col min="3077" max="3077" width="16.7109375" style="458" bestFit="1" customWidth="1"/>
    <col min="3078" max="3078" width="16.85546875" style="458" bestFit="1" customWidth="1"/>
    <col min="3079" max="3079" width="21.42578125" style="458" customWidth="1"/>
    <col min="3080" max="3080" width="9.140625" style="458"/>
    <col min="3081" max="3081" width="16.5703125" style="458" bestFit="1" customWidth="1"/>
    <col min="3082" max="3329" width="9.140625" style="458"/>
    <col min="3330" max="3330" width="24.5703125" style="458" customWidth="1"/>
    <col min="3331" max="3331" width="71.7109375" style="458" customWidth="1"/>
    <col min="3332" max="3332" width="17.140625" style="458" bestFit="1" customWidth="1"/>
    <col min="3333" max="3333" width="16.7109375" style="458" bestFit="1" customWidth="1"/>
    <col min="3334" max="3334" width="16.85546875" style="458" bestFit="1" customWidth="1"/>
    <col min="3335" max="3335" width="21.42578125" style="458" customWidth="1"/>
    <col min="3336" max="3336" width="9.140625" style="458"/>
    <col min="3337" max="3337" width="16.5703125" style="458" bestFit="1" customWidth="1"/>
    <col min="3338" max="3585" width="9.140625" style="458"/>
    <col min="3586" max="3586" width="24.5703125" style="458" customWidth="1"/>
    <col min="3587" max="3587" width="71.7109375" style="458" customWidth="1"/>
    <col min="3588" max="3588" width="17.140625" style="458" bestFit="1" customWidth="1"/>
    <col min="3589" max="3589" width="16.7109375" style="458" bestFit="1" customWidth="1"/>
    <col min="3590" max="3590" width="16.85546875" style="458" bestFit="1" customWidth="1"/>
    <col min="3591" max="3591" width="21.42578125" style="458" customWidth="1"/>
    <col min="3592" max="3592" width="9.140625" style="458"/>
    <col min="3593" max="3593" width="16.5703125" style="458" bestFit="1" customWidth="1"/>
    <col min="3594" max="3841" width="9.140625" style="458"/>
    <col min="3842" max="3842" width="24.5703125" style="458" customWidth="1"/>
    <col min="3843" max="3843" width="71.7109375" style="458" customWidth="1"/>
    <col min="3844" max="3844" width="17.140625" style="458" bestFit="1" customWidth="1"/>
    <col min="3845" max="3845" width="16.7109375" style="458" bestFit="1" customWidth="1"/>
    <col min="3846" max="3846" width="16.85546875" style="458" bestFit="1" customWidth="1"/>
    <col min="3847" max="3847" width="21.42578125" style="458" customWidth="1"/>
    <col min="3848" max="3848" width="9.140625" style="458"/>
    <col min="3849" max="3849" width="16.5703125" style="458" bestFit="1" customWidth="1"/>
    <col min="3850" max="4097" width="9.140625" style="458"/>
    <col min="4098" max="4098" width="24.5703125" style="458" customWidth="1"/>
    <col min="4099" max="4099" width="71.7109375" style="458" customWidth="1"/>
    <col min="4100" max="4100" width="17.140625" style="458" bestFit="1" customWidth="1"/>
    <col min="4101" max="4101" width="16.7109375" style="458" bestFit="1" customWidth="1"/>
    <col min="4102" max="4102" width="16.85546875" style="458" bestFit="1" customWidth="1"/>
    <col min="4103" max="4103" width="21.42578125" style="458" customWidth="1"/>
    <col min="4104" max="4104" width="9.140625" style="458"/>
    <col min="4105" max="4105" width="16.5703125" style="458" bestFit="1" customWidth="1"/>
    <col min="4106" max="4353" width="9.140625" style="458"/>
    <col min="4354" max="4354" width="24.5703125" style="458" customWidth="1"/>
    <col min="4355" max="4355" width="71.7109375" style="458" customWidth="1"/>
    <col min="4356" max="4356" width="17.140625" style="458" bestFit="1" customWidth="1"/>
    <col min="4357" max="4357" width="16.7109375" style="458" bestFit="1" customWidth="1"/>
    <col min="4358" max="4358" width="16.85546875" style="458" bestFit="1" customWidth="1"/>
    <col min="4359" max="4359" width="21.42578125" style="458" customWidth="1"/>
    <col min="4360" max="4360" width="9.140625" style="458"/>
    <col min="4361" max="4361" width="16.5703125" style="458" bestFit="1" customWidth="1"/>
    <col min="4362" max="4609" width="9.140625" style="458"/>
    <col min="4610" max="4610" width="24.5703125" style="458" customWidth="1"/>
    <col min="4611" max="4611" width="71.7109375" style="458" customWidth="1"/>
    <col min="4612" max="4612" width="17.140625" style="458" bestFit="1" customWidth="1"/>
    <col min="4613" max="4613" width="16.7109375" style="458" bestFit="1" customWidth="1"/>
    <col min="4614" max="4614" width="16.85546875" style="458" bestFit="1" customWidth="1"/>
    <col min="4615" max="4615" width="21.42578125" style="458" customWidth="1"/>
    <col min="4616" max="4616" width="9.140625" style="458"/>
    <col min="4617" max="4617" width="16.5703125" style="458" bestFit="1" customWidth="1"/>
    <col min="4618" max="4865" width="9.140625" style="458"/>
    <col min="4866" max="4866" width="24.5703125" style="458" customWidth="1"/>
    <col min="4867" max="4867" width="71.7109375" style="458" customWidth="1"/>
    <col min="4868" max="4868" width="17.140625" style="458" bestFit="1" customWidth="1"/>
    <col min="4869" max="4869" width="16.7109375" style="458" bestFit="1" customWidth="1"/>
    <col min="4870" max="4870" width="16.85546875" style="458" bestFit="1" customWidth="1"/>
    <col min="4871" max="4871" width="21.42578125" style="458" customWidth="1"/>
    <col min="4872" max="4872" width="9.140625" style="458"/>
    <col min="4873" max="4873" width="16.5703125" style="458" bestFit="1" customWidth="1"/>
    <col min="4874" max="5121" width="9.140625" style="458"/>
    <col min="5122" max="5122" width="24.5703125" style="458" customWidth="1"/>
    <col min="5123" max="5123" width="71.7109375" style="458" customWidth="1"/>
    <col min="5124" max="5124" width="17.140625" style="458" bestFit="1" customWidth="1"/>
    <col min="5125" max="5125" width="16.7109375" style="458" bestFit="1" customWidth="1"/>
    <col min="5126" max="5126" width="16.85546875" style="458" bestFit="1" customWidth="1"/>
    <col min="5127" max="5127" width="21.42578125" style="458" customWidth="1"/>
    <col min="5128" max="5128" width="9.140625" style="458"/>
    <col min="5129" max="5129" width="16.5703125" style="458" bestFit="1" customWidth="1"/>
    <col min="5130" max="5377" width="9.140625" style="458"/>
    <col min="5378" max="5378" width="24.5703125" style="458" customWidth="1"/>
    <col min="5379" max="5379" width="71.7109375" style="458" customWidth="1"/>
    <col min="5380" max="5380" width="17.140625" style="458" bestFit="1" customWidth="1"/>
    <col min="5381" max="5381" width="16.7109375" style="458" bestFit="1" customWidth="1"/>
    <col min="5382" max="5382" width="16.85546875" style="458" bestFit="1" customWidth="1"/>
    <col min="5383" max="5383" width="21.42578125" style="458" customWidth="1"/>
    <col min="5384" max="5384" width="9.140625" style="458"/>
    <col min="5385" max="5385" width="16.5703125" style="458" bestFit="1" customWidth="1"/>
    <col min="5386" max="5633" width="9.140625" style="458"/>
    <col min="5634" max="5634" width="24.5703125" style="458" customWidth="1"/>
    <col min="5635" max="5635" width="71.7109375" style="458" customWidth="1"/>
    <col min="5636" max="5636" width="17.140625" style="458" bestFit="1" customWidth="1"/>
    <col min="5637" max="5637" width="16.7109375" style="458" bestFit="1" customWidth="1"/>
    <col min="5638" max="5638" width="16.85546875" style="458" bestFit="1" customWidth="1"/>
    <col min="5639" max="5639" width="21.42578125" style="458" customWidth="1"/>
    <col min="5640" max="5640" width="9.140625" style="458"/>
    <col min="5641" max="5641" width="16.5703125" style="458" bestFit="1" customWidth="1"/>
    <col min="5642" max="5889" width="9.140625" style="458"/>
    <col min="5890" max="5890" width="24.5703125" style="458" customWidth="1"/>
    <col min="5891" max="5891" width="71.7109375" style="458" customWidth="1"/>
    <col min="5892" max="5892" width="17.140625" style="458" bestFit="1" customWidth="1"/>
    <col min="5893" max="5893" width="16.7109375" style="458" bestFit="1" customWidth="1"/>
    <col min="5894" max="5894" width="16.85546875" style="458" bestFit="1" customWidth="1"/>
    <col min="5895" max="5895" width="21.42578125" style="458" customWidth="1"/>
    <col min="5896" max="5896" width="9.140625" style="458"/>
    <col min="5897" max="5897" width="16.5703125" style="458" bestFit="1" customWidth="1"/>
    <col min="5898" max="6145" width="9.140625" style="458"/>
    <col min="6146" max="6146" width="24.5703125" style="458" customWidth="1"/>
    <col min="6147" max="6147" width="71.7109375" style="458" customWidth="1"/>
    <col min="6148" max="6148" width="17.140625" style="458" bestFit="1" customWidth="1"/>
    <col min="6149" max="6149" width="16.7109375" style="458" bestFit="1" customWidth="1"/>
    <col min="6150" max="6150" width="16.85546875" style="458" bestFit="1" customWidth="1"/>
    <col min="6151" max="6151" width="21.42578125" style="458" customWidth="1"/>
    <col min="6152" max="6152" width="9.140625" style="458"/>
    <col min="6153" max="6153" width="16.5703125" style="458" bestFit="1" customWidth="1"/>
    <col min="6154" max="6401" width="9.140625" style="458"/>
    <col min="6402" max="6402" width="24.5703125" style="458" customWidth="1"/>
    <col min="6403" max="6403" width="71.7109375" style="458" customWidth="1"/>
    <col min="6404" max="6404" width="17.140625" style="458" bestFit="1" customWidth="1"/>
    <col min="6405" max="6405" width="16.7109375" style="458" bestFit="1" customWidth="1"/>
    <col min="6406" max="6406" width="16.85546875" style="458" bestFit="1" customWidth="1"/>
    <col min="6407" max="6407" width="21.42578125" style="458" customWidth="1"/>
    <col min="6408" max="6408" width="9.140625" style="458"/>
    <col min="6409" max="6409" width="16.5703125" style="458" bestFit="1" customWidth="1"/>
    <col min="6410" max="6657" width="9.140625" style="458"/>
    <col min="6658" max="6658" width="24.5703125" style="458" customWidth="1"/>
    <col min="6659" max="6659" width="71.7109375" style="458" customWidth="1"/>
    <col min="6660" max="6660" width="17.140625" style="458" bestFit="1" customWidth="1"/>
    <col min="6661" max="6661" width="16.7109375" style="458" bestFit="1" customWidth="1"/>
    <col min="6662" max="6662" width="16.85546875" style="458" bestFit="1" customWidth="1"/>
    <col min="6663" max="6663" width="21.42578125" style="458" customWidth="1"/>
    <col min="6664" max="6664" width="9.140625" style="458"/>
    <col min="6665" max="6665" width="16.5703125" style="458" bestFit="1" customWidth="1"/>
    <col min="6666" max="6913" width="9.140625" style="458"/>
    <col min="6914" max="6914" width="24.5703125" style="458" customWidth="1"/>
    <col min="6915" max="6915" width="71.7109375" style="458" customWidth="1"/>
    <col min="6916" max="6916" width="17.140625" style="458" bestFit="1" customWidth="1"/>
    <col min="6917" max="6917" width="16.7109375" style="458" bestFit="1" customWidth="1"/>
    <col min="6918" max="6918" width="16.85546875" style="458" bestFit="1" customWidth="1"/>
    <col min="6919" max="6919" width="21.42578125" style="458" customWidth="1"/>
    <col min="6920" max="6920" width="9.140625" style="458"/>
    <col min="6921" max="6921" width="16.5703125" style="458" bestFit="1" customWidth="1"/>
    <col min="6922" max="7169" width="9.140625" style="458"/>
    <col min="7170" max="7170" width="24.5703125" style="458" customWidth="1"/>
    <col min="7171" max="7171" width="71.7109375" style="458" customWidth="1"/>
    <col min="7172" max="7172" width="17.140625" style="458" bestFit="1" customWidth="1"/>
    <col min="7173" max="7173" width="16.7109375" style="458" bestFit="1" customWidth="1"/>
    <col min="7174" max="7174" width="16.85546875" style="458" bestFit="1" customWidth="1"/>
    <col min="7175" max="7175" width="21.42578125" style="458" customWidth="1"/>
    <col min="7176" max="7176" width="9.140625" style="458"/>
    <col min="7177" max="7177" width="16.5703125" style="458" bestFit="1" customWidth="1"/>
    <col min="7178" max="7425" width="9.140625" style="458"/>
    <col min="7426" max="7426" width="24.5703125" style="458" customWidth="1"/>
    <col min="7427" max="7427" width="71.7109375" style="458" customWidth="1"/>
    <col min="7428" max="7428" width="17.140625" style="458" bestFit="1" customWidth="1"/>
    <col min="7429" max="7429" width="16.7109375" style="458" bestFit="1" customWidth="1"/>
    <col min="7430" max="7430" width="16.85546875" style="458" bestFit="1" customWidth="1"/>
    <col min="7431" max="7431" width="21.42578125" style="458" customWidth="1"/>
    <col min="7432" max="7432" width="9.140625" style="458"/>
    <col min="7433" max="7433" width="16.5703125" style="458" bestFit="1" customWidth="1"/>
    <col min="7434" max="7681" width="9.140625" style="458"/>
    <col min="7682" max="7682" width="24.5703125" style="458" customWidth="1"/>
    <col min="7683" max="7683" width="71.7109375" style="458" customWidth="1"/>
    <col min="7684" max="7684" width="17.140625" style="458" bestFit="1" customWidth="1"/>
    <col min="7685" max="7685" width="16.7109375" style="458" bestFit="1" customWidth="1"/>
    <col min="7686" max="7686" width="16.85546875" style="458" bestFit="1" customWidth="1"/>
    <col min="7687" max="7687" width="21.42578125" style="458" customWidth="1"/>
    <col min="7688" max="7688" width="9.140625" style="458"/>
    <col min="7689" max="7689" width="16.5703125" style="458" bestFit="1" customWidth="1"/>
    <col min="7690" max="7937" width="9.140625" style="458"/>
    <col min="7938" max="7938" width="24.5703125" style="458" customWidth="1"/>
    <col min="7939" max="7939" width="71.7109375" style="458" customWidth="1"/>
    <col min="7940" max="7940" width="17.140625" style="458" bestFit="1" customWidth="1"/>
    <col min="7941" max="7941" width="16.7109375" style="458" bestFit="1" customWidth="1"/>
    <col min="7942" max="7942" width="16.85546875" style="458" bestFit="1" customWidth="1"/>
    <col min="7943" max="7943" width="21.42578125" style="458" customWidth="1"/>
    <col min="7944" max="7944" width="9.140625" style="458"/>
    <col min="7945" max="7945" width="16.5703125" style="458" bestFit="1" customWidth="1"/>
    <col min="7946" max="8193" width="9.140625" style="458"/>
    <col min="8194" max="8194" width="24.5703125" style="458" customWidth="1"/>
    <col min="8195" max="8195" width="71.7109375" style="458" customWidth="1"/>
    <col min="8196" max="8196" width="17.140625" style="458" bestFit="1" customWidth="1"/>
    <col min="8197" max="8197" width="16.7109375" style="458" bestFit="1" customWidth="1"/>
    <col min="8198" max="8198" width="16.85546875" style="458" bestFit="1" customWidth="1"/>
    <col min="8199" max="8199" width="21.42578125" style="458" customWidth="1"/>
    <col min="8200" max="8200" width="9.140625" style="458"/>
    <col min="8201" max="8201" width="16.5703125" style="458" bestFit="1" customWidth="1"/>
    <col min="8202" max="8449" width="9.140625" style="458"/>
    <col min="8450" max="8450" width="24.5703125" style="458" customWidth="1"/>
    <col min="8451" max="8451" width="71.7109375" style="458" customWidth="1"/>
    <col min="8452" max="8452" width="17.140625" style="458" bestFit="1" customWidth="1"/>
    <col min="8453" max="8453" width="16.7109375" style="458" bestFit="1" customWidth="1"/>
    <col min="8454" max="8454" width="16.85546875" style="458" bestFit="1" customWidth="1"/>
    <col min="8455" max="8455" width="21.42578125" style="458" customWidth="1"/>
    <col min="8456" max="8456" width="9.140625" style="458"/>
    <col min="8457" max="8457" width="16.5703125" style="458" bestFit="1" customWidth="1"/>
    <col min="8458" max="8705" width="9.140625" style="458"/>
    <col min="8706" max="8706" width="24.5703125" style="458" customWidth="1"/>
    <col min="8707" max="8707" width="71.7109375" style="458" customWidth="1"/>
    <col min="8708" max="8708" width="17.140625" style="458" bestFit="1" customWidth="1"/>
    <col min="8709" max="8709" width="16.7109375" style="458" bestFit="1" customWidth="1"/>
    <col min="8710" max="8710" width="16.85546875" style="458" bestFit="1" customWidth="1"/>
    <col min="8711" max="8711" width="21.42578125" style="458" customWidth="1"/>
    <col min="8712" max="8712" width="9.140625" style="458"/>
    <col min="8713" max="8713" width="16.5703125" style="458" bestFit="1" customWidth="1"/>
    <col min="8714" max="8961" width="9.140625" style="458"/>
    <col min="8962" max="8962" width="24.5703125" style="458" customWidth="1"/>
    <col min="8963" max="8963" width="71.7109375" style="458" customWidth="1"/>
    <col min="8964" max="8964" width="17.140625" style="458" bestFit="1" customWidth="1"/>
    <col min="8965" max="8965" width="16.7109375" style="458" bestFit="1" customWidth="1"/>
    <col min="8966" max="8966" width="16.85546875" style="458" bestFit="1" customWidth="1"/>
    <col min="8967" max="8967" width="21.42578125" style="458" customWidth="1"/>
    <col min="8968" max="8968" width="9.140625" style="458"/>
    <col min="8969" max="8969" width="16.5703125" style="458" bestFit="1" customWidth="1"/>
    <col min="8970" max="9217" width="9.140625" style="458"/>
    <col min="9218" max="9218" width="24.5703125" style="458" customWidth="1"/>
    <col min="9219" max="9219" width="71.7109375" style="458" customWidth="1"/>
    <col min="9220" max="9220" width="17.140625" style="458" bestFit="1" customWidth="1"/>
    <col min="9221" max="9221" width="16.7109375" style="458" bestFit="1" customWidth="1"/>
    <col min="9222" max="9222" width="16.85546875" style="458" bestFit="1" customWidth="1"/>
    <col min="9223" max="9223" width="21.42578125" style="458" customWidth="1"/>
    <col min="9224" max="9224" width="9.140625" style="458"/>
    <col min="9225" max="9225" width="16.5703125" style="458" bestFit="1" customWidth="1"/>
    <col min="9226" max="9473" width="9.140625" style="458"/>
    <col min="9474" max="9474" width="24.5703125" style="458" customWidth="1"/>
    <col min="9475" max="9475" width="71.7109375" style="458" customWidth="1"/>
    <col min="9476" max="9476" width="17.140625" style="458" bestFit="1" customWidth="1"/>
    <col min="9477" max="9477" width="16.7109375" style="458" bestFit="1" customWidth="1"/>
    <col min="9478" max="9478" width="16.85546875" style="458" bestFit="1" customWidth="1"/>
    <col min="9479" max="9479" width="21.42578125" style="458" customWidth="1"/>
    <col min="9480" max="9480" width="9.140625" style="458"/>
    <col min="9481" max="9481" width="16.5703125" style="458" bestFit="1" customWidth="1"/>
    <col min="9482" max="9729" width="9.140625" style="458"/>
    <col min="9730" max="9730" width="24.5703125" style="458" customWidth="1"/>
    <col min="9731" max="9731" width="71.7109375" style="458" customWidth="1"/>
    <col min="9732" max="9732" width="17.140625" style="458" bestFit="1" customWidth="1"/>
    <col min="9733" max="9733" width="16.7109375" style="458" bestFit="1" customWidth="1"/>
    <col min="9734" max="9734" width="16.85546875" style="458" bestFit="1" customWidth="1"/>
    <col min="9735" max="9735" width="21.42578125" style="458" customWidth="1"/>
    <col min="9736" max="9736" width="9.140625" style="458"/>
    <col min="9737" max="9737" width="16.5703125" style="458" bestFit="1" customWidth="1"/>
    <col min="9738" max="9985" width="9.140625" style="458"/>
    <col min="9986" max="9986" width="24.5703125" style="458" customWidth="1"/>
    <col min="9987" max="9987" width="71.7109375" style="458" customWidth="1"/>
    <col min="9988" max="9988" width="17.140625" style="458" bestFit="1" customWidth="1"/>
    <col min="9989" max="9989" width="16.7109375" style="458" bestFit="1" customWidth="1"/>
    <col min="9990" max="9990" width="16.85546875" style="458" bestFit="1" customWidth="1"/>
    <col min="9991" max="9991" width="21.42578125" style="458" customWidth="1"/>
    <col min="9992" max="9992" width="9.140625" style="458"/>
    <col min="9993" max="9993" width="16.5703125" style="458" bestFit="1" customWidth="1"/>
    <col min="9994" max="10241" width="9.140625" style="458"/>
    <col min="10242" max="10242" width="24.5703125" style="458" customWidth="1"/>
    <col min="10243" max="10243" width="71.7109375" style="458" customWidth="1"/>
    <col min="10244" max="10244" width="17.140625" style="458" bestFit="1" customWidth="1"/>
    <col min="10245" max="10245" width="16.7109375" style="458" bestFit="1" customWidth="1"/>
    <col min="10246" max="10246" width="16.85546875" style="458" bestFit="1" customWidth="1"/>
    <col min="10247" max="10247" width="21.42578125" style="458" customWidth="1"/>
    <col min="10248" max="10248" width="9.140625" style="458"/>
    <col min="10249" max="10249" width="16.5703125" style="458" bestFit="1" customWidth="1"/>
    <col min="10250" max="10497" width="9.140625" style="458"/>
    <col min="10498" max="10498" width="24.5703125" style="458" customWidth="1"/>
    <col min="10499" max="10499" width="71.7109375" style="458" customWidth="1"/>
    <col min="10500" max="10500" width="17.140625" style="458" bestFit="1" customWidth="1"/>
    <col min="10501" max="10501" width="16.7109375" style="458" bestFit="1" customWidth="1"/>
    <col min="10502" max="10502" width="16.85546875" style="458" bestFit="1" customWidth="1"/>
    <col min="10503" max="10503" width="21.42578125" style="458" customWidth="1"/>
    <col min="10504" max="10504" width="9.140625" style="458"/>
    <col min="10505" max="10505" width="16.5703125" style="458" bestFit="1" customWidth="1"/>
    <col min="10506" max="10753" width="9.140625" style="458"/>
    <col min="10754" max="10754" width="24.5703125" style="458" customWidth="1"/>
    <col min="10755" max="10755" width="71.7109375" style="458" customWidth="1"/>
    <col min="10756" max="10756" width="17.140625" style="458" bestFit="1" customWidth="1"/>
    <col min="10757" max="10757" width="16.7109375" style="458" bestFit="1" customWidth="1"/>
    <col min="10758" max="10758" width="16.85546875" style="458" bestFit="1" customWidth="1"/>
    <col min="10759" max="10759" width="21.42578125" style="458" customWidth="1"/>
    <col min="10760" max="10760" width="9.140625" style="458"/>
    <col min="10761" max="10761" width="16.5703125" style="458" bestFit="1" customWidth="1"/>
    <col min="10762" max="11009" width="9.140625" style="458"/>
    <col min="11010" max="11010" width="24.5703125" style="458" customWidth="1"/>
    <col min="11011" max="11011" width="71.7109375" style="458" customWidth="1"/>
    <col min="11012" max="11012" width="17.140625" style="458" bestFit="1" customWidth="1"/>
    <col min="11013" max="11013" width="16.7109375" style="458" bestFit="1" customWidth="1"/>
    <col min="11014" max="11014" width="16.85546875" style="458" bestFit="1" customWidth="1"/>
    <col min="11015" max="11015" width="21.42578125" style="458" customWidth="1"/>
    <col min="11016" max="11016" width="9.140625" style="458"/>
    <col min="11017" max="11017" width="16.5703125" style="458" bestFit="1" customWidth="1"/>
    <col min="11018" max="11265" width="9.140625" style="458"/>
    <col min="11266" max="11266" width="24.5703125" style="458" customWidth="1"/>
    <col min="11267" max="11267" width="71.7109375" style="458" customWidth="1"/>
    <col min="11268" max="11268" width="17.140625" style="458" bestFit="1" customWidth="1"/>
    <col min="11269" max="11269" width="16.7109375" style="458" bestFit="1" customWidth="1"/>
    <col min="11270" max="11270" width="16.85546875" style="458" bestFit="1" customWidth="1"/>
    <col min="11271" max="11271" width="21.42578125" style="458" customWidth="1"/>
    <col min="11272" max="11272" width="9.140625" style="458"/>
    <col min="11273" max="11273" width="16.5703125" style="458" bestFit="1" customWidth="1"/>
    <col min="11274" max="11521" width="9.140625" style="458"/>
    <col min="11522" max="11522" width="24.5703125" style="458" customWidth="1"/>
    <col min="11523" max="11523" width="71.7109375" style="458" customWidth="1"/>
    <col min="11524" max="11524" width="17.140625" style="458" bestFit="1" customWidth="1"/>
    <col min="11525" max="11525" width="16.7109375" style="458" bestFit="1" customWidth="1"/>
    <col min="11526" max="11526" width="16.85546875" style="458" bestFit="1" customWidth="1"/>
    <col min="11527" max="11527" width="21.42578125" style="458" customWidth="1"/>
    <col min="11528" max="11528" width="9.140625" style="458"/>
    <col min="11529" max="11529" width="16.5703125" style="458" bestFit="1" customWidth="1"/>
    <col min="11530" max="11777" width="9.140625" style="458"/>
    <col min="11778" max="11778" width="24.5703125" style="458" customWidth="1"/>
    <col min="11779" max="11779" width="71.7109375" style="458" customWidth="1"/>
    <col min="11780" max="11780" width="17.140625" style="458" bestFit="1" customWidth="1"/>
    <col min="11781" max="11781" width="16.7109375" style="458" bestFit="1" customWidth="1"/>
    <col min="11782" max="11782" width="16.85546875" style="458" bestFit="1" customWidth="1"/>
    <col min="11783" max="11783" width="21.42578125" style="458" customWidth="1"/>
    <col min="11784" max="11784" width="9.140625" style="458"/>
    <col min="11785" max="11785" width="16.5703125" style="458" bestFit="1" customWidth="1"/>
    <col min="11786" max="12033" width="9.140625" style="458"/>
    <col min="12034" max="12034" width="24.5703125" style="458" customWidth="1"/>
    <col min="12035" max="12035" width="71.7109375" style="458" customWidth="1"/>
    <col min="12036" max="12036" width="17.140625" style="458" bestFit="1" customWidth="1"/>
    <col min="12037" max="12037" width="16.7109375" style="458" bestFit="1" customWidth="1"/>
    <col min="12038" max="12038" width="16.85546875" style="458" bestFit="1" customWidth="1"/>
    <col min="12039" max="12039" width="21.42578125" style="458" customWidth="1"/>
    <col min="12040" max="12040" width="9.140625" style="458"/>
    <col min="12041" max="12041" width="16.5703125" style="458" bestFit="1" customWidth="1"/>
    <col min="12042" max="12289" width="9.140625" style="458"/>
    <col min="12290" max="12290" width="24.5703125" style="458" customWidth="1"/>
    <col min="12291" max="12291" width="71.7109375" style="458" customWidth="1"/>
    <col min="12292" max="12292" width="17.140625" style="458" bestFit="1" customWidth="1"/>
    <col min="12293" max="12293" width="16.7109375" style="458" bestFit="1" customWidth="1"/>
    <col min="12294" max="12294" width="16.85546875" style="458" bestFit="1" customWidth="1"/>
    <col min="12295" max="12295" width="21.42578125" style="458" customWidth="1"/>
    <col min="12296" max="12296" width="9.140625" style="458"/>
    <col min="12297" max="12297" width="16.5703125" style="458" bestFit="1" customWidth="1"/>
    <col min="12298" max="12545" width="9.140625" style="458"/>
    <col min="12546" max="12546" width="24.5703125" style="458" customWidth="1"/>
    <col min="12547" max="12547" width="71.7109375" style="458" customWidth="1"/>
    <col min="12548" max="12548" width="17.140625" style="458" bestFit="1" customWidth="1"/>
    <col min="12549" max="12549" width="16.7109375" style="458" bestFit="1" customWidth="1"/>
    <col min="12550" max="12550" width="16.85546875" style="458" bestFit="1" customWidth="1"/>
    <col min="12551" max="12551" width="21.42578125" style="458" customWidth="1"/>
    <col min="12552" max="12552" width="9.140625" style="458"/>
    <col min="12553" max="12553" width="16.5703125" style="458" bestFit="1" customWidth="1"/>
    <col min="12554" max="12801" width="9.140625" style="458"/>
    <col min="12802" max="12802" width="24.5703125" style="458" customWidth="1"/>
    <col min="12803" max="12803" width="71.7109375" style="458" customWidth="1"/>
    <col min="12804" max="12804" width="17.140625" style="458" bestFit="1" customWidth="1"/>
    <col min="12805" max="12805" width="16.7109375" style="458" bestFit="1" customWidth="1"/>
    <col min="12806" max="12806" width="16.85546875" style="458" bestFit="1" customWidth="1"/>
    <col min="12807" max="12807" width="21.42578125" style="458" customWidth="1"/>
    <col min="12808" max="12808" width="9.140625" style="458"/>
    <col min="12809" max="12809" width="16.5703125" style="458" bestFit="1" customWidth="1"/>
    <col min="12810" max="13057" width="9.140625" style="458"/>
    <col min="13058" max="13058" width="24.5703125" style="458" customWidth="1"/>
    <col min="13059" max="13059" width="71.7109375" style="458" customWidth="1"/>
    <col min="13060" max="13060" width="17.140625" style="458" bestFit="1" customWidth="1"/>
    <col min="13061" max="13061" width="16.7109375" style="458" bestFit="1" customWidth="1"/>
    <col min="13062" max="13062" width="16.85546875" style="458" bestFit="1" customWidth="1"/>
    <col min="13063" max="13063" width="21.42578125" style="458" customWidth="1"/>
    <col min="13064" max="13064" width="9.140625" style="458"/>
    <col min="13065" max="13065" width="16.5703125" style="458" bestFit="1" customWidth="1"/>
    <col min="13066" max="13313" width="9.140625" style="458"/>
    <col min="13314" max="13314" width="24.5703125" style="458" customWidth="1"/>
    <col min="13315" max="13315" width="71.7109375" style="458" customWidth="1"/>
    <col min="13316" max="13316" width="17.140625" style="458" bestFit="1" customWidth="1"/>
    <col min="13317" max="13317" width="16.7109375" style="458" bestFit="1" customWidth="1"/>
    <col min="13318" max="13318" width="16.85546875" style="458" bestFit="1" customWidth="1"/>
    <col min="13319" max="13319" width="21.42578125" style="458" customWidth="1"/>
    <col min="13320" max="13320" width="9.140625" style="458"/>
    <col min="13321" max="13321" width="16.5703125" style="458" bestFit="1" customWidth="1"/>
    <col min="13322" max="13569" width="9.140625" style="458"/>
    <col min="13570" max="13570" width="24.5703125" style="458" customWidth="1"/>
    <col min="13571" max="13571" width="71.7109375" style="458" customWidth="1"/>
    <col min="13572" max="13572" width="17.140625" style="458" bestFit="1" customWidth="1"/>
    <col min="13573" max="13573" width="16.7109375" style="458" bestFit="1" customWidth="1"/>
    <col min="13574" max="13574" width="16.85546875" style="458" bestFit="1" customWidth="1"/>
    <col min="13575" max="13575" width="21.42578125" style="458" customWidth="1"/>
    <col min="13576" max="13576" width="9.140625" style="458"/>
    <col min="13577" max="13577" width="16.5703125" style="458" bestFit="1" customWidth="1"/>
    <col min="13578" max="13825" width="9.140625" style="458"/>
    <col min="13826" max="13826" width="24.5703125" style="458" customWidth="1"/>
    <col min="13827" max="13827" width="71.7109375" style="458" customWidth="1"/>
    <col min="13828" max="13828" width="17.140625" style="458" bestFit="1" customWidth="1"/>
    <col min="13829" max="13829" width="16.7109375" style="458" bestFit="1" customWidth="1"/>
    <col min="13830" max="13830" width="16.85546875" style="458" bestFit="1" customWidth="1"/>
    <col min="13831" max="13831" width="21.42578125" style="458" customWidth="1"/>
    <col min="13832" max="13832" width="9.140625" style="458"/>
    <col min="13833" max="13833" width="16.5703125" style="458" bestFit="1" customWidth="1"/>
    <col min="13834" max="14081" width="9.140625" style="458"/>
    <col min="14082" max="14082" width="24.5703125" style="458" customWidth="1"/>
    <col min="14083" max="14083" width="71.7109375" style="458" customWidth="1"/>
    <col min="14084" max="14084" width="17.140625" style="458" bestFit="1" customWidth="1"/>
    <col min="14085" max="14085" width="16.7109375" style="458" bestFit="1" customWidth="1"/>
    <col min="14086" max="14086" width="16.85546875" style="458" bestFit="1" customWidth="1"/>
    <col min="14087" max="14087" width="21.42578125" style="458" customWidth="1"/>
    <col min="14088" max="14088" width="9.140625" style="458"/>
    <col min="14089" max="14089" width="16.5703125" style="458" bestFit="1" customWidth="1"/>
    <col min="14090" max="14337" width="9.140625" style="458"/>
    <col min="14338" max="14338" width="24.5703125" style="458" customWidth="1"/>
    <col min="14339" max="14339" width="71.7109375" style="458" customWidth="1"/>
    <col min="14340" max="14340" width="17.140625" style="458" bestFit="1" customWidth="1"/>
    <col min="14341" max="14341" width="16.7109375" style="458" bestFit="1" customWidth="1"/>
    <col min="14342" max="14342" width="16.85546875" style="458" bestFit="1" customWidth="1"/>
    <col min="14343" max="14343" width="21.42578125" style="458" customWidth="1"/>
    <col min="14344" max="14344" width="9.140625" style="458"/>
    <col min="14345" max="14345" width="16.5703125" style="458" bestFit="1" customWidth="1"/>
    <col min="14346" max="14593" width="9.140625" style="458"/>
    <col min="14594" max="14594" width="24.5703125" style="458" customWidth="1"/>
    <col min="14595" max="14595" width="71.7109375" style="458" customWidth="1"/>
    <col min="14596" max="14596" width="17.140625" style="458" bestFit="1" customWidth="1"/>
    <col min="14597" max="14597" width="16.7109375" style="458" bestFit="1" customWidth="1"/>
    <col min="14598" max="14598" width="16.85546875" style="458" bestFit="1" customWidth="1"/>
    <col min="14599" max="14599" width="21.42578125" style="458" customWidth="1"/>
    <col min="14600" max="14600" width="9.140625" style="458"/>
    <col min="14601" max="14601" width="16.5703125" style="458" bestFit="1" customWidth="1"/>
    <col min="14602" max="14849" width="9.140625" style="458"/>
    <col min="14850" max="14850" width="24.5703125" style="458" customWidth="1"/>
    <col min="14851" max="14851" width="71.7109375" style="458" customWidth="1"/>
    <col min="14852" max="14852" width="17.140625" style="458" bestFit="1" customWidth="1"/>
    <col min="14853" max="14853" width="16.7109375" style="458" bestFit="1" customWidth="1"/>
    <col min="14854" max="14854" width="16.85546875" style="458" bestFit="1" customWidth="1"/>
    <col min="14855" max="14855" width="21.42578125" style="458" customWidth="1"/>
    <col min="14856" max="14856" width="9.140625" style="458"/>
    <col min="14857" max="14857" width="16.5703125" style="458" bestFit="1" customWidth="1"/>
    <col min="14858" max="15105" width="9.140625" style="458"/>
    <col min="15106" max="15106" width="24.5703125" style="458" customWidth="1"/>
    <col min="15107" max="15107" width="71.7109375" style="458" customWidth="1"/>
    <col min="15108" max="15108" width="17.140625" style="458" bestFit="1" customWidth="1"/>
    <col min="15109" max="15109" width="16.7109375" style="458" bestFit="1" customWidth="1"/>
    <col min="15110" max="15110" width="16.85546875" style="458" bestFit="1" customWidth="1"/>
    <col min="15111" max="15111" width="21.42578125" style="458" customWidth="1"/>
    <col min="15112" max="15112" width="9.140625" style="458"/>
    <col min="15113" max="15113" width="16.5703125" style="458" bestFit="1" customWidth="1"/>
    <col min="15114" max="15361" width="9.140625" style="458"/>
    <col min="15362" max="15362" width="24.5703125" style="458" customWidth="1"/>
    <col min="15363" max="15363" width="71.7109375" style="458" customWidth="1"/>
    <col min="15364" max="15364" width="17.140625" style="458" bestFit="1" customWidth="1"/>
    <col min="15365" max="15365" width="16.7109375" style="458" bestFit="1" customWidth="1"/>
    <col min="15366" max="15366" width="16.85546875" style="458" bestFit="1" customWidth="1"/>
    <col min="15367" max="15367" width="21.42578125" style="458" customWidth="1"/>
    <col min="15368" max="15368" width="9.140625" style="458"/>
    <col min="15369" max="15369" width="16.5703125" style="458" bestFit="1" customWidth="1"/>
    <col min="15370" max="15617" width="9.140625" style="458"/>
    <col min="15618" max="15618" width="24.5703125" style="458" customWidth="1"/>
    <col min="15619" max="15619" width="71.7109375" style="458" customWidth="1"/>
    <col min="15620" max="15620" width="17.140625" style="458" bestFit="1" customWidth="1"/>
    <col min="15621" max="15621" width="16.7109375" style="458" bestFit="1" customWidth="1"/>
    <col min="15622" max="15622" width="16.85546875" style="458" bestFit="1" customWidth="1"/>
    <col min="15623" max="15623" width="21.42578125" style="458" customWidth="1"/>
    <col min="15624" max="15624" width="9.140625" style="458"/>
    <col min="15625" max="15625" width="16.5703125" style="458" bestFit="1" customWidth="1"/>
    <col min="15626" max="15873" width="9.140625" style="458"/>
    <col min="15874" max="15874" width="24.5703125" style="458" customWidth="1"/>
    <col min="15875" max="15875" width="71.7109375" style="458" customWidth="1"/>
    <col min="15876" max="15876" width="17.140625" style="458" bestFit="1" customWidth="1"/>
    <col min="15877" max="15877" width="16.7109375" style="458" bestFit="1" customWidth="1"/>
    <col min="15878" max="15878" width="16.85546875" style="458" bestFit="1" customWidth="1"/>
    <col min="15879" max="15879" width="21.42578125" style="458" customWidth="1"/>
    <col min="15880" max="15880" width="9.140625" style="458"/>
    <col min="15881" max="15881" width="16.5703125" style="458" bestFit="1" customWidth="1"/>
    <col min="15882" max="16129" width="9.140625" style="458"/>
    <col min="16130" max="16130" width="24.5703125" style="458" customWidth="1"/>
    <col min="16131" max="16131" width="71.7109375" style="458" customWidth="1"/>
    <col min="16132" max="16132" width="17.140625" style="458" bestFit="1" customWidth="1"/>
    <col min="16133" max="16133" width="16.7109375" style="458" bestFit="1" customWidth="1"/>
    <col min="16134" max="16134" width="16.85546875" style="458" bestFit="1" customWidth="1"/>
    <col min="16135" max="16135" width="21.42578125" style="458" customWidth="1"/>
    <col min="16136" max="16136" width="9.140625" style="458"/>
    <col min="16137" max="16137" width="16.5703125" style="458" bestFit="1" customWidth="1"/>
    <col min="16138" max="16384" width="9.140625" style="458"/>
  </cols>
  <sheetData>
    <row r="1" spans="1:9" ht="15.75">
      <c r="B1" s="725" t="str">
        <f>'PLANILHA ORÇAMENTARIA'!A1</f>
        <v>OBRA:</v>
      </c>
      <c r="C1" s="724" t="str">
        <f>'PLANILHA ORÇAMENTARIA'!B1</f>
        <v>Construção da Lavanderia e Predio Sede da Secretaria Municipal de Saúde de Barra do Bugres - MT</v>
      </c>
    </row>
    <row r="2" spans="1:9" ht="15.75">
      <c r="B2" s="725" t="str">
        <f>'PLANILHA ORÇAMENTARIA'!A2</f>
        <v>Endereço:</v>
      </c>
      <c r="C2" s="724" t="str">
        <f>'PLANILHA ORÇAMENTARIA'!B2</f>
        <v>Rua Voluntários da Pátria, 861 - Bairro Maracanã</v>
      </c>
      <c r="D2" s="725"/>
      <c r="E2" s="724"/>
    </row>
    <row r="3" spans="1:9" ht="15.75">
      <c r="B3" s="725" t="str">
        <f>'PLANILHA ORÇAMENTARIA'!A3</f>
        <v>Município:</v>
      </c>
      <c r="C3" s="724" t="str">
        <f>'PLANILHA ORÇAMENTARIA'!B3</f>
        <v>Barra do Bugres - MT</v>
      </c>
      <c r="D3" s="725"/>
      <c r="E3" s="724"/>
    </row>
    <row r="4" spans="1:9" ht="15.75">
      <c r="B4" s="725" t="str">
        <f>'PLANILHA ORÇAMENTARIA'!A4</f>
        <v>Data:</v>
      </c>
      <c r="C4" s="414">
        <f>'PLANILHA ORÇAMENTARIA'!B4</f>
        <v>43952</v>
      </c>
      <c r="E4" s="1172" t="str">
        <f>'PLANILHA ORÇAMENTARIA'!E3</f>
        <v>Referência:</v>
      </c>
      <c r="F4" s="1173" t="str">
        <f>'PLANILHA ORÇAMENTARIA'!G3</f>
        <v>SINAPI -01/2020 não deson.</v>
      </c>
    </row>
    <row r="5" spans="1:9" ht="13.5" thickBot="1"/>
    <row r="6" spans="1:9" s="462" customFormat="1" ht="18.75" thickBot="1">
      <c r="B6" s="1214" t="s">
        <v>13745</v>
      </c>
      <c r="C6" s="1215"/>
      <c r="D6" s="1215"/>
      <c r="E6" s="1215"/>
      <c r="F6" s="1215"/>
      <c r="G6" s="1216"/>
    </row>
    <row r="7" spans="1:9" s="745" customFormat="1" ht="9.9499999999999993" customHeight="1" thickBot="1">
      <c r="B7" s="746"/>
      <c r="C7" s="747"/>
      <c r="D7" s="747"/>
      <c r="E7" s="747"/>
      <c r="F7" s="747"/>
      <c r="G7" s="748"/>
    </row>
    <row r="8" spans="1:9" s="464" customFormat="1" ht="32.25" customHeight="1">
      <c r="B8" s="704" t="s">
        <v>12867</v>
      </c>
      <c r="C8" s="1257" t="str">
        <f>CONCATENATE("FORNECIMENTO E INSTALAÇÃO DE ",C11)</f>
        <v>FORNECIMENTO E INSTALAÇÃO DE DISPOSITIVO DPS CLASSE II, 1 POLO, TENSAO MAXIMA DE 175 V, CORRENTE MAXIMA DE *45* KA (TIPO AC)</v>
      </c>
      <c r="D8" s="1257"/>
      <c r="E8" s="1257"/>
      <c r="F8" s="1257"/>
      <c r="G8" s="705" t="s">
        <v>28</v>
      </c>
      <c r="H8" s="570">
        <f>G15</f>
        <v>89.49</v>
      </c>
      <c r="I8" s="465"/>
    </row>
    <row r="9" spans="1:9" s="464" customFormat="1" ht="31.5">
      <c r="B9" s="469" t="s">
        <v>13463</v>
      </c>
      <c r="C9" s="470" t="s">
        <v>13464</v>
      </c>
      <c r="D9" s="470" t="s">
        <v>28</v>
      </c>
      <c r="E9" s="470" t="s">
        <v>13465</v>
      </c>
      <c r="F9" s="471" t="s">
        <v>13466</v>
      </c>
      <c r="G9" s="472" t="s">
        <v>13467</v>
      </c>
      <c r="I9" s="465"/>
    </row>
    <row r="10" spans="1:9" s="464" customFormat="1" ht="15.75">
      <c r="B10" s="1246" t="s">
        <v>13468</v>
      </c>
      <c r="C10" s="1247"/>
      <c r="D10" s="1247"/>
      <c r="E10" s="1247"/>
      <c r="F10" s="1247"/>
      <c r="G10" s="1248"/>
      <c r="I10" s="465"/>
    </row>
    <row r="11" spans="1:9" s="464" customFormat="1" ht="30">
      <c r="A11" s="473" t="s">
        <v>13458</v>
      </c>
      <c r="B11" s="722">
        <v>39467</v>
      </c>
      <c r="C11" s="710" t="s">
        <v>1143</v>
      </c>
      <c r="D11" s="711" t="s">
        <v>6636</v>
      </c>
      <c r="E11" s="749">
        <v>1</v>
      </c>
      <c r="F11" s="713">
        <v>78.569999999999993</v>
      </c>
      <c r="G11" s="750">
        <f>TRUNC(F11*E11,2)</f>
        <v>78.569999999999993</v>
      </c>
      <c r="I11" s="465"/>
    </row>
    <row r="12" spans="1:9" s="464" customFormat="1" ht="15.75">
      <c r="B12" s="1246" t="s">
        <v>13469</v>
      </c>
      <c r="C12" s="1247"/>
      <c r="D12" s="1247"/>
      <c r="E12" s="1247"/>
      <c r="F12" s="1247"/>
      <c r="G12" s="1248"/>
      <c r="I12" s="465"/>
    </row>
    <row r="13" spans="1:9" s="464" customFormat="1" ht="15.75">
      <c r="A13" s="473" t="s">
        <v>13459</v>
      </c>
      <c r="B13" s="751">
        <v>88264</v>
      </c>
      <c r="C13" s="710" t="s">
        <v>771</v>
      </c>
      <c r="D13" s="711" t="s">
        <v>753</v>
      </c>
      <c r="E13" s="752">
        <v>0.3</v>
      </c>
      <c r="F13" s="713">
        <v>20.52</v>
      </c>
      <c r="G13" s="750">
        <f>TRUNC(F13*E13,2)</f>
        <v>6.15</v>
      </c>
      <c r="I13" s="465"/>
    </row>
    <row r="14" spans="1:9" s="464" customFormat="1" ht="16.5" thickBot="1">
      <c r="A14" s="473" t="s">
        <v>13459</v>
      </c>
      <c r="B14" s="753">
        <v>88316</v>
      </c>
      <c r="C14" s="717" t="s">
        <v>761</v>
      </c>
      <c r="D14" s="718" t="s">
        <v>753</v>
      </c>
      <c r="E14" s="754">
        <v>0.3</v>
      </c>
      <c r="F14" s="720">
        <v>15.91</v>
      </c>
      <c r="G14" s="755">
        <f>TRUNC(F14*E14,2)</f>
        <v>4.7699999999999996</v>
      </c>
      <c r="I14" s="465"/>
    </row>
    <row r="15" spans="1:9" s="464" customFormat="1" ht="16.5" thickBot="1">
      <c r="B15" s="1259" t="s">
        <v>13746</v>
      </c>
      <c r="C15" s="1260"/>
      <c r="D15" s="1260"/>
      <c r="E15" s="1261"/>
      <c r="F15" s="756" t="s">
        <v>22</v>
      </c>
      <c r="G15" s="757">
        <f>SUM(G10:G14)</f>
        <v>89.49</v>
      </c>
      <c r="I15" s="465"/>
    </row>
    <row r="16" spans="1:9" s="489" customFormat="1" ht="16.5" thickBot="1">
      <c r="B16" s="758"/>
      <c r="C16" s="556"/>
      <c r="D16" s="556"/>
      <c r="E16" s="556"/>
      <c r="F16" s="507"/>
      <c r="G16" s="759"/>
    </row>
    <row r="17" spans="1:9" s="464" customFormat="1" ht="15.75">
      <c r="B17" s="704" t="str">
        <f>IF(COUNT($H$8:H17)&lt;10,CONCATENATE("COMP ELE 00",COUNT($H$8:H17)),CONCATENATE("COMP ELE 0",COUNT($H$8:H17)))</f>
        <v>COMP ELE 002</v>
      </c>
      <c r="C17" s="1257" t="s">
        <v>12866</v>
      </c>
      <c r="D17" s="1257"/>
      <c r="E17" s="1257"/>
      <c r="F17" s="1257"/>
      <c r="G17" s="705" t="s">
        <v>28</v>
      </c>
      <c r="H17" s="570">
        <f>G24</f>
        <v>16.02</v>
      </c>
      <c r="I17" s="465"/>
    </row>
    <row r="18" spans="1:9" s="464" customFormat="1" ht="31.5">
      <c r="B18" s="469" t="s">
        <v>13463</v>
      </c>
      <c r="C18" s="470" t="s">
        <v>13464</v>
      </c>
      <c r="D18" s="470" t="s">
        <v>28</v>
      </c>
      <c r="E18" s="470" t="s">
        <v>13465</v>
      </c>
      <c r="F18" s="471" t="s">
        <v>13466</v>
      </c>
      <c r="G18" s="472" t="s">
        <v>13467</v>
      </c>
      <c r="I18" s="465"/>
    </row>
    <row r="19" spans="1:9" s="464" customFormat="1" ht="15.75">
      <c r="B19" s="1246" t="s">
        <v>13468</v>
      </c>
      <c r="C19" s="1247"/>
      <c r="D19" s="1247"/>
      <c r="E19" s="1247"/>
      <c r="F19" s="1247"/>
      <c r="G19" s="1248"/>
      <c r="I19" s="465"/>
    </row>
    <row r="20" spans="1:9" s="464" customFormat="1" ht="60">
      <c r="A20" s="473" t="s">
        <v>13458</v>
      </c>
      <c r="B20" s="722">
        <v>37556</v>
      </c>
      <c r="C20" s="710" t="s">
        <v>10087</v>
      </c>
      <c r="D20" s="711" t="s">
        <v>6636</v>
      </c>
      <c r="E20" s="749">
        <v>1</v>
      </c>
      <c r="F20" s="713">
        <v>11.85</v>
      </c>
      <c r="G20" s="750">
        <f>TRUNC(F20*E20,2)</f>
        <v>11.85</v>
      </c>
      <c r="I20" s="465"/>
    </row>
    <row r="21" spans="1:9" s="464" customFormat="1" ht="45">
      <c r="A21" s="473" t="s">
        <v>13458</v>
      </c>
      <c r="B21" s="722">
        <v>11950</v>
      </c>
      <c r="C21" s="710" t="s">
        <v>923</v>
      </c>
      <c r="D21" s="711" t="s">
        <v>6636</v>
      </c>
      <c r="E21" s="749">
        <v>2</v>
      </c>
      <c r="F21" s="713">
        <v>0.1</v>
      </c>
      <c r="G21" s="750">
        <f>TRUNC(F21*E21,2)</f>
        <v>0.2</v>
      </c>
      <c r="I21" s="465"/>
    </row>
    <row r="22" spans="1:9" s="464" customFormat="1" ht="15.75">
      <c r="B22" s="1246" t="s">
        <v>13469</v>
      </c>
      <c r="C22" s="1247"/>
      <c r="D22" s="1247"/>
      <c r="E22" s="1247"/>
      <c r="F22" s="1247"/>
      <c r="G22" s="1248"/>
      <c r="I22" s="465"/>
    </row>
    <row r="23" spans="1:9" s="464" customFormat="1" ht="16.5" thickBot="1">
      <c r="A23" s="473" t="s">
        <v>13459</v>
      </c>
      <c r="B23" s="753">
        <v>88316</v>
      </c>
      <c r="C23" s="717" t="s">
        <v>761</v>
      </c>
      <c r="D23" s="718" t="s">
        <v>753</v>
      </c>
      <c r="E23" s="754">
        <v>0.25</v>
      </c>
      <c r="F23" s="720">
        <v>15.91</v>
      </c>
      <c r="G23" s="755">
        <f>TRUNC(F23*E23,2)</f>
        <v>3.97</v>
      </c>
      <c r="I23" s="465"/>
    </row>
    <row r="24" spans="1:9" s="489" customFormat="1" ht="16.5" thickBot="1">
      <c r="B24" s="1264" t="s">
        <v>13747</v>
      </c>
      <c r="C24" s="1265"/>
      <c r="D24" s="1265"/>
      <c r="E24" s="1265"/>
      <c r="F24" s="756" t="s">
        <v>22</v>
      </c>
      <c r="G24" s="757">
        <f>SUM(G20:G23)</f>
        <v>16.02</v>
      </c>
    </row>
    <row r="25" spans="1:9" s="489" customFormat="1" ht="16.5" thickBot="1">
      <c r="B25" s="1264"/>
      <c r="C25" s="1265"/>
      <c r="D25" s="1265"/>
      <c r="E25" s="1265"/>
      <c r="F25" s="760"/>
      <c r="G25" s="761"/>
    </row>
    <row r="26" spans="1:9" s="465" customFormat="1" ht="31.5" hidden="1" customHeight="1">
      <c r="A26" s="464"/>
      <c r="B26" s="704" t="str">
        <f>IF(COUNT($H$8:H26)&lt;10,CONCATENATE("COMP ELE 00",COUNT($H$8:H26)),CONCATENATE("COMP ELE 0",COUNT($H$8:H26)))</f>
        <v>COMP ELE 003</v>
      </c>
      <c r="C26" s="1257" t="s">
        <v>13748</v>
      </c>
      <c r="D26" s="1257"/>
      <c r="E26" s="1257"/>
      <c r="F26" s="1257"/>
      <c r="G26" s="705" t="s">
        <v>28</v>
      </c>
      <c r="H26" s="570">
        <f>G33</f>
        <v>134.19999999999999</v>
      </c>
    </row>
    <row r="27" spans="1:9" s="465" customFormat="1" ht="32.25" hidden="1" thickBot="1">
      <c r="A27" s="464"/>
      <c r="B27" s="469" t="s">
        <v>13463</v>
      </c>
      <c r="C27" s="470" t="s">
        <v>13464</v>
      </c>
      <c r="D27" s="470" t="s">
        <v>28</v>
      </c>
      <c r="E27" s="470" t="s">
        <v>13465</v>
      </c>
      <c r="F27" s="471" t="s">
        <v>13466</v>
      </c>
      <c r="G27" s="472" t="s">
        <v>13467</v>
      </c>
      <c r="H27" s="464"/>
    </row>
    <row r="28" spans="1:9" s="465" customFormat="1" ht="16.5" hidden="1" thickBot="1">
      <c r="A28" s="464"/>
      <c r="B28" s="1246" t="s">
        <v>13468</v>
      </c>
      <c r="C28" s="1247"/>
      <c r="D28" s="1247"/>
      <c r="E28" s="1247"/>
      <c r="F28" s="1247"/>
      <c r="G28" s="1248"/>
      <c r="H28" s="464"/>
    </row>
    <row r="29" spans="1:9" s="465" customFormat="1" ht="30.75" hidden="1" thickBot="1">
      <c r="A29" s="473" t="s">
        <v>13458</v>
      </c>
      <c r="B29" s="722">
        <v>39445</v>
      </c>
      <c r="C29" s="710" t="s">
        <v>8354</v>
      </c>
      <c r="D29" s="711" t="s">
        <v>6636</v>
      </c>
      <c r="E29" s="749">
        <v>1</v>
      </c>
      <c r="F29" s="713">
        <v>112.35</v>
      </c>
      <c r="G29" s="750">
        <f>TRUNC(F29*E29,2)</f>
        <v>112.35</v>
      </c>
      <c r="H29" s="464"/>
    </row>
    <row r="30" spans="1:9" s="465" customFormat="1" ht="16.5" hidden="1" thickBot="1">
      <c r="A30" s="464"/>
      <c r="B30" s="1246" t="s">
        <v>13469</v>
      </c>
      <c r="C30" s="1247"/>
      <c r="D30" s="1247"/>
      <c r="E30" s="1247"/>
      <c r="F30" s="1247"/>
      <c r="G30" s="1248"/>
      <c r="H30" s="464"/>
    </row>
    <row r="31" spans="1:9" s="465" customFormat="1" ht="16.5" hidden="1" thickBot="1">
      <c r="A31" s="473" t="s">
        <v>13459</v>
      </c>
      <c r="B31" s="751">
        <v>88264</v>
      </c>
      <c r="C31" s="710" t="s">
        <v>771</v>
      </c>
      <c r="D31" s="711" t="s">
        <v>753</v>
      </c>
      <c r="E31" s="752">
        <v>0.6</v>
      </c>
      <c r="F31" s="713">
        <v>20.52</v>
      </c>
      <c r="G31" s="762">
        <f>TRUNC(F31*E31,2)</f>
        <v>12.31</v>
      </c>
      <c r="H31" s="763"/>
    </row>
    <row r="32" spans="1:9" s="465" customFormat="1" ht="16.5" hidden="1" thickBot="1">
      <c r="A32" s="473" t="s">
        <v>13459</v>
      </c>
      <c r="B32" s="753">
        <v>88316</v>
      </c>
      <c r="C32" s="717" t="s">
        <v>761</v>
      </c>
      <c r="D32" s="718" t="s">
        <v>753</v>
      </c>
      <c r="E32" s="754">
        <v>0.6</v>
      </c>
      <c r="F32" s="720">
        <v>15.91</v>
      </c>
      <c r="G32" s="764">
        <f>TRUNC(F32*E32,2)</f>
        <v>9.5399999999999991</v>
      </c>
      <c r="H32" s="763"/>
    </row>
    <row r="33" spans="1:8" s="464" customFormat="1" ht="16.5" hidden="1" thickBot="1">
      <c r="B33" s="1262" t="s">
        <v>13749</v>
      </c>
      <c r="C33" s="1263"/>
      <c r="D33" s="1263"/>
      <c r="E33" s="1263"/>
      <c r="F33" s="756" t="s">
        <v>22</v>
      </c>
      <c r="G33" s="757">
        <f>SUM(G29:G32)</f>
        <v>134.19999999999999</v>
      </c>
    </row>
    <row r="34" spans="1:8" s="464" customFormat="1" ht="15.75" hidden="1" thickBot="1">
      <c r="B34" s="758"/>
      <c r="C34" s="556"/>
      <c r="D34" s="556"/>
      <c r="E34" s="556"/>
      <c r="G34" s="765"/>
    </row>
    <row r="35" spans="1:8" s="465" customFormat="1" ht="36.75" hidden="1" customHeight="1">
      <c r="A35" s="464"/>
      <c r="B35" s="704" t="str">
        <f>IF(COUNT($H$8:H35)&lt;10,CONCATENATE("COMP ELE 00",COUNT($H$8:H35)),CONCATENATE("COMP ELE 0",COUNT($H$8:H35)))</f>
        <v>COMP ELE 004</v>
      </c>
      <c r="C35" s="1257" t="str">
        <f>CONCATENATE("FORNECIMENTO E INSTALAÇÃO DE ",C38)</f>
        <v>FORNECIMENTO E INSTALAÇÃO DE ELETRODUTODUTO PEAD FLEXIVEL PAREDE SIMPLES, CORRUGACAO HELICOIDAL, COR PRETA, SEM ROSCA, DE 1 1/2",  PARA CABEAMENTO SUBTERRANEO (NBR 15715)</v>
      </c>
      <c r="D35" s="1257"/>
      <c r="E35" s="1257"/>
      <c r="F35" s="1257"/>
      <c r="G35" s="705" t="s">
        <v>35</v>
      </c>
      <c r="H35" s="570">
        <f>G41</f>
        <v>10.81</v>
      </c>
    </row>
    <row r="36" spans="1:8" s="465" customFormat="1" ht="32.25" hidden="1" thickBot="1">
      <c r="A36" s="464"/>
      <c r="B36" s="469" t="s">
        <v>13463</v>
      </c>
      <c r="C36" s="470" t="s">
        <v>13464</v>
      </c>
      <c r="D36" s="470" t="s">
        <v>28</v>
      </c>
      <c r="E36" s="470" t="s">
        <v>13465</v>
      </c>
      <c r="F36" s="471" t="s">
        <v>13466</v>
      </c>
      <c r="G36" s="472" t="s">
        <v>13467</v>
      </c>
      <c r="H36" s="464"/>
    </row>
    <row r="37" spans="1:8" s="465" customFormat="1" ht="16.5" hidden="1" thickBot="1">
      <c r="A37" s="464"/>
      <c r="B37" s="1246" t="s">
        <v>13468</v>
      </c>
      <c r="C37" s="1247"/>
      <c r="D37" s="1247"/>
      <c r="E37" s="1247"/>
      <c r="F37" s="1247"/>
      <c r="G37" s="1248"/>
      <c r="H37" s="464"/>
    </row>
    <row r="38" spans="1:8" s="465" customFormat="1" ht="45.75" hidden="1" thickBot="1">
      <c r="A38" s="473" t="s">
        <v>13458</v>
      </c>
      <c r="B38" s="751">
        <v>39246</v>
      </c>
      <c r="C38" s="710" t="s">
        <v>8477</v>
      </c>
      <c r="D38" s="711" t="s">
        <v>6649</v>
      </c>
      <c r="E38" s="766">
        <v>1.0149999999999999</v>
      </c>
      <c r="F38" s="713">
        <v>3.61</v>
      </c>
      <c r="G38" s="750">
        <f>TRUNC(F38*E38,2)</f>
        <v>3.66</v>
      </c>
      <c r="H38" s="464"/>
    </row>
    <row r="39" spans="1:8" s="465" customFormat="1" ht="16.5" hidden="1" thickBot="1">
      <c r="A39" s="464"/>
      <c r="B39" s="1246" t="s">
        <v>13469</v>
      </c>
      <c r="C39" s="1247"/>
      <c r="D39" s="1247"/>
      <c r="E39" s="1247"/>
      <c r="F39" s="1247"/>
      <c r="G39" s="1248"/>
      <c r="H39" s="464"/>
    </row>
    <row r="40" spans="1:8" s="465" customFormat="1" ht="16.5" hidden="1" thickBot="1">
      <c r="A40" s="473" t="s">
        <v>13459</v>
      </c>
      <c r="B40" s="753">
        <v>88316</v>
      </c>
      <c r="C40" s="717" t="s">
        <v>761</v>
      </c>
      <c r="D40" s="718" t="s">
        <v>753</v>
      </c>
      <c r="E40" s="754">
        <v>0.45</v>
      </c>
      <c r="F40" s="720">
        <v>15.91</v>
      </c>
      <c r="G40" s="755">
        <f>TRUNC(F40*E40,2)</f>
        <v>7.15</v>
      </c>
      <c r="H40" s="464"/>
    </row>
    <row r="41" spans="1:8" s="465" customFormat="1" ht="16.5" hidden="1" customHeight="1" thickBot="1">
      <c r="A41" s="464"/>
      <c r="B41" s="1264" t="s">
        <v>13750</v>
      </c>
      <c r="C41" s="1265"/>
      <c r="D41" s="1265"/>
      <c r="E41" s="1265"/>
      <c r="F41" s="756" t="s">
        <v>22</v>
      </c>
      <c r="G41" s="757">
        <f>SUM(G38:G40)</f>
        <v>10.81</v>
      </c>
      <c r="H41" s="464"/>
    </row>
    <row r="42" spans="1:8" s="465" customFormat="1" ht="15.75" hidden="1" thickBot="1">
      <c r="A42" s="464"/>
      <c r="B42" s="1264"/>
      <c r="C42" s="1265"/>
      <c r="D42" s="1265"/>
      <c r="E42" s="1265"/>
      <c r="F42" s="767"/>
      <c r="G42" s="768"/>
      <c r="H42" s="464"/>
    </row>
    <row r="43" spans="1:8" s="465" customFormat="1" ht="36.75" hidden="1" customHeight="1">
      <c r="A43" s="464"/>
      <c r="B43" s="704" t="str">
        <f>IF(COUNT($H$8:H43)&lt;10,CONCATENATE("COMP ELE 00",COUNT($H$8:H43)),CONCATENATE("COMP ELE 0",COUNT($H$8:H43)))</f>
        <v>COMP ELE 005</v>
      </c>
      <c r="C43" s="1257" t="str">
        <f>CONCATENATE("FORNECIMENTO E INSTALAÇÃO DE ",C46)</f>
        <v>FORNECIMENTO E INSTALAÇÃO DE ELETRODUTODUTO PEAD FLEXIVEL PAREDE SIMPLES, CORRUGACAO HELICOIDAL, COR PRETA, SEM ROSCA, DE 4",  PARA CABEAMENTO SUBTERRANEO (NBR 15715)</v>
      </c>
      <c r="D43" s="1257"/>
      <c r="E43" s="1257"/>
      <c r="F43" s="1257"/>
      <c r="G43" s="705" t="s">
        <v>35</v>
      </c>
      <c r="H43" s="570">
        <f>G49</f>
        <v>17.43</v>
      </c>
    </row>
    <row r="44" spans="1:8" s="465" customFormat="1" ht="32.25" hidden="1" thickBot="1">
      <c r="A44" s="464"/>
      <c r="B44" s="469" t="s">
        <v>13463</v>
      </c>
      <c r="C44" s="470" t="s">
        <v>13464</v>
      </c>
      <c r="D44" s="470" t="s">
        <v>28</v>
      </c>
      <c r="E44" s="470" t="s">
        <v>13465</v>
      </c>
      <c r="F44" s="471" t="s">
        <v>13466</v>
      </c>
      <c r="G44" s="472" t="s">
        <v>13467</v>
      </c>
      <c r="H44" s="464"/>
    </row>
    <row r="45" spans="1:8" s="465" customFormat="1" ht="16.5" hidden="1" thickBot="1">
      <c r="A45" s="464"/>
      <c r="B45" s="1246" t="s">
        <v>13468</v>
      </c>
      <c r="C45" s="1247"/>
      <c r="D45" s="1247"/>
      <c r="E45" s="1247"/>
      <c r="F45" s="1247"/>
      <c r="G45" s="1248"/>
      <c r="H45" s="464"/>
    </row>
    <row r="46" spans="1:8" s="465" customFormat="1" ht="45.75" hidden="1" thickBot="1">
      <c r="A46" s="473" t="s">
        <v>13458</v>
      </c>
      <c r="B46" s="751">
        <v>39248</v>
      </c>
      <c r="C46" s="710" t="s">
        <v>8479</v>
      </c>
      <c r="D46" s="711" t="s">
        <v>6649</v>
      </c>
      <c r="E46" s="766">
        <v>1.0149999999999999</v>
      </c>
      <c r="F46" s="713">
        <v>10.130000000000001</v>
      </c>
      <c r="G46" s="750">
        <f>TRUNC(F46*E46,2)</f>
        <v>10.28</v>
      </c>
      <c r="H46" s="464"/>
    </row>
    <row r="47" spans="1:8" s="465" customFormat="1" ht="16.5" hidden="1" thickBot="1">
      <c r="A47" s="464"/>
      <c r="B47" s="1266" t="s">
        <v>13469</v>
      </c>
      <c r="C47" s="1267"/>
      <c r="D47" s="1267"/>
      <c r="E47" s="1267"/>
      <c r="F47" s="1267"/>
      <c r="G47" s="1268"/>
      <c r="H47" s="464"/>
    </row>
    <row r="48" spans="1:8" s="465" customFormat="1" ht="16.5" hidden="1" thickBot="1">
      <c r="A48" s="473" t="s">
        <v>13459</v>
      </c>
      <c r="B48" s="769">
        <v>88316</v>
      </c>
      <c r="C48" s="770" t="s">
        <v>761</v>
      </c>
      <c r="D48" s="771" t="s">
        <v>753</v>
      </c>
      <c r="E48" s="772">
        <v>0.45</v>
      </c>
      <c r="F48" s="773">
        <v>15.91</v>
      </c>
      <c r="G48" s="774">
        <f>TRUNC(F48*E48,2)</f>
        <v>7.15</v>
      </c>
      <c r="H48" s="464"/>
    </row>
    <row r="49" spans="1:9" s="465" customFormat="1" ht="16.5" hidden="1" thickBot="1">
      <c r="A49" s="464"/>
      <c r="B49" s="1264" t="s">
        <v>13751</v>
      </c>
      <c r="C49" s="1265"/>
      <c r="D49" s="1265"/>
      <c r="E49" s="1265"/>
      <c r="F49" s="756" t="s">
        <v>22</v>
      </c>
      <c r="G49" s="757">
        <f>SUM(G46:G48)</f>
        <v>17.43</v>
      </c>
      <c r="H49" s="464"/>
    </row>
    <row r="50" spans="1:9" s="465" customFormat="1" ht="15.75" hidden="1" thickBot="1">
      <c r="A50" s="464"/>
      <c r="B50" s="1264"/>
      <c r="C50" s="1265"/>
      <c r="D50" s="1265"/>
      <c r="E50" s="1265"/>
      <c r="F50" s="767"/>
      <c r="G50" s="768"/>
      <c r="H50" s="464"/>
    </row>
    <row r="51" spans="1:9" s="465" customFormat="1" ht="16.5" hidden="1" thickBot="1">
      <c r="A51" s="464"/>
      <c r="B51" s="704" t="str">
        <f>IF(COUNT($H$8:H51)&lt;10,CONCATENATE("COMP ELE 00",COUNT($H$8:H51)),CONCATENATE("COMP ELE 0",COUNT($H$8:H51)))</f>
        <v>COMP ELE 006</v>
      </c>
      <c r="C51" s="1257" t="str">
        <f>CONCATENATE("FORNECIMENTO E INSTALAÇÃO DE ",C54)</f>
        <v>FORNECIMENTO E INSTALAÇÃO DE LÂMPADA DE VAPOR METÁLICO DE 70W</v>
      </c>
      <c r="D51" s="1257"/>
      <c r="E51" s="1257"/>
      <c r="F51" s="1257"/>
      <c r="G51" s="705" t="s">
        <v>28</v>
      </c>
      <c r="H51" s="570">
        <f>G58</f>
        <v>59.72</v>
      </c>
    </row>
    <row r="52" spans="1:9" s="465" customFormat="1" ht="32.25" hidden="1" thickBot="1">
      <c r="A52" s="464"/>
      <c r="B52" s="469" t="s">
        <v>13463</v>
      </c>
      <c r="C52" s="470" t="s">
        <v>13464</v>
      </c>
      <c r="D52" s="470" t="s">
        <v>28</v>
      </c>
      <c r="E52" s="470" t="s">
        <v>13465</v>
      </c>
      <c r="F52" s="471" t="s">
        <v>13466</v>
      </c>
      <c r="G52" s="472" t="s">
        <v>13467</v>
      </c>
      <c r="H52" s="464"/>
    </row>
    <row r="53" spans="1:9" s="465" customFormat="1" ht="16.5" hidden="1" thickBot="1">
      <c r="A53" s="464"/>
      <c r="B53" s="1246" t="s">
        <v>13468</v>
      </c>
      <c r="C53" s="1247"/>
      <c r="D53" s="1247"/>
      <c r="E53" s="1247"/>
      <c r="F53" s="1247"/>
      <c r="G53" s="1248"/>
      <c r="H53" s="464"/>
    </row>
    <row r="54" spans="1:9" s="465" customFormat="1" ht="15.75" hidden="1" thickBot="1">
      <c r="A54" s="464"/>
      <c r="B54" s="775" t="s">
        <v>13497</v>
      </c>
      <c r="C54" s="776" t="s">
        <v>13752</v>
      </c>
      <c r="D54" s="777" t="s">
        <v>28</v>
      </c>
      <c r="E54" s="778">
        <v>1</v>
      </c>
      <c r="F54" s="779">
        <f>D65</f>
        <v>48.8</v>
      </c>
      <c r="G54" s="780">
        <f>TRUNC(F54*E54,2)</f>
        <v>48.8</v>
      </c>
      <c r="H54" s="464"/>
    </row>
    <row r="55" spans="1:9" s="465" customFormat="1" ht="16.5" hidden="1" thickBot="1">
      <c r="A55" s="464"/>
      <c r="B55" s="1246" t="s">
        <v>13469</v>
      </c>
      <c r="C55" s="1247"/>
      <c r="D55" s="1247"/>
      <c r="E55" s="1247"/>
      <c r="F55" s="1247"/>
      <c r="G55" s="1248"/>
      <c r="H55" s="464"/>
    </row>
    <row r="56" spans="1:9" s="465" customFormat="1" ht="16.5" hidden="1" thickBot="1">
      <c r="A56" s="473" t="s">
        <v>13459</v>
      </c>
      <c r="B56" s="781">
        <v>88264</v>
      </c>
      <c r="C56" s="782" t="s">
        <v>771</v>
      </c>
      <c r="D56" s="783" t="s">
        <v>753</v>
      </c>
      <c r="E56" s="784">
        <v>0.3</v>
      </c>
      <c r="F56" s="785">
        <v>20.52</v>
      </c>
      <c r="G56" s="786">
        <f>TRUNC(F56*E56,2)</f>
        <v>6.15</v>
      </c>
      <c r="H56" s="464"/>
    </row>
    <row r="57" spans="1:9" s="465" customFormat="1" ht="16.5" hidden="1" thickBot="1">
      <c r="A57" s="473" t="s">
        <v>13459</v>
      </c>
      <c r="B57" s="753">
        <v>88316</v>
      </c>
      <c r="C57" s="717" t="s">
        <v>761</v>
      </c>
      <c r="D57" s="718" t="s">
        <v>753</v>
      </c>
      <c r="E57" s="754">
        <v>0.3</v>
      </c>
      <c r="F57" s="720">
        <v>15.91</v>
      </c>
      <c r="G57" s="755">
        <f>TRUNC(F57*E57,2)</f>
        <v>4.7699999999999996</v>
      </c>
      <c r="H57" s="464"/>
    </row>
    <row r="58" spans="1:9" s="465" customFormat="1" ht="16.5" hidden="1" thickBot="1">
      <c r="A58" s="464"/>
      <c r="B58" s="1264" t="s">
        <v>13753</v>
      </c>
      <c r="C58" s="1265"/>
      <c r="D58" s="1265"/>
      <c r="E58" s="1265"/>
      <c r="F58" s="787" t="s">
        <v>22</v>
      </c>
      <c r="G58" s="788">
        <f>SUM(G54:G57)</f>
        <v>59.72</v>
      </c>
      <c r="H58" s="464"/>
    </row>
    <row r="59" spans="1:9" s="465" customFormat="1" ht="15.75" hidden="1" thickBot="1">
      <c r="A59" s="464"/>
      <c r="B59" s="1264"/>
      <c r="C59" s="1265"/>
      <c r="D59" s="1265"/>
      <c r="E59" s="1265"/>
      <c r="F59" s="464"/>
      <c r="G59" s="765"/>
      <c r="H59" s="464"/>
    </row>
    <row r="60" spans="1:9" s="465" customFormat="1" ht="16.5" hidden="1" thickBot="1">
      <c r="A60" s="464"/>
      <c r="B60" s="572">
        <v>5</v>
      </c>
      <c r="C60" s="607" t="s">
        <v>13754</v>
      </c>
      <c r="D60" s="574"/>
      <c r="E60" s="575"/>
      <c r="F60" s="608"/>
      <c r="G60" s="577" t="s">
        <v>28</v>
      </c>
      <c r="H60" s="515" t="s">
        <v>13500</v>
      </c>
    </row>
    <row r="61" spans="1:9" s="465" customFormat="1" ht="32.25" hidden="1" thickBot="1">
      <c r="A61" s="464"/>
      <c r="B61" s="668" t="s">
        <v>13502</v>
      </c>
      <c r="C61" s="669" t="s">
        <v>13503</v>
      </c>
      <c r="D61" s="670" t="s">
        <v>13504</v>
      </c>
      <c r="E61" s="671" t="s">
        <v>13505</v>
      </c>
      <c r="F61" s="647" t="s">
        <v>13506</v>
      </c>
      <c r="G61" s="672" t="s">
        <v>13507</v>
      </c>
      <c r="H61" s="464"/>
    </row>
    <row r="62" spans="1:9" s="465" customFormat="1" ht="15.75" hidden="1" thickBot="1">
      <c r="A62" s="464"/>
      <c r="B62" s="591">
        <v>43560</v>
      </c>
      <c r="C62" s="630" t="s">
        <v>13755</v>
      </c>
      <c r="D62" s="593">
        <v>62.69</v>
      </c>
      <c r="E62" s="789" t="s">
        <v>13756</v>
      </c>
      <c r="F62" s="595" t="s">
        <v>13757</v>
      </c>
      <c r="G62" s="790" t="s">
        <v>13758</v>
      </c>
      <c r="I62" s="791">
        <f>B62+180</f>
        <v>43740</v>
      </c>
    </row>
    <row r="63" spans="1:9" s="465" customFormat="1" ht="15.75" hidden="1" thickBot="1">
      <c r="A63" s="464"/>
      <c r="B63" s="597">
        <v>43560</v>
      </c>
      <c r="C63" s="630" t="s">
        <v>13759</v>
      </c>
      <c r="D63" s="593">
        <v>33.36</v>
      </c>
      <c r="E63" s="789" t="s">
        <v>13760</v>
      </c>
      <c r="F63" s="595" t="s">
        <v>13761</v>
      </c>
      <c r="G63" s="790" t="s">
        <v>13762</v>
      </c>
      <c r="I63" s="791">
        <f>B63+180</f>
        <v>43740</v>
      </c>
    </row>
    <row r="64" spans="1:9" s="465" customFormat="1" ht="15.75" hidden="1" thickBot="1">
      <c r="A64" s="464"/>
      <c r="B64" s="591">
        <v>43564</v>
      </c>
      <c r="C64" s="630" t="s">
        <v>13763</v>
      </c>
      <c r="D64" s="593">
        <v>48.8</v>
      </c>
      <c r="E64" s="789" t="s">
        <v>13764</v>
      </c>
      <c r="F64" s="595" t="s">
        <v>13765</v>
      </c>
      <c r="G64" s="790" t="s">
        <v>13766</v>
      </c>
      <c r="I64" s="792">
        <f>B64+180</f>
        <v>43744</v>
      </c>
    </row>
    <row r="65" spans="1:9" s="465" customFormat="1" ht="16.5" hidden="1" thickBot="1">
      <c r="A65" s="464"/>
      <c r="B65" s="598"/>
      <c r="C65" s="599" t="s">
        <v>13523</v>
      </c>
      <c r="D65" s="793">
        <f>IF(COUNT(D61:D64)=3,MEDIAN(D62:D64),SMALL(D62:D64,1))</f>
        <v>48.8</v>
      </c>
      <c r="E65" s="600"/>
      <c r="F65" s="620"/>
      <c r="G65" s="602"/>
      <c r="H65" s="464"/>
    </row>
    <row r="66" spans="1:9" s="494" customFormat="1" ht="16.5" hidden="1" thickBot="1">
      <c r="B66" s="794"/>
      <c r="C66" s="795"/>
      <c r="D66" s="795"/>
      <c r="E66" s="795"/>
      <c r="F66" s="795"/>
      <c r="G66" s="796"/>
    </row>
    <row r="67" spans="1:9" s="465" customFormat="1" ht="16.5" hidden="1" thickBot="1">
      <c r="A67" s="464"/>
      <c r="B67" s="704" t="str">
        <f>IF(COUNT($H$8:H67)&lt;10,CONCATENATE("COMP ELE 00",COUNT($H$8:H67)),CONCATENATE("COMP ELE 0",COUNT($H$8:H67)))</f>
        <v>COMP ELE 007</v>
      </c>
      <c r="C67" s="1257" t="str">
        <f>CONCATENATE("FORNECIMENTO E INSTALAÇÃO DE ",C70)</f>
        <v>FORNECIMENTO E INSTALAÇÃO DE REATOR PARA LÂMPADA DE VAPOR METÁLICO DE 70W</v>
      </c>
      <c r="D67" s="1257"/>
      <c r="E67" s="1257"/>
      <c r="F67" s="1257"/>
      <c r="G67" s="705" t="s">
        <v>28</v>
      </c>
      <c r="H67" s="570">
        <f>G74</f>
        <v>103.13</v>
      </c>
    </row>
    <row r="68" spans="1:9" s="465" customFormat="1" ht="32.25" hidden="1" thickBot="1">
      <c r="A68" s="464"/>
      <c r="B68" s="469" t="s">
        <v>13463</v>
      </c>
      <c r="C68" s="470" t="s">
        <v>13464</v>
      </c>
      <c r="D68" s="470" t="s">
        <v>28</v>
      </c>
      <c r="E68" s="470" t="s">
        <v>13465</v>
      </c>
      <c r="F68" s="471" t="s">
        <v>13466</v>
      </c>
      <c r="G68" s="472" t="s">
        <v>13467</v>
      </c>
      <c r="H68" s="464"/>
    </row>
    <row r="69" spans="1:9" s="465" customFormat="1" ht="16.5" hidden="1" thickBot="1">
      <c r="A69" s="464"/>
      <c r="B69" s="1246" t="s">
        <v>13468</v>
      </c>
      <c r="C69" s="1247"/>
      <c r="D69" s="1247"/>
      <c r="E69" s="1247"/>
      <c r="F69" s="1247"/>
      <c r="G69" s="1248"/>
      <c r="H69" s="464"/>
    </row>
    <row r="70" spans="1:9" s="465" customFormat="1" ht="15.75" hidden="1" thickBot="1">
      <c r="A70" s="464"/>
      <c r="B70" s="775" t="s">
        <v>13497</v>
      </c>
      <c r="C70" s="776" t="s">
        <v>13767</v>
      </c>
      <c r="D70" s="797" t="s">
        <v>28</v>
      </c>
      <c r="E70" s="752">
        <v>1</v>
      </c>
      <c r="F70" s="798">
        <f>D81</f>
        <v>66.7</v>
      </c>
      <c r="G70" s="750">
        <f>TRUNC(F70*E70,2)</f>
        <v>66.7</v>
      </c>
      <c r="H70" s="464"/>
    </row>
    <row r="71" spans="1:9" s="465" customFormat="1" ht="16.5" hidden="1" thickBot="1">
      <c r="A71" s="464"/>
      <c r="B71" s="1246" t="s">
        <v>13469</v>
      </c>
      <c r="C71" s="1247"/>
      <c r="D71" s="1247"/>
      <c r="E71" s="1247"/>
      <c r="F71" s="1247"/>
      <c r="G71" s="1248"/>
      <c r="H71" s="464"/>
    </row>
    <row r="72" spans="1:9" s="465" customFormat="1" ht="16.5" hidden="1" thickBot="1">
      <c r="A72" s="473" t="s">
        <v>13459</v>
      </c>
      <c r="B72" s="751">
        <v>88264</v>
      </c>
      <c r="C72" s="710" t="s">
        <v>771</v>
      </c>
      <c r="D72" s="711" t="s">
        <v>753</v>
      </c>
      <c r="E72" s="752">
        <v>1</v>
      </c>
      <c r="F72" s="713">
        <v>20.52</v>
      </c>
      <c r="G72" s="750">
        <f>TRUNC(F72*E72,2)</f>
        <v>20.52</v>
      </c>
      <c r="H72" s="464"/>
    </row>
    <row r="73" spans="1:9" s="465" customFormat="1" ht="16.5" hidden="1" thickBot="1">
      <c r="A73" s="473" t="s">
        <v>13459</v>
      </c>
      <c r="B73" s="753">
        <v>88316</v>
      </c>
      <c r="C73" s="717" t="s">
        <v>761</v>
      </c>
      <c r="D73" s="718" t="s">
        <v>753</v>
      </c>
      <c r="E73" s="754">
        <v>1</v>
      </c>
      <c r="F73" s="720">
        <v>15.91</v>
      </c>
      <c r="G73" s="755">
        <f>TRUNC(F73*E73,2)</f>
        <v>15.91</v>
      </c>
      <c r="H73" s="464"/>
    </row>
    <row r="74" spans="1:9" s="465" customFormat="1" ht="16.5" hidden="1" thickBot="1">
      <c r="A74" s="464"/>
      <c r="B74" s="1264" t="s">
        <v>13768</v>
      </c>
      <c r="C74" s="1265"/>
      <c r="D74" s="1265"/>
      <c r="E74" s="1265"/>
      <c r="F74" s="756" t="s">
        <v>22</v>
      </c>
      <c r="G74" s="757">
        <f>SUM(G70:G73)</f>
        <v>103.13</v>
      </c>
      <c r="H74" s="464"/>
    </row>
    <row r="75" spans="1:9" s="465" customFormat="1" ht="15.75" hidden="1" thickBot="1">
      <c r="A75" s="464"/>
      <c r="B75" s="1264"/>
      <c r="C75" s="1265"/>
      <c r="D75" s="1265"/>
      <c r="E75" s="1265"/>
      <c r="F75" s="464"/>
      <c r="G75" s="765"/>
      <c r="H75" s="464"/>
    </row>
    <row r="76" spans="1:9" s="465" customFormat="1" ht="16.5" hidden="1" thickBot="1">
      <c r="A76" s="464"/>
      <c r="B76" s="572"/>
      <c r="C76" s="607" t="s">
        <v>13767</v>
      </c>
      <c r="D76" s="574"/>
      <c r="E76" s="575"/>
      <c r="F76" s="608"/>
      <c r="G76" s="577" t="s">
        <v>28</v>
      </c>
      <c r="H76" s="515" t="s">
        <v>13500</v>
      </c>
    </row>
    <row r="77" spans="1:9" s="465" customFormat="1" ht="32.25" hidden="1" thickBot="1">
      <c r="A77" s="464"/>
      <c r="B77" s="668" t="s">
        <v>13502</v>
      </c>
      <c r="C77" s="669" t="s">
        <v>13503</v>
      </c>
      <c r="D77" s="670" t="s">
        <v>13504</v>
      </c>
      <c r="E77" s="671" t="s">
        <v>13505</v>
      </c>
      <c r="F77" s="647" t="s">
        <v>13506</v>
      </c>
      <c r="G77" s="672" t="s">
        <v>13507</v>
      </c>
      <c r="H77" s="464"/>
    </row>
    <row r="78" spans="1:9" s="465" customFormat="1" ht="15.75" hidden="1" thickBot="1">
      <c r="A78" s="464"/>
      <c r="B78" s="591">
        <v>43560</v>
      </c>
      <c r="C78" s="630" t="s">
        <v>13755</v>
      </c>
      <c r="D78" s="593">
        <v>68.75</v>
      </c>
      <c r="E78" s="789" t="s">
        <v>13756</v>
      </c>
      <c r="F78" s="595" t="s">
        <v>13757</v>
      </c>
      <c r="G78" s="790" t="s">
        <v>13758</v>
      </c>
      <c r="I78" s="791">
        <f>B78+180</f>
        <v>43740</v>
      </c>
    </row>
    <row r="79" spans="1:9" s="465" customFormat="1" ht="15.75" hidden="1" thickBot="1">
      <c r="A79" s="464"/>
      <c r="B79" s="597">
        <v>43560</v>
      </c>
      <c r="C79" s="630" t="s">
        <v>13759</v>
      </c>
      <c r="D79" s="593">
        <v>37.81</v>
      </c>
      <c r="E79" s="789" t="s">
        <v>13760</v>
      </c>
      <c r="F79" s="595" t="s">
        <v>13761</v>
      </c>
      <c r="G79" s="790" t="s">
        <v>13762</v>
      </c>
      <c r="I79" s="791">
        <f>B79+180</f>
        <v>43740</v>
      </c>
    </row>
    <row r="80" spans="1:9" s="465" customFormat="1" ht="15.75" hidden="1" thickBot="1">
      <c r="A80" s="464"/>
      <c r="B80" s="591">
        <v>43564</v>
      </c>
      <c r="C80" s="630" t="s">
        <v>13763</v>
      </c>
      <c r="D80" s="593">
        <v>66.7</v>
      </c>
      <c r="E80" s="789" t="s">
        <v>13764</v>
      </c>
      <c r="F80" s="595" t="s">
        <v>13765</v>
      </c>
      <c r="G80" s="790" t="s">
        <v>13766</v>
      </c>
      <c r="I80" s="792">
        <f>B80+180</f>
        <v>43744</v>
      </c>
    </row>
    <row r="81" spans="1:8" s="465" customFormat="1" ht="16.5" hidden="1" thickBot="1">
      <c r="A81" s="464"/>
      <c r="B81" s="598"/>
      <c r="C81" s="599" t="s">
        <v>13523</v>
      </c>
      <c r="D81" s="538">
        <f>IF(COUNT(D77:D80)=3,MEDIAN(D78:D80),SMALL(D78:D80,1))</f>
        <v>66.7</v>
      </c>
      <c r="E81" s="600"/>
      <c r="F81" s="620"/>
      <c r="G81" s="602"/>
      <c r="H81" s="464"/>
    </row>
    <row r="82" spans="1:8" s="494" customFormat="1" ht="16.5" hidden="1" thickBot="1">
      <c r="B82" s="794"/>
      <c r="C82" s="795"/>
      <c r="D82" s="795"/>
      <c r="E82" s="795"/>
      <c r="F82" s="795"/>
      <c r="G82" s="796"/>
    </row>
    <row r="83" spans="1:8" s="465" customFormat="1" ht="16.5" hidden="1" thickBot="1">
      <c r="A83" s="464"/>
      <c r="B83" s="704" t="str">
        <f>IF(COUNT($H$8:H83)&lt;10,CONCATENATE("COMP ELE 00",COUNT($H$8:H83)),CONCATENATE("COMP ELE 0",COUNT($H$8:H83)))</f>
        <v>COMP ELE 008</v>
      </c>
      <c r="C83" s="1257" t="str">
        <f>CONCATENATE("FORNECIMENTO E INSTALAÇÃO DE ",C86)</f>
        <v>FORNECIMENTO E INSTALAÇÃO DE LAMPADA VAPOR METALICO OVOIDE 150 W, BASE E27/E40</v>
      </c>
      <c r="D83" s="1257"/>
      <c r="E83" s="1257"/>
      <c r="F83" s="1257"/>
      <c r="G83" s="705" t="s">
        <v>28</v>
      </c>
      <c r="H83" s="570">
        <f>G89</f>
        <v>30.29</v>
      </c>
    </row>
    <row r="84" spans="1:8" s="465" customFormat="1" ht="32.25" hidden="1" thickBot="1">
      <c r="A84" s="464"/>
      <c r="B84" s="469" t="s">
        <v>13463</v>
      </c>
      <c r="C84" s="470" t="s">
        <v>13464</v>
      </c>
      <c r="D84" s="470" t="s">
        <v>28</v>
      </c>
      <c r="E84" s="470" t="s">
        <v>13465</v>
      </c>
      <c r="F84" s="471" t="s">
        <v>13466</v>
      </c>
      <c r="G84" s="472" t="s">
        <v>13467</v>
      </c>
      <c r="H84" s="464"/>
    </row>
    <row r="85" spans="1:8" s="465" customFormat="1" ht="16.5" hidden="1" thickBot="1">
      <c r="A85" s="464"/>
      <c r="B85" s="1246" t="s">
        <v>13468</v>
      </c>
      <c r="C85" s="1247"/>
      <c r="D85" s="1247"/>
      <c r="E85" s="1247"/>
      <c r="F85" s="1247"/>
      <c r="G85" s="1248"/>
      <c r="H85" s="464"/>
    </row>
    <row r="86" spans="1:8" s="465" customFormat="1" ht="16.5" hidden="1" thickBot="1">
      <c r="A86" s="473" t="s">
        <v>13458</v>
      </c>
      <c r="B86" s="799">
        <v>39376</v>
      </c>
      <c r="C86" s="710" t="s">
        <v>9256</v>
      </c>
      <c r="D86" s="711" t="s">
        <v>6636</v>
      </c>
      <c r="E86" s="800">
        <v>1</v>
      </c>
      <c r="F86" s="713">
        <v>26.19</v>
      </c>
      <c r="G86" s="750">
        <f>TRUNC(F86*E86,2)</f>
        <v>26.19</v>
      </c>
      <c r="H86" s="464"/>
    </row>
    <row r="87" spans="1:8" s="465" customFormat="1" ht="16.5" hidden="1" thickBot="1">
      <c r="A87" s="464"/>
      <c r="B87" s="1246" t="s">
        <v>13469</v>
      </c>
      <c r="C87" s="1247"/>
      <c r="D87" s="1247"/>
      <c r="E87" s="1247"/>
      <c r="F87" s="1247"/>
      <c r="G87" s="1248"/>
      <c r="H87" s="464"/>
    </row>
    <row r="88" spans="1:8" s="465" customFormat="1" ht="16.5" hidden="1" thickBot="1">
      <c r="A88" s="473" t="s">
        <v>13459</v>
      </c>
      <c r="B88" s="801">
        <v>88264</v>
      </c>
      <c r="C88" s="717" t="s">
        <v>771</v>
      </c>
      <c r="D88" s="718" t="s">
        <v>753</v>
      </c>
      <c r="E88" s="754">
        <v>0.2</v>
      </c>
      <c r="F88" s="720">
        <v>20.52</v>
      </c>
      <c r="G88" s="755">
        <f>TRUNC(F88*E88,2)</f>
        <v>4.0999999999999996</v>
      </c>
      <c r="H88" s="464"/>
    </row>
    <row r="89" spans="1:8" s="465" customFormat="1" ht="16.5" hidden="1" thickBot="1">
      <c r="A89" s="464"/>
      <c r="B89" s="1264" t="s">
        <v>13769</v>
      </c>
      <c r="C89" s="1265"/>
      <c r="D89" s="1265"/>
      <c r="E89" s="1265"/>
      <c r="F89" s="756" t="s">
        <v>22</v>
      </c>
      <c r="G89" s="757">
        <f>SUM(G86:G88)</f>
        <v>30.29</v>
      </c>
      <c r="H89" s="464"/>
    </row>
    <row r="90" spans="1:8" s="494" customFormat="1" ht="16.5" hidden="1" thickBot="1">
      <c r="B90" s="794"/>
      <c r="C90" s="795"/>
      <c r="D90" s="795"/>
      <c r="E90" s="795"/>
      <c r="F90" s="795"/>
      <c r="G90" s="796"/>
    </row>
    <row r="91" spans="1:8" s="465" customFormat="1" ht="16.5" hidden="1" thickBot="1">
      <c r="A91" s="464"/>
      <c r="B91" s="704" t="str">
        <f>IF(COUNT($H$8:H91)&lt;10,CONCATENATE("COMP ELE 00",COUNT($H$8:H91)),CONCATENATE("COMP ELE 0",COUNT($H$8:H91)))</f>
        <v>COMP ELE 009</v>
      </c>
      <c r="C91" s="1257" t="str">
        <f>CONCATENATE("FORNECIMENTO E INSTALAÇÃO DE ",C94)</f>
        <v>FORNECIMENTO E INSTALAÇÃO DE REATOR PARA LÂMPADA DE VAPOR METÁLICO DE 150W</v>
      </c>
      <c r="D91" s="1257"/>
      <c r="E91" s="1257"/>
      <c r="F91" s="1257"/>
      <c r="G91" s="705" t="s">
        <v>28</v>
      </c>
      <c r="H91" s="570">
        <f>G98</f>
        <v>92.320000000000007</v>
      </c>
    </row>
    <row r="92" spans="1:8" s="465" customFormat="1" ht="32.25" hidden="1" thickBot="1">
      <c r="A92" s="464"/>
      <c r="B92" s="469" t="s">
        <v>13463</v>
      </c>
      <c r="C92" s="470" t="s">
        <v>13464</v>
      </c>
      <c r="D92" s="470" t="s">
        <v>28</v>
      </c>
      <c r="E92" s="470" t="s">
        <v>13465</v>
      </c>
      <c r="F92" s="471" t="s">
        <v>13466</v>
      </c>
      <c r="G92" s="472" t="s">
        <v>13467</v>
      </c>
      <c r="H92" s="464"/>
    </row>
    <row r="93" spans="1:8" s="465" customFormat="1" ht="16.5" hidden="1" thickBot="1">
      <c r="A93" s="464"/>
      <c r="B93" s="1246" t="s">
        <v>13468</v>
      </c>
      <c r="C93" s="1247"/>
      <c r="D93" s="1247"/>
      <c r="E93" s="1247"/>
      <c r="F93" s="1247"/>
      <c r="G93" s="1248"/>
      <c r="H93" s="464"/>
    </row>
    <row r="94" spans="1:8" s="465" customFormat="1" ht="15.75" hidden="1" thickBot="1">
      <c r="A94" s="464"/>
      <c r="B94" s="775" t="s">
        <v>13497</v>
      </c>
      <c r="C94" s="776" t="s">
        <v>13770</v>
      </c>
      <c r="D94" s="777" t="s">
        <v>28</v>
      </c>
      <c r="E94" s="778">
        <v>1</v>
      </c>
      <c r="F94" s="802">
        <f>D105</f>
        <v>70.510000000000005</v>
      </c>
      <c r="G94" s="750">
        <f>TRUNC(F94*E94,2)</f>
        <v>70.510000000000005</v>
      </c>
      <c r="H94" s="464"/>
    </row>
    <row r="95" spans="1:8" s="465" customFormat="1" ht="16.5" hidden="1" thickBot="1">
      <c r="A95" s="464"/>
      <c r="B95" s="1246" t="s">
        <v>13469</v>
      </c>
      <c r="C95" s="1247"/>
      <c r="D95" s="1247"/>
      <c r="E95" s="1247"/>
      <c r="F95" s="1247"/>
      <c r="G95" s="1248"/>
      <c r="H95" s="464"/>
    </row>
    <row r="96" spans="1:8" s="465" customFormat="1" ht="16.5" hidden="1" thickBot="1">
      <c r="A96" s="473" t="s">
        <v>13459</v>
      </c>
      <c r="B96" s="803">
        <v>88264</v>
      </c>
      <c r="C96" s="710" t="s">
        <v>771</v>
      </c>
      <c r="D96" s="711" t="s">
        <v>753</v>
      </c>
      <c r="E96" s="800">
        <v>0.6</v>
      </c>
      <c r="F96" s="713">
        <v>20.52</v>
      </c>
      <c r="G96" s="804">
        <f>TRUNC(F96*E96,2)</f>
        <v>12.31</v>
      </c>
      <c r="H96" s="464"/>
    </row>
    <row r="97" spans="1:9" s="465" customFormat="1" ht="16.5" hidden="1" thickBot="1">
      <c r="A97" s="473" t="s">
        <v>13459</v>
      </c>
      <c r="B97" s="805">
        <v>88247</v>
      </c>
      <c r="C97" s="717" t="s">
        <v>924</v>
      </c>
      <c r="D97" s="718" t="s">
        <v>753</v>
      </c>
      <c r="E97" s="806">
        <v>0.6</v>
      </c>
      <c r="F97" s="720">
        <v>15.84</v>
      </c>
      <c r="G97" s="807">
        <f>TRUNC(F97*E97,2)</f>
        <v>9.5</v>
      </c>
      <c r="H97" s="464"/>
    </row>
    <row r="98" spans="1:9" s="465" customFormat="1" ht="16.5" hidden="1" thickBot="1">
      <c r="A98" s="464"/>
      <c r="B98" s="1264" t="s">
        <v>13771</v>
      </c>
      <c r="C98" s="1265"/>
      <c r="D98" s="1265"/>
      <c r="E98" s="1265"/>
      <c r="F98" s="756" t="s">
        <v>22</v>
      </c>
      <c r="G98" s="808">
        <f>SUM(G94:G97)</f>
        <v>92.320000000000007</v>
      </c>
      <c r="H98" s="464"/>
    </row>
    <row r="99" spans="1:9" s="465" customFormat="1" ht="15.75" hidden="1" thickBot="1">
      <c r="A99" s="464"/>
      <c r="B99" s="809"/>
      <c r="C99" s="810"/>
      <c r="D99" s="810"/>
      <c r="E99" s="810"/>
      <c r="F99" s="810"/>
      <c r="G99" s="811"/>
      <c r="H99" s="464"/>
    </row>
    <row r="100" spans="1:9" s="465" customFormat="1" ht="16.5" hidden="1" thickBot="1">
      <c r="A100" s="464"/>
      <c r="B100" s="572"/>
      <c r="C100" s="607" t="s">
        <v>13770</v>
      </c>
      <c r="D100" s="574"/>
      <c r="E100" s="575"/>
      <c r="F100" s="608"/>
      <c r="G100" s="577" t="s">
        <v>28</v>
      </c>
      <c r="H100" s="515" t="s">
        <v>13500</v>
      </c>
    </row>
    <row r="101" spans="1:9" s="465" customFormat="1" ht="32.25" hidden="1" thickBot="1">
      <c r="A101" s="464"/>
      <c r="B101" s="668" t="s">
        <v>13502</v>
      </c>
      <c r="C101" s="669" t="s">
        <v>13503</v>
      </c>
      <c r="D101" s="670" t="s">
        <v>13504</v>
      </c>
      <c r="E101" s="671" t="s">
        <v>13505</v>
      </c>
      <c r="F101" s="647" t="s">
        <v>13506</v>
      </c>
      <c r="G101" s="672" t="s">
        <v>13507</v>
      </c>
      <c r="H101" s="464"/>
    </row>
    <row r="102" spans="1:9" s="465" customFormat="1" ht="15.75" hidden="1" thickBot="1">
      <c r="A102" s="464"/>
      <c r="B102" s="597">
        <v>43560</v>
      </c>
      <c r="C102" s="630" t="s">
        <v>13772</v>
      </c>
      <c r="D102" s="593">
        <v>70.510000000000005</v>
      </c>
      <c r="E102" s="789" t="s">
        <v>13773</v>
      </c>
      <c r="F102" s="595" t="s">
        <v>13774</v>
      </c>
      <c r="G102" s="790" t="s">
        <v>13775</v>
      </c>
      <c r="I102" s="791">
        <f>B102+180</f>
        <v>43740</v>
      </c>
    </row>
    <row r="103" spans="1:9" s="465" customFormat="1" ht="15.75" hidden="1" thickBot="1">
      <c r="A103" s="464"/>
      <c r="B103" s="597">
        <v>43560</v>
      </c>
      <c r="C103" s="630" t="s">
        <v>13759</v>
      </c>
      <c r="D103" s="593">
        <v>67.83</v>
      </c>
      <c r="E103" s="789" t="s">
        <v>13760</v>
      </c>
      <c r="F103" s="595" t="s">
        <v>13761</v>
      </c>
      <c r="G103" s="790" t="s">
        <v>13762</v>
      </c>
      <c r="I103" s="791">
        <f>B103+180</f>
        <v>43740</v>
      </c>
    </row>
    <row r="104" spans="1:9" s="465" customFormat="1" ht="15.75" hidden="1" thickBot="1">
      <c r="A104" s="464"/>
      <c r="B104" s="591">
        <v>43560</v>
      </c>
      <c r="C104" s="630" t="s">
        <v>13755</v>
      </c>
      <c r="D104" s="593">
        <v>73.06</v>
      </c>
      <c r="E104" s="789" t="s">
        <v>13756</v>
      </c>
      <c r="F104" s="595" t="s">
        <v>13757</v>
      </c>
      <c r="G104" s="790" t="s">
        <v>13758</v>
      </c>
      <c r="I104" s="792">
        <f>B104+180</f>
        <v>43740</v>
      </c>
    </row>
    <row r="105" spans="1:9" s="465" customFormat="1" ht="16.5" hidden="1" thickBot="1">
      <c r="A105" s="464"/>
      <c r="B105" s="598"/>
      <c r="C105" s="599" t="s">
        <v>13523</v>
      </c>
      <c r="D105" s="538">
        <f>IF(COUNT(D101:D104)=3,MEDIAN(D102:D104),SMALL(D102:D104,1))</f>
        <v>70.510000000000005</v>
      </c>
      <c r="E105" s="600"/>
      <c r="F105" s="620"/>
      <c r="G105" s="602"/>
      <c r="H105" s="464"/>
    </row>
    <row r="106" spans="1:9" s="494" customFormat="1" ht="16.5" hidden="1" thickBot="1">
      <c r="B106" s="794"/>
      <c r="C106" s="795"/>
      <c r="D106" s="795"/>
      <c r="E106" s="795"/>
      <c r="F106" s="795"/>
      <c r="G106" s="796"/>
    </row>
    <row r="107" spans="1:9" s="465" customFormat="1" ht="16.5" hidden="1" thickBot="1">
      <c r="A107" s="464"/>
      <c r="B107" s="704" t="str">
        <f>IF(COUNT($H$8:H107)&lt;10,CONCATENATE("COMP ELE 00",COUNT($H$8:H107)),CONCATENATE("COMP ELE 0",COUNT($H$8:H107)))</f>
        <v>COMP ELE 010</v>
      </c>
      <c r="C107" s="1257" t="str">
        <f>CONCATENATE("FORNECIMENTO E INSTALAÇÃO DE ",C110)</f>
        <v>FORNECIMENTO E INSTALAÇÃO DE LÂMPADA DE VAPOR METÁLICO DE 250W</v>
      </c>
      <c r="D107" s="1257"/>
      <c r="E107" s="1257"/>
      <c r="F107" s="1257"/>
      <c r="G107" s="705" t="s">
        <v>28</v>
      </c>
      <c r="H107" s="570">
        <f>G113</f>
        <v>37.200000000000003</v>
      </c>
    </row>
    <row r="108" spans="1:9" s="465" customFormat="1" ht="32.25" hidden="1" thickBot="1">
      <c r="A108" s="464"/>
      <c r="B108" s="469" t="s">
        <v>13463</v>
      </c>
      <c r="C108" s="470" t="s">
        <v>13464</v>
      </c>
      <c r="D108" s="470" t="s">
        <v>28</v>
      </c>
      <c r="E108" s="470" t="s">
        <v>13465</v>
      </c>
      <c r="F108" s="471" t="s">
        <v>13466</v>
      </c>
      <c r="G108" s="472" t="s">
        <v>13467</v>
      </c>
      <c r="H108" s="464"/>
    </row>
    <row r="109" spans="1:9" s="465" customFormat="1" ht="16.5" hidden="1" thickBot="1">
      <c r="A109" s="464"/>
      <c r="B109" s="1246" t="s">
        <v>13468</v>
      </c>
      <c r="C109" s="1247"/>
      <c r="D109" s="1247"/>
      <c r="E109" s="1247"/>
      <c r="F109" s="1247"/>
      <c r="G109" s="1248"/>
      <c r="H109" s="464"/>
    </row>
    <row r="110" spans="1:9" s="465" customFormat="1" ht="15.75" hidden="1" thickBot="1">
      <c r="A110" s="464"/>
      <c r="B110" s="775" t="s">
        <v>13497</v>
      </c>
      <c r="C110" s="776" t="s">
        <v>13776</v>
      </c>
      <c r="D110" s="797" t="s">
        <v>28</v>
      </c>
      <c r="E110" s="752">
        <v>1</v>
      </c>
      <c r="F110" s="798">
        <f>D120</f>
        <v>33.1</v>
      </c>
      <c r="G110" s="750">
        <f>TRUNC(F110*E110,2)</f>
        <v>33.1</v>
      </c>
      <c r="H110" s="464"/>
    </row>
    <row r="111" spans="1:9" s="465" customFormat="1" ht="16.5" hidden="1" thickBot="1">
      <c r="A111" s="464"/>
      <c r="B111" s="1246" t="s">
        <v>13469</v>
      </c>
      <c r="C111" s="1247"/>
      <c r="D111" s="1247"/>
      <c r="E111" s="1247"/>
      <c r="F111" s="1247"/>
      <c r="G111" s="1248"/>
      <c r="H111" s="464"/>
    </row>
    <row r="112" spans="1:9" s="465" customFormat="1" ht="16.5" hidden="1" thickBot="1">
      <c r="A112" s="473" t="s">
        <v>13459</v>
      </c>
      <c r="B112" s="801">
        <v>88264</v>
      </c>
      <c r="C112" s="717" t="s">
        <v>771</v>
      </c>
      <c r="D112" s="718" t="s">
        <v>753</v>
      </c>
      <c r="E112" s="754">
        <v>0.2</v>
      </c>
      <c r="F112" s="720">
        <v>20.52</v>
      </c>
      <c r="G112" s="755">
        <f>TRUNC(F112*E112,2)</f>
        <v>4.0999999999999996</v>
      </c>
      <c r="H112" s="464"/>
    </row>
    <row r="113" spans="1:9" s="465" customFormat="1" ht="16.5" hidden="1" thickBot="1">
      <c r="A113" s="464"/>
      <c r="B113" s="1264" t="s">
        <v>13777</v>
      </c>
      <c r="C113" s="1265"/>
      <c r="D113" s="1265"/>
      <c r="E113" s="1265"/>
      <c r="F113" s="812" t="s">
        <v>22</v>
      </c>
      <c r="G113" s="813">
        <f>SUM(G110:G112)</f>
        <v>37.200000000000003</v>
      </c>
      <c r="H113" s="464"/>
    </row>
    <row r="114" spans="1:9" s="465" customFormat="1" ht="15.75" hidden="1" thickBot="1">
      <c r="A114" s="464"/>
      <c r="B114" s="809"/>
      <c r="C114" s="810"/>
      <c r="D114" s="810"/>
      <c r="E114" s="810"/>
      <c r="F114" s="810"/>
      <c r="G114" s="811"/>
      <c r="H114" s="464"/>
    </row>
    <row r="115" spans="1:9" s="465" customFormat="1" ht="16.5" hidden="1" thickBot="1">
      <c r="A115" s="464"/>
      <c r="B115" s="572">
        <v>9</v>
      </c>
      <c r="C115" s="607" t="s">
        <v>13776</v>
      </c>
      <c r="D115" s="574"/>
      <c r="E115" s="575"/>
      <c r="F115" s="608"/>
      <c r="G115" s="577" t="s">
        <v>28</v>
      </c>
      <c r="H115" s="515" t="s">
        <v>13500</v>
      </c>
    </row>
    <row r="116" spans="1:9" s="465" customFormat="1" ht="32.25" hidden="1" thickBot="1">
      <c r="A116" s="464"/>
      <c r="B116" s="668" t="s">
        <v>13502</v>
      </c>
      <c r="C116" s="669" t="s">
        <v>13503</v>
      </c>
      <c r="D116" s="670" t="s">
        <v>13504</v>
      </c>
      <c r="E116" s="671" t="s">
        <v>13505</v>
      </c>
      <c r="F116" s="647" t="s">
        <v>13506</v>
      </c>
      <c r="G116" s="672" t="s">
        <v>13507</v>
      </c>
      <c r="H116" s="464"/>
    </row>
    <row r="117" spans="1:9" s="465" customFormat="1" ht="15.75" hidden="1" thickBot="1">
      <c r="A117" s="464"/>
      <c r="B117" s="597">
        <v>43564</v>
      </c>
      <c r="C117" s="630" t="s">
        <v>13772</v>
      </c>
      <c r="D117" s="593">
        <v>31.71</v>
      </c>
      <c r="E117" s="789" t="s">
        <v>13773</v>
      </c>
      <c r="F117" s="595" t="s">
        <v>13774</v>
      </c>
      <c r="G117" s="790" t="s">
        <v>13775</v>
      </c>
      <c r="I117" s="791">
        <f>B117+180</f>
        <v>43744</v>
      </c>
    </row>
    <row r="118" spans="1:9" s="465" customFormat="1" ht="15.75" hidden="1" thickBot="1">
      <c r="A118" s="464"/>
      <c r="B118" s="591">
        <v>43564</v>
      </c>
      <c r="C118" s="630" t="s">
        <v>13763</v>
      </c>
      <c r="D118" s="593">
        <v>48.38</v>
      </c>
      <c r="E118" s="789" t="s">
        <v>13764</v>
      </c>
      <c r="F118" s="595" t="s">
        <v>13765</v>
      </c>
      <c r="G118" s="790" t="s">
        <v>13778</v>
      </c>
      <c r="I118" s="791">
        <f>B118+180</f>
        <v>43744</v>
      </c>
    </row>
    <row r="119" spans="1:9" s="465" customFormat="1" ht="15.75" hidden="1" thickBot="1">
      <c r="A119" s="464"/>
      <c r="B119" s="597">
        <v>43560</v>
      </c>
      <c r="C119" s="630" t="s">
        <v>13759</v>
      </c>
      <c r="D119" s="593">
        <v>33.1</v>
      </c>
      <c r="E119" s="789" t="s">
        <v>13760</v>
      </c>
      <c r="F119" s="595" t="s">
        <v>13761</v>
      </c>
      <c r="G119" s="790" t="s">
        <v>13762</v>
      </c>
      <c r="I119" s="792">
        <f>B119+180</f>
        <v>43740</v>
      </c>
    </row>
    <row r="120" spans="1:9" s="465" customFormat="1" ht="16.5" hidden="1" thickBot="1">
      <c r="A120" s="464"/>
      <c r="B120" s="598"/>
      <c r="C120" s="599" t="s">
        <v>13523</v>
      </c>
      <c r="D120" s="538">
        <f>IF(COUNT(D116:D119)=3,MEDIAN(D117:D119),SMALL(D117:D119,1))</f>
        <v>33.1</v>
      </c>
      <c r="E120" s="600"/>
      <c r="F120" s="620"/>
      <c r="G120" s="602"/>
      <c r="H120" s="464"/>
    </row>
    <row r="121" spans="1:9" s="494" customFormat="1" ht="16.5" hidden="1" thickBot="1">
      <c r="B121" s="794"/>
      <c r="C121" s="795"/>
      <c r="D121" s="795"/>
      <c r="E121" s="795"/>
      <c r="F121" s="795"/>
      <c r="G121" s="796"/>
    </row>
    <row r="122" spans="1:9" s="465" customFormat="1" ht="16.5" hidden="1" thickBot="1">
      <c r="A122" s="464"/>
      <c r="B122" s="704" t="str">
        <f>IF(COUNT($H$8:H122)&lt;10,CONCATENATE("COMP ELE 00",COUNT($H$8:H122)),CONCATENATE("COMP ELE 0",COUNT($H$8:H122)))</f>
        <v>COMP ELE 011</v>
      </c>
      <c r="C122" s="1257" t="str">
        <f>CONCATENATE("FORNECIMENTO E INSTALAÇÃO DE ",C125)</f>
        <v>FORNECIMENTO E INSTALAÇÃO DE REATOR PARA LÂMPADA DE VAPOR METÁLICO DE 250W</v>
      </c>
      <c r="D122" s="1257"/>
      <c r="E122" s="1257"/>
      <c r="F122" s="1257"/>
      <c r="G122" s="705" t="s">
        <v>28</v>
      </c>
      <c r="H122" s="570">
        <f>G129</f>
        <v>88.13</v>
      </c>
    </row>
    <row r="123" spans="1:9" s="465" customFormat="1" ht="32.25" hidden="1" thickBot="1">
      <c r="A123" s="464"/>
      <c r="B123" s="469" t="s">
        <v>13463</v>
      </c>
      <c r="C123" s="470" t="s">
        <v>13464</v>
      </c>
      <c r="D123" s="470" t="s">
        <v>28</v>
      </c>
      <c r="E123" s="470" t="s">
        <v>13465</v>
      </c>
      <c r="F123" s="471" t="s">
        <v>13466</v>
      </c>
      <c r="G123" s="472" t="s">
        <v>13467</v>
      </c>
      <c r="H123" s="464"/>
    </row>
    <row r="124" spans="1:9" s="465" customFormat="1" ht="16.5" hidden="1" thickBot="1">
      <c r="A124" s="464"/>
      <c r="B124" s="1246" t="s">
        <v>13468</v>
      </c>
      <c r="C124" s="1247"/>
      <c r="D124" s="1247"/>
      <c r="E124" s="1247"/>
      <c r="F124" s="1247"/>
      <c r="G124" s="1248"/>
      <c r="H124" s="464"/>
    </row>
    <row r="125" spans="1:9" s="465" customFormat="1" ht="15.75" hidden="1" thickBot="1">
      <c r="A125" s="464"/>
      <c r="B125" s="775" t="s">
        <v>13497</v>
      </c>
      <c r="C125" s="776" t="s">
        <v>13779</v>
      </c>
      <c r="D125" s="797" t="s">
        <v>28</v>
      </c>
      <c r="E125" s="752">
        <v>1</v>
      </c>
      <c r="F125" s="798">
        <f>D136</f>
        <v>66.319999999999993</v>
      </c>
      <c r="G125" s="750">
        <f>TRUNC(F125*E125,2)</f>
        <v>66.319999999999993</v>
      </c>
      <c r="H125" s="464"/>
    </row>
    <row r="126" spans="1:9" s="465" customFormat="1" ht="16.5" hidden="1" thickBot="1">
      <c r="A126" s="464"/>
      <c r="B126" s="1246" t="s">
        <v>13469</v>
      </c>
      <c r="C126" s="1247"/>
      <c r="D126" s="1247"/>
      <c r="E126" s="1247"/>
      <c r="F126" s="1247"/>
      <c r="G126" s="1248"/>
      <c r="H126" s="464"/>
    </row>
    <row r="127" spans="1:9" s="465" customFormat="1" ht="16.5" hidden="1" thickBot="1">
      <c r="A127" s="473" t="s">
        <v>13459</v>
      </c>
      <c r="B127" s="751">
        <v>88264</v>
      </c>
      <c r="C127" s="710" t="s">
        <v>771</v>
      </c>
      <c r="D127" s="711" t="s">
        <v>753</v>
      </c>
      <c r="E127" s="752">
        <v>0.6</v>
      </c>
      <c r="F127" s="713">
        <v>20.52</v>
      </c>
      <c r="G127" s="750">
        <f>TRUNC(F127*E127,2)</f>
        <v>12.31</v>
      </c>
      <c r="H127" s="464"/>
    </row>
    <row r="128" spans="1:9" s="465" customFormat="1" ht="16.5" hidden="1" thickBot="1">
      <c r="A128" s="473" t="s">
        <v>13459</v>
      </c>
      <c r="B128" s="753">
        <v>88247</v>
      </c>
      <c r="C128" s="717" t="s">
        <v>924</v>
      </c>
      <c r="D128" s="718" t="s">
        <v>753</v>
      </c>
      <c r="E128" s="754">
        <v>0.6</v>
      </c>
      <c r="F128" s="720">
        <v>15.84</v>
      </c>
      <c r="G128" s="755">
        <f>TRUNC(F128*E128,2)</f>
        <v>9.5</v>
      </c>
      <c r="H128" s="464"/>
    </row>
    <row r="129" spans="1:9" s="465" customFormat="1" ht="16.5" hidden="1" thickBot="1">
      <c r="A129" s="464"/>
      <c r="B129" s="1264" t="s">
        <v>13771</v>
      </c>
      <c r="C129" s="1265"/>
      <c r="D129" s="1265"/>
      <c r="E129" s="1265"/>
      <c r="F129" s="756" t="s">
        <v>22</v>
      </c>
      <c r="G129" s="808">
        <f>SUM(G125:G128)</f>
        <v>88.13</v>
      </c>
      <c r="H129" s="464"/>
    </row>
    <row r="130" spans="1:9" s="465" customFormat="1" ht="15.75" hidden="1" thickBot="1">
      <c r="A130" s="464"/>
      <c r="B130" s="1264"/>
      <c r="C130" s="1265"/>
      <c r="D130" s="1265"/>
      <c r="E130" s="1265"/>
      <c r="F130" s="464"/>
      <c r="G130" s="765"/>
      <c r="H130" s="464"/>
    </row>
    <row r="131" spans="1:9" s="465" customFormat="1" ht="16.5" hidden="1" thickBot="1">
      <c r="A131" s="464"/>
      <c r="B131" s="572"/>
      <c r="C131" s="607" t="s">
        <v>13779</v>
      </c>
      <c r="D131" s="574"/>
      <c r="E131" s="575"/>
      <c r="F131" s="608"/>
      <c r="G131" s="577" t="s">
        <v>28</v>
      </c>
      <c r="H131" s="515" t="s">
        <v>13500</v>
      </c>
    </row>
    <row r="132" spans="1:9" s="465" customFormat="1" ht="32.25" hidden="1" thickBot="1">
      <c r="A132" s="464"/>
      <c r="B132" s="668" t="s">
        <v>13502</v>
      </c>
      <c r="C132" s="669" t="s">
        <v>13503</v>
      </c>
      <c r="D132" s="670" t="s">
        <v>13504</v>
      </c>
      <c r="E132" s="671" t="s">
        <v>13505</v>
      </c>
      <c r="F132" s="647" t="s">
        <v>13506</v>
      </c>
      <c r="G132" s="672" t="s">
        <v>13507</v>
      </c>
      <c r="H132" s="464"/>
    </row>
    <row r="133" spans="1:9" s="465" customFormat="1" ht="15.75" hidden="1" thickBot="1">
      <c r="A133" s="464"/>
      <c r="B133" s="611">
        <v>43564</v>
      </c>
      <c r="C133" s="630" t="s">
        <v>13772</v>
      </c>
      <c r="D133" s="593">
        <v>77.58</v>
      </c>
      <c r="E133" s="789" t="s">
        <v>13773</v>
      </c>
      <c r="F133" s="595" t="s">
        <v>13774</v>
      </c>
      <c r="G133" s="790" t="s">
        <v>13775</v>
      </c>
      <c r="I133" s="791">
        <f>B133+180</f>
        <v>43744</v>
      </c>
    </row>
    <row r="134" spans="1:9" s="465" customFormat="1" ht="15.75" hidden="1" thickBot="1">
      <c r="A134" s="464"/>
      <c r="B134" s="597">
        <v>43564</v>
      </c>
      <c r="C134" s="592" t="s">
        <v>13763</v>
      </c>
      <c r="D134" s="593">
        <v>66.319999999999993</v>
      </c>
      <c r="E134" s="652" t="s">
        <v>13764</v>
      </c>
      <c r="F134" s="814" t="s">
        <v>13765</v>
      </c>
      <c r="G134" s="790" t="s">
        <v>13780</v>
      </c>
      <c r="I134" s="791">
        <f>B134+180</f>
        <v>43744</v>
      </c>
    </row>
    <row r="135" spans="1:9" s="465" customFormat="1" ht="15.75" hidden="1" thickBot="1">
      <c r="A135" s="464"/>
      <c r="B135" s="591">
        <v>43560</v>
      </c>
      <c r="C135" s="630" t="s">
        <v>13781</v>
      </c>
      <c r="D135" s="593">
        <v>57.47</v>
      </c>
      <c r="E135" s="789" t="s">
        <v>13782</v>
      </c>
      <c r="F135" s="595" t="s">
        <v>13761</v>
      </c>
      <c r="G135" s="790" t="s">
        <v>13762</v>
      </c>
      <c r="I135" s="792">
        <f>B135+180</f>
        <v>43740</v>
      </c>
    </row>
    <row r="136" spans="1:9" s="465" customFormat="1" ht="16.5" hidden="1" thickBot="1">
      <c r="A136" s="464"/>
      <c r="B136" s="598"/>
      <c r="C136" s="599" t="s">
        <v>13523</v>
      </c>
      <c r="D136" s="538">
        <f>IF(COUNT(D132:D135)=3,MEDIAN(D133:D135),SMALL(D133:D135,1))</f>
        <v>66.319999999999993</v>
      </c>
      <c r="E136" s="600"/>
      <c r="F136" s="620"/>
      <c r="G136" s="602"/>
      <c r="H136" s="464"/>
    </row>
    <row r="137" spans="1:9" s="494" customFormat="1" ht="16.5" hidden="1" thickBot="1">
      <c r="B137" s="794"/>
      <c r="C137" s="795"/>
      <c r="D137" s="795"/>
      <c r="E137" s="795"/>
      <c r="F137" s="795"/>
      <c r="G137" s="796"/>
    </row>
    <row r="138" spans="1:9" s="465" customFormat="1" ht="16.5" hidden="1" thickBot="1">
      <c r="A138" s="464"/>
      <c r="B138" s="704" t="str">
        <f>IF(COUNT($H$8:H138)&lt;10,CONCATENATE("COMP ELE 00",COUNT($H$8:H138)),CONCATENATE("COMP ELE 0",COUNT($H$8:H138)))</f>
        <v>COMP ELE 012</v>
      </c>
      <c r="C138" s="1257" t="str">
        <f>CONCATENATE("FORNECIMENTO E INSTALAÇÃO DE ",C141)</f>
        <v>FORNECIMENTO E INSTALAÇÃO DE LUMINARIA LED REFLETOR RETANGULAR BIVOLT, LUZ BRANCA, 30 W</v>
      </c>
      <c r="D138" s="1257"/>
      <c r="E138" s="1257"/>
      <c r="F138" s="1257"/>
      <c r="G138" s="705" t="s">
        <v>28</v>
      </c>
      <c r="H138" s="570">
        <f>G145</f>
        <v>143.80999999999997</v>
      </c>
    </row>
    <row r="139" spans="1:9" s="465" customFormat="1" ht="32.25" hidden="1" thickBot="1">
      <c r="A139" s="464"/>
      <c r="B139" s="469" t="s">
        <v>13463</v>
      </c>
      <c r="C139" s="470" t="s">
        <v>13464</v>
      </c>
      <c r="D139" s="470" t="s">
        <v>28</v>
      </c>
      <c r="E139" s="470" t="s">
        <v>13465</v>
      </c>
      <c r="F139" s="471" t="s">
        <v>13466</v>
      </c>
      <c r="G139" s="472" t="s">
        <v>13467</v>
      </c>
      <c r="H139" s="464"/>
    </row>
    <row r="140" spans="1:9" s="465" customFormat="1" ht="16.5" hidden="1" thickBot="1">
      <c r="A140" s="464"/>
      <c r="B140" s="1246" t="s">
        <v>13468</v>
      </c>
      <c r="C140" s="1247"/>
      <c r="D140" s="1247"/>
      <c r="E140" s="1247"/>
      <c r="F140" s="1247"/>
      <c r="G140" s="1248"/>
      <c r="H140" s="464"/>
    </row>
    <row r="141" spans="1:9" s="464" customFormat="1" ht="30.75" hidden="1" thickBot="1">
      <c r="A141" s="473" t="s">
        <v>13458</v>
      </c>
      <c r="B141" s="722">
        <v>39390</v>
      </c>
      <c r="C141" s="710" t="s">
        <v>9335</v>
      </c>
      <c r="D141" s="711" t="s">
        <v>6636</v>
      </c>
      <c r="E141" s="749">
        <v>1</v>
      </c>
      <c r="F141" s="713">
        <v>125.6</v>
      </c>
      <c r="G141" s="750">
        <f>TRUNC(F141*E141,2)</f>
        <v>125.6</v>
      </c>
      <c r="I141" s="465"/>
    </row>
    <row r="142" spans="1:9" s="465" customFormat="1" ht="16.5" hidden="1" thickBot="1">
      <c r="A142" s="464"/>
      <c r="B142" s="1246" t="s">
        <v>13469</v>
      </c>
      <c r="C142" s="1247"/>
      <c r="D142" s="1247"/>
      <c r="E142" s="1247"/>
      <c r="F142" s="1247"/>
      <c r="G142" s="1248"/>
      <c r="H142" s="464"/>
    </row>
    <row r="143" spans="1:9" s="465" customFormat="1" ht="16.5" hidden="1" thickBot="1">
      <c r="A143" s="473" t="s">
        <v>13459</v>
      </c>
      <c r="B143" s="751">
        <v>88264</v>
      </c>
      <c r="C143" s="710" t="s">
        <v>771</v>
      </c>
      <c r="D143" s="711" t="s">
        <v>753</v>
      </c>
      <c r="E143" s="815">
        <v>0.5</v>
      </c>
      <c r="F143" s="713">
        <v>20.52</v>
      </c>
      <c r="G143" s="750">
        <f>TRUNC(F143*E143,2)</f>
        <v>10.26</v>
      </c>
      <c r="H143" s="464"/>
    </row>
    <row r="144" spans="1:9" s="465" customFormat="1" ht="16.5" hidden="1" thickBot="1">
      <c r="A144" s="473" t="s">
        <v>13459</v>
      </c>
      <c r="B144" s="753">
        <v>88316</v>
      </c>
      <c r="C144" s="717" t="s">
        <v>761</v>
      </c>
      <c r="D144" s="718" t="s">
        <v>753</v>
      </c>
      <c r="E144" s="816">
        <v>0.5</v>
      </c>
      <c r="F144" s="720">
        <v>15.91</v>
      </c>
      <c r="G144" s="755">
        <f>TRUNC(F144*E144,2)</f>
        <v>7.95</v>
      </c>
      <c r="H144" s="464"/>
    </row>
    <row r="145" spans="1:9" s="465" customFormat="1" ht="16.5" hidden="1" thickBot="1">
      <c r="A145" s="464"/>
      <c r="B145" s="1264" t="s">
        <v>13783</v>
      </c>
      <c r="C145" s="1265"/>
      <c r="D145" s="1265"/>
      <c r="E145" s="1265"/>
      <c r="F145" s="756" t="s">
        <v>22</v>
      </c>
      <c r="G145" s="757">
        <f>SUM(G141:G144)</f>
        <v>143.80999999999997</v>
      </c>
      <c r="H145" s="464"/>
    </row>
    <row r="146" spans="1:9" s="465" customFormat="1" ht="15.75" hidden="1" thickBot="1">
      <c r="A146" s="464"/>
      <c r="B146" s="817"/>
      <c r="C146" s="818"/>
      <c r="D146" s="818"/>
      <c r="E146" s="818"/>
      <c r="F146" s="767"/>
      <c r="G146" s="768"/>
      <c r="H146" s="464"/>
    </row>
    <row r="147" spans="1:9" s="465" customFormat="1" ht="16.5" hidden="1" thickBot="1">
      <c r="A147" s="464"/>
      <c r="B147" s="704" t="str">
        <f>IF(COUNT($H$8:H147)&lt;10,CONCATENATE("COMP ELE 00",COUNT($H$8:H147)),CONCATENATE("COMP ELE 0",COUNT($H$8:H147)))</f>
        <v>COMP ELE 013</v>
      </c>
      <c r="C147" s="1257" t="str">
        <f>CONCATENATE("FORNECIMENTO E INSTALAÇÃO DE ",C150)</f>
        <v>FORNECIMENTO E INSTALAÇÃO DE LUMINARIA LED REFLETOR RETANGULAR BIVOLT, LUZ BRANCA, 50 W</v>
      </c>
      <c r="D147" s="1257"/>
      <c r="E147" s="1257"/>
      <c r="F147" s="1257"/>
      <c r="G147" s="705" t="s">
        <v>28</v>
      </c>
      <c r="H147" s="570">
        <f>G154</f>
        <v>247.49</v>
      </c>
    </row>
    <row r="148" spans="1:9" s="465" customFormat="1" ht="32.25" hidden="1" thickBot="1">
      <c r="A148" s="464"/>
      <c r="B148" s="469" t="s">
        <v>13463</v>
      </c>
      <c r="C148" s="470" t="s">
        <v>13464</v>
      </c>
      <c r="D148" s="470" t="s">
        <v>28</v>
      </c>
      <c r="E148" s="470" t="s">
        <v>13465</v>
      </c>
      <c r="F148" s="471" t="s">
        <v>13466</v>
      </c>
      <c r="G148" s="472" t="s">
        <v>13467</v>
      </c>
      <c r="H148" s="464"/>
    </row>
    <row r="149" spans="1:9" s="465" customFormat="1" ht="16.5" hidden="1" thickBot="1">
      <c r="A149" s="464"/>
      <c r="B149" s="1246" t="s">
        <v>13468</v>
      </c>
      <c r="C149" s="1247"/>
      <c r="D149" s="1247"/>
      <c r="E149" s="1247"/>
      <c r="F149" s="1247"/>
      <c r="G149" s="1248"/>
      <c r="H149" s="464"/>
    </row>
    <row r="150" spans="1:9" s="464" customFormat="1" ht="30.75" hidden="1" thickBot="1">
      <c r="A150" s="473" t="s">
        <v>13458</v>
      </c>
      <c r="B150" s="722">
        <v>39391</v>
      </c>
      <c r="C150" s="710" t="s">
        <v>9336</v>
      </c>
      <c r="D150" s="711" t="s">
        <v>6636</v>
      </c>
      <c r="E150" s="749">
        <v>1</v>
      </c>
      <c r="F150" s="713">
        <v>232.46</v>
      </c>
      <c r="G150" s="750">
        <f>TRUNC(F150*E150,2)</f>
        <v>232.46</v>
      </c>
      <c r="I150" s="465"/>
    </row>
    <row r="151" spans="1:9" s="465" customFormat="1" ht="16.5" hidden="1" thickBot="1">
      <c r="A151" s="464"/>
      <c r="B151" s="1246" t="s">
        <v>13469</v>
      </c>
      <c r="C151" s="1247"/>
      <c r="D151" s="1247"/>
      <c r="E151" s="1247"/>
      <c r="F151" s="1247"/>
      <c r="G151" s="1248"/>
      <c r="H151" s="464"/>
    </row>
    <row r="152" spans="1:9" s="465" customFormat="1" ht="16.5" hidden="1" thickBot="1">
      <c r="A152" s="473" t="s">
        <v>13459</v>
      </c>
      <c r="B152" s="751">
        <v>88264</v>
      </c>
      <c r="C152" s="710" t="s">
        <v>771</v>
      </c>
      <c r="D152" s="711" t="s">
        <v>753</v>
      </c>
      <c r="E152" s="819">
        <v>0.5</v>
      </c>
      <c r="F152" s="713">
        <v>20.52</v>
      </c>
      <c r="G152" s="750">
        <f>TRUNC(F152*E152,2)</f>
        <v>10.26</v>
      </c>
      <c r="H152" s="464"/>
    </row>
    <row r="153" spans="1:9" s="465" customFormat="1" ht="16.5" hidden="1" thickBot="1">
      <c r="A153" s="473" t="s">
        <v>13459</v>
      </c>
      <c r="B153" s="753">
        <v>88316</v>
      </c>
      <c r="C153" s="717" t="s">
        <v>761</v>
      </c>
      <c r="D153" s="718" t="s">
        <v>753</v>
      </c>
      <c r="E153" s="820">
        <v>0.3</v>
      </c>
      <c r="F153" s="720">
        <v>15.91</v>
      </c>
      <c r="G153" s="755">
        <f>TRUNC(F153*E153,2)</f>
        <v>4.7699999999999996</v>
      </c>
      <c r="H153" s="464"/>
    </row>
    <row r="154" spans="1:9" s="465" customFormat="1" ht="16.5" hidden="1" thickBot="1">
      <c r="A154" s="464"/>
      <c r="B154" s="1264" t="s">
        <v>13784</v>
      </c>
      <c r="C154" s="1265"/>
      <c r="D154" s="1265"/>
      <c r="E154" s="1265"/>
      <c r="F154" s="756" t="s">
        <v>22</v>
      </c>
      <c r="G154" s="757">
        <f>SUM(G150:G153)</f>
        <v>247.49</v>
      </c>
      <c r="H154" s="464"/>
    </row>
    <row r="155" spans="1:9" s="465" customFormat="1" ht="16.5" hidden="1" thickBot="1">
      <c r="A155" s="464"/>
      <c r="B155" s="1264"/>
      <c r="C155" s="1265"/>
      <c r="D155" s="1265"/>
      <c r="E155" s="1265"/>
      <c r="F155" s="760"/>
      <c r="G155" s="761"/>
      <c r="H155" s="464"/>
    </row>
    <row r="156" spans="1:9" s="494" customFormat="1" ht="16.5" hidden="1" thickBot="1">
      <c r="B156" s="794"/>
      <c r="C156" s="795"/>
      <c r="D156" s="795"/>
      <c r="E156" s="795"/>
      <c r="F156" s="795"/>
      <c r="G156" s="796"/>
    </row>
    <row r="157" spans="1:9" s="465" customFormat="1" ht="39" hidden="1" customHeight="1">
      <c r="A157" s="464"/>
      <c r="B157" s="704" t="str">
        <f>IF(COUNT($H$8:H157)&lt;10,CONCATENATE("COMP ELE 00",COUNT($H$8:H157)),CONCATENATE("COMP ELE 0",COUNT($H$8:H157)))</f>
        <v>COMP ELE 014</v>
      </c>
      <c r="C157" s="1257" t="str">
        <f>CONCATENATE("FORNECIMENTO E INSTALAÇÃO DE ",C160)</f>
        <v>FORNECIMENTO E INSTALAÇÃO DE REFLETOR BIVOLT DE LED, 100W DE POTÊNCIA, FLUXO LUMINOSO A PARTIR DE 80 LM/W, TEMPERATURA DE COR APROXIMADAMENTE 6500K (BRANCO FRIO)</v>
      </c>
      <c r="D157" s="1257"/>
      <c r="E157" s="1257"/>
      <c r="F157" s="1257"/>
      <c r="G157" s="705" t="s">
        <v>28</v>
      </c>
      <c r="H157" s="570">
        <f>G164</f>
        <v>191.89999999999998</v>
      </c>
    </row>
    <row r="158" spans="1:9" s="465" customFormat="1" ht="32.25" hidden="1" thickBot="1">
      <c r="A158" s="464"/>
      <c r="B158" s="469" t="s">
        <v>13463</v>
      </c>
      <c r="C158" s="470" t="s">
        <v>13464</v>
      </c>
      <c r="D158" s="470" t="s">
        <v>28</v>
      </c>
      <c r="E158" s="470" t="s">
        <v>13465</v>
      </c>
      <c r="F158" s="471" t="s">
        <v>13466</v>
      </c>
      <c r="G158" s="472" t="s">
        <v>13467</v>
      </c>
      <c r="H158" s="464"/>
    </row>
    <row r="159" spans="1:9" s="465" customFormat="1" ht="16.5" hidden="1" thickBot="1">
      <c r="A159" s="464"/>
      <c r="B159" s="1246" t="s">
        <v>13468</v>
      </c>
      <c r="C159" s="1247"/>
      <c r="D159" s="1247"/>
      <c r="E159" s="1247"/>
      <c r="F159" s="1247"/>
      <c r="G159" s="1248"/>
      <c r="H159" s="464"/>
    </row>
    <row r="160" spans="1:9" s="465" customFormat="1" ht="45.75" hidden="1" thickBot="1">
      <c r="A160" s="464"/>
      <c r="B160" s="821" t="s">
        <v>13497</v>
      </c>
      <c r="C160" s="776" t="s">
        <v>13785</v>
      </c>
      <c r="D160" s="822" t="s">
        <v>28</v>
      </c>
      <c r="E160" s="800">
        <v>1</v>
      </c>
      <c r="F160" s="798">
        <f>D171</f>
        <v>137.26</v>
      </c>
      <c r="G160" s="750">
        <f>TRUNC(F160*E160,2)</f>
        <v>137.26</v>
      </c>
      <c r="H160" s="464"/>
    </row>
    <row r="161" spans="1:9" s="465" customFormat="1" ht="16.5" hidden="1" thickBot="1">
      <c r="A161" s="464"/>
      <c r="B161" s="1246" t="s">
        <v>13469</v>
      </c>
      <c r="C161" s="1247"/>
      <c r="D161" s="1247"/>
      <c r="E161" s="1247"/>
      <c r="F161" s="1247"/>
      <c r="G161" s="1248"/>
      <c r="H161" s="464"/>
    </row>
    <row r="162" spans="1:9" s="465" customFormat="1" ht="16.5" hidden="1" thickBot="1">
      <c r="A162" s="473" t="s">
        <v>13459</v>
      </c>
      <c r="B162" s="751">
        <v>88264</v>
      </c>
      <c r="C162" s="710" t="s">
        <v>771</v>
      </c>
      <c r="D162" s="711" t="s">
        <v>753</v>
      </c>
      <c r="E162" s="752">
        <v>1.5</v>
      </c>
      <c r="F162" s="713">
        <v>20.52</v>
      </c>
      <c r="G162" s="750">
        <f>TRUNC(F162*E162,2)</f>
        <v>30.78</v>
      </c>
      <c r="H162" s="464"/>
    </row>
    <row r="163" spans="1:9" s="465" customFormat="1" ht="16.5" hidden="1" thickBot="1">
      <c r="A163" s="473" t="s">
        <v>13459</v>
      </c>
      <c r="B163" s="753">
        <v>88316</v>
      </c>
      <c r="C163" s="717" t="s">
        <v>761</v>
      </c>
      <c r="D163" s="718" t="s">
        <v>753</v>
      </c>
      <c r="E163" s="754">
        <v>1.5</v>
      </c>
      <c r="F163" s="720">
        <v>15.91</v>
      </c>
      <c r="G163" s="755">
        <f>TRUNC(F163*E163,2)</f>
        <v>23.86</v>
      </c>
      <c r="H163" s="464"/>
    </row>
    <row r="164" spans="1:9" s="465" customFormat="1" ht="16.5" hidden="1" thickBot="1">
      <c r="A164" s="464"/>
      <c r="B164" s="1264" t="s">
        <v>13786</v>
      </c>
      <c r="C164" s="1265"/>
      <c r="D164" s="1265"/>
      <c r="E164" s="1265"/>
      <c r="F164" s="756" t="s">
        <v>22</v>
      </c>
      <c r="G164" s="757">
        <f>SUM(G160:G163)</f>
        <v>191.89999999999998</v>
      </c>
      <c r="H164" s="464"/>
    </row>
    <row r="165" spans="1:9" s="465" customFormat="1" ht="15.75" hidden="1" thickBot="1">
      <c r="A165" s="464"/>
      <c r="B165" s="1264"/>
      <c r="C165" s="1265"/>
      <c r="D165" s="1265"/>
      <c r="E165" s="1265"/>
      <c r="F165" s="767"/>
      <c r="G165" s="768"/>
      <c r="H165" s="464"/>
    </row>
    <row r="166" spans="1:9" s="465" customFormat="1" ht="48" hidden="1" thickBot="1">
      <c r="A166" s="464"/>
      <c r="B166" s="572"/>
      <c r="C166" s="607" t="s">
        <v>13787</v>
      </c>
      <c r="D166" s="574"/>
      <c r="E166" s="575"/>
      <c r="F166" s="608"/>
      <c r="G166" s="577" t="s">
        <v>28</v>
      </c>
      <c r="H166" s="823" t="s">
        <v>13500</v>
      </c>
    </row>
    <row r="167" spans="1:9" s="465" customFormat="1" ht="32.25" hidden="1" thickBot="1">
      <c r="A167" s="464"/>
      <c r="B167" s="668" t="s">
        <v>13502</v>
      </c>
      <c r="C167" s="669" t="s">
        <v>13503</v>
      </c>
      <c r="D167" s="670" t="s">
        <v>13504</v>
      </c>
      <c r="E167" s="671" t="s">
        <v>13505</v>
      </c>
      <c r="F167" s="647" t="s">
        <v>13506</v>
      </c>
      <c r="G167" s="672" t="s">
        <v>13507</v>
      </c>
      <c r="H167" s="464"/>
    </row>
    <row r="168" spans="1:9" s="465" customFormat="1" ht="15.75" hidden="1" thickBot="1">
      <c r="A168" s="464"/>
      <c r="B168" s="597">
        <v>43564</v>
      </c>
      <c r="C168" s="592" t="s">
        <v>13763</v>
      </c>
      <c r="D168" s="593">
        <v>123.33</v>
      </c>
      <c r="E168" s="652" t="s">
        <v>13764</v>
      </c>
      <c r="F168" s="814" t="s">
        <v>13765</v>
      </c>
      <c r="G168" s="790" t="s">
        <v>13766</v>
      </c>
      <c r="I168" s="791">
        <f>B168+180</f>
        <v>43744</v>
      </c>
    </row>
    <row r="169" spans="1:9" s="465" customFormat="1" ht="15.75" hidden="1" thickBot="1">
      <c r="A169" s="464"/>
      <c r="B169" s="591">
        <v>43560</v>
      </c>
      <c r="C169" s="630" t="s">
        <v>13755</v>
      </c>
      <c r="D169" s="593">
        <v>139.94999999999999</v>
      </c>
      <c r="E169" s="789" t="s">
        <v>13756</v>
      </c>
      <c r="F169" s="595" t="s">
        <v>13757</v>
      </c>
      <c r="G169" s="790" t="s">
        <v>13758</v>
      </c>
      <c r="I169" s="791">
        <f>B169+180</f>
        <v>43740</v>
      </c>
    </row>
    <row r="170" spans="1:9" s="465" customFormat="1" ht="15.75" hidden="1" thickBot="1">
      <c r="A170" s="464"/>
      <c r="B170" s="591">
        <v>43560</v>
      </c>
      <c r="C170" s="630" t="s">
        <v>13781</v>
      </c>
      <c r="D170" s="593">
        <v>137.26</v>
      </c>
      <c r="E170" s="789" t="s">
        <v>13782</v>
      </c>
      <c r="F170" s="595" t="s">
        <v>13761</v>
      </c>
      <c r="G170" s="790" t="s">
        <v>13762</v>
      </c>
      <c r="I170" s="792">
        <f>B170+180</f>
        <v>43740</v>
      </c>
    </row>
    <row r="171" spans="1:9" s="465" customFormat="1" ht="16.5" hidden="1" thickBot="1">
      <c r="A171" s="464"/>
      <c r="B171" s="598"/>
      <c r="C171" s="599" t="s">
        <v>13523</v>
      </c>
      <c r="D171" s="538">
        <f>IF(COUNT(D167:D170)=3,MEDIAN(D168:D170),SMALL(D168:D170,1))</f>
        <v>137.26</v>
      </c>
      <c r="E171" s="600"/>
      <c r="F171" s="620"/>
      <c r="G171" s="602"/>
      <c r="H171" s="464"/>
    </row>
    <row r="172" spans="1:9" s="494" customFormat="1" ht="16.5" hidden="1" thickBot="1">
      <c r="B172" s="794"/>
      <c r="C172" s="795"/>
      <c r="D172" s="795"/>
      <c r="E172" s="795"/>
      <c r="F172" s="795"/>
      <c r="G172" s="796"/>
    </row>
    <row r="173" spans="1:9" s="465" customFormat="1" ht="16.5" hidden="1" thickBot="1">
      <c r="A173" s="464"/>
      <c r="B173" s="704" t="str">
        <f>IF(COUNT($H$8:H173)&lt;10,CONCATENATE("COMP ELE 00",COUNT($H$8:H173)),CONCATENATE("COMP ELE 0",COUNT($H$8:H173)))</f>
        <v>COMP ELE 015</v>
      </c>
      <c r="C173" s="1257" t="str">
        <f>CONCATENATE("FORNECIMENTO E INSTALAÇÃO DE ",C176)</f>
        <v>FORNECIMENTO E INSTALAÇÃO DE CAMPAINHA ALTA POTENCIA 110V / 220V, DIAMETRO 150 MM</v>
      </c>
      <c r="D173" s="1257"/>
      <c r="E173" s="1257"/>
      <c r="F173" s="1257"/>
      <c r="G173" s="705" t="s">
        <v>28</v>
      </c>
      <c r="H173" s="570">
        <f>G180</f>
        <v>108.47</v>
      </c>
    </row>
    <row r="174" spans="1:9" s="465" customFormat="1" ht="32.25" hidden="1" thickBot="1">
      <c r="A174" s="464"/>
      <c r="B174" s="469" t="s">
        <v>13463</v>
      </c>
      <c r="C174" s="470" t="s">
        <v>13464</v>
      </c>
      <c r="D174" s="470" t="s">
        <v>28</v>
      </c>
      <c r="E174" s="470" t="s">
        <v>13465</v>
      </c>
      <c r="F174" s="471" t="s">
        <v>13466</v>
      </c>
      <c r="G174" s="472" t="s">
        <v>13467</v>
      </c>
      <c r="H174" s="464"/>
    </row>
    <row r="175" spans="1:9" s="465" customFormat="1" ht="16.5" hidden="1" thickBot="1">
      <c r="A175" s="464"/>
      <c r="B175" s="1246" t="s">
        <v>13468</v>
      </c>
      <c r="C175" s="1247"/>
      <c r="D175" s="1247"/>
      <c r="E175" s="1247"/>
      <c r="F175" s="1247"/>
      <c r="G175" s="1248"/>
      <c r="H175" s="464"/>
    </row>
    <row r="176" spans="1:9" s="465" customFormat="1" ht="16.5" hidden="1" thickBot="1">
      <c r="A176" s="473" t="s">
        <v>13458</v>
      </c>
      <c r="B176" s="799">
        <v>12114</v>
      </c>
      <c r="C176" s="710" t="s">
        <v>7552</v>
      </c>
      <c r="D176" s="711" t="s">
        <v>6636</v>
      </c>
      <c r="E176" s="752">
        <v>1</v>
      </c>
      <c r="F176" s="713">
        <v>88.48</v>
      </c>
      <c r="G176" s="750">
        <f>TRUNC(F176*E176,2)</f>
        <v>88.48</v>
      </c>
      <c r="H176" s="464"/>
    </row>
    <row r="177" spans="1:8" s="465" customFormat="1" ht="16.5" hidden="1" thickBot="1">
      <c r="A177" s="464"/>
      <c r="B177" s="1246" t="s">
        <v>13469</v>
      </c>
      <c r="C177" s="1247"/>
      <c r="D177" s="1247"/>
      <c r="E177" s="1247"/>
      <c r="F177" s="1247"/>
      <c r="G177" s="1248"/>
      <c r="H177" s="464"/>
    </row>
    <row r="178" spans="1:8" s="465" customFormat="1" ht="16.5" hidden="1" thickBot="1">
      <c r="A178" s="473" t="s">
        <v>13459</v>
      </c>
      <c r="B178" s="751">
        <v>88264</v>
      </c>
      <c r="C178" s="710" t="s">
        <v>771</v>
      </c>
      <c r="D178" s="711" t="s">
        <v>753</v>
      </c>
      <c r="E178" s="752">
        <v>0.55000000000000004</v>
      </c>
      <c r="F178" s="713">
        <v>20.52</v>
      </c>
      <c r="G178" s="750">
        <f>TRUNC(F178*E178,2)</f>
        <v>11.28</v>
      </c>
      <c r="H178" s="464"/>
    </row>
    <row r="179" spans="1:8" s="465" customFormat="1" ht="16.5" hidden="1" thickBot="1">
      <c r="A179" s="473" t="s">
        <v>13459</v>
      </c>
      <c r="B179" s="753">
        <v>88247</v>
      </c>
      <c r="C179" s="717" t="s">
        <v>924</v>
      </c>
      <c r="D179" s="718" t="s">
        <v>753</v>
      </c>
      <c r="E179" s="754">
        <v>0.55000000000000004</v>
      </c>
      <c r="F179" s="720">
        <v>15.84</v>
      </c>
      <c r="G179" s="755">
        <f>TRUNC(F179*E179,2)</f>
        <v>8.7100000000000009</v>
      </c>
      <c r="H179" s="464"/>
    </row>
    <row r="180" spans="1:8" s="465" customFormat="1" ht="16.5" hidden="1" thickBot="1">
      <c r="A180" s="464"/>
      <c r="B180" s="1264" t="s">
        <v>13788</v>
      </c>
      <c r="C180" s="1265"/>
      <c r="D180" s="1265"/>
      <c r="E180" s="1265"/>
      <c r="F180" s="492" t="s">
        <v>22</v>
      </c>
      <c r="G180" s="493">
        <f>SUM(G176:G179)</f>
        <v>108.47</v>
      </c>
      <c r="H180" s="464"/>
    </row>
    <row r="181" spans="1:8" s="494" customFormat="1" ht="15.75" hidden="1" thickBot="1">
      <c r="B181" s="1264"/>
      <c r="C181" s="1265"/>
      <c r="D181" s="1265"/>
      <c r="E181" s="1265"/>
      <c r="F181" s="795"/>
      <c r="G181" s="796"/>
    </row>
    <row r="182" spans="1:8" s="465" customFormat="1" ht="39" hidden="1" customHeight="1">
      <c r="A182" s="464"/>
      <c r="B182" s="704" t="str">
        <f>IF(COUNT($H$8:H182)&lt;10,CONCATENATE("COMP ELE 00",COUNT($H$8:H182)),CONCATENATE("COMP ELE 0",COUNT($H$8:H182)))</f>
        <v>COMP ELE 016</v>
      </c>
      <c r="C182" s="1257" t="s">
        <v>13789</v>
      </c>
      <c r="D182" s="1257"/>
      <c r="E182" s="1257"/>
      <c r="F182" s="1257"/>
      <c r="G182" s="705" t="s">
        <v>28</v>
      </c>
      <c r="H182" s="570">
        <f>G193</f>
        <v>267.15999999999997</v>
      </c>
    </row>
    <row r="183" spans="1:8" s="465" customFormat="1" ht="32.25" hidden="1" thickBot="1">
      <c r="A183" s="464"/>
      <c r="B183" s="469" t="s">
        <v>13463</v>
      </c>
      <c r="C183" s="470" t="s">
        <v>13464</v>
      </c>
      <c r="D183" s="470" t="s">
        <v>28</v>
      </c>
      <c r="E183" s="470" t="s">
        <v>13465</v>
      </c>
      <c r="F183" s="471" t="s">
        <v>13466</v>
      </c>
      <c r="G183" s="472" t="s">
        <v>13467</v>
      </c>
      <c r="H183" s="464"/>
    </row>
    <row r="184" spans="1:8" s="465" customFormat="1" ht="16.5" hidden="1" thickBot="1">
      <c r="A184" s="464"/>
      <c r="B184" s="1246" t="s">
        <v>13468</v>
      </c>
      <c r="C184" s="1247"/>
      <c r="D184" s="1247"/>
      <c r="E184" s="1247"/>
      <c r="F184" s="1247"/>
      <c r="G184" s="1248"/>
      <c r="H184" s="464"/>
    </row>
    <row r="185" spans="1:8" s="465" customFormat="1" ht="30.75" hidden="1" thickBot="1">
      <c r="A185" s="473" t="s">
        <v>13458</v>
      </c>
      <c r="B185" s="799">
        <v>12388</v>
      </c>
      <c r="C185" s="710" t="s">
        <v>10219</v>
      </c>
      <c r="D185" s="711" t="s">
        <v>6636</v>
      </c>
      <c r="E185" s="800">
        <v>1</v>
      </c>
      <c r="F185" s="713">
        <v>153.29</v>
      </c>
      <c r="G185" s="750">
        <f>TRUNC(F185*E185,2)</f>
        <v>153.29</v>
      </c>
      <c r="H185" s="464"/>
    </row>
    <row r="186" spans="1:8" s="465" customFormat="1" ht="30.75" hidden="1" thickBot="1">
      <c r="A186" s="473" t="s">
        <v>13458</v>
      </c>
      <c r="B186" s="799">
        <v>367</v>
      </c>
      <c r="C186" s="710" t="s">
        <v>820</v>
      </c>
      <c r="D186" s="711" t="s">
        <v>6781</v>
      </c>
      <c r="E186" s="824">
        <v>2.7E-2</v>
      </c>
      <c r="F186" s="713">
        <v>61.5</v>
      </c>
      <c r="G186" s="750">
        <f>TRUNC(F186*E186,2)</f>
        <v>1.66</v>
      </c>
      <c r="H186" s="464"/>
    </row>
    <row r="187" spans="1:8" s="465" customFormat="1" ht="16.5" hidden="1" thickBot="1">
      <c r="A187" s="473" t="s">
        <v>13458</v>
      </c>
      <c r="B187" s="799">
        <v>1379</v>
      </c>
      <c r="C187" s="710" t="s">
        <v>817</v>
      </c>
      <c r="D187" s="711" t="s">
        <v>6698</v>
      </c>
      <c r="E187" s="800">
        <v>3</v>
      </c>
      <c r="F187" s="713">
        <v>0.49</v>
      </c>
      <c r="G187" s="750">
        <f>TRUNC(F187*E187,2)</f>
        <v>1.47</v>
      </c>
      <c r="H187" s="464"/>
    </row>
    <row r="188" spans="1:8" s="465" customFormat="1" ht="30.75" hidden="1" thickBot="1">
      <c r="A188" s="473" t="s">
        <v>13458</v>
      </c>
      <c r="B188" s="799">
        <v>4722</v>
      </c>
      <c r="C188" s="710" t="s">
        <v>921</v>
      </c>
      <c r="D188" s="711" t="s">
        <v>6781</v>
      </c>
      <c r="E188" s="824">
        <v>2.7E-2</v>
      </c>
      <c r="F188" s="713">
        <v>80</v>
      </c>
      <c r="G188" s="750">
        <f>TRUNC(F188*E188,2)</f>
        <v>2.16</v>
      </c>
      <c r="H188" s="464"/>
    </row>
    <row r="189" spans="1:8" s="465" customFormat="1" ht="16.5" hidden="1" thickBot="1">
      <c r="A189" s="464"/>
      <c r="B189" s="1246" t="s">
        <v>13469</v>
      </c>
      <c r="C189" s="1247"/>
      <c r="D189" s="1247"/>
      <c r="E189" s="1247"/>
      <c r="F189" s="1247"/>
      <c r="G189" s="1248"/>
      <c r="H189" s="464"/>
    </row>
    <row r="190" spans="1:8" s="465" customFormat="1" ht="16.5" hidden="1" thickBot="1">
      <c r="A190" s="473" t="s">
        <v>13459</v>
      </c>
      <c r="B190" s="751">
        <v>88264</v>
      </c>
      <c r="C190" s="710" t="s">
        <v>771</v>
      </c>
      <c r="D190" s="711" t="s">
        <v>753</v>
      </c>
      <c r="E190" s="752">
        <v>2</v>
      </c>
      <c r="F190" s="713">
        <v>20.52</v>
      </c>
      <c r="G190" s="750">
        <f>TRUNC(F190*E190,2)</f>
        <v>41.04</v>
      </c>
      <c r="H190" s="464"/>
    </row>
    <row r="191" spans="1:8" s="465" customFormat="1" ht="16.5" hidden="1" thickBot="1">
      <c r="A191" s="473" t="s">
        <v>13459</v>
      </c>
      <c r="B191" s="751">
        <v>88309</v>
      </c>
      <c r="C191" s="710" t="s">
        <v>760</v>
      </c>
      <c r="D191" s="711" t="s">
        <v>753</v>
      </c>
      <c r="E191" s="752">
        <v>1</v>
      </c>
      <c r="F191" s="713">
        <v>19.809999999999999</v>
      </c>
      <c r="G191" s="750">
        <f>TRUNC(F191*E191,2)</f>
        <v>19.809999999999999</v>
      </c>
      <c r="H191" s="464"/>
    </row>
    <row r="192" spans="1:8" s="465" customFormat="1" ht="16.5" hidden="1" thickBot="1">
      <c r="A192" s="473" t="s">
        <v>13459</v>
      </c>
      <c r="B192" s="753">
        <v>88316</v>
      </c>
      <c r="C192" s="717" t="s">
        <v>761</v>
      </c>
      <c r="D192" s="718" t="s">
        <v>753</v>
      </c>
      <c r="E192" s="754">
        <v>3</v>
      </c>
      <c r="F192" s="720">
        <v>15.91</v>
      </c>
      <c r="G192" s="755">
        <f>TRUNC(F192*E192,2)</f>
        <v>47.73</v>
      </c>
      <c r="H192" s="464"/>
    </row>
    <row r="193" spans="1:8" s="465" customFormat="1" ht="16.5" hidden="1" thickBot="1">
      <c r="A193" s="464"/>
      <c r="B193" s="1269" t="s">
        <v>13790</v>
      </c>
      <c r="C193" s="1270"/>
      <c r="D193" s="1270"/>
      <c r="E193" s="1270"/>
      <c r="F193" s="756" t="s">
        <v>22</v>
      </c>
      <c r="G193" s="757">
        <f>SUM(G185:G192)</f>
        <v>267.15999999999997</v>
      </c>
      <c r="H193" s="464"/>
    </row>
    <row r="194" spans="1:8" s="494" customFormat="1" ht="16.5" hidden="1" thickBot="1">
      <c r="B194" s="794"/>
      <c r="C194" s="795"/>
      <c r="D194" s="795"/>
      <c r="E194" s="795"/>
      <c r="F194" s="795"/>
      <c r="G194" s="796"/>
    </row>
    <row r="195" spans="1:8" s="465" customFormat="1" ht="15.75">
      <c r="A195" s="464"/>
      <c r="B195" s="704" t="str">
        <f>IF(COUNT($H$8:H195)&lt;10,CONCATENATE("COMP ELE 00",COUNT($H$8:H195)),CONCATENATE("COMP ELE 0",COUNT($H$8:H195)))</f>
        <v>COMP ELE 017</v>
      </c>
      <c r="C195" s="1257" t="s">
        <v>12872</v>
      </c>
      <c r="D195" s="1257"/>
      <c r="E195" s="1257"/>
      <c r="F195" s="1257"/>
      <c r="G195" s="705" t="s">
        <v>28</v>
      </c>
      <c r="H195" s="570">
        <f>G201</f>
        <v>6.13</v>
      </c>
    </row>
    <row r="196" spans="1:8" s="465" customFormat="1" ht="31.5">
      <c r="A196" s="464"/>
      <c r="B196" s="469" t="s">
        <v>13463</v>
      </c>
      <c r="C196" s="470" t="s">
        <v>13464</v>
      </c>
      <c r="D196" s="470" t="s">
        <v>28</v>
      </c>
      <c r="E196" s="470" t="s">
        <v>13465</v>
      </c>
      <c r="F196" s="471" t="s">
        <v>13466</v>
      </c>
      <c r="G196" s="472" t="s">
        <v>13467</v>
      </c>
      <c r="H196" s="464"/>
    </row>
    <row r="197" spans="1:8" s="465" customFormat="1" ht="15.75">
      <c r="A197" s="464"/>
      <c r="B197" s="1246" t="s">
        <v>13468</v>
      </c>
      <c r="C197" s="1247"/>
      <c r="D197" s="1247"/>
      <c r="E197" s="1247"/>
      <c r="F197" s="1247"/>
      <c r="G197" s="1248"/>
      <c r="H197" s="464"/>
    </row>
    <row r="198" spans="1:8" s="465" customFormat="1" ht="30">
      <c r="A198" s="473" t="s">
        <v>13458</v>
      </c>
      <c r="B198" s="751">
        <v>400</v>
      </c>
      <c r="C198" s="710" t="s">
        <v>6672</v>
      </c>
      <c r="D198" s="711" t="s">
        <v>6636</v>
      </c>
      <c r="E198" s="800">
        <v>1</v>
      </c>
      <c r="F198" s="713">
        <v>1.38</v>
      </c>
      <c r="G198" s="750">
        <f>TRUNC(F198*E198,2)</f>
        <v>1.38</v>
      </c>
      <c r="H198" s="464"/>
    </row>
    <row r="199" spans="1:8" s="465" customFormat="1" ht="15.75">
      <c r="A199" s="464"/>
      <c r="B199" s="1246" t="s">
        <v>13469</v>
      </c>
      <c r="C199" s="1247"/>
      <c r="D199" s="1247"/>
      <c r="E199" s="1247"/>
      <c r="F199" s="1247"/>
      <c r="G199" s="1248"/>
      <c r="H199" s="464"/>
    </row>
    <row r="200" spans="1:8" s="465" customFormat="1" ht="16.5" thickBot="1">
      <c r="A200" s="473" t="s">
        <v>13459</v>
      </c>
      <c r="B200" s="753">
        <v>88247</v>
      </c>
      <c r="C200" s="717" t="s">
        <v>924</v>
      </c>
      <c r="D200" s="718" t="s">
        <v>753</v>
      </c>
      <c r="E200" s="754">
        <v>0.3</v>
      </c>
      <c r="F200" s="720">
        <v>15.84</v>
      </c>
      <c r="G200" s="755">
        <f>TRUNC(F200*E200,2)</f>
        <v>4.75</v>
      </c>
      <c r="H200" s="464"/>
    </row>
    <row r="201" spans="1:8" s="465" customFormat="1" ht="16.5" thickBot="1">
      <c r="A201" s="464"/>
      <c r="B201" s="1264" t="s">
        <v>13791</v>
      </c>
      <c r="C201" s="1265"/>
      <c r="D201" s="1265"/>
      <c r="E201" s="1265"/>
      <c r="F201" s="756" t="s">
        <v>22</v>
      </c>
      <c r="G201" s="757">
        <f>SUM(G198:G200)</f>
        <v>6.13</v>
      </c>
      <c r="H201" s="464"/>
    </row>
    <row r="202" spans="1:8" s="494" customFormat="1" ht="16.5" thickBot="1">
      <c r="B202" s="794"/>
      <c r="C202" s="795"/>
      <c r="D202" s="795"/>
      <c r="E202" s="795"/>
      <c r="F202" s="795"/>
      <c r="G202" s="796"/>
    </row>
    <row r="203" spans="1:8" s="465" customFormat="1" ht="34.5" customHeight="1">
      <c r="A203" s="464"/>
      <c r="B203" s="704" t="str">
        <f>IF(COUNT($H$8:H203)&lt;10,CONCATENATE("COMP ELE 00",COUNT($H$8:H203)),CONCATENATE("COMP ELE 0",COUNT($H$8:H203)))</f>
        <v>COMP ELE 018</v>
      </c>
      <c r="C203" s="1257" t="str">
        <f>CONCATENATE("FORNECIMENTO E INSTALAÇÃO DE ",C206)</f>
        <v>FORNECIMENTO E INSTALAÇÃO DE ABRACADEIRA EM ACO PARA AMARRACAO DE ELETRODUTOS, TIPO D, COM 1" E PARAFUSO DE FIXACAO</v>
      </c>
      <c r="D203" s="1274"/>
      <c r="E203" s="1274"/>
      <c r="F203" s="1274"/>
      <c r="G203" s="705" t="s">
        <v>28</v>
      </c>
      <c r="H203" s="570">
        <f>G209</f>
        <v>6.34</v>
      </c>
    </row>
    <row r="204" spans="1:8" s="465" customFormat="1" ht="31.5">
      <c r="A204" s="464"/>
      <c r="B204" s="469" t="s">
        <v>13463</v>
      </c>
      <c r="C204" s="470" t="s">
        <v>13464</v>
      </c>
      <c r="D204" s="470" t="s">
        <v>28</v>
      </c>
      <c r="E204" s="470" t="s">
        <v>13465</v>
      </c>
      <c r="F204" s="471" t="s">
        <v>13466</v>
      </c>
      <c r="G204" s="472" t="s">
        <v>13467</v>
      </c>
      <c r="H204" s="464"/>
    </row>
    <row r="205" spans="1:8" s="465" customFormat="1" ht="15.75">
      <c r="A205" s="464"/>
      <c r="B205" s="1246" t="s">
        <v>13468</v>
      </c>
      <c r="C205" s="1247"/>
      <c r="D205" s="1247"/>
      <c r="E205" s="1247"/>
      <c r="F205" s="1247"/>
      <c r="G205" s="1248"/>
      <c r="H205" s="464"/>
    </row>
    <row r="206" spans="1:8" s="465" customFormat="1" ht="30">
      <c r="A206" s="473" t="s">
        <v>13458</v>
      </c>
      <c r="B206" s="799">
        <v>393</v>
      </c>
      <c r="C206" s="710" t="s">
        <v>6666</v>
      </c>
      <c r="D206" s="711" t="s">
        <v>6636</v>
      </c>
      <c r="E206" s="800">
        <v>1</v>
      </c>
      <c r="F206" s="713">
        <v>1.59</v>
      </c>
      <c r="G206" s="825">
        <f>TRUNC(F206*E206,2)</f>
        <v>1.59</v>
      </c>
      <c r="H206" s="464"/>
    </row>
    <row r="207" spans="1:8" s="465" customFormat="1" ht="15.75">
      <c r="A207" s="464"/>
      <c r="B207" s="1246" t="s">
        <v>13469</v>
      </c>
      <c r="C207" s="1247"/>
      <c r="D207" s="1247"/>
      <c r="E207" s="1247"/>
      <c r="F207" s="1247"/>
      <c r="G207" s="1248"/>
      <c r="H207" s="464"/>
    </row>
    <row r="208" spans="1:8" s="465" customFormat="1" ht="16.5" thickBot="1">
      <c r="A208" s="473" t="s">
        <v>13459</v>
      </c>
      <c r="B208" s="753">
        <v>88247</v>
      </c>
      <c r="C208" s="717" t="s">
        <v>924</v>
      </c>
      <c r="D208" s="718" t="s">
        <v>753</v>
      </c>
      <c r="E208" s="754">
        <v>0.3</v>
      </c>
      <c r="F208" s="720">
        <v>15.84</v>
      </c>
      <c r="G208" s="755">
        <f>TRUNC(F208*E208,2)</f>
        <v>4.75</v>
      </c>
      <c r="H208" s="464"/>
    </row>
    <row r="209" spans="1:8" s="465" customFormat="1" ht="16.5" thickBot="1">
      <c r="A209" s="464"/>
      <c r="B209" s="1271" t="s">
        <v>13792</v>
      </c>
      <c r="C209" s="1272"/>
      <c r="D209" s="1272"/>
      <c r="E209" s="1273"/>
      <c r="F209" s="756" t="s">
        <v>22</v>
      </c>
      <c r="G209" s="757">
        <f>SUM(G205:G208)</f>
        <v>6.34</v>
      </c>
      <c r="H209" s="464"/>
    </row>
    <row r="210" spans="1:8" s="494" customFormat="1" ht="16.5" thickBot="1">
      <c r="B210" s="794"/>
      <c r="C210" s="795"/>
      <c r="D210" s="795"/>
      <c r="E210" s="795"/>
      <c r="F210" s="795"/>
      <c r="G210" s="796"/>
    </row>
    <row r="211" spans="1:8" ht="29.25" hidden="1" customHeight="1">
      <c r="A211" s="464"/>
      <c r="B211" s="704" t="str">
        <f>IF(COUNT($H$8:H211)&lt;10,CONCATENATE("COMP ELE 00",COUNT($H$8:H211)),CONCATENATE("COMP ELE 0",COUNT($H$8:H211)))</f>
        <v>COMP ELE 019</v>
      </c>
      <c r="C211" s="1257" t="str">
        <f>CONCATENATE("FORNECIMENTO E INSTALAÇÃO DE ",C214)</f>
        <v>FORNECIMENTO E INSTALAÇÃO DE ABRACADEIRA EM ACO PARA AMARRACAO DE ELETRODUTOS, TIPO D, COM 1 1/2" E PARAFUSO DE FIXACAO</v>
      </c>
      <c r="D211" s="1274"/>
      <c r="E211" s="1274"/>
      <c r="F211" s="1274"/>
      <c r="G211" s="705" t="s">
        <v>28</v>
      </c>
      <c r="H211" s="570">
        <f>G217</f>
        <v>7.49</v>
      </c>
    </row>
    <row r="212" spans="1:8" ht="31.5" hidden="1">
      <c r="A212" s="464"/>
      <c r="B212" s="469" t="s">
        <v>13463</v>
      </c>
      <c r="C212" s="470" t="s">
        <v>13464</v>
      </c>
      <c r="D212" s="470" t="s">
        <v>28</v>
      </c>
      <c r="E212" s="470" t="s">
        <v>13465</v>
      </c>
      <c r="F212" s="471" t="s">
        <v>13466</v>
      </c>
      <c r="G212" s="472" t="s">
        <v>13467</v>
      </c>
      <c r="H212" s="464"/>
    </row>
    <row r="213" spans="1:8" ht="15.75" hidden="1">
      <c r="A213" s="464"/>
      <c r="B213" s="1246" t="s">
        <v>13468</v>
      </c>
      <c r="C213" s="1247"/>
      <c r="D213" s="1247"/>
      <c r="E213" s="1247"/>
      <c r="F213" s="1247"/>
      <c r="G213" s="1248"/>
      <c r="H213" s="464"/>
    </row>
    <row r="214" spans="1:8" ht="30" hidden="1">
      <c r="A214" s="473" t="s">
        <v>13458</v>
      </c>
      <c r="B214" s="799">
        <v>394</v>
      </c>
      <c r="C214" s="710" t="s">
        <v>6661</v>
      </c>
      <c r="D214" s="711" t="s">
        <v>6636</v>
      </c>
      <c r="E214" s="800">
        <v>1</v>
      </c>
      <c r="F214" s="713">
        <v>2.74</v>
      </c>
      <c r="G214" s="825">
        <f>TRUNC(F214*E214,2)</f>
        <v>2.74</v>
      </c>
      <c r="H214" s="464"/>
    </row>
    <row r="215" spans="1:8" ht="15.75" hidden="1">
      <c r="A215" s="464"/>
      <c r="B215" s="1246" t="s">
        <v>13469</v>
      </c>
      <c r="C215" s="1247"/>
      <c r="D215" s="1247"/>
      <c r="E215" s="1247"/>
      <c r="F215" s="1247"/>
      <c r="G215" s="1248"/>
      <c r="H215" s="464"/>
    </row>
    <row r="216" spans="1:8" ht="16.5" hidden="1" thickBot="1">
      <c r="A216" s="473" t="s">
        <v>13459</v>
      </c>
      <c r="B216" s="753">
        <v>88247</v>
      </c>
      <c r="C216" s="717" t="s">
        <v>924</v>
      </c>
      <c r="D216" s="718" t="s">
        <v>753</v>
      </c>
      <c r="E216" s="754">
        <v>0.3</v>
      </c>
      <c r="F216" s="720">
        <v>15.84</v>
      </c>
      <c r="G216" s="755">
        <f>TRUNC(F216*E216,2)</f>
        <v>4.75</v>
      </c>
      <c r="H216" s="464"/>
    </row>
    <row r="217" spans="1:8" ht="16.5" hidden="1" thickBot="1">
      <c r="A217" s="464"/>
      <c r="B217" s="1271" t="s">
        <v>13793</v>
      </c>
      <c r="C217" s="1272"/>
      <c r="D217" s="1272"/>
      <c r="E217" s="1273"/>
      <c r="F217" s="756" t="s">
        <v>22</v>
      </c>
      <c r="G217" s="757">
        <f>SUM(G213:G216)</f>
        <v>7.49</v>
      </c>
      <c r="H217" s="464"/>
    </row>
    <row r="218" spans="1:8" ht="13.5" hidden="1" thickBot="1">
      <c r="B218" s="826"/>
      <c r="C218" s="457"/>
      <c r="D218" s="457"/>
      <c r="E218" s="457"/>
      <c r="F218" s="457"/>
      <c r="G218" s="827"/>
    </row>
    <row r="219" spans="1:8" ht="34.5" hidden="1" customHeight="1">
      <c r="A219" s="464"/>
      <c r="B219" s="704" t="str">
        <f>IF(COUNT($H$8:H219)&lt;10,CONCATENATE("COMP ELE 00",COUNT($H$8:H219)),CONCATENATE("COMP ELE 0",COUNT($H$8:H219)))</f>
        <v>COMP ELE 020</v>
      </c>
      <c r="C219" s="1257" t="str">
        <f>CONCATENATE("FORNECIMENTO E INSTALAÇÃO DE ",C222)</f>
        <v>FORNECIMENTO E INSTALAÇÃO DE ABRACADEIRA EM ACO PARA AMARRACAO DE ELETRODUTOS, TIPO D, COM 2" E PARAFUSO DE FIXACAO</v>
      </c>
      <c r="D219" s="1274"/>
      <c r="E219" s="1274"/>
      <c r="F219" s="1274"/>
      <c r="G219" s="705" t="s">
        <v>28</v>
      </c>
      <c r="H219" s="570">
        <f>G225</f>
        <v>7.79</v>
      </c>
    </row>
    <row r="220" spans="1:8" ht="31.5" hidden="1">
      <c r="A220" s="464"/>
      <c r="B220" s="469" t="s">
        <v>13463</v>
      </c>
      <c r="C220" s="470" t="s">
        <v>13464</v>
      </c>
      <c r="D220" s="470" t="s">
        <v>28</v>
      </c>
      <c r="E220" s="470" t="s">
        <v>13465</v>
      </c>
      <c r="F220" s="471" t="s">
        <v>13466</v>
      </c>
      <c r="G220" s="472" t="s">
        <v>13467</v>
      </c>
      <c r="H220" s="464"/>
    </row>
    <row r="221" spans="1:8" ht="15.75" hidden="1">
      <c r="A221" s="464"/>
      <c r="B221" s="1246" t="s">
        <v>13468</v>
      </c>
      <c r="C221" s="1247"/>
      <c r="D221" s="1247"/>
      <c r="E221" s="1247"/>
      <c r="F221" s="1247"/>
      <c r="G221" s="1248"/>
      <c r="H221" s="464"/>
    </row>
    <row r="222" spans="1:8" ht="30" hidden="1">
      <c r="A222" s="473" t="s">
        <v>13458</v>
      </c>
      <c r="B222" s="799">
        <v>396</v>
      </c>
      <c r="C222" s="710" t="s">
        <v>6670</v>
      </c>
      <c r="D222" s="711" t="s">
        <v>6636</v>
      </c>
      <c r="E222" s="800">
        <v>1</v>
      </c>
      <c r="F222" s="713">
        <v>3.04</v>
      </c>
      <c r="G222" s="825">
        <f>TRUNC(F222*E222,2)</f>
        <v>3.04</v>
      </c>
      <c r="H222" s="464"/>
    </row>
    <row r="223" spans="1:8" ht="15.75" hidden="1">
      <c r="A223" s="464"/>
      <c r="B223" s="1246" t="s">
        <v>13469</v>
      </c>
      <c r="C223" s="1247"/>
      <c r="D223" s="1247"/>
      <c r="E223" s="1247"/>
      <c r="F223" s="1247"/>
      <c r="G223" s="1248"/>
      <c r="H223" s="464"/>
    </row>
    <row r="224" spans="1:8" ht="16.5" hidden="1" thickBot="1">
      <c r="A224" s="473" t="s">
        <v>13459</v>
      </c>
      <c r="B224" s="753">
        <v>88247</v>
      </c>
      <c r="C224" s="717" t="s">
        <v>924</v>
      </c>
      <c r="D224" s="718" t="s">
        <v>753</v>
      </c>
      <c r="E224" s="754">
        <v>0.3</v>
      </c>
      <c r="F224" s="720">
        <v>15.84</v>
      </c>
      <c r="G224" s="755">
        <f>TRUNC(F224*E224,2)</f>
        <v>4.75</v>
      </c>
      <c r="H224" s="464"/>
    </row>
    <row r="225" spans="1:8" ht="16.5" hidden="1" thickBot="1">
      <c r="A225" s="464"/>
      <c r="B225" s="1271" t="s">
        <v>13793</v>
      </c>
      <c r="C225" s="1272"/>
      <c r="D225" s="1272"/>
      <c r="E225" s="1273"/>
      <c r="F225" s="756" t="s">
        <v>22</v>
      </c>
      <c r="G225" s="757">
        <f>SUM(G221:G224)</f>
        <v>7.79</v>
      </c>
      <c r="H225" s="464"/>
    </row>
    <row r="226" spans="1:8" ht="13.5" hidden="1" thickBot="1">
      <c r="B226" s="826"/>
      <c r="C226" s="457"/>
      <c r="D226" s="457"/>
      <c r="E226" s="457"/>
      <c r="F226" s="457"/>
      <c r="G226" s="827"/>
    </row>
    <row r="227" spans="1:8" s="465" customFormat="1" ht="39.75" hidden="1" customHeight="1">
      <c r="A227" s="464"/>
      <c r="B227" s="704" t="str">
        <f>IF(COUNT($H$8:H227)&lt;10,CONCATENATE("COMP ELE 00",COUNT($H$8:H227)),CONCATENATE("COMP ELE 0",COUNT($H$8:H227)))</f>
        <v>COMP ELE 021</v>
      </c>
      <c r="C227" s="1257" t="s">
        <v>13794</v>
      </c>
      <c r="D227" s="1257"/>
      <c r="E227" s="1257"/>
      <c r="F227" s="1257"/>
      <c r="G227" s="705" t="s">
        <v>28</v>
      </c>
      <c r="H227" s="570">
        <f>G234</f>
        <v>115.36</v>
      </c>
    </row>
    <row r="228" spans="1:8" s="465" customFormat="1" ht="31.5" hidden="1">
      <c r="A228" s="464"/>
      <c r="B228" s="469" t="s">
        <v>13463</v>
      </c>
      <c r="C228" s="470" t="s">
        <v>13464</v>
      </c>
      <c r="D228" s="470" t="s">
        <v>28</v>
      </c>
      <c r="E228" s="470" t="s">
        <v>13465</v>
      </c>
      <c r="F228" s="471" t="s">
        <v>13466</v>
      </c>
      <c r="G228" s="472" t="s">
        <v>13467</v>
      </c>
      <c r="H228" s="464"/>
    </row>
    <row r="229" spans="1:8" s="465" customFormat="1" ht="15.75" hidden="1">
      <c r="A229" s="464"/>
      <c r="B229" s="1246" t="s">
        <v>13468</v>
      </c>
      <c r="C229" s="1247"/>
      <c r="D229" s="1247"/>
      <c r="E229" s="1247"/>
      <c r="F229" s="1247"/>
      <c r="G229" s="1248"/>
      <c r="H229" s="464"/>
    </row>
    <row r="230" spans="1:8" s="465" customFormat="1" ht="60" hidden="1">
      <c r="A230" s="473" t="s">
        <v>13458</v>
      </c>
      <c r="B230" s="828">
        <v>13390</v>
      </c>
      <c r="C230" s="710" t="s">
        <v>10334</v>
      </c>
      <c r="D230" s="711" t="s">
        <v>6636</v>
      </c>
      <c r="E230" s="829">
        <v>1</v>
      </c>
      <c r="F230" s="713">
        <v>68.569999999999993</v>
      </c>
      <c r="G230" s="750">
        <f>TRUNC(F230*E230,2)</f>
        <v>68.569999999999993</v>
      </c>
      <c r="H230" s="464"/>
    </row>
    <row r="231" spans="1:8" s="465" customFormat="1" ht="15.75" hidden="1">
      <c r="A231" s="464"/>
      <c r="B231" s="1246" t="s">
        <v>13469</v>
      </c>
      <c r="C231" s="1247"/>
      <c r="D231" s="1247"/>
      <c r="E231" s="1247"/>
      <c r="F231" s="1247"/>
      <c r="G231" s="1248"/>
      <c r="H231" s="464"/>
    </row>
    <row r="232" spans="1:8" s="465" customFormat="1" ht="15.75" hidden="1">
      <c r="A232" s="473" t="s">
        <v>13459</v>
      </c>
      <c r="B232" s="751">
        <v>88264</v>
      </c>
      <c r="C232" s="710" t="s">
        <v>771</v>
      </c>
      <c r="D232" s="711" t="s">
        <v>753</v>
      </c>
      <c r="E232" s="752">
        <v>1.2</v>
      </c>
      <c r="F232" s="713">
        <v>20.52</v>
      </c>
      <c r="G232" s="750">
        <f>TRUNC(F232*E232,2)</f>
        <v>24.62</v>
      </c>
      <c r="H232" s="464"/>
    </row>
    <row r="233" spans="1:8" s="465" customFormat="1" ht="16.5" hidden="1" thickBot="1">
      <c r="A233" s="473" t="s">
        <v>13459</v>
      </c>
      <c r="B233" s="753">
        <v>88247</v>
      </c>
      <c r="C233" s="717" t="s">
        <v>924</v>
      </c>
      <c r="D233" s="718" t="s">
        <v>753</v>
      </c>
      <c r="E233" s="754">
        <v>1.4</v>
      </c>
      <c r="F233" s="720">
        <v>15.84</v>
      </c>
      <c r="G233" s="755">
        <f>TRUNC(F233*E233,2)</f>
        <v>22.17</v>
      </c>
      <c r="H233" s="464"/>
    </row>
    <row r="234" spans="1:8" s="465" customFormat="1" ht="23.25" hidden="1" customHeight="1" thickBot="1">
      <c r="A234" s="464"/>
      <c r="B234" s="1264" t="s">
        <v>13795</v>
      </c>
      <c r="C234" s="1265"/>
      <c r="D234" s="1265"/>
      <c r="E234" s="1265"/>
      <c r="F234" s="756" t="s">
        <v>22</v>
      </c>
      <c r="G234" s="757">
        <f>SUM(G230:G233)</f>
        <v>115.36</v>
      </c>
      <c r="H234" s="464"/>
    </row>
    <row r="235" spans="1:8" s="465" customFormat="1" ht="29.25" hidden="1" customHeight="1">
      <c r="A235" s="464"/>
      <c r="B235" s="1264"/>
      <c r="C235" s="1265"/>
      <c r="D235" s="1265"/>
      <c r="E235" s="1265"/>
      <c r="F235" s="830"/>
      <c r="G235" s="831"/>
      <c r="H235" s="464"/>
    </row>
    <row r="236" spans="1:8" s="832" customFormat="1" ht="20.25" hidden="1" customHeight="1" thickBot="1">
      <c r="B236" s="1275" t="s">
        <v>13796</v>
      </c>
      <c r="C236" s="1276"/>
      <c r="D236" s="833"/>
      <c r="E236" s="833"/>
      <c r="F236" s="833"/>
      <c r="G236" s="834"/>
    </row>
    <row r="237" spans="1:8" s="836" customFormat="1" ht="15.75" hidden="1">
      <c r="A237" s="835"/>
      <c r="B237" s="1277" t="s">
        <v>13797</v>
      </c>
      <c r="C237" s="1278"/>
      <c r="D237" s="1278"/>
      <c r="E237" s="1278"/>
      <c r="F237" s="1278"/>
      <c r="G237" s="1279"/>
      <c r="H237" s="835"/>
    </row>
    <row r="238" spans="1:8" s="836" customFormat="1" ht="15" hidden="1">
      <c r="A238" s="835"/>
      <c r="B238" s="837">
        <v>88264</v>
      </c>
      <c r="C238" s="710" t="s">
        <v>771</v>
      </c>
      <c r="D238" s="711" t="s">
        <v>753</v>
      </c>
      <c r="E238" s="838">
        <v>2</v>
      </c>
      <c r="F238" s="713">
        <v>20.52</v>
      </c>
      <c r="G238" s="839">
        <f>TRUNC(E238*F238,2)</f>
        <v>41.04</v>
      </c>
      <c r="H238" s="835"/>
    </row>
    <row r="239" spans="1:8" s="836" customFormat="1" ht="15" hidden="1">
      <c r="A239" s="835"/>
      <c r="B239" s="837">
        <v>88247</v>
      </c>
      <c r="C239" s="710" t="s">
        <v>924</v>
      </c>
      <c r="D239" s="711" t="s">
        <v>753</v>
      </c>
      <c r="E239" s="838">
        <v>2</v>
      </c>
      <c r="F239" s="713">
        <v>15.84</v>
      </c>
      <c r="G239" s="839">
        <f>TRUNC(E239*F239,2)</f>
        <v>31.68</v>
      </c>
      <c r="H239" s="835"/>
    </row>
    <row r="240" spans="1:8" s="836" customFormat="1" ht="15.75" hidden="1">
      <c r="A240" s="835"/>
      <c r="B240" s="1280" t="s">
        <v>13798</v>
      </c>
      <c r="C240" s="1281"/>
      <c r="D240" s="1281"/>
      <c r="E240" s="1281"/>
      <c r="F240" s="1281"/>
      <c r="G240" s="1282"/>
      <c r="H240" s="835"/>
    </row>
    <row r="241" spans="1:8" s="836" customFormat="1" ht="15" hidden="1">
      <c r="A241" s="835"/>
      <c r="B241" s="837">
        <v>88264</v>
      </c>
      <c r="C241" s="710" t="s">
        <v>771</v>
      </c>
      <c r="D241" s="711" t="s">
        <v>753</v>
      </c>
      <c r="E241" s="838">
        <v>0.2</v>
      </c>
      <c r="F241" s="713">
        <v>20.52</v>
      </c>
      <c r="G241" s="839">
        <f>TRUNC(E241*F241,2)</f>
        <v>4.0999999999999996</v>
      </c>
      <c r="H241" s="835"/>
    </row>
    <row r="242" spans="1:8" s="836" customFormat="1" ht="15.75" hidden="1">
      <c r="A242" s="835"/>
      <c r="B242" s="1280" t="s">
        <v>13799</v>
      </c>
      <c r="C242" s="1281"/>
      <c r="D242" s="1281"/>
      <c r="E242" s="1281"/>
      <c r="F242" s="1281"/>
      <c r="G242" s="1282"/>
      <c r="H242" s="835"/>
    </row>
    <row r="243" spans="1:8" s="836" customFormat="1" ht="15" hidden="1">
      <c r="A243" s="835"/>
      <c r="B243" s="837">
        <v>88264</v>
      </c>
      <c r="C243" s="710" t="s">
        <v>771</v>
      </c>
      <c r="D243" s="711" t="s">
        <v>753</v>
      </c>
      <c r="E243" s="838">
        <v>0.6</v>
      </c>
      <c r="F243" s="713">
        <v>20.52</v>
      </c>
      <c r="G243" s="839">
        <f>TRUNC(E243*F243,2)</f>
        <v>12.31</v>
      </c>
      <c r="H243" s="835"/>
    </row>
    <row r="244" spans="1:8" s="836" customFormat="1" ht="15.75" hidden="1" thickBot="1">
      <c r="A244" s="835"/>
      <c r="B244" s="840">
        <v>88247</v>
      </c>
      <c r="C244" s="717" t="s">
        <v>924</v>
      </c>
      <c r="D244" s="718" t="s">
        <v>753</v>
      </c>
      <c r="E244" s="841">
        <v>0.6</v>
      </c>
      <c r="F244" s="720">
        <v>15.84</v>
      </c>
      <c r="G244" s="842">
        <f>TRUNC(E244*F244,2)</f>
        <v>9.5</v>
      </c>
      <c r="H244" s="835"/>
    </row>
    <row r="245" spans="1:8" ht="15.75" hidden="1" thickBot="1">
      <c r="B245" s="826"/>
      <c r="C245" s="457"/>
      <c r="D245" s="457"/>
      <c r="E245" s="457"/>
      <c r="F245" s="843"/>
      <c r="G245" s="827"/>
    </row>
    <row r="246" spans="1:8" s="465" customFormat="1" ht="52.5" hidden="1" customHeight="1">
      <c r="A246" s="464"/>
      <c r="B246" s="704" t="str">
        <f>IF(COUNT($H$8:H246)&lt;10,CONCATENATE("COMP ELE 00",COUNT($H$8:H246)),CONCATENATE("COMP ELE 0",COUNT($H$8:H246)))</f>
        <v>COMP ELE 022</v>
      </c>
      <c r="C246" s="1257" t="str">
        <f>CONCATENATE("FORNECIMENTO E INSTALAÇÃO DE ",C249)</f>
        <v>FORNECIMENTO E INSTALAÇÃO DE PROJETOR RETANGULAR FECHADO PARA LAMPADA VAPOR DE MERCURIO/SODIO 250 W A 500 W, CABECEIRAS EM ALUMINIO FUNDIDO, CORPO EM ALUMINIO ANODIZADO, PARA LAMPADA E40 FECHAMENTO EM VIDRO TEMPERADO.</v>
      </c>
      <c r="D246" s="1225"/>
      <c r="E246" s="1225"/>
      <c r="F246" s="1225"/>
      <c r="G246" s="705" t="s">
        <v>28</v>
      </c>
      <c r="H246" s="570">
        <f>G253</f>
        <v>85</v>
      </c>
    </row>
    <row r="247" spans="1:8" s="465" customFormat="1" ht="31.5" hidden="1">
      <c r="A247" s="464"/>
      <c r="B247" s="469" t="s">
        <v>13463</v>
      </c>
      <c r="C247" s="707" t="s">
        <v>13464</v>
      </c>
      <c r="D247" s="470" t="s">
        <v>28</v>
      </c>
      <c r="E247" s="707" t="s">
        <v>13465</v>
      </c>
      <c r="F247" s="293" t="s">
        <v>13466</v>
      </c>
      <c r="G247" s="708" t="s">
        <v>13467</v>
      </c>
      <c r="H247" s="464"/>
    </row>
    <row r="248" spans="1:8" s="465" customFormat="1" ht="15.75" hidden="1">
      <c r="A248" s="464"/>
      <c r="B248" s="1283" t="s">
        <v>13468</v>
      </c>
      <c r="C248" s="1284"/>
      <c r="D248" s="1284"/>
      <c r="E248" s="1284"/>
      <c r="F248" s="1284"/>
      <c r="G248" s="1285"/>
      <c r="H248" s="464"/>
    </row>
    <row r="249" spans="1:8" s="465" customFormat="1" ht="60" hidden="1">
      <c r="A249" s="473" t="s">
        <v>13458</v>
      </c>
      <c r="B249" s="844">
        <v>12273</v>
      </c>
      <c r="C249" s="710" t="s">
        <v>10255</v>
      </c>
      <c r="D249" s="711" t="s">
        <v>6636</v>
      </c>
      <c r="E249" s="815">
        <v>1</v>
      </c>
      <c r="F249" s="713">
        <v>52.29</v>
      </c>
      <c r="G249" s="845">
        <f>TRUNC(F249*E249,2)</f>
        <v>52.29</v>
      </c>
      <c r="H249" s="464"/>
    </row>
    <row r="250" spans="1:8" s="465" customFormat="1" ht="15.75" hidden="1">
      <c r="A250" s="464"/>
      <c r="B250" s="1283" t="s">
        <v>13469</v>
      </c>
      <c r="C250" s="1284"/>
      <c r="D250" s="1284"/>
      <c r="E250" s="1284"/>
      <c r="F250" s="1284"/>
      <c r="G250" s="1285"/>
      <c r="H250" s="464"/>
    </row>
    <row r="251" spans="1:8" s="465" customFormat="1" ht="15.75" hidden="1">
      <c r="A251" s="473" t="s">
        <v>13459</v>
      </c>
      <c r="B251" s="751">
        <v>88264</v>
      </c>
      <c r="C251" s="710" t="s">
        <v>771</v>
      </c>
      <c r="D251" s="711" t="s">
        <v>753</v>
      </c>
      <c r="E251" s="752">
        <f>E257-E260-E263</f>
        <v>0.89999999999999991</v>
      </c>
      <c r="F251" s="713">
        <v>20.52</v>
      </c>
      <c r="G251" s="750">
        <f>TRUNC(F251*E251,2)</f>
        <v>18.46</v>
      </c>
      <c r="H251" s="464"/>
    </row>
    <row r="252" spans="1:8" s="465" customFormat="1" ht="16.5" hidden="1" thickBot="1">
      <c r="A252" s="473" t="s">
        <v>13459</v>
      </c>
      <c r="B252" s="753">
        <v>88247</v>
      </c>
      <c r="C252" s="717" t="s">
        <v>924</v>
      </c>
      <c r="D252" s="718" t="s">
        <v>753</v>
      </c>
      <c r="E252" s="754">
        <f>E258-E261-E264</f>
        <v>0.89999999999999991</v>
      </c>
      <c r="F252" s="720">
        <v>15.84</v>
      </c>
      <c r="G252" s="755">
        <f>TRUNC(F252*E252,2)</f>
        <v>14.25</v>
      </c>
      <c r="H252" s="464"/>
    </row>
    <row r="253" spans="1:8" s="465" customFormat="1" ht="16.5" hidden="1" thickBot="1">
      <c r="A253" s="464"/>
      <c r="B253" s="1286" t="s">
        <v>13800</v>
      </c>
      <c r="C253" s="1287"/>
      <c r="D253" s="1287"/>
      <c r="E253" s="1287"/>
      <c r="F253" s="756" t="s">
        <v>22</v>
      </c>
      <c r="G253" s="757">
        <f>SUM(G248:G252)</f>
        <v>85</v>
      </c>
      <c r="H253" s="464"/>
    </row>
    <row r="254" spans="1:8" s="465" customFormat="1" ht="34.5" hidden="1" customHeight="1">
      <c r="A254" s="464"/>
      <c r="B254" s="1286"/>
      <c r="C254" s="1287"/>
      <c r="D254" s="1287"/>
      <c r="E254" s="1287"/>
      <c r="F254" s="464"/>
      <c r="G254" s="765"/>
      <c r="H254" s="464"/>
    </row>
    <row r="255" spans="1:8" s="832" customFormat="1" ht="20.25" hidden="1" customHeight="1" thickBot="1">
      <c r="B255" s="1275" t="s">
        <v>13796</v>
      </c>
      <c r="C255" s="1276"/>
      <c r="D255" s="833"/>
      <c r="E255" s="833"/>
      <c r="F255" s="833"/>
      <c r="G255" s="834"/>
    </row>
    <row r="256" spans="1:8" s="836" customFormat="1" ht="15.75" hidden="1">
      <c r="A256" s="835"/>
      <c r="B256" s="1277" t="s">
        <v>13797</v>
      </c>
      <c r="C256" s="1278"/>
      <c r="D256" s="1278"/>
      <c r="E256" s="1278"/>
      <c r="F256" s="1278"/>
      <c r="G256" s="1279"/>
      <c r="H256" s="835"/>
    </row>
    <row r="257" spans="1:8" s="836" customFormat="1" ht="15" hidden="1">
      <c r="A257" s="835"/>
      <c r="B257" s="837">
        <v>88264</v>
      </c>
      <c r="C257" s="710" t="s">
        <v>771</v>
      </c>
      <c r="D257" s="711" t="s">
        <v>753</v>
      </c>
      <c r="E257" s="838">
        <v>2</v>
      </c>
      <c r="F257" s="713">
        <v>20.52</v>
      </c>
      <c r="G257" s="839">
        <f>TRUNC(E257*F257,2)</f>
        <v>41.04</v>
      </c>
      <c r="H257" s="835"/>
    </row>
    <row r="258" spans="1:8" s="836" customFormat="1" ht="15" hidden="1">
      <c r="A258" s="835"/>
      <c r="B258" s="837">
        <v>88247</v>
      </c>
      <c r="C258" s="710" t="s">
        <v>924</v>
      </c>
      <c r="D258" s="711" t="s">
        <v>753</v>
      </c>
      <c r="E258" s="838">
        <v>2</v>
      </c>
      <c r="F258" s="713">
        <v>15.84</v>
      </c>
      <c r="G258" s="839">
        <f>TRUNC(E258*F258,2)</f>
        <v>31.68</v>
      </c>
      <c r="H258" s="835"/>
    </row>
    <row r="259" spans="1:8" s="836" customFormat="1" ht="15.75" hidden="1">
      <c r="A259" s="835"/>
      <c r="B259" s="1280" t="s">
        <v>13801</v>
      </c>
      <c r="C259" s="1281"/>
      <c r="D259" s="1281"/>
      <c r="E259" s="1281"/>
      <c r="F259" s="1281"/>
      <c r="G259" s="1282"/>
      <c r="H259" s="835"/>
    </row>
    <row r="260" spans="1:8" s="836" customFormat="1" ht="15" hidden="1">
      <c r="A260" s="835"/>
      <c r="B260" s="837">
        <v>88264</v>
      </c>
      <c r="C260" s="710" t="s">
        <v>771</v>
      </c>
      <c r="D260" s="711" t="s">
        <v>753</v>
      </c>
      <c r="E260" s="838">
        <v>0.3</v>
      </c>
      <c r="F260" s="713">
        <v>20.52</v>
      </c>
      <c r="G260" s="839">
        <f>TRUNC(E260*F260,2)</f>
        <v>6.15</v>
      </c>
      <c r="H260" s="835"/>
    </row>
    <row r="261" spans="1:8" s="836" customFormat="1" ht="15" hidden="1">
      <c r="A261" s="835"/>
      <c r="B261" s="837">
        <v>88247</v>
      </c>
      <c r="C261" s="710" t="s">
        <v>924</v>
      </c>
      <c r="D261" s="711" t="s">
        <v>753</v>
      </c>
      <c r="E261" s="838">
        <v>0.3</v>
      </c>
      <c r="F261" s="713">
        <v>15.84</v>
      </c>
      <c r="G261" s="839">
        <f>TRUNC(E261*F261,2)</f>
        <v>4.75</v>
      </c>
      <c r="H261" s="835"/>
    </row>
    <row r="262" spans="1:8" s="836" customFormat="1" ht="15.75" hidden="1">
      <c r="A262" s="835"/>
      <c r="B262" s="1280" t="s">
        <v>13802</v>
      </c>
      <c r="C262" s="1281"/>
      <c r="D262" s="1281"/>
      <c r="E262" s="1281"/>
      <c r="F262" s="1281"/>
      <c r="G262" s="1282"/>
      <c r="H262" s="835"/>
    </row>
    <row r="263" spans="1:8" s="836" customFormat="1" ht="15" hidden="1">
      <c r="A263" s="835"/>
      <c r="B263" s="837">
        <v>88264</v>
      </c>
      <c r="C263" s="710" t="s">
        <v>771</v>
      </c>
      <c r="D263" s="711" t="s">
        <v>753</v>
      </c>
      <c r="E263" s="838">
        <v>0.8</v>
      </c>
      <c r="F263" s="713">
        <v>20.52</v>
      </c>
      <c r="G263" s="839">
        <f>TRUNC(E263*F263,2)</f>
        <v>16.41</v>
      </c>
      <c r="H263" s="835"/>
    </row>
    <row r="264" spans="1:8" s="836" customFormat="1" ht="15.75" hidden="1" thickBot="1">
      <c r="A264" s="835"/>
      <c r="B264" s="840">
        <v>88247</v>
      </c>
      <c r="C264" s="717" t="s">
        <v>924</v>
      </c>
      <c r="D264" s="718" t="s">
        <v>753</v>
      </c>
      <c r="E264" s="841">
        <v>0.8</v>
      </c>
      <c r="F264" s="720">
        <v>15.84</v>
      </c>
      <c r="G264" s="842">
        <f>TRUNC(E264*F264,2)</f>
        <v>12.67</v>
      </c>
      <c r="H264" s="835"/>
    </row>
    <row r="265" spans="1:8" ht="15.75" hidden="1" thickBot="1">
      <c r="B265" s="826"/>
      <c r="C265" s="457"/>
      <c r="D265" s="457"/>
      <c r="E265" s="457"/>
      <c r="F265" s="843"/>
      <c r="G265" s="827"/>
    </row>
    <row r="266" spans="1:8" s="465" customFormat="1" ht="42" hidden="1" customHeight="1">
      <c r="A266" s="464"/>
      <c r="B266" s="704" t="str">
        <f>IF(COUNT($H$8:H266)&lt;10,CONCATENATE("COMP ELE 00",COUNT($H$8:H266)),CONCATENATE("COMP ELE 0",COUNT($H$8:H266)))</f>
        <v>COMP ELE 023</v>
      </c>
      <c r="C266" s="1257" t="str">
        <f>CONCATENATE("FORNECIMENTO E INSTALAÇÃO DE ",C269)</f>
        <v>FORNECIMENTO E INSTALAÇÃO DE CURVA 90 GRAUS, PARA ELETRODUTO, EM ACO GALVANIZADO ELETROLITICO, DIAMETRO DE 20 MM (3/4")</v>
      </c>
      <c r="D266" s="1225"/>
      <c r="E266" s="1225"/>
      <c r="F266" s="1225"/>
      <c r="G266" s="705" t="s">
        <v>28</v>
      </c>
      <c r="H266" s="570">
        <f>G273</f>
        <v>9.49</v>
      </c>
    </row>
    <row r="267" spans="1:8" s="465" customFormat="1" ht="31.5" hidden="1">
      <c r="A267" s="464"/>
      <c r="B267" s="469" t="s">
        <v>13463</v>
      </c>
      <c r="C267" s="707" t="s">
        <v>13464</v>
      </c>
      <c r="D267" s="470" t="s">
        <v>28</v>
      </c>
      <c r="E267" s="707" t="s">
        <v>13465</v>
      </c>
      <c r="F267" s="293" t="s">
        <v>13466</v>
      </c>
      <c r="G267" s="708" t="s">
        <v>13467</v>
      </c>
      <c r="H267" s="464"/>
    </row>
    <row r="268" spans="1:8" s="465" customFormat="1" ht="15.75" hidden="1">
      <c r="A268" s="464"/>
      <c r="B268" s="1283" t="s">
        <v>13468</v>
      </c>
      <c r="C268" s="1284"/>
      <c r="D268" s="1284"/>
      <c r="E268" s="1284"/>
      <c r="F268" s="1284"/>
      <c r="G268" s="1285"/>
      <c r="H268" s="464"/>
    </row>
    <row r="269" spans="1:8" s="465" customFormat="1" ht="30" hidden="1">
      <c r="A269" s="473" t="s">
        <v>13458</v>
      </c>
      <c r="B269" s="844">
        <v>2633</v>
      </c>
      <c r="C269" s="710" t="s">
        <v>8282</v>
      </c>
      <c r="D269" s="711" t="s">
        <v>6636</v>
      </c>
      <c r="E269" s="815">
        <v>1</v>
      </c>
      <c r="F269" s="713">
        <v>4.41</v>
      </c>
      <c r="G269" s="845">
        <f>TRUNC(F269*E269,2)</f>
        <v>4.41</v>
      </c>
      <c r="H269" s="464"/>
    </row>
    <row r="270" spans="1:8" s="465" customFormat="1" ht="15.75" hidden="1">
      <c r="A270" s="464"/>
      <c r="B270" s="1283" t="s">
        <v>13469</v>
      </c>
      <c r="C270" s="1284"/>
      <c r="D270" s="1284"/>
      <c r="E270" s="1284"/>
      <c r="F270" s="1284"/>
      <c r="G270" s="1285"/>
      <c r="H270" s="464"/>
    </row>
    <row r="271" spans="1:8" s="465" customFormat="1" ht="15.75" hidden="1">
      <c r="A271" s="473" t="s">
        <v>13459</v>
      </c>
      <c r="B271" s="751">
        <v>88264</v>
      </c>
      <c r="C271" s="710" t="s">
        <v>771</v>
      </c>
      <c r="D271" s="711" t="s">
        <v>753</v>
      </c>
      <c r="E271" s="752">
        <v>0.14000000000000001</v>
      </c>
      <c r="F271" s="713">
        <v>20.52</v>
      </c>
      <c r="G271" s="750">
        <f>TRUNC(F271*E271,2)</f>
        <v>2.87</v>
      </c>
      <c r="H271" s="464"/>
    </row>
    <row r="272" spans="1:8" s="465" customFormat="1" ht="16.5" hidden="1" thickBot="1">
      <c r="A272" s="473" t="s">
        <v>13459</v>
      </c>
      <c r="B272" s="753">
        <v>88247</v>
      </c>
      <c r="C272" s="717" t="s">
        <v>924</v>
      </c>
      <c r="D272" s="718" t="s">
        <v>753</v>
      </c>
      <c r="E272" s="754">
        <v>0.14000000000000001</v>
      </c>
      <c r="F272" s="720">
        <v>15.84</v>
      </c>
      <c r="G272" s="755">
        <f>TRUNC(F272*E272,2)</f>
        <v>2.21</v>
      </c>
      <c r="H272" s="464"/>
    </row>
    <row r="273" spans="1:8" s="465" customFormat="1" ht="16.5" hidden="1" thickBot="1">
      <c r="A273" s="464"/>
      <c r="B273" s="1271" t="s">
        <v>13803</v>
      </c>
      <c r="C273" s="1272"/>
      <c r="D273" s="1272"/>
      <c r="E273" s="1272"/>
      <c r="F273" s="756" t="s">
        <v>22</v>
      </c>
      <c r="G273" s="757">
        <f>SUM(G268:G272)</f>
        <v>9.49</v>
      </c>
      <c r="H273" s="464"/>
    </row>
    <row r="274" spans="1:8" s="465" customFormat="1" ht="15.75" hidden="1" thickBot="1">
      <c r="A274" s="464"/>
      <c r="B274" s="846"/>
      <c r="C274" s="847"/>
      <c r="D274" s="847"/>
      <c r="E274" s="847"/>
      <c r="F274" s="464"/>
      <c r="G274" s="765"/>
      <c r="H274" s="464"/>
    </row>
    <row r="275" spans="1:8" s="465" customFormat="1" ht="36.75" hidden="1" customHeight="1">
      <c r="A275" s="464"/>
      <c r="B275" s="704" t="str">
        <f>IF(COUNT($H$8:H275)&lt;10,CONCATENATE("COMP ELE 00",COUNT($H$8:H275)),CONCATENATE("COMP ELE 0",COUNT($H$8:H275)))</f>
        <v>COMP ELE 024</v>
      </c>
      <c r="C275" s="1257" t="str">
        <f>CONCATENATE("FORNECIMENTO E INSTALAÇÃO DE ",C278)</f>
        <v>FORNECIMENTO E INSTALAÇÃO DE LUVA PARA ELETRODUTO, EM ACO GALVANIZADO ELETROLITICO, DIAMETRO DE 20 MM (3/4")</v>
      </c>
      <c r="D275" s="1225"/>
      <c r="E275" s="1225"/>
      <c r="F275" s="1225"/>
      <c r="G275" s="705" t="s">
        <v>28</v>
      </c>
      <c r="H275" s="570">
        <f>G282</f>
        <v>3.84</v>
      </c>
    </row>
    <row r="276" spans="1:8" s="465" customFormat="1" ht="31.5" hidden="1">
      <c r="A276" s="464"/>
      <c r="B276" s="469" t="s">
        <v>13463</v>
      </c>
      <c r="C276" s="707" t="s">
        <v>13464</v>
      </c>
      <c r="D276" s="470" t="s">
        <v>28</v>
      </c>
      <c r="E276" s="707" t="s">
        <v>13465</v>
      </c>
      <c r="F276" s="293" t="s">
        <v>13466</v>
      </c>
      <c r="G276" s="708" t="s">
        <v>13467</v>
      </c>
      <c r="H276" s="464"/>
    </row>
    <row r="277" spans="1:8" s="465" customFormat="1" ht="15.75" hidden="1">
      <c r="A277" s="464"/>
      <c r="B277" s="1283" t="s">
        <v>13468</v>
      </c>
      <c r="C277" s="1284"/>
      <c r="D277" s="1284"/>
      <c r="E277" s="1284"/>
      <c r="F277" s="1284"/>
      <c r="G277" s="1285"/>
      <c r="H277" s="464"/>
    </row>
    <row r="278" spans="1:8" s="465" customFormat="1" ht="30" hidden="1">
      <c r="A278" s="473" t="s">
        <v>13458</v>
      </c>
      <c r="B278" s="844">
        <v>2637</v>
      </c>
      <c r="C278" s="710" t="s">
        <v>9480</v>
      </c>
      <c r="D278" s="711" t="s">
        <v>6636</v>
      </c>
      <c r="E278" s="815">
        <v>1</v>
      </c>
      <c r="F278" s="713">
        <v>1.66</v>
      </c>
      <c r="G278" s="845">
        <f>TRUNC(F278*E278,2)</f>
        <v>1.66</v>
      </c>
      <c r="H278" s="464"/>
    </row>
    <row r="279" spans="1:8" s="465" customFormat="1" ht="15.75" hidden="1">
      <c r="A279" s="464"/>
      <c r="B279" s="1283" t="s">
        <v>13469</v>
      </c>
      <c r="C279" s="1284"/>
      <c r="D279" s="1284"/>
      <c r="E279" s="1284"/>
      <c r="F279" s="1284"/>
      <c r="G279" s="1285"/>
      <c r="H279" s="464"/>
    </row>
    <row r="280" spans="1:8" s="465" customFormat="1" ht="15.75" hidden="1">
      <c r="A280" s="473" t="s">
        <v>13459</v>
      </c>
      <c r="B280" s="751">
        <v>88264</v>
      </c>
      <c r="C280" s="710" t="s">
        <v>771</v>
      </c>
      <c r="D280" s="711" t="s">
        <v>753</v>
      </c>
      <c r="E280" s="752">
        <v>0.06</v>
      </c>
      <c r="F280" s="713">
        <v>20.52</v>
      </c>
      <c r="G280" s="750">
        <f>TRUNC(F280*E280,2)</f>
        <v>1.23</v>
      </c>
      <c r="H280" s="464"/>
    </row>
    <row r="281" spans="1:8" s="465" customFormat="1" ht="16.5" hidden="1" thickBot="1">
      <c r="A281" s="473" t="s">
        <v>13459</v>
      </c>
      <c r="B281" s="753">
        <v>88247</v>
      </c>
      <c r="C281" s="717" t="s">
        <v>924</v>
      </c>
      <c r="D281" s="718" t="s">
        <v>753</v>
      </c>
      <c r="E281" s="754">
        <v>0.06</v>
      </c>
      <c r="F281" s="720">
        <v>15.84</v>
      </c>
      <c r="G281" s="755">
        <f>TRUNC(F281*E281,2)</f>
        <v>0.95</v>
      </c>
      <c r="H281" s="464"/>
    </row>
    <row r="282" spans="1:8" s="465" customFormat="1" ht="16.5" hidden="1" thickBot="1">
      <c r="A282" s="464"/>
      <c r="B282" s="1288" t="s">
        <v>13804</v>
      </c>
      <c r="C282" s="1289"/>
      <c r="D282" s="1289"/>
      <c r="E282" s="1289"/>
      <c r="F282" s="756" t="s">
        <v>22</v>
      </c>
      <c r="G282" s="757">
        <f>SUM(G277:G281)</f>
        <v>3.84</v>
      </c>
      <c r="H282" s="464"/>
    </row>
    <row r="283" spans="1:8" s="465" customFormat="1" ht="15.75" hidden="1" thickBot="1">
      <c r="A283" s="464"/>
      <c r="B283" s="846"/>
      <c r="C283" s="847"/>
      <c r="D283" s="847"/>
      <c r="E283" s="847"/>
      <c r="F283" s="464"/>
      <c r="G283" s="765"/>
      <c r="H283" s="464"/>
    </row>
    <row r="284" spans="1:8" s="465" customFormat="1" ht="38.25" hidden="1" customHeight="1">
      <c r="A284" s="464"/>
      <c r="B284" s="704" t="str">
        <f>IF(COUNT($H$8:H284)&lt;10,CONCATENATE("COMP ELE 00",COUNT($H$8:H284)),CONCATENATE("COMP ELE 0",COUNT($H$8:H284)))</f>
        <v>COMP ELE 025</v>
      </c>
      <c r="C284" s="1257" t="str">
        <f>CONCATENATE("FORNECIMENTO E INSTALAÇÃO DE ",C287)</f>
        <v>FORNECIMENTO E INSTALAÇÃO DE CURVA 90 GRAUS, PARA ELETRODUTO, EM ACO GALVANIZADO ELETROLITICO, DIAMETRO DE 25 MM (1")</v>
      </c>
      <c r="D284" s="1225"/>
      <c r="E284" s="1225"/>
      <c r="F284" s="1225"/>
      <c r="G284" s="705" t="s">
        <v>28</v>
      </c>
      <c r="H284" s="570">
        <f>G291</f>
        <v>11.07</v>
      </c>
    </row>
    <row r="285" spans="1:8" s="465" customFormat="1" ht="31.5" hidden="1">
      <c r="A285" s="464"/>
      <c r="B285" s="469" t="s">
        <v>13463</v>
      </c>
      <c r="C285" s="707" t="s">
        <v>13464</v>
      </c>
      <c r="D285" s="470" t="s">
        <v>28</v>
      </c>
      <c r="E285" s="707" t="s">
        <v>13465</v>
      </c>
      <c r="F285" s="293" t="s">
        <v>13466</v>
      </c>
      <c r="G285" s="708" t="s">
        <v>13467</v>
      </c>
      <c r="H285" s="464"/>
    </row>
    <row r="286" spans="1:8" s="465" customFormat="1" ht="15.75" hidden="1">
      <c r="A286" s="464"/>
      <c r="B286" s="1283" t="s">
        <v>13468</v>
      </c>
      <c r="C286" s="1284"/>
      <c r="D286" s="1284"/>
      <c r="E286" s="1284"/>
      <c r="F286" s="1284"/>
      <c r="G286" s="1285"/>
      <c r="H286" s="464"/>
    </row>
    <row r="287" spans="1:8" s="465" customFormat="1" ht="30" hidden="1">
      <c r="A287" s="473" t="s">
        <v>13458</v>
      </c>
      <c r="B287" s="844">
        <v>2617</v>
      </c>
      <c r="C287" s="710" t="s">
        <v>8283</v>
      </c>
      <c r="D287" s="711" t="s">
        <v>6636</v>
      </c>
      <c r="E287" s="815">
        <v>1</v>
      </c>
      <c r="F287" s="713">
        <v>5.99</v>
      </c>
      <c r="G287" s="845">
        <f>TRUNC(F287*E287,2)</f>
        <v>5.99</v>
      </c>
      <c r="H287" s="464"/>
    </row>
    <row r="288" spans="1:8" s="465" customFormat="1" ht="15.75" hidden="1">
      <c r="A288" s="464"/>
      <c r="B288" s="1283" t="s">
        <v>13469</v>
      </c>
      <c r="C288" s="1284"/>
      <c r="D288" s="1284"/>
      <c r="E288" s="1284"/>
      <c r="F288" s="1284"/>
      <c r="G288" s="1285"/>
      <c r="H288" s="464"/>
    </row>
    <row r="289" spans="1:8" s="465" customFormat="1" ht="15.75" hidden="1">
      <c r="A289" s="473" t="s">
        <v>13459</v>
      </c>
      <c r="B289" s="751">
        <v>88264</v>
      </c>
      <c r="C289" s="710" t="s">
        <v>771</v>
      </c>
      <c r="D289" s="711" t="s">
        <v>753</v>
      </c>
      <c r="E289" s="749">
        <v>0.14000000000000001</v>
      </c>
      <c r="F289" s="713">
        <v>20.52</v>
      </c>
      <c r="G289" s="750">
        <f>TRUNC(F289*E289,2)</f>
        <v>2.87</v>
      </c>
      <c r="H289" s="464"/>
    </row>
    <row r="290" spans="1:8" s="465" customFormat="1" ht="16.5" hidden="1" thickBot="1">
      <c r="A290" s="473" t="s">
        <v>13459</v>
      </c>
      <c r="B290" s="753">
        <v>88247</v>
      </c>
      <c r="C290" s="717" t="s">
        <v>924</v>
      </c>
      <c r="D290" s="718" t="s">
        <v>753</v>
      </c>
      <c r="E290" s="848">
        <v>0.14000000000000001</v>
      </c>
      <c r="F290" s="720">
        <v>15.84</v>
      </c>
      <c r="G290" s="755">
        <f>TRUNC(F290*E290,2)</f>
        <v>2.21</v>
      </c>
      <c r="H290" s="464"/>
    </row>
    <row r="291" spans="1:8" s="465" customFormat="1" ht="16.5" hidden="1" thickBot="1">
      <c r="A291" s="464"/>
      <c r="B291" s="1271" t="s">
        <v>13805</v>
      </c>
      <c r="C291" s="1272"/>
      <c r="D291" s="1272"/>
      <c r="E291" s="1272"/>
      <c r="F291" s="756" t="s">
        <v>22</v>
      </c>
      <c r="G291" s="757">
        <f>SUM(G286:G290)</f>
        <v>11.07</v>
      </c>
      <c r="H291" s="464"/>
    </row>
    <row r="292" spans="1:8" s="465" customFormat="1" ht="15.75" hidden="1" thickBot="1">
      <c r="A292" s="464"/>
      <c r="B292" s="846"/>
      <c r="C292" s="847"/>
      <c r="D292" s="847"/>
      <c r="E292" s="847"/>
      <c r="F292" s="464"/>
      <c r="G292" s="765"/>
      <c r="H292" s="464"/>
    </row>
    <row r="293" spans="1:8" s="465" customFormat="1" ht="35.25" hidden="1" customHeight="1">
      <c r="A293" s="464"/>
      <c r="B293" s="704" t="str">
        <f>IF(COUNT($H$8:H293)&lt;10,CONCATENATE("COMP ELE 00",COUNT($H$8:H293)),CONCATENATE("COMP ELE 0",COUNT($H$8:H293)))</f>
        <v>COMP ELE 026</v>
      </c>
      <c r="C293" s="1257" t="str">
        <f>CONCATENATE("FORNECIMENTO E INSTALAÇÃO DE ",C296)</f>
        <v>FORNECIMENTO E INSTALAÇÃO DE LUVA PARA ELETRODUTO, EM ACO GALVANIZADO ELETROLITICO, DIAMETRO DE 25 MM (1")</v>
      </c>
      <c r="D293" s="1225"/>
      <c r="E293" s="1225"/>
      <c r="F293" s="1225"/>
      <c r="G293" s="705" t="s">
        <v>28</v>
      </c>
      <c r="H293" s="570">
        <f>G300</f>
        <v>4.1100000000000003</v>
      </c>
    </row>
    <row r="294" spans="1:8" s="465" customFormat="1" ht="31.5" hidden="1">
      <c r="A294" s="464"/>
      <c r="B294" s="469" t="s">
        <v>13463</v>
      </c>
      <c r="C294" s="707" t="s">
        <v>13464</v>
      </c>
      <c r="D294" s="470" t="s">
        <v>28</v>
      </c>
      <c r="E294" s="707" t="s">
        <v>13465</v>
      </c>
      <c r="F294" s="293" t="s">
        <v>13466</v>
      </c>
      <c r="G294" s="708" t="s">
        <v>13467</v>
      </c>
      <c r="H294" s="464"/>
    </row>
    <row r="295" spans="1:8" s="465" customFormat="1" ht="15.75" hidden="1">
      <c r="A295" s="464"/>
      <c r="B295" s="1283" t="s">
        <v>13468</v>
      </c>
      <c r="C295" s="1284"/>
      <c r="D295" s="1284"/>
      <c r="E295" s="1284"/>
      <c r="F295" s="1284"/>
      <c r="G295" s="1285"/>
      <c r="H295" s="464"/>
    </row>
    <row r="296" spans="1:8" s="465" customFormat="1" ht="30" hidden="1">
      <c r="A296" s="473" t="s">
        <v>13458</v>
      </c>
      <c r="B296" s="844">
        <v>2638</v>
      </c>
      <c r="C296" s="710" t="s">
        <v>9481</v>
      </c>
      <c r="D296" s="711" t="s">
        <v>6636</v>
      </c>
      <c r="E296" s="815">
        <v>1</v>
      </c>
      <c r="F296" s="713">
        <v>1.93</v>
      </c>
      <c r="G296" s="845">
        <f>TRUNC(F296*E296,2)</f>
        <v>1.93</v>
      </c>
      <c r="H296" s="464"/>
    </row>
    <row r="297" spans="1:8" s="465" customFormat="1" ht="15.75" hidden="1">
      <c r="A297" s="464"/>
      <c r="B297" s="1283" t="s">
        <v>13469</v>
      </c>
      <c r="C297" s="1284"/>
      <c r="D297" s="1284"/>
      <c r="E297" s="1284"/>
      <c r="F297" s="1284"/>
      <c r="G297" s="1285"/>
      <c r="H297" s="464"/>
    </row>
    <row r="298" spans="1:8" s="465" customFormat="1" ht="15.75" hidden="1">
      <c r="A298" s="473" t="s">
        <v>13459</v>
      </c>
      <c r="B298" s="751">
        <v>88264</v>
      </c>
      <c r="C298" s="710" t="s">
        <v>771</v>
      </c>
      <c r="D298" s="711" t="s">
        <v>753</v>
      </c>
      <c r="E298" s="752">
        <v>0.06</v>
      </c>
      <c r="F298" s="713">
        <v>20.52</v>
      </c>
      <c r="G298" s="750">
        <f>TRUNC(F298*E298,2)</f>
        <v>1.23</v>
      </c>
      <c r="H298" s="464"/>
    </row>
    <row r="299" spans="1:8" s="465" customFormat="1" ht="16.5" hidden="1" thickBot="1">
      <c r="A299" s="473" t="s">
        <v>13459</v>
      </c>
      <c r="B299" s="753">
        <v>88247</v>
      </c>
      <c r="C299" s="717" t="s">
        <v>924</v>
      </c>
      <c r="D299" s="718" t="s">
        <v>753</v>
      </c>
      <c r="E299" s="754">
        <v>0.06</v>
      </c>
      <c r="F299" s="720">
        <v>15.84</v>
      </c>
      <c r="G299" s="755">
        <f>TRUNC(F299*E299,2)</f>
        <v>0.95</v>
      </c>
      <c r="H299" s="464"/>
    </row>
    <row r="300" spans="1:8" s="465" customFormat="1" ht="16.5" hidden="1" thickBot="1">
      <c r="A300" s="464"/>
      <c r="B300" s="1288" t="s">
        <v>13806</v>
      </c>
      <c r="C300" s="1289"/>
      <c r="D300" s="1289"/>
      <c r="E300" s="1289"/>
      <c r="F300" s="756" t="s">
        <v>22</v>
      </c>
      <c r="G300" s="757">
        <f>SUM(G295:G299)</f>
        <v>4.1100000000000003</v>
      </c>
      <c r="H300" s="464"/>
    </row>
    <row r="301" spans="1:8" s="494" customFormat="1" ht="16.5" hidden="1" thickBot="1">
      <c r="B301" s="794"/>
      <c r="C301" s="795"/>
      <c r="D301" s="795"/>
      <c r="E301" s="795"/>
      <c r="F301" s="795"/>
      <c r="G301" s="796"/>
    </row>
    <row r="302" spans="1:8" s="465" customFormat="1" ht="32.25" hidden="1" customHeight="1">
      <c r="A302" s="464"/>
      <c r="B302" s="704" t="str">
        <f>IF(COUNT($H$8:H302)&lt;10,CONCATENATE("COMP ELE 00",COUNT($H$8:H302)),CONCATENATE("COMP ELE 0",COUNT($H$8:H302)))</f>
        <v>COMP ELE 027</v>
      </c>
      <c r="C302" s="1257" t="str">
        <f>CONCATENATE("FORNECIMENTO E INSTALAÇÃO DE ",C305)</f>
        <v>FORNECIMENTO E INSTALAÇÃO DE VENTILADOR DE TETO C/ ROTAÇÃO EM SENTIDO DIRETO C/ 3 PÁS DE METÁLICAS 60Hz 127V</v>
      </c>
      <c r="D302" s="1290"/>
      <c r="E302" s="1290"/>
      <c r="F302" s="1290"/>
      <c r="G302" s="705" t="s">
        <v>28</v>
      </c>
      <c r="H302" s="570">
        <f>G309</f>
        <v>191.14</v>
      </c>
    </row>
    <row r="303" spans="1:8" s="465" customFormat="1" ht="31.5" hidden="1">
      <c r="A303" s="464"/>
      <c r="B303" s="469" t="s">
        <v>13463</v>
      </c>
      <c r="C303" s="470" t="s">
        <v>13464</v>
      </c>
      <c r="D303" s="470" t="s">
        <v>28</v>
      </c>
      <c r="E303" s="470" t="s">
        <v>13465</v>
      </c>
      <c r="F303" s="471" t="s">
        <v>13466</v>
      </c>
      <c r="G303" s="472" t="s">
        <v>13467</v>
      </c>
      <c r="H303" s="464"/>
    </row>
    <row r="304" spans="1:8" s="465" customFormat="1" ht="15.75" hidden="1">
      <c r="A304" s="464"/>
      <c r="B304" s="1246" t="s">
        <v>13468</v>
      </c>
      <c r="C304" s="1247"/>
      <c r="D304" s="1247"/>
      <c r="E304" s="1247"/>
      <c r="F304" s="1247"/>
      <c r="G304" s="1248"/>
      <c r="H304" s="464"/>
    </row>
    <row r="305" spans="1:9" s="465" customFormat="1" ht="30" hidden="1">
      <c r="A305" s="464"/>
      <c r="B305" s="775" t="s">
        <v>13497</v>
      </c>
      <c r="C305" s="849" t="s">
        <v>13807</v>
      </c>
      <c r="D305" s="822" t="s">
        <v>28</v>
      </c>
      <c r="E305" s="800">
        <v>1</v>
      </c>
      <c r="F305" s="800">
        <f>D316</f>
        <v>162.06</v>
      </c>
      <c r="G305" s="825">
        <f>TRUNC(F305*E305,2)</f>
        <v>162.06</v>
      </c>
      <c r="H305" s="464"/>
    </row>
    <row r="306" spans="1:9" s="465" customFormat="1" ht="15.75" hidden="1">
      <c r="A306" s="464"/>
      <c r="B306" s="1246" t="s">
        <v>13469</v>
      </c>
      <c r="C306" s="1247"/>
      <c r="D306" s="1247"/>
      <c r="E306" s="1247"/>
      <c r="F306" s="1247"/>
      <c r="G306" s="1248"/>
      <c r="H306" s="464"/>
    </row>
    <row r="307" spans="1:9" s="465" customFormat="1" ht="15.75" hidden="1">
      <c r="A307" s="473" t="s">
        <v>13459</v>
      </c>
      <c r="B307" s="751">
        <v>88264</v>
      </c>
      <c r="C307" s="710" t="s">
        <v>771</v>
      </c>
      <c r="D307" s="711" t="s">
        <v>753</v>
      </c>
      <c r="E307" s="752">
        <v>0.8</v>
      </c>
      <c r="F307" s="713">
        <v>20.52</v>
      </c>
      <c r="G307" s="750">
        <f>TRUNC(F307*E307,2)</f>
        <v>16.41</v>
      </c>
      <c r="H307" s="464"/>
    </row>
    <row r="308" spans="1:9" s="465" customFormat="1" ht="16.5" hidden="1" thickBot="1">
      <c r="A308" s="473" t="s">
        <v>13459</v>
      </c>
      <c r="B308" s="753">
        <v>88247</v>
      </c>
      <c r="C308" s="717" t="s">
        <v>924</v>
      </c>
      <c r="D308" s="718" t="s">
        <v>753</v>
      </c>
      <c r="E308" s="754">
        <v>0.8</v>
      </c>
      <c r="F308" s="720">
        <v>15.84</v>
      </c>
      <c r="G308" s="755">
        <f>TRUNC(F308*E308,2)</f>
        <v>12.67</v>
      </c>
      <c r="H308" s="464"/>
    </row>
    <row r="309" spans="1:9" s="465" customFormat="1" ht="16.5" hidden="1" thickBot="1">
      <c r="A309" s="464"/>
      <c r="B309" s="1291" t="s">
        <v>13808</v>
      </c>
      <c r="C309" s="1292"/>
      <c r="D309" s="1292"/>
      <c r="E309" s="1293"/>
      <c r="F309" s="756" t="s">
        <v>22</v>
      </c>
      <c r="G309" s="757">
        <f>SUM(G304:G308)</f>
        <v>191.14</v>
      </c>
      <c r="H309" s="464"/>
    </row>
    <row r="310" spans="1:9" s="465" customFormat="1" ht="15.75" hidden="1" thickBot="1">
      <c r="A310" s="464"/>
      <c r="B310" s="850"/>
      <c r="C310" s="464"/>
      <c r="D310" s="464"/>
      <c r="E310" s="464"/>
      <c r="F310" s="464"/>
      <c r="G310" s="765"/>
      <c r="H310" s="464"/>
    </row>
    <row r="311" spans="1:9" s="465" customFormat="1" ht="34.5" hidden="1" customHeight="1">
      <c r="A311" s="464"/>
      <c r="B311" s="572"/>
      <c r="C311" s="607" t="s">
        <v>13807</v>
      </c>
      <c r="D311" s="574"/>
      <c r="E311" s="575"/>
      <c r="F311" s="608"/>
      <c r="G311" s="577" t="s">
        <v>28</v>
      </c>
      <c r="H311" s="823" t="s">
        <v>13500</v>
      </c>
    </row>
    <row r="312" spans="1:9" s="465" customFormat="1" ht="31.5" hidden="1">
      <c r="A312" s="464"/>
      <c r="B312" s="668" t="s">
        <v>13502</v>
      </c>
      <c r="C312" s="669" t="s">
        <v>13503</v>
      </c>
      <c r="D312" s="670" t="s">
        <v>13504</v>
      </c>
      <c r="E312" s="671" t="s">
        <v>13505</v>
      </c>
      <c r="F312" s="647" t="s">
        <v>13506</v>
      </c>
      <c r="G312" s="672" t="s">
        <v>13507</v>
      </c>
      <c r="H312" s="464"/>
    </row>
    <row r="313" spans="1:9" s="465" customFormat="1" ht="15" hidden="1">
      <c r="A313" s="464"/>
      <c r="B313" s="591">
        <v>43560</v>
      </c>
      <c r="C313" s="630" t="s">
        <v>13781</v>
      </c>
      <c r="D313" s="593">
        <v>162.06</v>
      </c>
      <c r="E313" s="789" t="s">
        <v>13782</v>
      </c>
      <c r="F313" s="595" t="s">
        <v>13761</v>
      </c>
      <c r="G313" s="790" t="s">
        <v>13762</v>
      </c>
      <c r="I313" s="791">
        <f>B313+180</f>
        <v>43740</v>
      </c>
    </row>
    <row r="314" spans="1:9" s="465" customFormat="1" ht="15" hidden="1">
      <c r="A314" s="464"/>
      <c r="B314" s="597">
        <v>43560</v>
      </c>
      <c r="C314" s="630" t="s">
        <v>13772</v>
      </c>
      <c r="D314" s="593">
        <v>151.30000000000001</v>
      </c>
      <c r="E314" s="789" t="s">
        <v>13773</v>
      </c>
      <c r="F314" s="595" t="s">
        <v>13774</v>
      </c>
      <c r="G314" s="790" t="s">
        <v>13775</v>
      </c>
      <c r="I314" s="791">
        <f>B314+180</f>
        <v>43740</v>
      </c>
    </row>
    <row r="315" spans="1:9" s="465" customFormat="1" ht="15.75" hidden="1" thickBot="1">
      <c r="A315" s="464"/>
      <c r="B315" s="591">
        <v>43560</v>
      </c>
      <c r="C315" s="630" t="s">
        <v>13755</v>
      </c>
      <c r="D315" s="593">
        <v>189.95</v>
      </c>
      <c r="E315" s="789" t="s">
        <v>13756</v>
      </c>
      <c r="F315" s="595" t="s">
        <v>13757</v>
      </c>
      <c r="G315" s="790" t="s">
        <v>13758</v>
      </c>
      <c r="I315" s="792">
        <f>B315+180</f>
        <v>43740</v>
      </c>
    </row>
    <row r="316" spans="1:9" s="465" customFormat="1" ht="16.5" hidden="1" thickBot="1">
      <c r="A316" s="464"/>
      <c r="B316" s="598"/>
      <c r="C316" s="599" t="s">
        <v>13523</v>
      </c>
      <c r="D316" s="538">
        <f>IF(COUNT(D312:D315)=3,MEDIAN(D313:D315),SMALL(D313:D315,1))</f>
        <v>162.06</v>
      </c>
      <c r="E316" s="600"/>
      <c r="F316" s="620"/>
      <c r="G316" s="602"/>
      <c r="H316" s="464"/>
    </row>
    <row r="317" spans="1:9" s="494" customFormat="1" ht="16.5" hidden="1" thickBot="1">
      <c r="B317" s="794"/>
      <c r="C317" s="795"/>
      <c r="D317" s="795"/>
      <c r="E317" s="795"/>
      <c r="F317" s="795"/>
      <c r="G317" s="796"/>
    </row>
    <row r="318" spans="1:9" s="465" customFormat="1" ht="43.5" customHeight="1">
      <c r="A318" s="464"/>
      <c r="B318" s="704" t="str">
        <f>IF(COUNT($H$8:H318)&lt;10,CONCATENATE("COMP ELE 00",COUNT($H$8:H318)),CONCATENATE("COMP ELE 0",COUNT($H$8:H318)))</f>
        <v>COMP ELE 028</v>
      </c>
      <c r="C318" s="1257" t="str">
        <f>CONCATENATE("FORNECIMENTO E INSTALAÇÃO DE ",C321)</f>
        <v>FORNECIMENTO E INSTALAÇÃO DE CAIXA DE PASSAGEM METALICA, DE SOBREPOR, COM TAMPA APARAFUSADA, DIMENSOES 15 X 15 X *10* CM</v>
      </c>
      <c r="D318" s="1225"/>
      <c r="E318" s="1225"/>
      <c r="F318" s="1225"/>
      <c r="G318" s="705" t="s">
        <v>28</v>
      </c>
      <c r="H318" s="570">
        <f>G325</f>
        <v>40.69</v>
      </c>
    </row>
    <row r="319" spans="1:9" s="465" customFormat="1" ht="31.5">
      <c r="A319" s="464"/>
      <c r="B319" s="469" t="s">
        <v>13463</v>
      </c>
      <c r="C319" s="707" t="s">
        <v>13464</v>
      </c>
      <c r="D319" s="470" t="s">
        <v>28</v>
      </c>
      <c r="E319" s="707" t="s">
        <v>13465</v>
      </c>
      <c r="F319" s="293" t="s">
        <v>13466</v>
      </c>
      <c r="G319" s="708" t="s">
        <v>13467</v>
      </c>
      <c r="H319" s="464"/>
    </row>
    <row r="320" spans="1:9" s="465" customFormat="1" ht="15.75">
      <c r="A320" s="464"/>
      <c r="B320" s="1283" t="s">
        <v>13468</v>
      </c>
      <c r="C320" s="1284"/>
      <c r="D320" s="1284"/>
      <c r="E320" s="1284"/>
      <c r="F320" s="1284"/>
      <c r="G320" s="1285"/>
      <c r="H320" s="464"/>
    </row>
    <row r="321" spans="1:8" s="465" customFormat="1" ht="30">
      <c r="A321" s="473" t="s">
        <v>13458</v>
      </c>
      <c r="B321" s="844">
        <v>20254</v>
      </c>
      <c r="C321" s="710" t="s">
        <v>12266</v>
      </c>
      <c r="D321" s="711" t="s">
        <v>6636</v>
      </c>
      <c r="E321" s="815">
        <v>1</v>
      </c>
      <c r="F321" s="713">
        <v>15.25</v>
      </c>
      <c r="G321" s="845">
        <f>TRUNC(F321*E321,2)</f>
        <v>15.25</v>
      </c>
      <c r="H321" s="464"/>
    </row>
    <row r="322" spans="1:8" s="465" customFormat="1" ht="15.75">
      <c r="A322" s="464"/>
      <c r="B322" s="1283" t="s">
        <v>13469</v>
      </c>
      <c r="C322" s="1284"/>
      <c r="D322" s="1284"/>
      <c r="E322" s="1284"/>
      <c r="F322" s="1284"/>
      <c r="G322" s="1285"/>
      <c r="H322" s="464"/>
    </row>
    <row r="323" spans="1:8" s="465" customFormat="1" ht="15.75">
      <c r="A323" s="473" t="s">
        <v>13459</v>
      </c>
      <c r="B323" s="751">
        <v>88264</v>
      </c>
      <c r="C323" s="710" t="s">
        <v>771</v>
      </c>
      <c r="D323" s="711" t="s">
        <v>753</v>
      </c>
      <c r="E323" s="752">
        <v>0.7</v>
      </c>
      <c r="F323" s="713">
        <v>20.52</v>
      </c>
      <c r="G323" s="750">
        <f>TRUNC(F323*E323,2)</f>
        <v>14.36</v>
      </c>
      <c r="H323" s="464"/>
    </row>
    <row r="324" spans="1:8" s="465" customFormat="1" ht="16.5" thickBot="1">
      <c r="A324" s="473" t="s">
        <v>13459</v>
      </c>
      <c r="B324" s="753">
        <v>88247</v>
      </c>
      <c r="C324" s="717" t="s">
        <v>924</v>
      </c>
      <c r="D324" s="718" t="s">
        <v>753</v>
      </c>
      <c r="E324" s="754">
        <v>0.7</v>
      </c>
      <c r="F324" s="720">
        <v>15.84</v>
      </c>
      <c r="G324" s="755">
        <f>TRUNC(F324*E324,2)</f>
        <v>11.08</v>
      </c>
      <c r="H324" s="464"/>
    </row>
    <row r="325" spans="1:8" s="465" customFormat="1" ht="16.5" thickBot="1">
      <c r="A325" s="464"/>
      <c r="B325" s="1271" t="s">
        <v>13809</v>
      </c>
      <c r="C325" s="1272"/>
      <c r="D325" s="1272"/>
      <c r="E325" s="1273"/>
      <c r="F325" s="756" t="s">
        <v>22</v>
      </c>
      <c r="G325" s="757">
        <f>SUM(G320:G324)</f>
        <v>40.69</v>
      </c>
      <c r="H325" s="464"/>
    </row>
    <row r="326" spans="1:8" s="494" customFormat="1" ht="16.5" thickBot="1">
      <c r="B326" s="794"/>
      <c r="C326" s="795"/>
      <c r="D326" s="795"/>
      <c r="E326" s="795"/>
      <c r="F326" s="795"/>
      <c r="G326" s="796"/>
    </row>
    <row r="327" spans="1:8" s="465" customFormat="1" ht="38.25" hidden="1" customHeight="1">
      <c r="A327" s="464"/>
      <c r="B327" s="704" t="str">
        <f>IF(COUNT($H$8:H327)&lt;10,CONCATENATE("COMP ELE 00",COUNT($H$8:H327)),CONCATENATE("COMP ELE 0",COUNT($H$8:H327)))</f>
        <v>COMP ELE 029</v>
      </c>
      <c r="C327" s="1257" t="str">
        <f>CONCATENATE("FORNECIMENTO E INSTALAÇÃO DE ",C330)</f>
        <v>FORNECIMENTO E INSTALAÇÃO DE CAIXA DE PASSAGEM METALICA DE SOBREPOR COM TAMPA PARAFUSADA, DIMENSOES 20 X 20 X 10 CM</v>
      </c>
      <c r="D327" s="1225"/>
      <c r="E327" s="1225"/>
      <c r="F327" s="1225"/>
      <c r="G327" s="705" t="s">
        <v>28</v>
      </c>
      <c r="H327" s="570">
        <f>G334</f>
        <v>69.010000000000005</v>
      </c>
    </row>
    <row r="328" spans="1:8" s="465" customFormat="1" ht="31.5" hidden="1">
      <c r="A328" s="464"/>
      <c r="B328" s="469" t="s">
        <v>13463</v>
      </c>
      <c r="C328" s="707" t="s">
        <v>13464</v>
      </c>
      <c r="D328" s="470" t="s">
        <v>28</v>
      </c>
      <c r="E328" s="707" t="s">
        <v>13465</v>
      </c>
      <c r="F328" s="293" t="s">
        <v>13466</v>
      </c>
      <c r="G328" s="708" t="s">
        <v>13467</v>
      </c>
      <c r="H328" s="464"/>
    </row>
    <row r="329" spans="1:8" s="465" customFormat="1" ht="15.75" hidden="1">
      <c r="A329" s="464"/>
      <c r="B329" s="1283" t="s">
        <v>13468</v>
      </c>
      <c r="C329" s="1284"/>
      <c r="D329" s="1284"/>
      <c r="E329" s="1284"/>
      <c r="F329" s="1284"/>
      <c r="G329" s="1285"/>
      <c r="H329" s="464"/>
    </row>
    <row r="330" spans="1:8" s="465" customFormat="1" ht="30" hidden="1">
      <c r="A330" s="473" t="s">
        <v>13458</v>
      </c>
      <c r="B330" s="844">
        <v>39771</v>
      </c>
      <c r="C330" s="710" t="s">
        <v>7483</v>
      </c>
      <c r="D330" s="711" t="s">
        <v>6636</v>
      </c>
      <c r="E330" s="815">
        <v>1</v>
      </c>
      <c r="F330" s="713">
        <v>21.75</v>
      </c>
      <c r="G330" s="845">
        <f>TRUNC(F330*E330,2)</f>
        <v>21.75</v>
      </c>
      <c r="H330" s="464"/>
    </row>
    <row r="331" spans="1:8" s="465" customFormat="1" ht="15.75" hidden="1">
      <c r="A331" s="464"/>
      <c r="B331" s="1283" t="s">
        <v>13469</v>
      </c>
      <c r="C331" s="1284"/>
      <c r="D331" s="1284"/>
      <c r="E331" s="1284"/>
      <c r="F331" s="1284"/>
      <c r="G331" s="1285"/>
      <c r="H331" s="464"/>
    </row>
    <row r="332" spans="1:8" s="465" customFormat="1" ht="15.75" hidden="1">
      <c r="A332" s="473" t="s">
        <v>13459</v>
      </c>
      <c r="B332" s="751">
        <v>88264</v>
      </c>
      <c r="C332" s="710" t="s">
        <v>771</v>
      </c>
      <c r="D332" s="711" t="s">
        <v>753</v>
      </c>
      <c r="E332" s="752">
        <v>1.3</v>
      </c>
      <c r="F332" s="713">
        <v>20.52</v>
      </c>
      <c r="G332" s="750">
        <f>TRUNC(F332*E332,2)</f>
        <v>26.67</v>
      </c>
      <c r="H332" s="464"/>
    </row>
    <row r="333" spans="1:8" s="465" customFormat="1" ht="16.5" hidden="1" thickBot="1">
      <c r="A333" s="473" t="s">
        <v>13459</v>
      </c>
      <c r="B333" s="753">
        <v>88247</v>
      </c>
      <c r="C333" s="717" t="s">
        <v>924</v>
      </c>
      <c r="D333" s="718" t="s">
        <v>753</v>
      </c>
      <c r="E333" s="754">
        <v>1.3</v>
      </c>
      <c r="F333" s="720">
        <v>15.84</v>
      </c>
      <c r="G333" s="755">
        <f>TRUNC(F333*E333,2)</f>
        <v>20.59</v>
      </c>
      <c r="H333" s="464"/>
    </row>
    <row r="334" spans="1:8" s="465" customFormat="1" ht="16.5" hidden="1" thickBot="1">
      <c r="A334" s="464"/>
      <c r="B334" s="851" t="s">
        <v>13810</v>
      </c>
      <c r="C334" s="852"/>
      <c r="D334" s="852"/>
      <c r="E334" s="852"/>
      <c r="F334" s="756" t="s">
        <v>22</v>
      </c>
      <c r="G334" s="757">
        <f>SUM(G329:G333)</f>
        <v>69.010000000000005</v>
      </c>
      <c r="H334" s="464"/>
    </row>
    <row r="335" spans="1:8" s="465" customFormat="1" ht="16.5" hidden="1" thickBot="1">
      <c r="A335" s="464"/>
      <c r="B335" s="851"/>
      <c r="C335" s="852"/>
      <c r="D335" s="852"/>
      <c r="E335" s="852"/>
      <c r="F335" s="853"/>
      <c r="G335" s="854"/>
      <c r="H335" s="464"/>
    </row>
    <row r="336" spans="1:8" s="465" customFormat="1" ht="15.75">
      <c r="A336" s="464"/>
      <c r="B336" s="704" t="str">
        <f>IF(COUNT($H$8:H336)&lt;10,CONCATENATE("COMP ELE 00",COUNT($H$8:H336)),CONCATENATE("COMP ELE 0",COUNT($H$8:H336)))</f>
        <v>COMP ELE 030</v>
      </c>
      <c r="C336" s="1257" t="str">
        <f>CONCATENATE("FORNECIMENTO E INSTALAÇÃO DE ",C339)</f>
        <v>FORNECIMENTO E INSTALAÇÃO DE ARAME GALVANIZADO 12 BWG, D = 2,76 MM (0,048 KG/M) OU 14 BWG, D = 2,11 MM (0,026 KG/M)</v>
      </c>
      <c r="D336" s="1225"/>
      <c r="E336" s="1225"/>
      <c r="F336" s="1225"/>
      <c r="G336" s="705" t="s">
        <v>35</v>
      </c>
      <c r="H336" s="570">
        <f>G343</f>
        <v>3.56</v>
      </c>
    </row>
    <row r="337" spans="1:12" s="465" customFormat="1" ht="31.5">
      <c r="A337" s="464"/>
      <c r="B337" s="469" t="s">
        <v>13463</v>
      </c>
      <c r="C337" s="707" t="s">
        <v>13464</v>
      </c>
      <c r="D337" s="470" t="s">
        <v>28</v>
      </c>
      <c r="E337" s="707" t="s">
        <v>13465</v>
      </c>
      <c r="F337" s="293" t="s">
        <v>13466</v>
      </c>
      <c r="G337" s="708" t="s">
        <v>13467</v>
      </c>
      <c r="H337" s="464"/>
    </row>
    <row r="338" spans="1:12" s="465" customFormat="1" ht="15.75">
      <c r="A338" s="464"/>
      <c r="B338" s="1283" t="s">
        <v>13468</v>
      </c>
      <c r="C338" s="1284"/>
      <c r="D338" s="1284"/>
      <c r="E338" s="1284"/>
      <c r="F338" s="1284"/>
      <c r="G338" s="1285"/>
      <c r="H338" s="464"/>
    </row>
    <row r="339" spans="1:12" s="465" customFormat="1" ht="30">
      <c r="A339" s="473" t="s">
        <v>13458</v>
      </c>
      <c r="B339" s="844">
        <v>43130</v>
      </c>
      <c r="C339" s="710" t="s">
        <v>12244</v>
      </c>
      <c r="D339" s="711" t="s">
        <v>6698</v>
      </c>
      <c r="E339" s="855">
        <v>4.8000000000000001E-2</v>
      </c>
      <c r="F339" s="713">
        <v>12.44</v>
      </c>
      <c r="G339" s="845">
        <f>TRUNC(F339*E339,2)</f>
        <v>0.59</v>
      </c>
      <c r="H339" s="464"/>
    </row>
    <row r="340" spans="1:12" s="465" customFormat="1" ht="15.75">
      <c r="A340" s="464"/>
      <c r="B340" s="1283" t="s">
        <v>13469</v>
      </c>
      <c r="C340" s="1284"/>
      <c r="D340" s="1284"/>
      <c r="E340" s="1284"/>
      <c r="F340" s="1284"/>
      <c r="G340" s="1285"/>
      <c r="H340" s="464"/>
    </row>
    <row r="341" spans="1:12" s="465" customFormat="1" ht="15.75">
      <c r="A341" s="473" t="s">
        <v>13459</v>
      </c>
      <c r="B341" s="751">
        <v>88264</v>
      </c>
      <c r="C341" s="710" t="s">
        <v>771</v>
      </c>
      <c r="D341" s="711" t="s">
        <v>753</v>
      </c>
      <c r="E341" s="766">
        <v>8.2000000000000003E-2</v>
      </c>
      <c r="F341" s="713">
        <v>20.52</v>
      </c>
      <c r="G341" s="750">
        <f>TRUNC(F341*E341,2)</f>
        <v>1.68</v>
      </c>
      <c r="H341" s="464"/>
    </row>
    <row r="342" spans="1:12" s="465" customFormat="1" ht="16.5" thickBot="1">
      <c r="A342" s="473" t="s">
        <v>13459</v>
      </c>
      <c r="B342" s="753">
        <v>88247</v>
      </c>
      <c r="C342" s="717" t="s">
        <v>924</v>
      </c>
      <c r="D342" s="718" t="s">
        <v>753</v>
      </c>
      <c r="E342" s="856">
        <v>8.2000000000000003E-2</v>
      </c>
      <c r="F342" s="720">
        <v>15.84</v>
      </c>
      <c r="G342" s="755">
        <f>TRUNC(F342*E342,2)</f>
        <v>1.29</v>
      </c>
      <c r="H342" s="464"/>
    </row>
    <row r="343" spans="1:12" s="465" customFormat="1" ht="16.5" thickBot="1">
      <c r="A343" s="464"/>
      <c r="B343" s="1286" t="s">
        <v>13811</v>
      </c>
      <c r="C343" s="1287"/>
      <c r="D343" s="1287"/>
      <c r="E343" s="1287"/>
      <c r="F343" s="756" t="s">
        <v>22</v>
      </c>
      <c r="G343" s="757">
        <f>SUM(G338:G342)</f>
        <v>3.56</v>
      </c>
      <c r="H343" s="464"/>
    </row>
    <row r="344" spans="1:12" s="465" customFormat="1" ht="15">
      <c r="A344" s="464"/>
      <c r="B344" s="1286"/>
      <c r="C344" s="1287"/>
      <c r="D344" s="1287"/>
      <c r="E344" s="1287"/>
      <c r="F344" s="847"/>
      <c r="G344" s="857"/>
      <c r="H344" s="464"/>
    </row>
    <row r="345" spans="1:12" s="465" customFormat="1" ht="33.75" customHeight="1">
      <c r="A345" s="464"/>
      <c r="B345" s="1286"/>
      <c r="C345" s="1287"/>
      <c r="D345" s="1287"/>
      <c r="E345" s="1287"/>
      <c r="F345" s="847"/>
      <c r="G345" s="857"/>
      <c r="H345" s="464"/>
    </row>
    <row r="346" spans="1:12" ht="18">
      <c r="B346" s="1294" t="s">
        <v>13812</v>
      </c>
      <c r="C346" s="1295"/>
      <c r="D346" s="858"/>
      <c r="E346" s="1296"/>
      <c r="F346" s="1296"/>
      <c r="G346" s="827"/>
    </row>
    <row r="347" spans="1:12" ht="15" customHeight="1">
      <c r="B347" s="1297" t="s">
        <v>13813</v>
      </c>
      <c r="C347" s="1298"/>
      <c r="D347" s="1298"/>
      <c r="E347" s="1298"/>
      <c r="F347" s="1298"/>
      <c r="G347" s="1299"/>
      <c r="K347" s="457"/>
    </row>
    <row r="348" spans="1:12" ht="15" customHeight="1">
      <c r="B348" s="1297"/>
      <c r="C348" s="1298"/>
      <c r="D348" s="1298"/>
      <c r="E348" s="1298"/>
      <c r="F348" s="1298"/>
      <c r="G348" s="1299"/>
      <c r="I348" s="859"/>
      <c r="K348" s="457"/>
      <c r="L348" s="859"/>
    </row>
    <row r="349" spans="1:12">
      <c r="B349" s="1297"/>
      <c r="C349" s="1298"/>
      <c r="D349" s="1298"/>
      <c r="E349" s="1298"/>
      <c r="F349" s="1298"/>
      <c r="G349" s="1299"/>
    </row>
    <row r="350" spans="1:12" s="494" customFormat="1" ht="15.75" hidden="1">
      <c r="B350" s="794"/>
      <c r="C350" s="795"/>
      <c r="D350" s="795"/>
      <c r="E350" s="795"/>
      <c r="F350" s="795"/>
      <c r="G350" s="796"/>
    </row>
    <row r="351" spans="1:12" ht="42" hidden="1" customHeight="1">
      <c r="A351" s="464"/>
      <c r="B351" s="704" t="str">
        <f>IF(COUNT($H$8:H351)&lt;10,CONCATENATE("COMP ELE 00",COUNT($H$8:H351)),CONCATENATE("COMP ELE 0",COUNT($H$8:H351)))</f>
        <v>COMP ELE 031</v>
      </c>
      <c r="C351" s="1257" t="s">
        <v>13814</v>
      </c>
      <c r="D351" s="1225"/>
      <c r="E351" s="1225"/>
      <c r="F351" s="1225"/>
      <c r="G351" s="705" t="s">
        <v>28</v>
      </c>
      <c r="H351" s="570">
        <f>G358</f>
        <v>27.490000000000002</v>
      </c>
    </row>
    <row r="352" spans="1:12" ht="31.5" hidden="1">
      <c r="A352" s="464"/>
      <c r="B352" s="469" t="s">
        <v>13463</v>
      </c>
      <c r="C352" s="707" t="s">
        <v>13464</v>
      </c>
      <c r="D352" s="470" t="s">
        <v>28</v>
      </c>
      <c r="E352" s="707" t="s">
        <v>13465</v>
      </c>
      <c r="F352" s="293" t="s">
        <v>13466</v>
      </c>
      <c r="G352" s="708" t="s">
        <v>13467</v>
      </c>
      <c r="H352" s="464"/>
    </row>
    <row r="353" spans="1:8" ht="15.75" hidden="1">
      <c r="A353" s="464"/>
      <c r="B353" s="1283" t="s">
        <v>13468</v>
      </c>
      <c r="C353" s="1284"/>
      <c r="D353" s="1284"/>
      <c r="E353" s="1284"/>
      <c r="F353" s="1284"/>
      <c r="G353" s="1285"/>
      <c r="H353" s="464"/>
    </row>
    <row r="354" spans="1:8" s="465" customFormat="1" ht="45" hidden="1">
      <c r="A354" s="473" t="s">
        <v>13458</v>
      </c>
      <c r="B354" s="844">
        <v>3803</v>
      </c>
      <c r="C354" s="710" t="s">
        <v>9337</v>
      </c>
      <c r="D354" s="711" t="s">
        <v>6636</v>
      </c>
      <c r="E354" s="855">
        <v>1</v>
      </c>
      <c r="F354" s="713">
        <v>29.97</v>
      </c>
      <c r="G354" s="845">
        <f>TRUNC(F354*E354,2)</f>
        <v>29.97</v>
      </c>
      <c r="H354" s="464"/>
    </row>
    <row r="355" spans="1:8" ht="15.75" hidden="1">
      <c r="A355" s="464"/>
      <c r="B355" s="1283" t="s">
        <v>13469</v>
      </c>
      <c r="C355" s="1284"/>
      <c r="D355" s="1284"/>
      <c r="E355" s="1284"/>
      <c r="F355" s="1284"/>
      <c r="G355" s="1285"/>
      <c r="H355" s="464"/>
    </row>
    <row r="356" spans="1:8" s="465" customFormat="1" ht="15.75" hidden="1">
      <c r="A356" s="473" t="s">
        <v>13459</v>
      </c>
      <c r="B356" s="751">
        <v>88264</v>
      </c>
      <c r="C356" s="710" t="s">
        <v>771</v>
      </c>
      <c r="D356" s="711" t="s">
        <v>753</v>
      </c>
      <c r="E356" s="752">
        <v>0.8</v>
      </c>
      <c r="F356" s="713">
        <v>20.52</v>
      </c>
      <c r="G356" s="750">
        <f>TRUNC(F356*E356,2)</f>
        <v>16.41</v>
      </c>
      <c r="H356" s="464"/>
    </row>
    <row r="357" spans="1:8" s="465" customFormat="1" ht="16.5" hidden="1" thickBot="1">
      <c r="A357" s="473" t="s">
        <v>13459</v>
      </c>
      <c r="B357" s="753">
        <v>88247</v>
      </c>
      <c r="C357" s="717" t="s">
        <v>924</v>
      </c>
      <c r="D357" s="718" t="s">
        <v>753</v>
      </c>
      <c r="E357" s="754">
        <v>0.7</v>
      </c>
      <c r="F357" s="720">
        <v>15.84</v>
      </c>
      <c r="G357" s="755">
        <f>TRUNC(F357*E357,2)</f>
        <v>11.08</v>
      </c>
      <c r="H357" s="464"/>
    </row>
    <row r="358" spans="1:8" ht="16.5" hidden="1" thickBot="1">
      <c r="A358" s="464"/>
      <c r="B358" s="1259" t="s">
        <v>13815</v>
      </c>
      <c r="C358" s="1260"/>
      <c r="D358" s="1260"/>
      <c r="E358" s="1260"/>
      <c r="F358" s="756" t="s">
        <v>22</v>
      </c>
      <c r="G358" s="757">
        <f>SUM(G355:G357)</f>
        <v>27.490000000000002</v>
      </c>
      <c r="H358" s="464"/>
    </row>
    <row r="359" spans="1:8" ht="38.25" hidden="1" customHeight="1">
      <c r="B359" s="1259"/>
      <c r="C359" s="1260"/>
      <c r="D359" s="1260"/>
      <c r="E359" s="1260"/>
      <c r="F359" s="457"/>
      <c r="G359" s="827"/>
    </row>
    <row r="360" spans="1:8" s="494" customFormat="1" ht="16.5" hidden="1" thickBot="1">
      <c r="B360" s="794"/>
      <c r="C360" s="795"/>
      <c r="D360" s="795"/>
      <c r="E360" s="795"/>
      <c r="F360" s="795"/>
      <c r="G360" s="796"/>
    </row>
    <row r="361" spans="1:8" s="465" customFormat="1" ht="40.5" hidden="1" customHeight="1">
      <c r="A361" s="464"/>
      <c r="B361" s="704" t="str">
        <f>IF(COUNT($H$8:H361)&lt;10,CONCATENATE("COMP ELE 00",COUNT($H$8:H361)),CONCATENATE("COMP ELE 0",COUNT($H$8:H361)))</f>
        <v>COMP ELE 032</v>
      </c>
      <c r="C361" s="1257" t="str">
        <f>CONCATENATE("FORNECIMENTO E INSTALAÇÃO DE ",C364)</f>
        <v>FORNECIMENTO E INSTALAÇÃO DE PARAFUSO M16 EM ACO GALVANIZADO, COMPRIMENTO = 500 MM, DIAMETRO = 16 MM, ROSCA MAQUINA, COM CABECA SEXTAVADA E PORCA</v>
      </c>
      <c r="D361" s="1225"/>
      <c r="E361" s="1225"/>
      <c r="F361" s="1225"/>
      <c r="G361" s="705" t="s">
        <v>28</v>
      </c>
      <c r="H361" s="570">
        <f>G367</f>
        <v>13.67</v>
      </c>
    </row>
    <row r="362" spans="1:8" s="465" customFormat="1" ht="31.5" hidden="1">
      <c r="A362" s="464"/>
      <c r="B362" s="469" t="s">
        <v>13463</v>
      </c>
      <c r="C362" s="707" t="s">
        <v>13464</v>
      </c>
      <c r="D362" s="470" t="s">
        <v>28</v>
      </c>
      <c r="E362" s="707" t="s">
        <v>13465</v>
      </c>
      <c r="F362" s="293" t="s">
        <v>13466</v>
      </c>
      <c r="G362" s="708" t="s">
        <v>13467</v>
      </c>
      <c r="H362" s="464"/>
    </row>
    <row r="363" spans="1:8" s="465" customFormat="1" ht="15.75" hidden="1">
      <c r="A363" s="464"/>
      <c r="B363" s="1283" t="s">
        <v>13468</v>
      </c>
      <c r="C363" s="1284"/>
      <c r="D363" s="1284"/>
      <c r="E363" s="1284"/>
      <c r="F363" s="1284"/>
      <c r="G363" s="1285"/>
      <c r="H363" s="464"/>
    </row>
    <row r="364" spans="1:8" s="465" customFormat="1" ht="45" hidden="1">
      <c r="A364" s="473" t="s">
        <v>13458</v>
      </c>
      <c r="B364" s="860">
        <v>428</v>
      </c>
      <c r="C364" s="710" t="s">
        <v>9902</v>
      </c>
      <c r="D364" s="711" t="s">
        <v>6636</v>
      </c>
      <c r="E364" s="815">
        <v>1</v>
      </c>
      <c r="F364" s="713">
        <v>10.6</v>
      </c>
      <c r="G364" s="845">
        <f>TRUNC(F364*E364,2)</f>
        <v>10.6</v>
      </c>
      <c r="H364" s="464"/>
    </row>
    <row r="365" spans="1:8" s="465" customFormat="1" ht="15.75" hidden="1">
      <c r="A365" s="464"/>
      <c r="B365" s="1283" t="s">
        <v>13469</v>
      </c>
      <c r="C365" s="1284"/>
      <c r="D365" s="1284"/>
      <c r="E365" s="1284"/>
      <c r="F365" s="1284"/>
      <c r="G365" s="1285"/>
      <c r="H365" s="464"/>
    </row>
    <row r="366" spans="1:8" s="465" customFormat="1" ht="16.5" hidden="1" thickBot="1">
      <c r="A366" s="473" t="s">
        <v>13459</v>
      </c>
      <c r="B366" s="753">
        <v>88264</v>
      </c>
      <c r="C366" s="717" t="s">
        <v>771</v>
      </c>
      <c r="D366" s="718" t="s">
        <v>753</v>
      </c>
      <c r="E366" s="754">
        <v>0.15</v>
      </c>
      <c r="F366" s="720">
        <v>20.52</v>
      </c>
      <c r="G366" s="755">
        <f>TRUNC(F366*E366,2)</f>
        <v>3.07</v>
      </c>
      <c r="H366" s="464"/>
    </row>
    <row r="367" spans="1:8" s="465" customFormat="1" ht="16.5" hidden="1" thickBot="1">
      <c r="A367" s="464"/>
      <c r="B367" s="1271" t="s">
        <v>13816</v>
      </c>
      <c r="C367" s="1272"/>
      <c r="D367" s="1272"/>
      <c r="E367" s="1273"/>
      <c r="F367" s="756" t="s">
        <v>22</v>
      </c>
      <c r="G367" s="757">
        <f>SUM(G363:G366)</f>
        <v>13.67</v>
      </c>
      <c r="H367" s="464"/>
    </row>
    <row r="368" spans="1:8" s="494" customFormat="1" ht="16.5" hidden="1" thickBot="1">
      <c r="B368" s="794"/>
      <c r="C368" s="795"/>
      <c r="D368" s="795"/>
      <c r="E368" s="795"/>
      <c r="F368" s="795"/>
      <c r="G368" s="796"/>
    </row>
    <row r="369" spans="1:8" s="465" customFormat="1" ht="40.5" hidden="1" customHeight="1">
      <c r="A369" s="464"/>
      <c r="B369" s="704" t="str">
        <f>IF(COUNT($H$8:H369)&lt;10,CONCATENATE("COMP ELE 00",COUNT($H$8:H369)),CONCATENATE("COMP ELE 0",COUNT($H$8:H369)))</f>
        <v>COMP ELE 033</v>
      </c>
      <c r="C369" s="1257" t="str">
        <f>CONCATENATE("FORNECIMENTO E INSTALAÇÃO DE ",C372)</f>
        <v>FORNECIMENTO E INSTALAÇÃO DE ARRUELA QUADRADA EM ACO GALVANIZADO, DIMENSAO = 38 MM, ESPESSURA = 3MM, DIAMETRO DO FURO= 18 MM</v>
      </c>
      <c r="D369" s="1225"/>
      <c r="E369" s="1225"/>
      <c r="F369" s="1225"/>
      <c r="G369" s="705" t="s">
        <v>28</v>
      </c>
      <c r="H369" s="570">
        <f>G376</f>
        <v>0.78</v>
      </c>
    </row>
    <row r="370" spans="1:8" s="465" customFormat="1" ht="31.5" hidden="1">
      <c r="A370" s="464"/>
      <c r="B370" s="469" t="s">
        <v>13463</v>
      </c>
      <c r="C370" s="707" t="s">
        <v>13464</v>
      </c>
      <c r="D370" s="470" t="s">
        <v>28</v>
      </c>
      <c r="E370" s="707" t="s">
        <v>13465</v>
      </c>
      <c r="F370" s="293" t="s">
        <v>13466</v>
      </c>
      <c r="G370" s="708" t="s">
        <v>13467</v>
      </c>
      <c r="H370" s="464"/>
    </row>
    <row r="371" spans="1:8" s="465" customFormat="1" ht="15.75" hidden="1">
      <c r="A371" s="464"/>
      <c r="B371" s="1283" t="s">
        <v>13468</v>
      </c>
      <c r="C371" s="1284"/>
      <c r="D371" s="1284"/>
      <c r="E371" s="1284"/>
      <c r="F371" s="1284"/>
      <c r="G371" s="1285"/>
      <c r="H371" s="464"/>
    </row>
    <row r="372" spans="1:8" s="465" customFormat="1" ht="30" hidden="1">
      <c r="A372" s="473" t="s">
        <v>13458</v>
      </c>
      <c r="B372" s="844">
        <v>379</v>
      </c>
      <c r="C372" s="710" t="s">
        <v>6969</v>
      </c>
      <c r="D372" s="711" t="s">
        <v>6636</v>
      </c>
      <c r="E372" s="815">
        <v>1</v>
      </c>
      <c r="F372" s="713">
        <v>0.43</v>
      </c>
      <c r="G372" s="845">
        <f>TRUNC(F372*E372,2)</f>
        <v>0.43</v>
      </c>
      <c r="H372" s="464"/>
    </row>
    <row r="373" spans="1:8" s="465" customFormat="1" ht="15.75" hidden="1">
      <c r="A373" s="464"/>
      <c r="B373" s="1283" t="s">
        <v>13469</v>
      </c>
      <c r="C373" s="1284"/>
      <c r="D373" s="1284"/>
      <c r="E373" s="1284"/>
      <c r="F373" s="1284"/>
      <c r="G373" s="1285"/>
      <c r="H373" s="464"/>
    </row>
    <row r="374" spans="1:8" s="465" customFormat="1" ht="15.75" hidden="1">
      <c r="A374" s="473" t="s">
        <v>13459</v>
      </c>
      <c r="B374" s="751">
        <v>88264</v>
      </c>
      <c r="C374" s="710" t="s">
        <v>771</v>
      </c>
      <c r="D374" s="711" t="s">
        <v>753</v>
      </c>
      <c r="E374" s="752">
        <v>0.01</v>
      </c>
      <c r="F374" s="713">
        <v>20.52</v>
      </c>
      <c r="G374" s="750">
        <f>TRUNC(F374*E374,2)</f>
        <v>0.2</v>
      </c>
      <c r="H374" s="464"/>
    </row>
    <row r="375" spans="1:8" s="465" customFormat="1" ht="16.5" hidden="1" thickBot="1">
      <c r="A375" s="473" t="s">
        <v>13459</v>
      </c>
      <c r="B375" s="805">
        <v>88316</v>
      </c>
      <c r="C375" s="717" t="s">
        <v>761</v>
      </c>
      <c r="D375" s="718" t="s">
        <v>753</v>
      </c>
      <c r="E375" s="754">
        <v>0.01</v>
      </c>
      <c r="F375" s="720">
        <v>15.91</v>
      </c>
      <c r="G375" s="755">
        <f>TRUNC(F375*E375,2)</f>
        <v>0.15</v>
      </c>
      <c r="H375" s="464"/>
    </row>
    <row r="376" spans="1:8" s="465" customFormat="1" ht="16.5" hidden="1" thickBot="1">
      <c r="A376" s="464"/>
      <c r="B376" s="1271" t="s">
        <v>13817</v>
      </c>
      <c r="C376" s="1272"/>
      <c r="D376" s="1272"/>
      <c r="E376" s="1273"/>
      <c r="F376" s="756" t="s">
        <v>22</v>
      </c>
      <c r="G376" s="757">
        <f>SUM(G371:G375)</f>
        <v>0.78</v>
      </c>
      <c r="H376" s="464"/>
    </row>
    <row r="377" spans="1:8" s="494" customFormat="1" ht="16.5" hidden="1" thickBot="1">
      <c r="B377" s="794"/>
      <c r="C377" s="795"/>
      <c r="D377" s="795"/>
      <c r="E377" s="795"/>
      <c r="F377" s="795"/>
      <c r="G377" s="796"/>
    </row>
    <row r="378" spans="1:8" s="465" customFormat="1" ht="19.5" hidden="1" customHeight="1">
      <c r="A378" s="464"/>
      <c r="B378" s="704" t="str">
        <f>IF(COUNT($H$8:H378)&lt;10,CONCATENATE("COMP ELE 00",COUNT($H$8:H378)),CONCATENATE("COMP ELE 0",COUNT($H$8:H378)))</f>
        <v>COMP ELE 034</v>
      </c>
      <c r="C378" s="1257" t="str">
        <f>CONCATENATE("FORNECIMENTO E INSTALAÇÃO DE ",C381)</f>
        <v>FORNECIMENTO E INSTALAÇÃO DE CRUZETA DE CONCRETO LEVE, COMP. 2000 MM SECAO, 90 X 90 MM</v>
      </c>
      <c r="D378" s="1225"/>
      <c r="E378" s="1225"/>
      <c r="F378" s="1225"/>
      <c r="G378" s="705" t="s">
        <v>28</v>
      </c>
      <c r="H378" s="570">
        <f>G385</f>
        <v>176.21999999999997</v>
      </c>
    </row>
    <row r="379" spans="1:8" s="465" customFormat="1" ht="31.5" hidden="1">
      <c r="A379" s="464"/>
      <c r="B379" s="469" t="s">
        <v>13463</v>
      </c>
      <c r="C379" s="707" t="s">
        <v>13464</v>
      </c>
      <c r="D379" s="470" t="s">
        <v>28</v>
      </c>
      <c r="E379" s="707" t="s">
        <v>13465</v>
      </c>
      <c r="F379" s="293" t="s">
        <v>13466</v>
      </c>
      <c r="G379" s="708" t="s">
        <v>13467</v>
      </c>
      <c r="H379" s="464"/>
    </row>
    <row r="380" spans="1:8" s="465" customFormat="1" ht="15.75" hidden="1">
      <c r="A380" s="464"/>
      <c r="B380" s="1283" t="s">
        <v>13468</v>
      </c>
      <c r="C380" s="1284"/>
      <c r="D380" s="1284"/>
      <c r="E380" s="1284"/>
      <c r="F380" s="1284"/>
      <c r="G380" s="1285"/>
      <c r="H380" s="464"/>
    </row>
    <row r="381" spans="1:8" s="465" customFormat="1" ht="30" hidden="1">
      <c r="A381" s="473" t="s">
        <v>13458</v>
      </c>
      <c r="B381" s="844">
        <v>34519</v>
      </c>
      <c r="C381" s="710" t="s">
        <v>8076</v>
      </c>
      <c r="D381" s="711" t="s">
        <v>6636</v>
      </c>
      <c r="E381" s="815">
        <v>1</v>
      </c>
      <c r="F381" s="713">
        <v>71.819999999999993</v>
      </c>
      <c r="G381" s="845">
        <f>TRUNC(F381*E381,2)</f>
        <v>71.819999999999993</v>
      </c>
      <c r="H381" s="464"/>
    </row>
    <row r="382" spans="1:8" s="465" customFormat="1" ht="15.75" hidden="1">
      <c r="A382" s="464"/>
      <c r="B382" s="1283" t="s">
        <v>13469</v>
      </c>
      <c r="C382" s="1284"/>
      <c r="D382" s="1284"/>
      <c r="E382" s="1284"/>
      <c r="F382" s="1284"/>
      <c r="G382" s="1285"/>
      <c r="H382" s="464"/>
    </row>
    <row r="383" spans="1:8" s="465" customFormat="1" ht="15.75" hidden="1">
      <c r="A383" s="473" t="s">
        <v>13459</v>
      </c>
      <c r="B383" s="751">
        <v>88264</v>
      </c>
      <c r="C383" s="710" t="s">
        <v>771</v>
      </c>
      <c r="D383" s="711" t="s">
        <v>753</v>
      </c>
      <c r="E383" s="752">
        <v>2</v>
      </c>
      <c r="F383" s="713">
        <v>20.52</v>
      </c>
      <c r="G383" s="750">
        <f>TRUNC(F383*E383,2)</f>
        <v>41.04</v>
      </c>
      <c r="H383" s="464"/>
    </row>
    <row r="384" spans="1:8" s="465" customFormat="1" ht="16.5" hidden="1" thickBot="1">
      <c r="A384" s="473" t="s">
        <v>13459</v>
      </c>
      <c r="B384" s="753">
        <v>88247</v>
      </c>
      <c r="C384" s="717" t="s">
        <v>924</v>
      </c>
      <c r="D384" s="718" t="s">
        <v>753</v>
      </c>
      <c r="E384" s="754">
        <v>4</v>
      </c>
      <c r="F384" s="720">
        <v>15.84</v>
      </c>
      <c r="G384" s="755">
        <f>TRUNC(F384*E384,2)</f>
        <v>63.36</v>
      </c>
      <c r="H384" s="464"/>
    </row>
    <row r="385" spans="1:8" s="465" customFormat="1" ht="16.5" hidden="1" thickBot="1">
      <c r="A385" s="464"/>
      <c r="B385" s="1286" t="s">
        <v>13818</v>
      </c>
      <c r="C385" s="1287"/>
      <c r="D385" s="1287"/>
      <c r="E385" s="1287"/>
      <c r="F385" s="756" t="s">
        <v>22</v>
      </c>
      <c r="G385" s="757">
        <f>SUM(G380:G384)</f>
        <v>176.21999999999997</v>
      </c>
      <c r="H385" s="464"/>
    </row>
    <row r="386" spans="1:8" s="465" customFormat="1" ht="15.75" hidden="1">
      <c r="A386" s="464"/>
      <c r="B386" s="1286"/>
      <c r="C386" s="1287"/>
      <c r="D386" s="1287"/>
      <c r="E386" s="1287"/>
      <c r="F386" s="760"/>
      <c r="G386" s="761"/>
      <c r="H386" s="464"/>
    </row>
    <row r="387" spans="1:8" s="494" customFormat="1" ht="16.5" hidden="1" thickBot="1">
      <c r="B387" s="794"/>
      <c r="C387" s="795"/>
      <c r="D387" s="795"/>
      <c r="E387" s="795"/>
      <c r="F387" s="795"/>
      <c r="G387" s="796"/>
    </row>
    <row r="388" spans="1:8" s="465" customFormat="1" ht="32.25" hidden="1" customHeight="1">
      <c r="A388" s="464"/>
      <c r="B388" s="704" t="str">
        <f>IF(COUNT($H$8:H388)&lt;10,CONCATENATE("COMP ELE 00",COUNT($H$8:H388)),CONCATENATE("COMP ELE 0",COUNT($H$8:H388)))</f>
        <v>COMP ELE 035</v>
      </c>
      <c r="C388" s="1257" t="str">
        <f>CONCATENATE("FORNECIMENTO E INSTALAÇÃO DE ",C391)</f>
        <v>FORNECIMENTO E INSTALAÇÃO DE SUPORTE MAO-FRANCESA EM ACO, ABAS IGUAIS 30 CM, CAPACIDADE MINIMA 60 KG, BRANCO</v>
      </c>
      <c r="D388" s="1225"/>
      <c r="E388" s="1225"/>
      <c r="F388" s="1225"/>
      <c r="G388" s="705" t="s">
        <v>28</v>
      </c>
      <c r="H388" s="570">
        <f>G395</f>
        <v>16.36</v>
      </c>
    </row>
    <row r="389" spans="1:8" s="465" customFormat="1" ht="31.5" hidden="1">
      <c r="A389" s="464"/>
      <c r="B389" s="469" t="s">
        <v>13463</v>
      </c>
      <c r="C389" s="707" t="s">
        <v>13464</v>
      </c>
      <c r="D389" s="470" t="s">
        <v>28</v>
      </c>
      <c r="E389" s="707" t="s">
        <v>13465</v>
      </c>
      <c r="F389" s="293" t="s">
        <v>13466</v>
      </c>
      <c r="G389" s="708" t="s">
        <v>13467</v>
      </c>
      <c r="H389" s="464"/>
    </row>
    <row r="390" spans="1:8" s="465" customFormat="1" ht="15.75" hidden="1">
      <c r="A390" s="464"/>
      <c r="B390" s="1283" t="s">
        <v>13468</v>
      </c>
      <c r="C390" s="1284"/>
      <c r="D390" s="1284"/>
      <c r="E390" s="1284"/>
      <c r="F390" s="1284"/>
      <c r="G390" s="1285"/>
      <c r="H390" s="464"/>
    </row>
    <row r="391" spans="1:8" s="465" customFormat="1" ht="30" hidden="1">
      <c r="A391" s="473" t="s">
        <v>13458</v>
      </c>
      <c r="B391" s="860">
        <v>37590</v>
      </c>
      <c r="C391" s="861" t="s">
        <v>10541</v>
      </c>
      <c r="D391" s="711" t="s">
        <v>6636</v>
      </c>
      <c r="E391" s="815">
        <v>1</v>
      </c>
      <c r="F391" s="713">
        <v>10.91</v>
      </c>
      <c r="G391" s="845">
        <f>TRUNC(F391*E391,2)</f>
        <v>10.91</v>
      </c>
      <c r="H391" s="464"/>
    </row>
    <row r="392" spans="1:8" s="465" customFormat="1" ht="15.75" hidden="1">
      <c r="A392" s="464"/>
      <c r="B392" s="1283" t="s">
        <v>13469</v>
      </c>
      <c r="C392" s="1284"/>
      <c r="D392" s="1284"/>
      <c r="E392" s="1284"/>
      <c r="F392" s="1284"/>
      <c r="G392" s="1285"/>
      <c r="H392" s="464"/>
    </row>
    <row r="393" spans="1:8" s="465" customFormat="1" ht="15.75" hidden="1">
      <c r="A393" s="473" t="s">
        <v>13459</v>
      </c>
      <c r="B393" s="751">
        <v>88264</v>
      </c>
      <c r="C393" s="710" t="s">
        <v>771</v>
      </c>
      <c r="D393" s="711" t="s">
        <v>753</v>
      </c>
      <c r="E393" s="752">
        <v>0.15</v>
      </c>
      <c r="F393" s="713">
        <v>20.52</v>
      </c>
      <c r="G393" s="750">
        <f>TRUNC(F393*E393,2)</f>
        <v>3.07</v>
      </c>
      <c r="H393" s="464"/>
    </row>
    <row r="394" spans="1:8" s="465" customFormat="1" ht="16.5" hidden="1" thickBot="1">
      <c r="A394" s="473" t="s">
        <v>13459</v>
      </c>
      <c r="B394" s="753">
        <v>88316</v>
      </c>
      <c r="C394" s="717" t="s">
        <v>761</v>
      </c>
      <c r="D394" s="718" t="s">
        <v>753</v>
      </c>
      <c r="E394" s="754">
        <v>0.15</v>
      </c>
      <c r="F394" s="720">
        <v>15.91</v>
      </c>
      <c r="G394" s="755">
        <f>TRUNC(F394*E394,2)</f>
        <v>2.38</v>
      </c>
      <c r="H394" s="464"/>
    </row>
    <row r="395" spans="1:8" s="465" customFormat="1" ht="16.5" hidden="1" thickBot="1">
      <c r="A395" s="464"/>
      <c r="B395" s="1286" t="s">
        <v>13819</v>
      </c>
      <c r="C395" s="1287"/>
      <c r="D395" s="1287"/>
      <c r="E395" s="1287"/>
      <c r="F395" s="756" t="s">
        <v>22</v>
      </c>
      <c r="G395" s="757">
        <f>SUM(G390:G394)</f>
        <v>16.36</v>
      </c>
      <c r="H395" s="464"/>
    </row>
    <row r="396" spans="1:8" s="494" customFormat="1" ht="15.75" hidden="1" thickBot="1">
      <c r="B396" s="1286"/>
      <c r="C396" s="1287"/>
      <c r="D396" s="1287"/>
      <c r="E396" s="1287"/>
      <c r="F396" s="795"/>
      <c r="G396" s="796"/>
    </row>
    <row r="397" spans="1:8" s="465" customFormat="1" ht="54" hidden="1" customHeight="1">
      <c r="A397" s="464"/>
      <c r="B397" s="704" t="str">
        <f>IF(COUNT($H$8:H397)&lt;10,CONCATENATE("COMP ELE 00",COUNT($H$8:H397)),CONCATENATE("COMP ELE 0",COUNT($H$8:H397)))</f>
        <v>COMP ELE 036</v>
      </c>
      <c r="C397" s="1257" t="s">
        <v>13820</v>
      </c>
      <c r="D397" s="1225"/>
      <c r="E397" s="1225"/>
      <c r="F397" s="1225"/>
      <c r="G397" s="705" t="s">
        <v>28</v>
      </c>
      <c r="H397" s="570">
        <f>G406</f>
        <v>647.80999999999995</v>
      </c>
    </row>
    <row r="398" spans="1:8" s="465" customFormat="1" ht="31.5" hidden="1">
      <c r="A398" s="464"/>
      <c r="B398" s="469" t="s">
        <v>13463</v>
      </c>
      <c r="C398" s="707" t="s">
        <v>13464</v>
      </c>
      <c r="D398" s="470" t="s">
        <v>28</v>
      </c>
      <c r="E398" s="707" t="s">
        <v>13465</v>
      </c>
      <c r="F398" s="293" t="s">
        <v>13466</v>
      </c>
      <c r="G398" s="708" t="s">
        <v>13467</v>
      </c>
      <c r="H398" s="464"/>
    </row>
    <row r="399" spans="1:8" s="465" customFormat="1" ht="15.75" hidden="1">
      <c r="A399" s="464"/>
      <c r="B399" s="1283" t="s">
        <v>13468</v>
      </c>
      <c r="C399" s="1284"/>
      <c r="D399" s="1284"/>
      <c r="E399" s="1284"/>
      <c r="F399" s="1284"/>
      <c r="G399" s="1285"/>
      <c r="H399" s="464"/>
    </row>
    <row r="400" spans="1:8" s="465" customFormat="1" ht="60" hidden="1">
      <c r="A400" s="464"/>
      <c r="B400" s="862" t="s">
        <v>13497</v>
      </c>
      <c r="C400" s="863" t="str">
        <f>C408</f>
        <v>PROJETOR RETANGULAR FECHADO PARA LAMPADA VAPOR METÁLICO DE 1000W, CABECEIRAS EM ALUMINIO FUNDIDO, CORPO EM ALUMINIO ANODIZADO, COM FECHAMENTO EM VIDRO TEMPERADO</v>
      </c>
      <c r="D400" s="864" t="s">
        <v>28</v>
      </c>
      <c r="E400" s="815">
        <v>1</v>
      </c>
      <c r="F400" s="815">
        <f>D413</f>
        <v>120.55</v>
      </c>
      <c r="G400" s="845">
        <f>TRUNC(F400*E400,2)</f>
        <v>120.55</v>
      </c>
      <c r="H400" s="464"/>
    </row>
    <row r="401" spans="1:9" s="465" customFormat="1" ht="15" hidden="1">
      <c r="A401" s="464"/>
      <c r="B401" s="862" t="s">
        <v>13497</v>
      </c>
      <c r="C401" s="863" t="str">
        <f>C415</f>
        <v>LÂMPADA DE VAPOR METÁLICO DE 1000W</v>
      </c>
      <c r="D401" s="864" t="s">
        <v>28</v>
      </c>
      <c r="E401" s="815">
        <v>1</v>
      </c>
      <c r="F401" s="815">
        <f>D420</f>
        <v>247.27</v>
      </c>
      <c r="G401" s="845">
        <f>TRUNC(F401*E401,2)</f>
        <v>247.27</v>
      </c>
      <c r="H401" s="464"/>
    </row>
    <row r="402" spans="1:9" s="465" customFormat="1" ht="15" hidden="1">
      <c r="A402" s="464"/>
      <c r="B402" s="862" t="s">
        <v>13497</v>
      </c>
      <c r="C402" s="863" t="str">
        <f>C422</f>
        <v>REATOR PARA LÂMPADA DE VAPOR METÁLICO DE 1000W</v>
      </c>
      <c r="D402" s="864" t="s">
        <v>28</v>
      </c>
      <c r="E402" s="815">
        <v>1</v>
      </c>
      <c r="F402" s="815">
        <f>D427</f>
        <v>225.35</v>
      </c>
      <c r="G402" s="845">
        <f>TRUNC(F402*E402,2)</f>
        <v>225.35</v>
      </c>
      <c r="H402" s="464"/>
    </row>
    <row r="403" spans="1:9" s="465" customFormat="1" ht="15.75" hidden="1">
      <c r="A403" s="464"/>
      <c r="B403" s="1283" t="s">
        <v>13469</v>
      </c>
      <c r="C403" s="1284"/>
      <c r="D403" s="1284"/>
      <c r="E403" s="1284"/>
      <c r="F403" s="1284"/>
      <c r="G403" s="1285"/>
      <c r="H403" s="464"/>
    </row>
    <row r="404" spans="1:9" s="465" customFormat="1" ht="15.75" hidden="1">
      <c r="A404" s="473" t="s">
        <v>13459</v>
      </c>
      <c r="B404" s="751">
        <v>88264</v>
      </c>
      <c r="C404" s="710" t="s">
        <v>771</v>
      </c>
      <c r="D404" s="711" t="s">
        <v>753</v>
      </c>
      <c r="E404" s="752">
        <v>1.5</v>
      </c>
      <c r="F404" s="713">
        <v>20.52</v>
      </c>
      <c r="G404" s="750">
        <f>TRUNC(F404*E404,2)</f>
        <v>30.78</v>
      </c>
      <c r="H404" s="464"/>
    </row>
    <row r="405" spans="1:9" s="465" customFormat="1" ht="16.5" hidden="1" thickBot="1">
      <c r="A405" s="473" t="s">
        <v>13459</v>
      </c>
      <c r="B405" s="753">
        <v>88316</v>
      </c>
      <c r="C405" s="717" t="s">
        <v>761</v>
      </c>
      <c r="D405" s="718" t="s">
        <v>753</v>
      </c>
      <c r="E405" s="754">
        <v>1.5</v>
      </c>
      <c r="F405" s="720">
        <v>15.91</v>
      </c>
      <c r="G405" s="755">
        <f>TRUNC(F405*E405,2)</f>
        <v>23.86</v>
      </c>
      <c r="H405" s="464"/>
    </row>
    <row r="406" spans="1:9" s="465" customFormat="1" ht="16.5" hidden="1" thickBot="1">
      <c r="A406" s="464"/>
      <c r="B406" s="1286" t="s">
        <v>13821</v>
      </c>
      <c r="C406" s="1287"/>
      <c r="D406" s="1287"/>
      <c r="E406" s="1287"/>
      <c r="F406" s="756" t="s">
        <v>22</v>
      </c>
      <c r="G406" s="757">
        <f>SUM(G399:G405)</f>
        <v>647.80999999999995</v>
      </c>
      <c r="H406" s="464"/>
    </row>
    <row r="407" spans="1:9" s="465" customFormat="1" ht="16.5" hidden="1" thickBot="1">
      <c r="A407" s="464"/>
      <c r="B407" s="1286"/>
      <c r="C407" s="1287"/>
      <c r="D407" s="1287"/>
      <c r="E407" s="1287"/>
      <c r="F407" s="865"/>
      <c r="G407" s="866"/>
      <c r="H407" s="464"/>
    </row>
    <row r="408" spans="1:9" s="465" customFormat="1" ht="63" hidden="1">
      <c r="A408" s="464"/>
      <c r="B408" s="572"/>
      <c r="C408" s="607" t="s">
        <v>13822</v>
      </c>
      <c r="D408" s="574"/>
      <c r="E408" s="575"/>
      <c r="F408" s="608"/>
      <c r="G408" s="577" t="s">
        <v>28</v>
      </c>
      <c r="H408" s="823" t="s">
        <v>13500</v>
      </c>
    </row>
    <row r="409" spans="1:9" s="465" customFormat="1" ht="31.5" hidden="1">
      <c r="A409" s="464"/>
      <c r="B409" s="867" t="s">
        <v>13502</v>
      </c>
      <c r="C409" s="707" t="s">
        <v>13503</v>
      </c>
      <c r="D409" s="293" t="s">
        <v>13504</v>
      </c>
      <c r="E409" s="868" t="s">
        <v>13505</v>
      </c>
      <c r="F409" s="869" t="s">
        <v>13506</v>
      </c>
      <c r="G409" s="299" t="s">
        <v>13507</v>
      </c>
      <c r="H409" s="464"/>
    </row>
    <row r="410" spans="1:9" s="465" customFormat="1" ht="15" hidden="1">
      <c r="A410" s="464"/>
      <c r="B410" s="597">
        <v>43560</v>
      </c>
      <c r="C410" s="630" t="s">
        <v>13772</v>
      </c>
      <c r="D410" s="593">
        <v>110.13</v>
      </c>
      <c r="E410" s="789" t="s">
        <v>13773</v>
      </c>
      <c r="F410" s="595" t="s">
        <v>13774</v>
      </c>
      <c r="G410" s="790" t="s">
        <v>13775</v>
      </c>
      <c r="I410" s="791">
        <f>B410+180</f>
        <v>43740</v>
      </c>
    </row>
    <row r="411" spans="1:9" s="465" customFormat="1" ht="15" hidden="1">
      <c r="A411" s="464"/>
      <c r="B411" s="597">
        <v>43564</v>
      </c>
      <c r="C411" s="592" t="s">
        <v>13763</v>
      </c>
      <c r="D411" s="593">
        <v>249.36</v>
      </c>
      <c r="E411" s="652" t="s">
        <v>13764</v>
      </c>
      <c r="F411" s="814" t="s">
        <v>13765</v>
      </c>
      <c r="G411" s="790" t="s">
        <v>13766</v>
      </c>
      <c r="I411" s="791">
        <f>B411+180</f>
        <v>43744</v>
      </c>
    </row>
    <row r="412" spans="1:9" s="465" customFormat="1" ht="15.75" hidden="1" thickBot="1">
      <c r="A412" s="464"/>
      <c r="B412" s="591">
        <v>43565</v>
      </c>
      <c r="C412" s="630" t="s">
        <v>13823</v>
      </c>
      <c r="D412" s="870">
        <v>120.55</v>
      </c>
      <c r="E412" s="789" t="s">
        <v>13824</v>
      </c>
      <c r="F412" s="595" t="s">
        <v>13761</v>
      </c>
      <c r="G412" s="790" t="s">
        <v>13825</v>
      </c>
      <c r="I412" s="792">
        <f>B412+180</f>
        <v>43745</v>
      </c>
    </row>
    <row r="413" spans="1:9" s="465" customFormat="1" ht="16.5" hidden="1" thickBot="1">
      <c r="A413" s="464"/>
      <c r="B413" s="598"/>
      <c r="C413" s="599" t="s">
        <v>13523</v>
      </c>
      <c r="D413" s="538">
        <f>IF(COUNT(D409:D412)=3,MEDIAN(D410:D412),SMALL(D410:D412,1))</f>
        <v>120.55</v>
      </c>
      <c r="E413" s="600"/>
      <c r="F413" s="620"/>
      <c r="G413" s="602"/>
      <c r="H413" s="464"/>
    </row>
    <row r="414" spans="1:9" s="494" customFormat="1" ht="16.5" hidden="1" thickBot="1">
      <c r="B414" s="794"/>
      <c r="C414" s="795"/>
      <c r="D414" s="795"/>
      <c r="E414" s="795"/>
      <c r="F414" s="795"/>
      <c r="G414" s="796"/>
    </row>
    <row r="415" spans="1:9" s="465" customFormat="1" ht="18" hidden="1">
      <c r="A415" s="464"/>
      <c r="B415" s="572"/>
      <c r="C415" s="607" t="s">
        <v>13826</v>
      </c>
      <c r="D415" s="574"/>
      <c r="E415" s="575"/>
      <c r="F415" s="608"/>
      <c r="G415" s="577" t="s">
        <v>28</v>
      </c>
      <c r="H415" s="823" t="s">
        <v>13500</v>
      </c>
    </row>
    <row r="416" spans="1:9" s="465" customFormat="1" ht="31.5" hidden="1">
      <c r="A416" s="464"/>
      <c r="B416" s="668" t="s">
        <v>13502</v>
      </c>
      <c r="C416" s="669" t="s">
        <v>13503</v>
      </c>
      <c r="D416" s="670" t="s">
        <v>13504</v>
      </c>
      <c r="E416" s="671" t="s">
        <v>13505</v>
      </c>
      <c r="F416" s="647" t="s">
        <v>13506</v>
      </c>
      <c r="G416" s="672" t="s">
        <v>13507</v>
      </c>
      <c r="H416" s="464"/>
    </row>
    <row r="417" spans="1:9" s="465" customFormat="1" ht="15" hidden="1">
      <c r="A417" s="464"/>
      <c r="B417" s="597">
        <v>43560</v>
      </c>
      <c r="C417" s="630" t="s">
        <v>13772</v>
      </c>
      <c r="D417" s="593">
        <v>126</v>
      </c>
      <c r="E417" s="789" t="s">
        <v>13773</v>
      </c>
      <c r="F417" s="595" t="s">
        <v>13774</v>
      </c>
      <c r="G417" s="790" t="s">
        <v>13775</v>
      </c>
      <c r="I417" s="791">
        <f>B417+180</f>
        <v>43740</v>
      </c>
    </row>
    <row r="418" spans="1:9" s="465" customFormat="1" ht="15" hidden="1">
      <c r="A418" s="464"/>
      <c r="B418" s="597">
        <v>43564</v>
      </c>
      <c r="C418" s="592" t="s">
        <v>13763</v>
      </c>
      <c r="D418" s="593">
        <v>375.24</v>
      </c>
      <c r="E418" s="652" t="s">
        <v>13764</v>
      </c>
      <c r="F418" s="814" t="s">
        <v>13765</v>
      </c>
      <c r="G418" s="790" t="s">
        <v>13766</v>
      </c>
      <c r="I418" s="791">
        <f>B418+180</f>
        <v>43744</v>
      </c>
    </row>
    <row r="419" spans="1:9" s="465" customFormat="1" ht="15.75" hidden="1" thickBot="1">
      <c r="A419" s="464"/>
      <c r="B419" s="591">
        <v>43565</v>
      </c>
      <c r="C419" s="630" t="s">
        <v>13823</v>
      </c>
      <c r="D419" s="870">
        <v>247.27</v>
      </c>
      <c r="E419" s="789" t="s">
        <v>13824</v>
      </c>
      <c r="F419" s="595" t="s">
        <v>13761</v>
      </c>
      <c r="G419" s="790" t="s">
        <v>13825</v>
      </c>
      <c r="I419" s="792">
        <f>B419+180</f>
        <v>43745</v>
      </c>
    </row>
    <row r="420" spans="1:9" s="465" customFormat="1" ht="16.5" hidden="1" thickBot="1">
      <c r="A420" s="464"/>
      <c r="B420" s="598"/>
      <c r="C420" s="599" t="s">
        <v>13523</v>
      </c>
      <c r="D420" s="538">
        <f>IF(COUNT(D416:D419)=3,MEDIAN(D417:D419),SMALL(D417:D419,1))</f>
        <v>247.27</v>
      </c>
      <c r="E420" s="600"/>
      <c r="F420" s="620"/>
      <c r="G420" s="602"/>
      <c r="H420" s="464"/>
    </row>
    <row r="421" spans="1:9" s="494" customFormat="1" ht="16.5" hidden="1" thickBot="1">
      <c r="B421" s="794"/>
      <c r="C421" s="795"/>
      <c r="D421" s="795"/>
      <c r="E421" s="795"/>
      <c r="F421" s="795"/>
      <c r="G421" s="796"/>
    </row>
    <row r="422" spans="1:9" s="525" customFormat="1" ht="18" hidden="1">
      <c r="A422" s="696"/>
      <c r="B422" s="572"/>
      <c r="C422" s="607" t="s">
        <v>13827</v>
      </c>
      <c r="D422" s="574"/>
      <c r="E422" s="575"/>
      <c r="F422" s="608"/>
      <c r="G422" s="577" t="s">
        <v>28</v>
      </c>
      <c r="H422" s="823" t="s">
        <v>13500</v>
      </c>
    </row>
    <row r="423" spans="1:9" s="465" customFormat="1" ht="31.5" hidden="1">
      <c r="A423" s="464"/>
      <c r="B423" s="668" t="s">
        <v>13502</v>
      </c>
      <c r="C423" s="669" t="s">
        <v>13503</v>
      </c>
      <c r="D423" s="670" t="s">
        <v>13504</v>
      </c>
      <c r="E423" s="671" t="s">
        <v>13505</v>
      </c>
      <c r="F423" s="647" t="s">
        <v>13506</v>
      </c>
      <c r="G423" s="672" t="s">
        <v>13507</v>
      </c>
      <c r="H423" s="464"/>
    </row>
    <row r="424" spans="1:9" s="465" customFormat="1" ht="15" hidden="1">
      <c r="A424" s="464"/>
      <c r="B424" s="597">
        <v>43560</v>
      </c>
      <c r="C424" s="630" t="s">
        <v>13772</v>
      </c>
      <c r="D424" s="593">
        <v>233.12</v>
      </c>
      <c r="E424" s="789" t="s">
        <v>13773</v>
      </c>
      <c r="F424" s="595" t="s">
        <v>13774</v>
      </c>
      <c r="G424" s="790" t="s">
        <v>13775</v>
      </c>
      <c r="I424" s="791">
        <f>B424+180</f>
        <v>43740</v>
      </c>
    </row>
    <row r="425" spans="1:9" s="465" customFormat="1" ht="15" hidden="1">
      <c r="A425" s="464"/>
      <c r="B425" s="597">
        <v>43564</v>
      </c>
      <c r="C425" s="592" t="s">
        <v>13763</v>
      </c>
      <c r="D425" s="593">
        <v>225.35</v>
      </c>
      <c r="E425" s="652" t="s">
        <v>13764</v>
      </c>
      <c r="F425" s="814" t="s">
        <v>13765</v>
      </c>
      <c r="G425" s="790" t="s">
        <v>13766</v>
      </c>
      <c r="I425" s="791">
        <f>B425+180</f>
        <v>43744</v>
      </c>
    </row>
    <row r="426" spans="1:9" s="465" customFormat="1" ht="15.75" hidden="1" thickBot="1">
      <c r="A426" s="464"/>
      <c r="B426" s="591">
        <v>43560</v>
      </c>
      <c r="C426" s="630" t="s">
        <v>13781</v>
      </c>
      <c r="D426" s="593">
        <v>204.94</v>
      </c>
      <c r="E426" s="789" t="s">
        <v>13782</v>
      </c>
      <c r="F426" s="595" t="s">
        <v>13761</v>
      </c>
      <c r="G426" s="790" t="s">
        <v>13762</v>
      </c>
      <c r="I426" s="792">
        <f>B426+180</f>
        <v>43740</v>
      </c>
    </row>
    <row r="427" spans="1:9" s="465" customFormat="1" ht="16.5" hidden="1" thickBot="1">
      <c r="A427" s="464"/>
      <c r="B427" s="598"/>
      <c r="C427" s="599" t="s">
        <v>13523</v>
      </c>
      <c r="D427" s="538">
        <f>IF(COUNT(D423:D426)=3,MEDIAN(D424:D426),SMALL(D424:D426,1))</f>
        <v>225.35</v>
      </c>
      <c r="E427" s="600"/>
      <c r="F427" s="620"/>
      <c r="G427" s="602"/>
      <c r="H427" s="464"/>
    </row>
    <row r="428" spans="1:9" s="465" customFormat="1" ht="16.5" hidden="1" thickBot="1">
      <c r="A428" s="464"/>
      <c r="B428" s="871"/>
      <c r="C428" s="833"/>
      <c r="D428" s="833"/>
      <c r="E428" s="833"/>
      <c r="F428" s="833"/>
      <c r="G428" s="834"/>
      <c r="H428" s="464"/>
    </row>
    <row r="429" spans="1:9" s="465" customFormat="1" ht="15.75" hidden="1">
      <c r="A429" s="464"/>
      <c r="B429" s="704" t="str">
        <f>IF(COUNT($H$8:H429)&lt;10,CONCATENATE("COMP ELE 00",COUNT($H$8:H429)),CONCATENATE("COMP ELE 0",COUNT($H$8:H429)))</f>
        <v>COMP ELE 037</v>
      </c>
      <c r="C429" s="1257" t="str">
        <f>CONCATENATE("FORNECIMENTO E INSTALAÇÃO DE ",C432)</f>
        <v>FORNECIMENTO E INSTALAÇÃO DE CABO FLEX HEPR 1 KV 50,0 MM2 PT</v>
      </c>
      <c r="D429" s="1225"/>
      <c r="E429" s="1225"/>
      <c r="F429" s="1225"/>
      <c r="G429" s="705" t="s">
        <v>35</v>
      </c>
      <c r="H429" s="570">
        <f>G437</f>
        <v>24.020000000000003</v>
      </c>
    </row>
    <row r="430" spans="1:9" s="465" customFormat="1" ht="31.5" hidden="1">
      <c r="A430" s="464"/>
      <c r="B430" s="469" t="s">
        <v>13463</v>
      </c>
      <c r="C430" s="707" t="s">
        <v>13464</v>
      </c>
      <c r="D430" s="470" t="s">
        <v>28</v>
      </c>
      <c r="E430" s="707" t="s">
        <v>13465</v>
      </c>
      <c r="F430" s="293" t="s">
        <v>13466</v>
      </c>
      <c r="G430" s="708" t="s">
        <v>13467</v>
      </c>
      <c r="H430" s="464"/>
    </row>
    <row r="431" spans="1:9" s="465" customFormat="1" ht="15.75" hidden="1">
      <c r="A431" s="464"/>
      <c r="B431" s="1283" t="s">
        <v>13468</v>
      </c>
      <c r="C431" s="1284"/>
      <c r="D431" s="1284"/>
      <c r="E431" s="1284"/>
      <c r="F431" s="1284"/>
      <c r="G431" s="1285"/>
      <c r="H431" s="464"/>
    </row>
    <row r="432" spans="1:9" s="465" customFormat="1" ht="15" hidden="1">
      <c r="A432" s="464"/>
      <c r="B432" s="862" t="s">
        <v>13497</v>
      </c>
      <c r="C432" s="863" t="s">
        <v>13828</v>
      </c>
      <c r="D432" s="872" t="str">
        <f>G439</f>
        <v>M</v>
      </c>
      <c r="E432" s="855">
        <v>1.0149999999999999</v>
      </c>
      <c r="F432" s="815">
        <f>D444</f>
        <v>20.56</v>
      </c>
      <c r="G432" s="845">
        <f>TRUNC(F432*E432,2)</f>
        <v>20.86</v>
      </c>
      <c r="H432" s="464"/>
    </row>
    <row r="433" spans="1:9" s="465" customFormat="1" ht="30" hidden="1">
      <c r="A433" s="473" t="s">
        <v>13458</v>
      </c>
      <c r="B433" s="844">
        <v>404</v>
      </c>
      <c r="C433" s="710" t="s">
        <v>8720</v>
      </c>
      <c r="D433" s="711" t="s">
        <v>6649</v>
      </c>
      <c r="E433" s="855">
        <v>8.9999999999999993E-3</v>
      </c>
      <c r="F433" s="713">
        <v>1.35</v>
      </c>
      <c r="G433" s="845">
        <f>TRUNC(F433*E433,2)</f>
        <v>0.01</v>
      </c>
      <c r="H433" s="464"/>
    </row>
    <row r="434" spans="1:9" s="465" customFormat="1" ht="15.75" hidden="1">
      <c r="A434" s="464"/>
      <c r="B434" s="1283" t="s">
        <v>13469</v>
      </c>
      <c r="C434" s="1284"/>
      <c r="D434" s="1284"/>
      <c r="E434" s="1284"/>
      <c r="F434" s="1284"/>
      <c r="G434" s="1285"/>
      <c r="H434" s="464"/>
    </row>
    <row r="435" spans="1:9" s="465" customFormat="1" ht="15.75" hidden="1">
      <c r="A435" s="473" t="s">
        <v>13459</v>
      </c>
      <c r="B435" s="751">
        <v>88264</v>
      </c>
      <c r="C435" s="710" t="s">
        <v>771</v>
      </c>
      <c r="D435" s="711" t="s">
        <v>753</v>
      </c>
      <c r="E435" s="766">
        <v>8.6999999999999994E-2</v>
      </c>
      <c r="F435" s="713">
        <v>20.52</v>
      </c>
      <c r="G435" s="750">
        <f>TRUNC(F435*E435,2)</f>
        <v>1.78</v>
      </c>
      <c r="H435" s="464"/>
    </row>
    <row r="436" spans="1:9" s="465" customFormat="1" ht="16.5" hidden="1" thickBot="1">
      <c r="A436" s="473" t="s">
        <v>13459</v>
      </c>
      <c r="B436" s="753">
        <v>88247</v>
      </c>
      <c r="C436" s="717" t="s">
        <v>924</v>
      </c>
      <c r="D436" s="718" t="s">
        <v>753</v>
      </c>
      <c r="E436" s="856">
        <v>8.6999999999999994E-2</v>
      </c>
      <c r="F436" s="720">
        <v>15.84</v>
      </c>
      <c r="G436" s="755">
        <f>TRUNC(F436*E436,2)</f>
        <v>1.37</v>
      </c>
      <c r="H436" s="464"/>
    </row>
    <row r="437" spans="1:9" s="465" customFormat="1" ht="16.5" hidden="1" thickBot="1">
      <c r="A437" s="464"/>
      <c r="B437" s="1286" t="s">
        <v>13829</v>
      </c>
      <c r="C437" s="1287"/>
      <c r="D437" s="1287"/>
      <c r="E437" s="1287"/>
      <c r="F437" s="756" t="s">
        <v>22</v>
      </c>
      <c r="G437" s="757">
        <f>SUM(G431:G436)</f>
        <v>24.020000000000003</v>
      </c>
      <c r="H437" s="464"/>
    </row>
    <row r="438" spans="1:9" s="465" customFormat="1" ht="16.5" hidden="1" thickBot="1">
      <c r="A438" s="464"/>
      <c r="B438" s="1286"/>
      <c r="C438" s="1287"/>
      <c r="D438" s="1287"/>
      <c r="E438" s="1287"/>
      <c r="F438" s="865"/>
      <c r="G438" s="866"/>
      <c r="H438" s="464"/>
    </row>
    <row r="439" spans="1:9" s="465" customFormat="1" ht="18" hidden="1">
      <c r="A439" s="464"/>
      <c r="B439" s="572"/>
      <c r="C439" s="607" t="s">
        <v>13828</v>
      </c>
      <c r="D439" s="574"/>
      <c r="E439" s="575"/>
      <c r="F439" s="608"/>
      <c r="G439" s="577" t="s">
        <v>35</v>
      </c>
      <c r="H439" s="823" t="s">
        <v>13500</v>
      </c>
    </row>
    <row r="440" spans="1:9" s="465" customFormat="1" ht="31.5" hidden="1">
      <c r="A440" s="464"/>
      <c r="B440" s="668" t="s">
        <v>13502</v>
      </c>
      <c r="C440" s="669" t="s">
        <v>13503</v>
      </c>
      <c r="D440" s="670" t="s">
        <v>13504</v>
      </c>
      <c r="E440" s="671" t="s">
        <v>13505</v>
      </c>
      <c r="F440" s="647" t="s">
        <v>13506</v>
      </c>
      <c r="G440" s="672" t="s">
        <v>13507</v>
      </c>
      <c r="H440" s="464"/>
    </row>
    <row r="441" spans="1:9" s="465" customFormat="1" ht="15" hidden="1">
      <c r="A441" s="464"/>
      <c r="B441" s="597">
        <v>43560</v>
      </c>
      <c r="C441" s="630" t="s">
        <v>13772</v>
      </c>
      <c r="D441" s="593">
        <v>23.13</v>
      </c>
      <c r="E441" s="789" t="s">
        <v>13773</v>
      </c>
      <c r="F441" s="595" t="s">
        <v>13774</v>
      </c>
      <c r="G441" s="790" t="s">
        <v>13775</v>
      </c>
      <c r="I441" s="791">
        <f>B441+180</f>
        <v>43740</v>
      </c>
    </row>
    <row r="442" spans="1:9" s="465" customFormat="1" ht="15" hidden="1">
      <c r="A442" s="464"/>
      <c r="B442" s="591">
        <v>43560</v>
      </c>
      <c r="C442" s="630" t="s">
        <v>13781</v>
      </c>
      <c r="D442" s="593">
        <v>20.56</v>
      </c>
      <c r="E442" s="789" t="s">
        <v>13782</v>
      </c>
      <c r="F442" s="595" t="s">
        <v>13761</v>
      </c>
      <c r="G442" s="790" t="s">
        <v>13762</v>
      </c>
      <c r="I442" s="791">
        <f>B442+180</f>
        <v>43740</v>
      </c>
    </row>
    <row r="443" spans="1:9" s="465" customFormat="1" ht="15.75" hidden="1" thickBot="1">
      <c r="A443" s="464"/>
      <c r="B443" s="597">
        <v>43560</v>
      </c>
      <c r="C443" s="630" t="s">
        <v>13830</v>
      </c>
      <c r="D443" s="593">
        <v>20.09</v>
      </c>
      <c r="E443" s="652" t="s">
        <v>13831</v>
      </c>
      <c r="F443" s="814" t="s">
        <v>13832</v>
      </c>
      <c r="G443" s="790" t="s">
        <v>13833</v>
      </c>
      <c r="I443" s="792">
        <f>B443+180</f>
        <v>43740</v>
      </c>
    </row>
    <row r="444" spans="1:9" s="465" customFormat="1" ht="16.5" hidden="1" thickBot="1">
      <c r="A444" s="464"/>
      <c r="B444" s="598"/>
      <c r="C444" s="599" t="s">
        <v>13523</v>
      </c>
      <c r="D444" s="538">
        <f>IF(COUNT(D440:D443)=3,MEDIAN(D441:D443),SMALL(D441:D443,1))</f>
        <v>20.56</v>
      </c>
      <c r="E444" s="600"/>
      <c r="F444" s="620"/>
      <c r="G444" s="602"/>
      <c r="H444" s="464"/>
    </row>
    <row r="445" spans="1:9" s="465" customFormat="1" ht="16.5" hidden="1" thickBot="1">
      <c r="A445" s="464"/>
      <c r="B445" s="794"/>
      <c r="C445" s="795"/>
      <c r="D445" s="795"/>
      <c r="E445" s="795"/>
      <c r="F445" s="795"/>
      <c r="G445" s="796"/>
      <c r="H445" s="464"/>
    </row>
    <row r="446" spans="1:9" s="465" customFormat="1" ht="15.75" hidden="1">
      <c r="A446" s="464"/>
      <c r="B446" s="704" t="str">
        <f>IF(COUNT($H$8:H446)&lt;10,CONCATENATE("COMP ELE 00",COUNT($H$8:H446)),CONCATENATE("COMP ELE 0",COUNT($H$8:H446)))</f>
        <v>COMP ELE 038</v>
      </c>
      <c r="C446" s="1257" t="str">
        <f>CONCATENATE("FORNECIMENTO E INSTALAÇÃO DE ",C449)</f>
        <v>FORNECIMENTO E INSTALAÇÃO DE CABO FLEX HEPR 1 KV 95,0 MM2 PT</v>
      </c>
      <c r="D446" s="1225"/>
      <c r="E446" s="1225"/>
      <c r="F446" s="1225"/>
      <c r="G446" s="873" t="str">
        <f>G456</f>
        <v>M</v>
      </c>
      <c r="H446" s="570">
        <f>G454</f>
        <v>44.39</v>
      </c>
    </row>
    <row r="447" spans="1:9" s="465" customFormat="1" ht="31.5" hidden="1">
      <c r="A447" s="464"/>
      <c r="B447" s="469" t="s">
        <v>13463</v>
      </c>
      <c r="C447" s="707" t="s">
        <v>13464</v>
      </c>
      <c r="D447" s="470" t="s">
        <v>28</v>
      </c>
      <c r="E447" s="707" t="s">
        <v>13465</v>
      </c>
      <c r="F447" s="293" t="s">
        <v>13466</v>
      </c>
      <c r="G447" s="708" t="s">
        <v>13467</v>
      </c>
      <c r="H447" s="464"/>
    </row>
    <row r="448" spans="1:9" s="465" customFormat="1" ht="15.75" hidden="1">
      <c r="A448" s="464"/>
      <c r="B448" s="1283" t="s">
        <v>13468</v>
      </c>
      <c r="C448" s="1284"/>
      <c r="D448" s="1284"/>
      <c r="E448" s="1284"/>
      <c r="F448" s="1284"/>
      <c r="G448" s="1285"/>
      <c r="H448" s="464"/>
    </row>
    <row r="449" spans="1:9" s="465" customFormat="1" ht="15" hidden="1">
      <c r="A449" s="464"/>
      <c r="B449" s="862" t="s">
        <v>13497</v>
      </c>
      <c r="C449" s="863" t="s">
        <v>13834</v>
      </c>
      <c r="D449" s="872" t="str">
        <f>G456</f>
        <v>M</v>
      </c>
      <c r="E449" s="855">
        <v>1.0149999999999999</v>
      </c>
      <c r="F449" s="815">
        <f>D461</f>
        <v>39.159999999999997</v>
      </c>
      <c r="G449" s="845">
        <f>TRUNC(F449*E449,2)</f>
        <v>39.74</v>
      </c>
      <c r="H449" s="464"/>
    </row>
    <row r="450" spans="1:9" s="465" customFormat="1" ht="30" hidden="1">
      <c r="A450" s="473" t="s">
        <v>13458</v>
      </c>
      <c r="B450" s="844">
        <v>404</v>
      </c>
      <c r="C450" s="710" t="s">
        <v>8720</v>
      </c>
      <c r="D450" s="711" t="s">
        <v>6649</v>
      </c>
      <c r="E450" s="855">
        <v>8.9999999999999993E-3</v>
      </c>
      <c r="F450" s="713">
        <v>1.35</v>
      </c>
      <c r="G450" s="845">
        <f>TRUNC(F450*E450,2)</f>
        <v>0.01</v>
      </c>
      <c r="H450" s="464"/>
    </row>
    <row r="451" spans="1:9" s="465" customFormat="1" ht="15.75" hidden="1">
      <c r="A451" s="464"/>
      <c r="B451" s="1283" t="s">
        <v>13469</v>
      </c>
      <c r="C451" s="1284"/>
      <c r="D451" s="1284"/>
      <c r="E451" s="1284"/>
      <c r="F451" s="1284"/>
      <c r="G451" s="1285"/>
      <c r="H451" s="464"/>
    </row>
    <row r="452" spans="1:9" s="465" customFormat="1" ht="15.75" hidden="1">
      <c r="A452" s="473" t="s">
        <v>13459</v>
      </c>
      <c r="B452" s="751">
        <v>88264</v>
      </c>
      <c r="C452" s="710" t="s">
        <v>771</v>
      </c>
      <c r="D452" s="711" t="s">
        <v>753</v>
      </c>
      <c r="E452" s="766">
        <v>0.128</v>
      </c>
      <c r="F452" s="713">
        <v>20.52</v>
      </c>
      <c r="G452" s="750">
        <f>TRUNC(F452*E452,2)</f>
        <v>2.62</v>
      </c>
      <c r="H452" s="464"/>
    </row>
    <row r="453" spans="1:9" s="465" customFormat="1" ht="16.5" hidden="1" thickBot="1">
      <c r="A453" s="473" t="s">
        <v>13459</v>
      </c>
      <c r="B453" s="753">
        <v>88247</v>
      </c>
      <c r="C453" s="717" t="s">
        <v>924</v>
      </c>
      <c r="D453" s="718" t="s">
        <v>753</v>
      </c>
      <c r="E453" s="856">
        <v>0.128</v>
      </c>
      <c r="F453" s="720">
        <v>15.84</v>
      </c>
      <c r="G453" s="755">
        <f>TRUNC(F453*E453,2)</f>
        <v>2.02</v>
      </c>
      <c r="H453" s="464"/>
    </row>
    <row r="454" spans="1:9" s="465" customFormat="1" ht="16.5" hidden="1" thickBot="1">
      <c r="A454" s="464"/>
      <c r="B454" s="1286" t="s">
        <v>13835</v>
      </c>
      <c r="C454" s="1287"/>
      <c r="D454" s="1287"/>
      <c r="E454" s="1287"/>
      <c r="F454" s="756" t="s">
        <v>22</v>
      </c>
      <c r="G454" s="757">
        <f>SUM(G448:G453)</f>
        <v>44.39</v>
      </c>
      <c r="H454" s="464"/>
    </row>
    <row r="455" spans="1:9" s="465" customFormat="1" ht="16.5" hidden="1" thickBot="1">
      <c r="A455" s="464"/>
      <c r="B455" s="1286"/>
      <c r="C455" s="1287"/>
      <c r="D455" s="1287"/>
      <c r="E455" s="1287"/>
      <c r="F455" s="865"/>
      <c r="G455" s="866"/>
      <c r="H455" s="464"/>
    </row>
    <row r="456" spans="1:9" s="465" customFormat="1" ht="18" hidden="1">
      <c r="A456" s="464"/>
      <c r="B456" s="572">
        <v>21</v>
      </c>
      <c r="C456" s="607" t="s">
        <v>13834</v>
      </c>
      <c r="D456" s="574"/>
      <c r="E456" s="575"/>
      <c r="F456" s="608"/>
      <c r="G456" s="577" t="s">
        <v>35</v>
      </c>
      <c r="H456" s="823" t="s">
        <v>13500</v>
      </c>
    </row>
    <row r="457" spans="1:9" s="465" customFormat="1" ht="31.5" hidden="1">
      <c r="A457" s="464"/>
      <c r="B457" s="668" t="s">
        <v>13502</v>
      </c>
      <c r="C457" s="669" t="s">
        <v>13503</v>
      </c>
      <c r="D457" s="670" t="s">
        <v>13504</v>
      </c>
      <c r="E457" s="671" t="s">
        <v>13505</v>
      </c>
      <c r="F457" s="647" t="s">
        <v>13506</v>
      </c>
      <c r="G457" s="672" t="s">
        <v>13507</v>
      </c>
      <c r="H457" s="464"/>
    </row>
    <row r="458" spans="1:9" s="465" customFormat="1" ht="15" hidden="1">
      <c r="A458" s="464"/>
      <c r="B458" s="591">
        <v>43560</v>
      </c>
      <c r="C458" s="630" t="s">
        <v>13781</v>
      </c>
      <c r="D458" s="593">
        <v>39.159999999999997</v>
      </c>
      <c r="E458" s="789" t="s">
        <v>13782</v>
      </c>
      <c r="F458" s="595" t="s">
        <v>13761</v>
      </c>
      <c r="G458" s="790" t="s">
        <v>13762</v>
      </c>
      <c r="I458" s="791">
        <f>B458+180</f>
        <v>43740</v>
      </c>
    </row>
    <row r="459" spans="1:9" s="465" customFormat="1" ht="15" hidden="1">
      <c r="A459" s="464"/>
      <c r="B459" s="597">
        <v>43560</v>
      </c>
      <c r="C459" s="630" t="s">
        <v>13772</v>
      </c>
      <c r="D459" s="593">
        <v>43.64</v>
      </c>
      <c r="E459" s="789" t="s">
        <v>13773</v>
      </c>
      <c r="F459" s="595" t="s">
        <v>13774</v>
      </c>
      <c r="G459" s="790" t="s">
        <v>13775</v>
      </c>
      <c r="I459" s="791">
        <f>B459+180</f>
        <v>43740</v>
      </c>
    </row>
    <row r="460" spans="1:9" s="465" customFormat="1" ht="15.75" hidden="1" thickBot="1">
      <c r="A460" s="464"/>
      <c r="B460" s="597">
        <v>43560</v>
      </c>
      <c r="C460" s="630" t="s">
        <v>13830</v>
      </c>
      <c r="D460" s="593">
        <v>39.01</v>
      </c>
      <c r="E460" s="652" t="s">
        <v>13831</v>
      </c>
      <c r="F460" s="814" t="s">
        <v>13832</v>
      </c>
      <c r="G460" s="790" t="s">
        <v>13833</v>
      </c>
      <c r="I460" s="792">
        <f>B460+180</f>
        <v>43740</v>
      </c>
    </row>
    <row r="461" spans="1:9" s="465" customFormat="1" ht="16.5" hidden="1" thickBot="1">
      <c r="A461" s="464"/>
      <c r="B461" s="598"/>
      <c r="C461" s="599" t="s">
        <v>13523</v>
      </c>
      <c r="D461" s="538">
        <f>IF(COUNT(D457:D460)=3,MEDIAN(D458:D460),SMALL(D458:D460,1))</f>
        <v>39.159999999999997</v>
      </c>
      <c r="E461" s="600"/>
      <c r="F461" s="620"/>
      <c r="G461" s="602"/>
      <c r="H461" s="464"/>
    </row>
    <row r="462" spans="1:9" s="465" customFormat="1" ht="16.5" hidden="1" thickBot="1">
      <c r="A462" s="464"/>
      <c r="B462" s="794"/>
      <c r="C462" s="795"/>
      <c r="D462" s="795"/>
      <c r="E462" s="795"/>
      <c r="F462" s="795"/>
      <c r="G462" s="796"/>
      <c r="H462" s="464"/>
    </row>
    <row r="463" spans="1:9" s="465" customFormat="1" ht="15.75" hidden="1">
      <c r="A463" s="464"/>
      <c r="B463" s="704" t="str">
        <f>IF(COUNT($H$8:H463)&lt;10,CONCATENATE("COMP ELE 00",COUNT($H$8:H463)),CONCATENATE("COMP ELE 0",COUNT($H$8:H463)))</f>
        <v>COMP ELE 039</v>
      </c>
      <c r="C463" s="1257" t="str">
        <f>CONCATENATE("FORNECIMENTO E INSTALAÇAO DE ",C466)</f>
        <v>FORNECIMENTO E INSTALAÇAO DE PADRÃO DE ENTRADA DE ENERGIA CATEGORIA "B1" (ENERGISA)</v>
      </c>
      <c r="D463" s="1225"/>
      <c r="E463" s="1225"/>
      <c r="F463" s="1225"/>
      <c r="G463" s="873" t="str">
        <f>G474</f>
        <v>UN</v>
      </c>
      <c r="H463" s="570">
        <f>G471</f>
        <v>850.00000000000011</v>
      </c>
    </row>
    <row r="464" spans="1:9" s="465" customFormat="1" ht="31.5" hidden="1">
      <c r="A464" s="464"/>
      <c r="B464" s="469" t="s">
        <v>13463</v>
      </c>
      <c r="C464" s="707" t="s">
        <v>13464</v>
      </c>
      <c r="D464" s="470" t="s">
        <v>28</v>
      </c>
      <c r="E464" s="707" t="s">
        <v>13465</v>
      </c>
      <c r="F464" s="293" t="s">
        <v>13466</v>
      </c>
      <c r="G464" s="708" t="s">
        <v>13467</v>
      </c>
      <c r="H464" s="464"/>
    </row>
    <row r="465" spans="1:9" s="465" customFormat="1" ht="15.75" hidden="1">
      <c r="A465" s="464"/>
      <c r="B465" s="1283" t="s">
        <v>13468</v>
      </c>
      <c r="C465" s="1284"/>
      <c r="D465" s="1284"/>
      <c r="E465" s="1284"/>
      <c r="F465" s="1284"/>
      <c r="G465" s="1285"/>
      <c r="H465" s="464"/>
    </row>
    <row r="466" spans="1:9" s="465" customFormat="1" ht="30" hidden="1">
      <c r="A466" s="464"/>
      <c r="B466" s="862" t="s">
        <v>13497</v>
      </c>
      <c r="C466" s="863" t="str">
        <f>C474</f>
        <v>PADRÃO DE ENTRADA DE ENERGIA CATEGORIA "B1" (ENERGISA)</v>
      </c>
      <c r="D466" s="872" t="str">
        <f>G474</f>
        <v>UN</v>
      </c>
      <c r="E466" s="815">
        <v>1</v>
      </c>
      <c r="F466" s="815">
        <f>D479</f>
        <v>600</v>
      </c>
      <c r="G466" s="845">
        <f>TRUNC(F466*E466,2)</f>
        <v>600</v>
      </c>
      <c r="H466" s="464"/>
    </row>
    <row r="467" spans="1:9" s="465" customFormat="1" ht="15.75" hidden="1">
      <c r="A467" s="464"/>
      <c r="B467" s="1283" t="s">
        <v>13469</v>
      </c>
      <c r="C467" s="1284"/>
      <c r="D467" s="1284"/>
      <c r="E467" s="1284"/>
      <c r="F467" s="1284"/>
      <c r="G467" s="1285"/>
      <c r="H467" s="464"/>
    </row>
    <row r="468" spans="1:9" s="465" customFormat="1" ht="15.75" hidden="1">
      <c r="A468" s="473" t="s">
        <v>13459</v>
      </c>
      <c r="B468" s="751">
        <v>88266</v>
      </c>
      <c r="C468" s="710" t="s">
        <v>6428</v>
      </c>
      <c r="D468" s="711" t="s">
        <v>753</v>
      </c>
      <c r="E468" s="752">
        <v>2</v>
      </c>
      <c r="F468" s="713">
        <v>20.6</v>
      </c>
      <c r="G468" s="750">
        <f>TRUNC(F468*E468,2)</f>
        <v>41.2</v>
      </c>
      <c r="H468" s="464"/>
    </row>
    <row r="469" spans="1:9" s="465" customFormat="1" ht="15.75" hidden="1">
      <c r="A469" s="473" t="s">
        <v>13459</v>
      </c>
      <c r="B469" s="751">
        <v>88264</v>
      </c>
      <c r="C469" s="710" t="s">
        <v>771</v>
      </c>
      <c r="D469" s="711" t="s">
        <v>753</v>
      </c>
      <c r="E469" s="752">
        <v>4</v>
      </c>
      <c r="F469" s="713">
        <v>20.52</v>
      </c>
      <c r="G469" s="750">
        <f>TRUNC(F469*E469,2)</f>
        <v>82.08</v>
      </c>
      <c r="H469" s="464"/>
    </row>
    <row r="470" spans="1:9" s="465" customFormat="1" ht="16.5" hidden="1" thickBot="1">
      <c r="A470" s="473" t="s">
        <v>13459</v>
      </c>
      <c r="B470" s="753">
        <v>88247</v>
      </c>
      <c r="C470" s="717" t="s">
        <v>924</v>
      </c>
      <c r="D470" s="718" t="s">
        <v>753</v>
      </c>
      <c r="E470" s="754">
        <v>8</v>
      </c>
      <c r="F470" s="720">
        <v>15.84</v>
      </c>
      <c r="G470" s="755">
        <f>TRUNC(F470*E470,2)</f>
        <v>126.72</v>
      </c>
      <c r="H470" s="464"/>
    </row>
    <row r="471" spans="1:9" s="465" customFormat="1" ht="16.5" hidden="1" thickBot="1">
      <c r="A471" s="464"/>
      <c r="B471" s="1286" t="s">
        <v>13836</v>
      </c>
      <c r="C471" s="1287"/>
      <c r="D471" s="1287"/>
      <c r="E471" s="1300"/>
      <c r="F471" s="756" t="s">
        <v>22</v>
      </c>
      <c r="G471" s="757">
        <f>SUM(G465:G470)</f>
        <v>850.00000000000011</v>
      </c>
      <c r="H471" s="464"/>
    </row>
    <row r="472" spans="1:9" s="465" customFormat="1" ht="15.75" hidden="1">
      <c r="A472" s="464"/>
      <c r="B472" s="1286"/>
      <c r="C472" s="1287"/>
      <c r="D472" s="1287"/>
      <c r="E472" s="1287"/>
      <c r="F472" s="865"/>
      <c r="G472" s="866"/>
      <c r="H472" s="464"/>
    </row>
    <row r="473" spans="1:9" s="465" customFormat="1" ht="16.5" hidden="1" thickBot="1">
      <c r="A473" s="464"/>
      <c r="B473" s="794"/>
      <c r="C473" s="795"/>
      <c r="D473" s="795"/>
      <c r="E473" s="795"/>
      <c r="F473" s="795"/>
      <c r="G473" s="796"/>
      <c r="H473" s="464"/>
    </row>
    <row r="474" spans="1:9" s="874" customFormat="1" ht="19.5" hidden="1" customHeight="1">
      <c r="A474" s="696"/>
      <c r="B474" s="572"/>
      <c r="C474" s="607" t="s">
        <v>13837</v>
      </c>
      <c r="D474" s="574"/>
      <c r="E474" s="575"/>
      <c r="F474" s="608"/>
      <c r="G474" s="577" t="s">
        <v>28</v>
      </c>
      <c r="H474" s="515" t="s">
        <v>13500</v>
      </c>
    </row>
    <row r="475" spans="1:9" ht="31.5" hidden="1">
      <c r="A475" s="464"/>
      <c r="B475" s="578" t="s">
        <v>13502</v>
      </c>
      <c r="C475" s="579" t="s">
        <v>13503</v>
      </c>
      <c r="D475" s="580" t="s">
        <v>13504</v>
      </c>
      <c r="E475" s="581" t="s">
        <v>13505</v>
      </c>
      <c r="F475" s="610" t="s">
        <v>13506</v>
      </c>
      <c r="G475" s="583" t="s">
        <v>13507</v>
      </c>
    </row>
    <row r="476" spans="1:9" ht="15" hidden="1">
      <c r="A476" s="464"/>
      <c r="B476" s="597">
        <v>43581</v>
      </c>
      <c r="C476" s="630" t="s">
        <v>13838</v>
      </c>
      <c r="D476" s="593">
        <v>600</v>
      </c>
      <c r="E476" s="875" t="s">
        <v>13839</v>
      </c>
      <c r="F476" s="876" t="s">
        <v>13840</v>
      </c>
      <c r="G476" s="790" t="s">
        <v>13841</v>
      </c>
      <c r="H476" s="692"/>
      <c r="I476" s="791">
        <f>B476+180</f>
        <v>43761</v>
      </c>
    </row>
    <row r="477" spans="1:9" ht="15" hidden="1">
      <c r="A477" s="464"/>
      <c r="B477" s="648">
        <v>43584</v>
      </c>
      <c r="C477" s="630" t="s">
        <v>13842</v>
      </c>
      <c r="D477" s="613">
        <v>680</v>
      </c>
      <c r="E477" s="875" t="s">
        <v>13843</v>
      </c>
      <c r="F477" s="877" t="s">
        <v>13844</v>
      </c>
      <c r="G477" s="878" t="s">
        <v>13845</v>
      </c>
      <c r="H477" s="692"/>
      <c r="I477" s="791">
        <f>B477+180</f>
        <v>43764</v>
      </c>
    </row>
    <row r="478" spans="1:9" ht="15.75" hidden="1" thickBot="1">
      <c r="A478" s="464"/>
      <c r="B478" s="597">
        <v>43571</v>
      </c>
      <c r="C478" s="592" t="s">
        <v>13846</v>
      </c>
      <c r="D478" s="593">
        <v>520</v>
      </c>
      <c r="E478" s="652" t="s">
        <v>13847</v>
      </c>
      <c r="F478" s="814" t="s">
        <v>13848</v>
      </c>
      <c r="G478" s="790" t="s">
        <v>13849</v>
      </c>
      <c r="H478" s="692"/>
      <c r="I478" s="792">
        <f>B478+180</f>
        <v>43751</v>
      </c>
    </row>
    <row r="479" spans="1:9" ht="16.5" hidden="1" thickBot="1">
      <c r="A479" s="464"/>
      <c r="B479" s="598"/>
      <c r="C479" s="599" t="s">
        <v>13523</v>
      </c>
      <c r="D479" s="538">
        <f>IF(COUNT(D475:D478)=3,MEDIAN(D476:D478),SMALL(D476:D478,1))</f>
        <v>600</v>
      </c>
      <c r="E479" s="600"/>
      <c r="F479" s="620"/>
      <c r="G479" s="602"/>
    </row>
    <row r="480" spans="1:9" s="465" customFormat="1" ht="16.5" hidden="1" thickBot="1">
      <c r="A480" s="464"/>
      <c r="B480" s="794"/>
      <c r="C480" s="795"/>
      <c r="D480" s="795"/>
      <c r="E480" s="795"/>
      <c r="F480" s="795"/>
      <c r="G480" s="796"/>
      <c r="H480" s="464"/>
    </row>
    <row r="481" spans="1:9" s="465" customFormat="1" ht="15.75" hidden="1">
      <c r="A481" s="464"/>
      <c r="B481" s="704" t="str">
        <f>IF(COUNT($H$8:H481)&lt;10,CONCATENATE("COMP ELE 00",COUNT($H$8:H481)),CONCATENATE("COMP ELE 0",COUNT($H$8:H481)))</f>
        <v>COMP ELE 040</v>
      </c>
      <c r="C481" s="1257" t="str">
        <f>CONCATENATE("FORNECIMENTO E INSTALAÇAO DE ",C484)</f>
        <v>FORNECIMENTO E INSTALAÇAO DE PADRÃO DE ENTRADA DE ENERGIA CATEGORIA "B2" (ENERGISA)</v>
      </c>
      <c r="D481" s="1225"/>
      <c r="E481" s="1225"/>
      <c r="F481" s="1225"/>
      <c r="G481" s="873" t="str">
        <f>G491</f>
        <v>UN</v>
      </c>
      <c r="H481" s="570">
        <f>G489</f>
        <v>1195</v>
      </c>
    </row>
    <row r="482" spans="1:9" s="465" customFormat="1" ht="31.5" hidden="1">
      <c r="A482" s="464"/>
      <c r="B482" s="469" t="s">
        <v>13463</v>
      </c>
      <c r="C482" s="707" t="s">
        <v>13464</v>
      </c>
      <c r="D482" s="470" t="s">
        <v>28</v>
      </c>
      <c r="E482" s="707" t="s">
        <v>13465</v>
      </c>
      <c r="F482" s="293" t="s">
        <v>13466</v>
      </c>
      <c r="G482" s="708" t="s">
        <v>13467</v>
      </c>
      <c r="H482" s="464"/>
    </row>
    <row r="483" spans="1:9" s="465" customFormat="1" ht="15.75" hidden="1">
      <c r="A483" s="464"/>
      <c r="B483" s="1283" t="s">
        <v>13468</v>
      </c>
      <c r="C483" s="1284"/>
      <c r="D483" s="1284"/>
      <c r="E483" s="1284"/>
      <c r="F483" s="1284"/>
      <c r="G483" s="1285"/>
      <c r="H483" s="464"/>
    </row>
    <row r="484" spans="1:9" s="465" customFormat="1" ht="30" hidden="1">
      <c r="A484" s="464"/>
      <c r="B484" s="862" t="s">
        <v>13497</v>
      </c>
      <c r="C484" s="863" t="str">
        <f>C491</f>
        <v>PADRÃO DE ENTRADA DE ENERGIA CATEGORIA "B2" (ENERGISA)</v>
      </c>
      <c r="D484" s="872" t="str">
        <f>G491</f>
        <v>UN</v>
      </c>
      <c r="E484" s="815">
        <v>1</v>
      </c>
      <c r="F484" s="815">
        <f>D496</f>
        <v>945</v>
      </c>
      <c r="G484" s="845">
        <f>TRUNC(F484*E484,2)</f>
        <v>945</v>
      </c>
      <c r="H484" s="464"/>
    </row>
    <row r="485" spans="1:9" s="465" customFormat="1" ht="15.75" hidden="1">
      <c r="A485" s="464"/>
      <c r="B485" s="1283" t="s">
        <v>13469</v>
      </c>
      <c r="C485" s="1284"/>
      <c r="D485" s="1284"/>
      <c r="E485" s="1284"/>
      <c r="F485" s="1284"/>
      <c r="G485" s="1285"/>
      <c r="H485" s="464"/>
    </row>
    <row r="486" spans="1:9" s="465" customFormat="1" ht="15.75" hidden="1">
      <c r="A486" s="473" t="s">
        <v>13459</v>
      </c>
      <c r="B486" s="751">
        <v>88266</v>
      </c>
      <c r="C486" s="710" t="s">
        <v>6428</v>
      </c>
      <c r="D486" s="711" t="s">
        <v>753</v>
      </c>
      <c r="E486" s="752">
        <v>2</v>
      </c>
      <c r="F486" s="713">
        <v>20.6</v>
      </c>
      <c r="G486" s="750">
        <f>TRUNC(F486*E486,2)</f>
        <v>41.2</v>
      </c>
      <c r="H486" s="464"/>
    </row>
    <row r="487" spans="1:9" s="465" customFormat="1" ht="15.75" hidden="1">
      <c r="A487" s="473" t="s">
        <v>13459</v>
      </c>
      <c r="B487" s="751">
        <v>88264</v>
      </c>
      <c r="C487" s="710" t="s">
        <v>771</v>
      </c>
      <c r="D487" s="711" t="s">
        <v>753</v>
      </c>
      <c r="E487" s="752">
        <v>4</v>
      </c>
      <c r="F487" s="713">
        <v>20.52</v>
      </c>
      <c r="G487" s="750">
        <f>TRUNC(F487*E487,2)</f>
        <v>82.08</v>
      </c>
      <c r="H487" s="464"/>
    </row>
    <row r="488" spans="1:9" s="465" customFormat="1" ht="16.5" hidden="1" thickBot="1">
      <c r="A488" s="473" t="s">
        <v>13459</v>
      </c>
      <c r="B488" s="753">
        <v>88247</v>
      </c>
      <c r="C488" s="717" t="s">
        <v>924</v>
      </c>
      <c r="D488" s="718" t="s">
        <v>753</v>
      </c>
      <c r="E488" s="754">
        <v>8</v>
      </c>
      <c r="F488" s="720">
        <v>15.84</v>
      </c>
      <c r="G488" s="755">
        <f>TRUNC(F488*E488,2)</f>
        <v>126.72</v>
      </c>
      <c r="H488" s="464"/>
    </row>
    <row r="489" spans="1:9" s="465" customFormat="1" ht="16.5" hidden="1" thickBot="1">
      <c r="A489" s="464"/>
      <c r="B489" s="1286" t="s">
        <v>13836</v>
      </c>
      <c r="C489" s="1287"/>
      <c r="D489" s="1287"/>
      <c r="E489" s="1300"/>
      <c r="F489" s="756" t="s">
        <v>22</v>
      </c>
      <c r="G489" s="757">
        <f>SUM(G483:G488)</f>
        <v>1195</v>
      </c>
      <c r="H489" s="464"/>
    </row>
    <row r="490" spans="1:9" s="465" customFormat="1" ht="16.5" hidden="1" thickBot="1">
      <c r="A490" s="464"/>
      <c r="B490" s="1286"/>
      <c r="C490" s="1287"/>
      <c r="D490" s="1287"/>
      <c r="E490" s="1287"/>
      <c r="F490" s="865"/>
      <c r="G490" s="866"/>
      <c r="H490" s="464"/>
    </row>
    <row r="491" spans="1:9" s="874" customFormat="1" ht="31.5" hidden="1">
      <c r="A491" s="696"/>
      <c r="B491" s="572"/>
      <c r="C491" s="607" t="s">
        <v>13850</v>
      </c>
      <c r="D491" s="574"/>
      <c r="E491" s="575"/>
      <c r="F491" s="608"/>
      <c r="G491" s="577" t="s">
        <v>28</v>
      </c>
      <c r="H491" s="823" t="s">
        <v>13500</v>
      </c>
    </row>
    <row r="492" spans="1:9" ht="31.5" hidden="1">
      <c r="A492" s="464"/>
      <c r="B492" s="578" t="s">
        <v>13502</v>
      </c>
      <c r="C492" s="579" t="s">
        <v>13503</v>
      </c>
      <c r="D492" s="580" t="s">
        <v>13504</v>
      </c>
      <c r="E492" s="581" t="s">
        <v>13505</v>
      </c>
      <c r="F492" s="610" t="s">
        <v>13506</v>
      </c>
      <c r="G492" s="583" t="s">
        <v>13507</v>
      </c>
    </row>
    <row r="493" spans="1:9" ht="15" hidden="1">
      <c r="A493" s="464"/>
      <c r="B493" s="611">
        <v>43570</v>
      </c>
      <c r="C493" s="630" t="s">
        <v>13759</v>
      </c>
      <c r="D493" s="593">
        <v>945</v>
      </c>
      <c r="E493" s="789" t="s">
        <v>13760</v>
      </c>
      <c r="F493" s="595" t="s">
        <v>13761</v>
      </c>
      <c r="G493" s="790" t="s">
        <v>13762</v>
      </c>
      <c r="H493" s="692"/>
      <c r="I493" s="791">
        <f>B493+180</f>
        <v>43750</v>
      </c>
    </row>
    <row r="494" spans="1:9" ht="15" hidden="1">
      <c r="A494" s="464"/>
      <c r="B494" s="597">
        <v>43571</v>
      </c>
      <c r="C494" s="592" t="s">
        <v>13846</v>
      </c>
      <c r="D494" s="593">
        <v>630</v>
      </c>
      <c r="E494" s="652" t="s">
        <v>13847</v>
      </c>
      <c r="F494" s="814" t="s">
        <v>13848</v>
      </c>
      <c r="G494" s="790" t="s">
        <v>13849</v>
      </c>
      <c r="H494" s="692"/>
      <c r="I494" s="791">
        <f>B494+180</f>
        <v>43751</v>
      </c>
    </row>
    <row r="495" spans="1:9" ht="15.75" hidden="1" thickBot="1">
      <c r="A495" s="464"/>
      <c r="B495" s="597">
        <v>43571</v>
      </c>
      <c r="C495" s="630" t="s">
        <v>13851</v>
      </c>
      <c r="D495" s="613">
        <v>2827.72</v>
      </c>
      <c r="E495" s="652" t="s">
        <v>13773</v>
      </c>
      <c r="F495" s="814" t="s">
        <v>13852</v>
      </c>
      <c r="G495" s="790" t="s">
        <v>13853</v>
      </c>
      <c r="H495" s="692"/>
      <c r="I495" s="792">
        <f>B495+180</f>
        <v>43751</v>
      </c>
    </row>
    <row r="496" spans="1:9" ht="16.5" hidden="1" thickBot="1">
      <c r="A496" s="464"/>
      <c r="B496" s="598"/>
      <c r="C496" s="599" t="s">
        <v>13523</v>
      </c>
      <c r="D496" s="538">
        <f>IF(COUNT(D492:D495)=3,MEDIAN(D493:D495),SMALL(D493:D495,1))</f>
        <v>945</v>
      </c>
      <c r="E496" s="600"/>
      <c r="F496" s="620"/>
      <c r="G496" s="602"/>
    </row>
    <row r="497" spans="1:9" s="465" customFormat="1" ht="16.5" hidden="1" thickBot="1">
      <c r="A497" s="464"/>
      <c r="B497" s="794"/>
      <c r="C497" s="795"/>
      <c r="D497" s="795"/>
      <c r="E497" s="795"/>
      <c r="F497" s="795"/>
      <c r="G497" s="796"/>
      <c r="H497" s="464"/>
    </row>
    <row r="498" spans="1:9" s="465" customFormat="1" ht="15.75" hidden="1">
      <c r="A498" s="464"/>
      <c r="B498" s="704" t="str">
        <f>IF(COUNT($H$8:H498)&lt;10,CONCATENATE("COMP ELE 00",COUNT($H$8:H498)),CONCATENATE("COMP ELE 0",COUNT($H$8:H498)))</f>
        <v>COMP ELE 041</v>
      </c>
      <c r="C498" s="1257" t="str">
        <f>CONCATENATE("FORNECIMENTO E INSTALAÇAO DE ",C501)</f>
        <v>FORNECIMENTO E INSTALAÇAO DE PADRÃO DE ENTRADA DE ENERGIA CATEGORIA "B3" (ENERGISA)</v>
      </c>
      <c r="D498" s="1225"/>
      <c r="E498" s="1225"/>
      <c r="F498" s="1225"/>
      <c r="G498" s="873" t="str">
        <f>G508</f>
        <v>UN</v>
      </c>
      <c r="H498" s="570">
        <f>G506</f>
        <v>1360.1</v>
      </c>
    </row>
    <row r="499" spans="1:9" s="465" customFormat="1" ht="31.5" hidden="1">
      <c r="A499" s="464"/>
      <c r="B499" s="469" t="s">
        <v>13463</v>
      </c>
      <c r="C499" s="707" t="s">
        <v>13464</v>
      </c>
      <c r="D499" s="470" t="s">
        <v>28</v>
      </c>
      <c r="E499" s="707" t="s">
        <v>13465</v>
      </c>
      <c r="F499" s="293" t="s">
        <v>13466</v>
      </c>
      <c r="G499" s="708" t="s">
        <v>13467</v>
      </c>
      <c r="H499" s="464"/>
    </row>
    <row r="500" spans="1:9" s="465" customFormat="1" ht="15.75" hidden="1">
      <c r="A500" s="464"/>
      <c r="B500" s="1283" t="s">
        <v>13468</v>
      </c>
      <c r="C500" s="1284"/>
      <c r="D500" s="1284"/>
      <c r="E500" s="1284"/>
      <c r="F500" s="1284"/>
      <c r="G500" s="1285"/>
      <c r="H500" s="464"/>
    </row>
    <row r="501" spans="1:9" s="465" customFormat="1" ht="30" hidden="1">
      <c r="A501" s="464"/>
      <c r="B501" s="862" t="s">
        <v>13497</v>
      </c>
      <c r="C501" s="863" t="str">
        <f>C508</f>
        <v>PADRÃO DE ENTRADA DE ENERGIA CATEGORIA "B3" (ENERGISA)</v>
      </c>
      <c r="D501" s="872" t="str">
        <f>G508</f>
        <v>UN</v>
      </c>
      <c r="E501" s="815">
        <v>1</v>
      </c>
      <c r="F501" s="815">
        <f>D513</f>
        <v>1110.0999999999999</v>
      </c>
      <c r="G501" s="845">
        <f>TRUNC(F501*E501,2)</f>
        <v>1110.0999999999999</v>
      </c>
      <c r="H501" s="464"/>
    </row>
    <row r="502" spans="1:9" s="465" customFormat="1" ht="15.75" hidden="1">
      <c r="A502" s="464"/>
      <c r="B502" s="1283" t="s">
        <v>13469</v>
      </c>
      <c r="C502" s="1284"/>
      <c r="D502" s="1284"/>
      <c r="E502" s="1284"/>
      <c r="F502" s="1284"/>
      <c r="G502" s="1285"/>
      <c r="H502" s="464"/>
    </row>
    <row r="503" spans="1:9" s="465" customFormat="1" ht="15.75" hidden="1">
      <c r="A503" s="473" t="s">
        <v>13459</v>
      </c>
      <c r="B503" s="751">
        <v>88266</v>
      </c>
      <c r="C503" s="710" t="s">
        <v>6428</v>
      </c>
      <c r="D503" s="711" t="s">
        <v>753</v>
      </c>
      <c r="E503" s="752">
        <v>2</v>
      </c>
      <c r="F503" s="713">
        <v>20.6</v>
      </c>
      <c r="G503" s="750">
        <f>TRUNC(F503*E503,2)</f>
        <v>41.2</v>
      </c>
      <c r="H503" s="464"/>
    </row>
    <row r="504" spans="1:9" s="465" customFormat="1" ht="15.75" hidden="1">
      <c r="A504" s="473" t="s">
        <v>13459</v>
      </c>
      <c r="B504" s="751">
        <v>88264</v>
      </c>
      <c r="C504" s="710" t="s">
        <v>771</v>
      </c>
      <c r="D504" s="711" t="s">
        <v>753</v>
      </c>
      <c r="E504" s="752">
        <v>4</v>
      </c>
      <c r="F504" s="713">
        <v>20.52</v>
      </c>
      <c r="G504" s="750">
        <f>TRUNC(F504*E504,2)</f>
        <v>82.08</v>
      </c>
      <c r="H504" s="464"/>
    </row>
    <row r="505" spans="1:9" s="465" customFormat="1" ht="16.5" hidden="1" thickBot="1">
      <c r="A505" s="473" t="s">
        <v>13459</v>
      </c>
      <c r="B505" s="753">
        <v>88247</v>
      </c>
      <c r="C505" s="717" t="s">
        <v>924</v>
      </c>
      <c r="D505" s="718" t="s">
        <v>753</v>
      </c>
      <c r="E505" s="754">
        <v>8</v>
      </c>
      <c r="F505" s="720">
        <v>15.84</v>
      </c>
      <c r="G505" s="755">
        <f>TRUNC(F505*E505,2)</f>
        <v>126.72</v>
      </c>
      <c r="H505" s="464"/>
    </row>
    <row r="506" spans="1:9" s="465" customFormat="1" ht="16.5" hidden="1" thickBot="1">
      <c r="A506" s="464"/>
      <c r="B506" s="1286" t="s">
        <v>13836</v>
      </c>
      <c r="C506" s="1287"/>
      <c r="D506" s="1287"/>
      <c r="E506" s="1300"/>
      <c r="F506" s="756" t="s">
        <v>22</v>
      </c>
      <c r="G506" s="757">
        <f>SUM(G500:G505)</f>
        <v>1360.1</v>
      </c>
      <c r="H506" s="464"/>
    </row>
    <row r="507" spans="1:9" s="465" customFormat="1" ht="16.5" hidden="1" thickBot="1">
      <c r="A507" s="464"/>
      <c r="B507" s="1286"/>
      <c r="C507" s="1287"/>
      <c r="D507" s="1287"/>
      <c r="E507" s="1287"/>
      <c r="F507" s="865"/>
      <c r="G507" s="866"/>
      <c r="H507" s="464"/>
    </row>
    <row r="508" spans="1:9" s="874" customFormat="1" ht="31.5" hidden="1">
      <c r="A508" s="696"/>
      <c r="B508" s="572"/>
      <c r="C508" s="607" t="s">
        <v>13854</v>
      </c>
      <c r="D508" s="574"/>
      <c r="E508" s="575"/>
      <c r="F508" s="608"/>
      <c r="G508" s="577" t="s">
        <v>28</v>
      </c>
      <c r="H508" s="823" t="s">
        <v>13500</v>
      </c>
    </row>
    <row r="509" spans="1:9" ht="31.5" hidden="1">
      <c r="A509" s="464"/>
      <c r="B509" s="578" t="s">
        <v>13502</v>
      </c>
      <c r="C509" s="579" t="s">
        <v>13503</v>
      </c>
      <c r="D509" s="580" t="s">
        <v>13504</v>
      </c>
      <c r="E509" s="581" t="s">
        <v>13505</v>
      </c>
      <c r="F509" s="610" t="s">
        <v>13506</v>
      </c>
      <c r="G509" s="583" t="s">
        <v>13507</v>
      </c>
    </row>
    <row r="510" spans="1:9" ht="15" hidden="1">
      <c r="A510" s="464"/>
      <c r="B510" s="611">
        <v>43570</v>
      </c>
      <c r="C510" s="630" t="s">
        <v>13759</v>
      </c>
      <c r="D510" s="593">
        <v>1110.0999999999999</v>
      </c>
      <c r="E510" s="789" t="s">
        <v>13760</v>
      </c>
      <c r="F510" s="595" t="s">
        <v>13761</v>
      </c>
      <c r="G510" s="790" t="s">
        <v>13762</v>
      </c>
      <c r="H510" s="692"/>
      <c r="I510" s="791">
        <f>B510+180</f>
        <v>43750</v>
      </c>
    </row>
    <row r="511" spans="1:9" ht="15" hidden="1">
      <c r="A511" s="464"/>
      <c r="B511" s="597">
        <v>43571</v>
      </c>
      <c r="C511" s="592" t="s">
        <v>13846</v>
      </c>
      <c r="D511" s="593">
        <v>700</v>
      </c>
      <c r="E511" s="652" t="s">
        <v>13847</v>
      </c>
      <c r="F511" s="814" t="s">
        <v>13848</v>
      </c>
      <c r="G511" s="790" t="s">
        <v>13849</v>
      </c>
      <c r="H511" s="692"/>
      <c r="I511" s="791">
        <f>B511+180</f>
        <v>43751</v>
      </c>
    </row>
    <row r="512" spans="1:9" ht="15.75" hidden="1" thickBot="1">
      <c r="A512" s="464"/>
      <c r="B512" s="597">
        <v>43571</v>
      </c>
      <c r="C512" s="630" t="s">
        <v>13851</v>
      </c>
      <c r="D512" s="593">
        <v>1339.2</v>
      </c>
      <c r="E512" s="652" t="s">
        <v>13773</v>
      </c>
      <c r="F512" s="814" t="s">
        <v>13852</v>
      </c>
      <c r="G512" s="790" t="s">
        <v>13853</v>
      </c>
      <c r="H512" s="692"/>
      <c r="I512" s="792">
        <f>B512+180</f>
        <v>43751</v>
      </c>
    </row>
    <row r="513" spans="1:9" ht="16.5" hidden="1" thickBot="1">
      <c r="A513" s="464"/>
      <c r="B513" s="598"/>
      <c r="C513" s="599" t="s">
        <v>13523</v>
      </c>
      <c r="D513" s="538">
        <f>IF(COUNT(D509:D512)=3,MEDIAN(D510:D512),SMALL(D510:D512,1))</f>
        <v>1110.0999999999999</v>
      </c>
      <c r="E513" s="600"/>
      <c r="F513" s="620"/>
      <c r="G513" s="602"/>
    </row>
    <row r="514" spans="1:9" s="465" customFormat="1" ht="16.5" hidden="1" thickBot="1">
      <c r="A514" s="464"/>
      <c r="B514" s="794"/>
      <c r="C514" s="795"/>
      <c r="D514" s="795"/>
      <c r="E514" s="795"/>
      <c r="F514" s="795"/>
      <c r="G514" s="796"/>
      <c r="H514" s="464"/>
    </row>
    <row r="515" spans="1:9" s="465" customFormat="1" ht="15.75" hidden="1">
      <c r="A515" s="464"/>
      <c r="B515" s="704" t="str">
        <f>IF(COUNT($H$8:H515)&lt;10,CONCATENATE("COMP ELE 00",COUNT($H$8:H515)),CONCATENATE("COMP ELE 0",COUNT($H$8:H515)))</f>
        <v>COMP ELE 042</v>
      </c>
      <c r="C515" s="1257" t="str">
        <f>CONCATENATE("FORNECIMENTO E INSTALAÇAO DE ",C518)</f>
        <v>FORNECIMENTO E INSTALAÇAO DE PADRÃO DE ENTRADA DE ENERGIA CATEGORIA "T1" (ENERGISA)</v>
      </c>
      <c r="D515" s="1225"/>
      <c r="E515" s="1225"/>
      <c r="F515" s="1225"/>
      <c r="G515" s="873" t="str">
        <f>G525</f>
        <v>UN</v>
      </c>
      <c r="H515" s="570">
        <f>G523</f>
        <v>1467.2</v>
      </c>
    </row>
    <row r="516" spans="1:9" s="465" customFormat="1" ht="31.5" hidden="1">
      <c r="A516" s="464"/>
      <c r="B516" s="469" t="s">
        <v>13463</v>
      </c>
      <c r="C516" s="707" t="s">
        <v>13464</v>
      </c>
      <c r="D516" s="470" t="s">
        <v>28</v>
      </c>
      <c r="E516" s="707" t="s">
        <v>13465</v>
      </c>
      <c r="F516" s="293" t="s">
        <v>13466</v>
      </c>
      <c r="G516" s="708" t="s">
        <v>13467</v>
      </c>
      <c r="H516" s="464"/>
    </row>
    <row r="517" spans="1:9" s="465" customFormat="1" ht="15.75" hidden="1">
      <c r="A517" s="464"/>
      <c r="B517" s="1283" t="s">
        <v>13468</v>
      </c>
      <c r="C517" s="1284"/>
      <c r="D517" s="1284"/>
      <c r="E517" s="1284"/>
      <c r="F517" s="1284"/>
      <c r="G517" s="1285"/>
      <c r="H517" s="464"/>
    </row>
    <row r="518" spans="1:9" s="465" customFormat="1" ht="30" hidden="1">
      <c r="A518" s="464"/>
      <c r="B518" s="862" t="s">
        <v>13497</v>
      </c>
      <c r="C518" s="863" t="str">
        <f>C525</f>
        <v>PADRÃO DE ENTRADA DE ENERGIA CATEGORIA "T1" (ENERGISA)</v>
      </c>
      <c r="D518" s="872" t="str">
        <f>G525</f>
        <v>UN</v>
      </c>
      <c r="E518" s="815">
        <v>1</v>
      </c>
      <c r="F518" s="815">
        <f>D530</f>
        <v>1217.2</v>
      </c>
      <c r="G518" s="845">
        <f>TRUNC(F518*E518,2)</f>
        <v>1217.2</v>
      </c>
      <c r="H518" s="464"/>
    </row>
    <row r="519" spans="1:9" s="465" customFormat="1" ht="15.75" hidden="1">
      <c r="A519" s="464"/>
      <c r="B519" s="1283" t="s">
        <v>13469</v>
      </c>
      <c r="C519" s="1284"/>
      <c r="D519" s="1284"/>
      <c r="E519" s="1284"/>
      <c r="F519" s="1284"/>
      <c r="G519" s="1285"/>
      <c r="H519" s="464"/>
    </row>
    <row r="520" spans="1:9" s="465" customFormat="1" ht="15.75" hidden="1">
      <c r="A520" s="473" t="s">
        <v>13459</v>
      </c>
      <c r="B520" s="751">
        <v>88266</v>
      </c>
      <c r="C520" s="710" t="s">
        <v>6428</v>
      </c>
      <c r="D520" s="711" t="s">
        <v>753</v>
      </c>
      <c r="E520" s="752">
        <v>2</v>
      </c>
      <c r="F520" s="713">
        <v>20.6</v>
      </c>
      <c r="G520" s="750">
        <f>TRUNC(F520*E520,2)</f>
        <v>41.2</v>
      </c>
      <c r="H520" s="464"/>
    </row>
    <row r="521" spans="1:9" s="465" customFormat="1" ht="15.75" hidden="1">
      <c r="A521" s="473" t="s">
        <v>13459</v>
      </c>
      <c r="B521" s="751">
        <v>88264</v>
      </c>
      <c r="C521" s="710" t="s">
        <v>771</v>
      </c>
      <c r="D521" s="711" t="s">
        <v>753</v>
      </c>
      <c r="E521" s="752">
        <v>4</v>
      </c>
      <c r="F521" s="713">
        <v>20.52</v>
      </c>
      <c r="G521" s="750">
        <f>TRUNC(F521*E521,2)</f>
        <v>82.08</v>
      </c>
      <c r="H521" s="464"/>
    </row>
    <row r="522" spans="1:9" s="465" customFormat="1" ht="16.5" hidden="1" thickBot="1">
      <c r="A522" s="473" t="s">
        <v>13459</v>
      </c>
      <c r="B522" s="753">
        <v>88247</v>
      </c>
      <c r="C522" s="717" t="s">
        <v>924</v>
      </c>
      <c r="D522" s="718" t="s">
        <v>753</v>
      </c>
      <c r="E522" s="754">
        <v>8</v>
      </c>
      <c r="F522" s="720">
        <v>15.84</v>
      </c>
      <c r="G522" s="755">
        <f>TRUNC(F522*E522,2)</f>
        <v>126.72</v>
      </c>
      <c r="H522" s="464"/>
    </row>
    <row r="523" spans="1:9" s="465" customFormat="1" ht="16.5" hidden="1" thickBot="1">
      <c r="A523" s="464"/>
      <c r="B523" s="1286" t="s">
        <v>13836</v>
      </c>
      <c r="C523" s="1287"/>
      <c r="D523" s="1287"/>
      <c r="E523" s="1300"/>
      <c r="F523" s="756" t="s">
        <v>22</v>
      </c>
      <c r="G523" s="757">
        <f>SUM(G517:G522)</f>
        <v>1467.2</v>
      </c>
      <c r="H523" s="464"/>
    </row>
    <row r="524" spans="1:9" s="465" customFormat="1" ht="16.5" hidden="1" thickBot="1">
      <c r="A524" s="464"/>
      <c r="B524" s="1286"/>
      <c r="C524" s="1287"/>
      <c r="D524" s="1287"/>
      <c r="E524" s="1287"/>
      <c r="F524" s="865"/>
      <c r="G524" s="866"/>
      <c r="H524" s="464"/>
    </row>
    <row r="525" spans="1:9" s="874" customFormat="1" ht="31.5" hidden="1">
      <c r="A525" s="696"/>
      <c r="B525" s="572"/>
      <c r="C525" s="607" t="s">
        <v>13855</v>
      </c>
      <c r="D525" s="574"/>
      <c r="E525" s="575"/>
      <c r="F525" s="608"/>
      <c r="G525" s="577" t="s">
        <v>28</v>
      </c>
      <c r="H525" s="823" t="s">
        <v>13500</v>
      </c>
    </row>
    <row r="526" spans="1:9" ht="31.5" hidden="1">
      <c r="A526" s="464"/>
      <c r="B526" s="578" t="s">
        <v>13502</v>
      </c>
      <c r="C526" s="579" t="s">
        <v>13856</v>
      </c>
      <c r="D526" s="580" t="s">
        <v>13504</v>
      </c>
      <c r="E526" s="581" t="s">
        <v>13505</v>
      </c>
      <c r="F526" s="610" t="s">
        <v>13506</v>
      </c>
      <c r="G526" s="583" t="s">
        <v>13507</v>
      </c>
    </row>
    <row r="527" spans="1:9" ht="15" hidden="1">
      <c r="A527" s="464"/>
      <c r="B527" s="611">
        <v>43570</v>
      </c>
      <c r="C527" s="630" t="s">
        <v>13759</v>
      </c>
      <c r="D527" s="593">
        <v>1217.2</v>
      </c>
      <c r="E527" s="789" t="s">
        <v>13760</v>
      </c>
      <c r="F527" s="595" t="s">
        <v>13761</v>
      </c>
      <c r="G527" s="790" t="s">
        <v>13762</v>
      </c>
      <c r="H527" s="692"/>
      <c r="I527" s="791">
        <f>B527+180</f>
        <v>43750</v>
      </c>
    </row>
    <row r="528" spans="1:9" ht="15" hidden="1">
      <c r="A528" s="464"/>
      <c r="B528" s="597">
        <v>43571</v>
      </c>
      <c r="C528" s="592" t="s">
        <v>13846</v>
      </c>
      <c r="D528" s="593">
        <v>750</v>
      </c>
      <c r="E528" s="652" t="s">
        <v>13847</v>
      </c>
      <c r="F528" s="814" t="s">
        <v>13848</v>
      </c>
      <c r="G528" s="790" t="s">
        <v>13849</v>
      </c>
      <c r="H528" s="692"/>
      <c r="I528" s="791">
        <f>B528+180</f>
        <v>43751</v>
      </c>
    </row>
    <row r="529" spans="1:9" ht="15.75" hidden="1" thickBot="1">
      <c r="A529" s="464"/>
      <c r="B529" s="597">
        <v>43571</v>
      </c>
      <c r="C529" s="630" t="s">
        <v>13851</v>
      </c>
      <c r="D529" s="593">
        <v>2086.6999999999998</v>
      </c>
      <c r="E529" s="652" t="s">
        <v>13773</v>
      </c>
      <c r="F529" s="814" t="s">
        <v>13852</v>
      </c>
      <c r="G529" s="790" t="s">
        <v>13853</v>
      </c>
      <c r="H529" s="692"/>
      <c r="I529" s="792">
        <f>B529+180</f>
        <v>43751</v>
      </c>
    </row>
    <row r="530" spans="1:9" ht="16.5" hidden="1" thickBot="1">
      <c r="A530" s="464"/>
      <c r="B530" s="598"/>
      <c r="C530" s="599" t="s">
        <v>13523</v>
      </c>
      <c r="D530" s="538">
        <f>IF(COUNT(D526:D529)=3,MEDIAN(D527:D529),SMALL(D527:D529,1))</f>
        <v>1217.2</v>
      </c>
      <c r="E530" s="600"/>
      <c r="F530" s="620"/>
      <c r="G530" s="602"/>
    </row>
    <row r="531" spans="1:9" s="465" customFormat="1" ht="16.5" hidden="1" thickBot="1">
      <c r="A531" s="464"/>
      <c r="B531" s="794"/>
      <c r="C531" s="795"/>
      <c r="D531" s="795"/>
      <c r="E531" s="795"/>
      <c r="F531" s="795"/>
      <c r="G531" s="796"/>
      <c r="H531" s="464"/>
    </row>
    <row r="532" spans="1:9" s="465" customFormat="1" ht="15.75" hidden="1">
      <c r="A532" s="464"/>
      <c r="B532" s="704" t="str">
        <f>IF(COUNT($H$8:H532)&lt;10,CONCATENATE("COMP ELE 00",COUNT($H$8:H532)),CONCATENATE("COMP ELE 0",COUNT($H$8:H532)))</f>
        <v>COMP ELE 043</v>
      </c>
      <c r="C532" s="1257" t="str">
        <f>CONCATENATE("FORNECIMENTO E INSTALAÇAO DE ",C535)</f>
        <v>FORNECIMENTO E INSTALAÇAO DE PADRÃO DE ENTRADA DE ENERGIA CATEGORIA "T2" (ENERGISA)</v>
      </c>
      <c r="D532" s="1225"/>
      <c r="E532" s="1225"/>
      <c r="F532" s="1225"/>
      <c r="G532" s="873" t="str">
        <f>G542</f>
        <v>UN</v>
      </c>
      <c r="H532" s="570">
        <f>G540</f>
        <v>1577.7</v>
      </c>
    </row>
    <row r="533" spans="1:9" s="465" customFormat="1" ht="31.5" hidden="1">
      <c r="A533" s="464"/>
      <c r="B533" s="469" t="s">
        <v>13463</v>
      </c>
      <c r="C533" s="707" t="s">
        <v>13464</v>
      </c>
      <c r="D533" s="470" t="s">
        <v>28</v>
      </c>
      <c r="E533" s="707" t="s">
        <v>13465</v>
      </c>
      <c r="F533" s="293" t="s">
        <v>13466</v>
      </c>
      <c r="G533" s="708" t="s">
        <v>13467</v>
      </c>
      <c r="H533" s="464"/>
    </row>
    <row r="534" spans="1:9" s="465" customFormat="1" ht="15.75" hidden="1">
      <c r="A534" s="464"/>
      <c r="B534" s="1283" t="s">
        <v>13468</v>
      </c>
      <c r="C534" s="1284"/>
      <c r="D534" s="1284"/>
      <c r="E534" s="1284"/>
      <c r="F534" s="1284"/>
      <c r="G534" s="1285"/>
      <c r="H534" s="464"/>
    </row>
    <row r="535" spans="1:9" s="465" customFormat="1" ht="30" hidden="1">
      <c r="A535" s="464"/>
      <c r="B535" s="862" t="s">
        <v>13497</v>
      </c>
      <c r="C535" s="863" t="str">
        <f>C542</f>
        <v>PADRÃO DE ENTRADA DE ENERGIA CATEGORIA "T2" (ENERGISA)</v>
      </c>
      <c r="D535" s="872" t="str">
        <f>G542</f>
        <v>UN</v>
      </c>
      <c r="E535" s="815">
        <v>1</v>
      </c>
      <c r="F535" s="815">
        <f>D547</f>
        <v>1327.7</v>
      </c>
      <c r="G535" s="845">
        <f>TRUNC(F535*E535,2)</f>
        <v>1327.7</v>
      </c>
      <c r="H535" s="464"/>
    </row>
    <row r="536" spans="1:9" s="465" customFormat="1" ht="15.75" hidden="1">
      <c r="A536" s="464"/>
      <c r="B536" s="1283" t="s">
        <v>13469</v>
      </c>
      <c r="C536" s="1284"/>
      <c r="D536" s="1284"/>
      <c r="E536" s="1284"/>
      <c r="F536" s="1284"/>
      <c r="G536" s="1285"/>
      <c r="H536" s="464"/>
    </row>
    <row r="537" spans="1:9" s="465" customFormat="1" ht="15.75" hidden="1">
      <c r="A537" s="473" t="s">
        <v>13459</v>
      </c>
      <c r="B537" s="751">
        <v>88266</v>
      </c>
      <c r="C537" s="710" t="s">
        <v>6428</v>
      </c>
      <c r="D537" s="711" t="s">
        <v>753</v>
      </c>
      <c r="E537" s="752">
        <v>2</v>
      </c>
      <c r="F537" s="713">
        <v>20.6</v>
      </c>
      <c r="G537" s="750">
        <f>TRUNC(F537*E537,2)</f>
        <v>41.2</v>
      </c>
      <c r="H537" s="464"/>
    </row>
    <row r="538" spans="1:9" s="465" customFormat="1" ht="15.75" hidden="1">
      <c r="A538" s="473" t="s">
        <v>13459</v>
      </c>
      <c r="B538" s="751">
        <v>88264</v>
      </c>
      <c r="C538" s="710" t="s">
        <v>771</v>
      </c>
      <c r="D538" s="711" t="s">
        <v>753</v>
      </c>
      <c r="E538" s="752">
        <v>4</v>
      </c>
      <c r="F538" s="713">
        <v>20.52</v>
      </c>
      <c r="G538" s="750">
        <f>TRUNC(F538*E538,2)</f>
        <v>82.08</v>
      </c>
      <c r="H538" s="464"/>
    </row>
    <row r="539" spans="1:9" s="465" customFormat="1" ht="16.5" hidden="1" thickBot="1">
      <c r="A539" s="473" t="s">
        <v>13459</v>
      </c>
      <c r="B539" s="753">
        <v>88247</v>
      </c>
      <c r="C539" s="717" t="s">
        <v>924</v>
      </c>
      <c r="D539" s="718" t="s">
        <v>753</v>
      </c>
      <c r="E539" s="754">
        <v>8</v>
      </c>
      <c r="F539" s="720">
        <v>15.84</v>
      </c>
      <c r="G539" s="755">
        <f>TRUNC(F539*E539,2)</f>
        <v>126.72</v>
      </c>
      <c r="H539" s="464"/>
    </row>
    <row r="540" spans="1:9" s="465" customFormat="1" ht="16.5" hidden="1" thickBot="1">
      <c r="A540" s="464"/>
      <c r="B540" s="1286" t="s">
        <v>13836</v>
      </c>
      <c r="C540" s="1287"/>
      <c r="D540" s="1287"/>
      <c r="E540" s="1300"/>
      <c r="F540" s="756" t="s">
        <v>22</v>
      </c>
      <c r="G540" s="757">
        <f>SUM(G534:G539)</f>
        <v>1577.7</v>
      </c>
      <c r="H540" s="464"/>
    </row>
    <row r="541" spans="1:9" s="465" customFormat="1" ht="16.5" hidden="1" thickBot="1">
      <c r="A541" s="464"/>
      <c r="B541" s="1286"/>
      <c r="C541" s="1287"/>
      <c r="D541" s="1287"/>
      <c r="E541" s="1287"/>
      <c r="F541" s="865"/>
      <c r="G541" s="866"/>
      <c r="H541" s="464"/>
    </row>
    <row r="542" spans="1:9" s="874" customFormat="1" ht="31.5" hidden="1">
      <c r="A542" s="696"/>
      <c r="B542" s="572"/>
      <c r="C542" s="607" t="s">
        <v>13857</v>
      </c>
      <c r="D542" s="574"/>
      <c r="E542" s="575"/>
      <c r="F542" s="608"/>
      <c r="G542" s="577" t="s">
        <v>28</v>
      </c>
      <c r="H542" s="823" t="s">
        <v>13500</v>
      </c>
    </row>
    <row r="543" spans="1:9" ht="31.5" hidden="1">
      <c r="A543" s="464"/>
      <c r="B543" s="578" t="s">
        <v>13502</v>
      </c>
      <c r="C543" s="579" t="s">
        <v>13503</v>
      </c>
      <c r="D543" s="580" t="s">
        <v>13504</v>
      </c>
      <c r="E543" s="581" t="s">
        <v>13505</v>
      </c>
      <c r="F543" s="610" t="s">
        <v>13506</v>
      </c>
      <c r="G543" s="583" t="s">
        <v>13507</v>
      </c>
    </row>
    <row r="544" spans="1:9" ht="15" hidden="1">
      <c r="A544" s="464"/>
      <c r="B544" s="597">
        <v>43571</v>
      </c>
      <c r="C544" s="592" t="s">
        <v>13846</v>
      </c>
      <c r="D544" s="593">
        <v>950</v>
      </c>
      <c r="E544" s="652" t="s">
        <v>13847</v>
      </c>
      <c r="F544" s="814" t="s">
        <v>13848</v>
      </c>
      <c r="G544" s="790" t="s">
        <v>13849</v>
      </c>
      <c r="H544" s="692"/>
      <c r="I544" s="791">
        <f>B544+180</f>
        <v>43751</v>
      </c>
    </row>
    <row r="545" spans="1:9" ht="15" hidden="1">
      <c r="A545" s="464"/>
      <c r="B545" s="597">
        <v>43571</v>
      </c>
      <c r="C545" s="630" t="s">
        <v>13851</v>
      </c>
      <c r="D545" s="593">
        <v>2581.9299999999998</v>
      </c>
      <c r="E545" s="652" t="s">
        <v>13773</v>
      </c>
      <c r="F545" s="814" t="s">
        <v>13852</v>
      </c>
      <c r="G545" s="790" t="s">
        <v>13853</v>
      </c>
      <c r="H545" s="692"/>
      <c r="I545" s="791">
        <f>B545+180</f>
        <v>43751</v>
      </c>
    </row>
    <row r="546" spans="1:9" ht="15.75" hidden="1" thickBot="1">
      <c r="A546" s="464"/>
      <c r="B546" s="611">
        <v>43570</v>
      </c>
      <c r="C546" s="630" t="s">
        <v>13759</v>
      </c>
      <c r="D546" s="593">
        <v>1327.7</v>
      </c>
      <c r="E546" s="789" t="s">
        <v>13760</v>
      </c>
      <c r="F546" s="595" t="s">
        <v>13761</v>
      </c>
      <c r="G546" s="790" t="s">
        <v>13762</v>
      </c>
      <c r="H546" s="692"/>
      <c r="I546" s="792">
        <f>B546+180</f>
        <v>43750</v>
      </c>
    </row>
    <row r="547" spans="1:9" ht="16.5" hidden="1" thickBot="1">
      <c r="A547" s="464"/>
      <c r="B547" s="598"/>
      <c r="C547" s="599" t="s">
        <v>13523</v>
      </c>
      <c r="D547" s="538">
        <f>IF(COUNT(D543:D546)=3,MEDIAN(D544:D546),SMALL(D544:D546,1))</f>
        <v>1327.7</v>
      </c>
      <c r="E547" s="600"/>
      <c r="F547" s="620"/>
      <c r="G547" s="602"/>
    </row>
    <row r="548" spans="1:9" s="465" customFormat="1" ht="16.5" hidden="1" thickBot="1">
      <c r="A548" s="464"/>
      <c r="B548" s="794"/>
      <c r="C548" s="795"/>
      <c r="D548" s="795"/>
      <c r="E548" s="795"/>
      <c r="F548" s="795"/>
      <c r="G548" s="796"/>
      <c r="H548" s="464"/>
    </row>
    <row r="549" spans="1:9" s="465" customFormat="1" ht="15.75" hidden="1">
      <c r="A549" s="464"/>
      <c r="B549" s="704" t="str">
        <f>IF(COUNT($H$8:H549)&lt;10,CONCATENATE("COMP ELE 00",COUNT($H$8:H549)),CONCATENATE("COMP ELE 0",COUNT($H$8:H549)))</f>
        <v>COMP ELE 044</v>
      </c>
      <c r="C549" s="1257" t="str">
        <f>CONCATENATE("FORNECIMENTO E INSTALAÇAO DE ",C552)</f>
        <v>FORNECIMENTO E INSTALAÇAO DE PADRÃO DE ENTRADA DE ENERGIA CATEGORIA "T3" (ENERGISA)</v>
      </c>
      <c r="D549" s="1225"/>
      <c r="E549" s="1225"/>
      <c r="F549" s="1225"/>
      <c r="G549" s="873" t="str">
        <f>G559</f>
        <v>UN</v>
      </c>
      <c r="H549" s="570">
        <f>G557</f>
        <v>1791.9</v>
      </c>
    </row>
    <row r="550" spans="1:9" s="465" customFormat="1" ht="31.5" hidden="1">
      <c r="A550" s="464"/>
      <c r="B550" s="469" t="s">
        <v>13463</v>
      </c>
      <c r="C550" s="707" t="s">
        <v>13464</v>
      </c>
      <c r="D550" s="470" t="s">
        <v>28</v>
      </c>
      <c r="E550" s="707" t="s">
        <v>13465</v>
      </c>
      <c r="F550" s="293" t="s">
        <v>13466</v>
      </c>
      <c r="G550" s="708" t="s">
        <v>13467</v>
      </c>
      <c r="H550" s="464"/>
    </row>
    <row r="551" spans="1:9" s="465" customFormat="1" ht="15.75" hidden="1">
      <c r="A551" s="464"/>
      <c r="B551" s="1283" t="s">
        <v>13468</v>
      </c>
      <c r="C551" s="1284"/>
      <c r="D551" s="1284"/>
      <c r="E551" s="1284"/>
      <c r="F551" s="1284"/>
      <c r="G551" s="1285"/>
      <c r="H551" s="464"/>
    </row>
    <row r="552" spans="1:9" s="465" customFormat="1" ht="30" hidden="1">
      <c r="A552" s="464"/>
      <c r="B552" s="862" t="s">
        <v>13497</v>
      </c>
      <c r="C552" s="863" t="str">
        <f>C559</f>
        <v>PADRÃO DE ENTRADA DE ENERGIA CATEGORIA "T3" (ENERGISA)</v>
      </c>
      <c r="D552" s="872" t="str">
        <f>G559</f>
        <v>UN</v>
      </c>
      <c r="E552" s="815">
        <v>1</v>
      </c>
      <c r="F552" s="815">
        <f>D564</f>
        <v>1541.9</v>
      </c>
      <c r="G552" s="845">
        <f>TRUNC(F552*E552,2)</f>
        <v>1541.9</v>
      </c>
      <c r="H552" s="464"/>
    </row>
    <row r="553" spans="1:9" s="465" customFormat="1" ht="15.75" hidden="1">
      <c r="A553" s="464"/>
      <c r="B553" s="1283" t="s">
        <v>13469</v>
      </c>
      <c r="C553" s="1284"/>
      <c r="D553" s="1284"/>
      <c r="E553" s="1284"/>
      <c r="F553" s="1284"/>
      <c r="G553" s="1285"/>
      <c r="H553" s="464"/>
    </row>
    <row r="554" spans="1:9" s="465" customFormat="1" ht="15.75" hidden="1">
      <c r="A554" s="473" t="s">
        <v>13459</v>
      </c>
      <c r="B554" s="751">
        <v>88266</v>
      </c>
      <c r="C554" s="710" t="s">
        <v>6428</v>
      </c>
      <c r="D554" s="711" t="s">
        <v>753</v>
      </c>
      <c r="E554" s="752">
        <v>2</v>
      </c>
      <c r="F554" s="713">
        <v>20.6</v>
      </c>
      <c r="G554" s="750">
        <f>TRUNC(F554*E554,2)</f>
        <v>41.2</v>
      </c>
      <c r="H554" s="464"/>
    </row>
    <row r="555" spans="1:9" s="465" customFormat="1" ht="15.75" hidden="1">
      <c r="A555" s="473" t="s">
        <v>13459</v>
      </c>
      <c r="B555" s="751">
        <v>88264</v>
      </c>
      <c r="C555" s="710" t="s">
        <v>771</v>
      </c>
      <c r="D555" s="711" t="s">
        <v>753</v>
      </c>
      <c r="E555" s="752">
        <v>4</v>
      </c>
      <c r="F555" s="713">
        <v>20.52</v>
      </c>
      <c r="G555" s="750">
        <f>TRUNC(F555*E555,2)</f>
        <v>82.08</v>
      </c>
      <c r="H555" s="464"/>
    </row>
    <row r="556" spans="1:9" s="465" customFormat="1" ht="16.5" hidden="1" thickBot="1">
      <c r="A556" s="473" t="s">
        <v>13459</v>
      </c>
      <c r="B556" s="753">
        <v>88247</v>
      </c>
      <c r="C556" s="717" t="s">
        <v>924</v>
      </c>
      <c r="D556" s="718" t="s">
        <v>753</v>
      </c>
      <c r="E556" s="754">
        <v>8</v>
      </c>
      <c r="F556" s="720">
        <v>15.84</v>
      </c>
      <c r="G556" s="755">
        <f>TRUNC(F556*E556,2)</f>
        <v>126.72</v>
      </c>
      <c r="H556" s="464"/>
    </row>
    <row r="557" spans="1:9" s="465" customFormat="1" ht="16.5" hidden="1" thickBot="1">
      <c r="A557" s="464"/>
      <c r="B557" s="1286" t="s">
        <v>13836</v>
      </c>
      <c r="C557" s="1287"/>
      <c r="D557" s="1287"/>
      <c r="E557" s="1300"/>
      <c r="F557" s="756" t="s">
        <v>22</v>
      </c>
      <c r="G557" s="757">
        <f>SUM(G551:G556)</f>
        <v>1791.9</v>
      </c>
      <c r="H557" s="464"/>
    </row>
    <row r="558" spans="1:9" s="465" customFormat="1" ht="16.5" hidden="1" thickBot="1">
      <c r="A558" s="464"/>
      <c r="B558" s="1286"/>
      <c r="C558" s="1287"/>
      <c r="D558" s="1287"/>
      <c r="E558" s="1287"/>
      <c r="F558" s="865"/>
      <c r="G558" s="866"/>
      <c r="H558" s="464"/>
    </row>
    <row r="559" spans="1:9" s="874" customFormat="1" ht="31.5" hidden="1">
      <c r="A559" s="696"/>
      <c r="B559" s="572"/>
      <c r="C559" s="607" t="s">
        <v>13858</v>
      </c>
      <c r="D559" s="574"/>
      <c r="E559" s="575"/>
      <c r="F559" s="608"/>
      <c r="G559" s="577" t="s">
        <v>28</v>
      </c>
      <c r="H559" s="823" t="s">
        <v>13500</v>
      </c>
    </row>
    <row r="560" spans="1:9" ht="31.5" hidden="1">
      <c r="A560" s="464"/>
      <c r="B560" s="578" t="s">
        <v>13502</v>
      </c>
      <c r="C560" s="579" t="s">
        <v>13503</v>
      </c>
      <c r="D560" s="580" t="s">
        <v>13504</v>
      </c>
      <c r="E560" s="581" t="s">
        <v>13505</v>
      </c>
      <c r="F560" s="610" t="s">
        <v>13506</v>
      </c>
      <c r="G560" s="583" t="s">
        <v>13507</v>
      </c>
    </row>
    <row r="561" spans="1:9" ht="15" hidden="1">
      <c r="A561" s="464"/>
      <c r="B561" s="611">
        <v>43570</v>
      </c>
      <c r="C561" s="630" t="s">
        <v>13759</v>
      </c>
      <c r="D561" s="593">
        <v>1541.9</v>
      </c>
      <c r="E561" s="789" t="s">
        <v>13760</v>
      </c>
      <c r="F561" s="595" t="s">
        <v>13761</v>
      </c>
      <c r="G561" s="790" t="s">
        <v>13762</v>
      </c>
      <c r="H561" s="692"/>
      <c r="I561" s="791">
        <f>B561+180</f>
        <v>43750</v>
      </c>
    </row>
    <row r="562" spans="1:9" ht="15" hidden="1">
      <c r="A562" s="464"/>
      <c r="B562" s="597">
        <v>43571</v>
      </c>
      <c r="C562" s="592" t="s">
        <v>13846</v>
      </c>
      <c r="D562" s="593">
        <v>1250</v>
      </c>
      <c r="E562" s="652" t="s">
        <v>13847</v>
      </c>
      <c r="F562" s="814" t="s">
        <v>13848</v>
      </c>
      <c r="G562" s="790" t="s">
        <v>13849</v>
      </c>
      <c r="H562" s="692"/>
      <c r="I562" s="791">
        <f>B562+180</f>
        <v>43751</v>
      </c>
    </row>
    <row r="563" spans="1:9" ht="15.75" hidden="1" thickBot="1">
      <c r="A563" s="464"/>
      <c r="B563" s="597">
        <v>43571</v>
      </c>
      <c r="C563" s="630" t="s">
        <v>13851</v>
      </c>
      <c r="D563" s="593">
        <v>2962.18</v>
      </c>
      <c r="E563" s="652" t="s">
        <v>13773</v>
      </c>
      <c r="F563" s="814" t="s">
        <v>13852</v>
      </c>
      <c r="G563" s="790" t="s">
        <v>13853</v>
      </c>
      <c r="H563" s="692"/>
      <c r="I563" s="792">
        <f>B563+180</f>
        <v>43751</v>
      </c>
    </row>
    <row r="564" spans="1:9" ht="16.5" hidden="1" thickBot="1">
      <c r="A564" s="464"/>
      <c r="B564" s="598"/>
      <c r="C564" s="599" t="s">
        <v>13523</v>
      </c>
      <c r="D564" s="538">
        <f>IF(COUNT(D560:D563)=3,MEDIAN(D561:D563),SMALL(D561:D563,1))</f>
        <v>1541.9</v>
      </c>
      <c r="E564" s="600"/>
      <c r="F564" s="620"/>
      <c r="G564" s="602"/>
    </row>
    <row r="565" spans="1:9" s="465" customFormat="1" ht="16.5" hidden="1" thickBot="1">
      <c r="A565" s="464"/>
      <c r="B565" s="794"/>
      <c r="C565" s="795"/>
      <c r="D565" s="795"/>
      <c r="E565" s="795"/>
      <c r="F565" s="795"/>
      <c r="G565" s="796"/>
      <c r="H565" s="464"/>
    </row>
    <row r="566" spans="1:9" s="465" customFormat="1" ht="15.75" hidden="1">
      <c r="A566" s="464"/>
      <c r="B566" s="704" t="str">
        <f>IF(COUNT($H$8:H566)&lt;10,CONCATENATE("COMP ELE 00",COUNT($H$8:H566)),CONCATENATE("COMP ELE 0",COUNT($H$8:H566)))</f>
        <v>COMP ELE 045</v>
      </c>
      <c r="C566" s="1257" t="str">
        <f>CONCATENATE("FORNECIMENTO E INSTALAÇAO DE ",C569)</f>
        <v>FORNECIMENTO E INSTALAÇAO DE PADRÃO DE ENTRADA DE ENERGIA CATEGORIA "T4" (ENERGISA)</v>
      </c>
      <c r="D566" s="1225"/>
      <c r="E566" s="1225"/>
      <c r="F566" s="1225"/>
      <c r="G566" s="873" t="str">
        <f>G576</f>
        <v>UN</v>
      </c>
      <c r="H566" s="570">
        <f>G574</f>
        <v>2408.9999999999995</v>
      </c>
    </row>
    <row r="567" spans="1:9" s="465" customFormat="1" ht="31.5" hidden="1">
      <c r="A567" s="464"/>
      <c r="B567" s="469" t="s">
        <v>13463</v>
      </c>
      <c r="C567" s="707" t="s">
        <v>13464</v>
      </c>
      <c r="D567" s="470" t="s">
        <v>28</v>
      </c>
      <c r="E567" s="707" t="s">
        <v>13465</v>
      </c>
      <c r="F567" s="293" t="s">
        <v>13466</v>
      </c>
      <c r="G567" s="708" t="s">
        <v>13467</v>
      </c>
      <c r="H567" s="464"/>
    </row>
    <row r="568" spans="1:9" s="465" customFormat="1" ht="15.75" hidden="1">
      <c r="A568" s="464"/>
      <c r="B568" s="1283" t="s">
        <v>13468</v>
      </c>
      <c r="C568" s="1284"/>
      <c r="D568" s="1284"/>
      <c r="E568" s="1284"/>
      <c r="F568" s="1284"/>
      <c r="G568" s="1285"/>
      <c r="H568" s="464"/>
    </row>
    <row r="569" spans="1:9" s="465" customFormat="1" ht="30" hidden="1">
      <c r="A569" s="464"/>
      <c r="B569" s="862" t="s">
        <v>13497</v>
      </c>
      <c r="C569" s="863" t="str">
        <f>C576</f>
        <v>PADRÃO DE ENTRADA DE ENERGIA CATEGORIA "T4" (ENERGISA)</v>
      </c>
      <c r="D569" s="872" t="str">
        <f>G576</f>
        <v>UN</v>
      </c>
      <c r="E569" s="815">
        <v>1</v>
      </c>
      <c r="F569" s="815">
        <f>D581</f>
        <v>2159</v>
      </c>
      <c r="G569" s="845">
        <f>TRUNC(F569*E569,2)</f>
        <v>2159</v>
      </c>
      <c r="H569" s="464"/>
    </row>
    <row r="570" spans="1:9" s="465" customFormat="1" ht="15.75" hidden="1">
      <c r="A570" s="464"/>
      <c r="B570" s="1283" t="s">
        <v>13469</v>
      </c>
      <c r="C570" s="1284"/>
      <c r="D570" s="1284"/>
      <c r="E570" s="1284"/>
      <c r="F570" s="1284"/>
      <c r="G570" s="1285"/>
      <c r="H570" s="464"/>
    </row>
    <row r="571" spans="1:9" s="465" customFormat="1" ht="15.75" hidden="1">
      <c r="A571" s="473" t="s">
        <v>13459</v>
      </c>
      <c r="B571" s="751">
        <v>88266</v>
      </c>
      <c r="C571" s="710" t="s">
        <v>6428</v>
      </c>
      <c r="D571" s="711" t="s">
        <v>753</v>
      </c>
      <c r="E571" s="752">
        <v>2</v>
      </c>
      <c r="F571" s="713">
        <v>20.6</v>
      </c>
      <c r="G571" s="750">
        <f>TRUNC(F571*E571,2)</f>
        <v>41.2</v>
      </c>
      <c r="H571" s="464"/>
    </row>
    <row r="572" spans="1:9" s="465" customFormat="1" ht="15.75" hidden="1">
      <c r="A572" s="473" t="s">
        <v>13459</v>
      </c>
      <c r="B572" s="751">
        <v>88264</v>
      </c>
      <c r="C572" s="710" t="s">
        <v>771</v>
      </c>
      <c r="D572" s="711" t="s">
        <v>753</v>
      </c>
      <c r="E572" s="752">
        <v>4</v>
      </c>
      <c r="F572" s="713">
        <v>20.52</v>
      </c>
      <c r="G572" s="750">
        <f>TRUNC(F572*E572,2)</f>
        <v>82.08</v>
      </c>
      <c r="H572" s="464"/>
    </row>
    <row r="573" spans="1:9" s="465" customFormat="1" ht="16.5" hidden="1" thickBot="1">
      <c r="A573" s="473" t="s">
        <v>13459</v>
      </c>
      <c r="B573" s="753">
        <v>88247</v>
      </c>
      <c r="C573" s="717" t="s">
        <v>924</v>
      </c>
      <c r="D573" s="718" t="s">
        <v>753</v>
      </c>
      <c r="E573" s="754">
        <v>8</v>
      </c>
      <c r="F573" s="720">
        <v>15.84</v>
      </c>
      <c r="G573" s="755">
        <f>TRUNC(F573*E573,2)</f>
        <v>126.72</v>
      </c>
      <c r="H573" s="464"/>
    </row>
    <row r="574" spans="1:9" s="465" customFormat="1" ht="16.5" hidden="1" thickBot="1">
      <c r="A574" s="464"/>
      <c r="B574" s="1286" t="s">
        <v>13836</v>
      </c>
      <c r="C574" s="1287"/>
      <c r="D574" s="1287"/>
      <c r="E574" s="1300"/>
      <c r="F574" s="756" t="s">
        <v>22</v>
      </c>
      <c r="G574" s="757">
        <f>SUM(G568:G573)</f>
        <v>2408.9999999999995</v>
      </c>
      <c r="H574" s="464"/>
    </row>
    <row r="575" spans="1:9" s="465" customFormat="1" ht="16.5" hidden="1" thickBot="1">
      <c r="A575" s="464"/>
      <c r="B575" s="1286"/>
      <c r="C575" s="1287"/>
      <c r="D575" s="1287"/>
      <c r="E575" s="1287"/>
      <c r="F575" s="865"/>
      <c r="G575" s="866"/>
      <c r="H575" s="464"/>
    </row>
    <row r="576" spans="1:9" s="874" customFormat="1" ht="31.5" hidden="1">
      <c r="A576" s="696"/>
      <c r="B576" s="572"/>
      <c r="C576" s="607" t="s">
        <v>13859</v>
      </c>
      <c r="D576" s="574"/>
      <c r="E576" s="575"/>
      <c r="F576" s="608"/>
      <c r="G576" s="577" t="s">
        <v>28</v>
      </c>
      <c r="H576" s="823" t="s">
        <v>13500</v>
      </c>
    </row>
    <row r="577" spans="1:9" ht="31.5" hidden="1">
      <c r="A577" s="464"/>
      <c r="B577" s="578" t="s">
        <v>13502</v>
      </c>
      <c r="C577" s="579" t="s">
        <v>13503</v>
      </c>
      <c r="D577" s="580" t="s">
        <v>13504</v>
      </c>
      <c r="E577" s="581" t="s">
        <v>13505</v>
      </c>
      <c r="F577" s="610" t="s">
        <v>13506</v>
      </c>
      <c r="G577" s="583" t="s">
        <v>13507</v>
      </c>
    </row>
    <row r="578" spans="1:9" ht="15" hidden="1">
      <c r="A578" s="464"/>
      <c r="B578" s="611">
        <v>43570</v>
      </c>
      <c r="C578" s="630" t="s">
        <v>13759</v>
      </c>
      <c r="D578" s="593">
        <v>2159</v>
      </c>
      <c r="E578" s="789" t="s">
        <v>13760</v>
      </c>
      <c r="F578" s="595" t="s">
        <v>13761</v>
      </c>
      <c r="G578" s="790" t="s">
        <v>13762</v>
      </c>
      <c r="H578" s="692"/>
      <c r="I578" s="791">
        <f>B578+180</f>
        <v>43750</v>
      </c>
    </row>
    <row r="579" spans="1:9" ht="15" hidden="1">
      <c r="A579" s="464"/>
      <c r="B579" s="597">
        <v>43571</v>
      </c>
      <c r="C579" s="630" t="s">
        <v>13851</v>
      </c>
      <c r="D579" s="586">
        <v>5212.1000000000004</v>
      </c>
      <c r="E579" s="652" t="s">
        <v>13773</v>
      </c>
      <c r="F579" s="814" t="s">
        <v>13852</v>
      </c>
      <c r="G579" s="790" t="s">
        <v>13853</v>
      </c>
      <c r="H579" s="692"/>
      <c r="I579" s="791">
        <f>B579+180</f>
        <v>43751</v>
      </c>
    </row>
    <row r="580" spans="1:9" ht="15.75" hidden="1" thickBot="1">
      <c r="A580" s="464"/>
      <c r="B580" s="597">
        <v>43571</v>
      </c>
      <c r="C580" s="592" t="s">
        <v>13846</v>
      </c>
      <c r="D580" s="593">
        <v>1350</v>
      </c>
      <c r="E580" s="652" t="s">
        <v>13847</v>
      </c>
      <c r="F580" s="814" t="s">
        <v>13848</v>
      </c>
      <c r="G580" s="790" t="s">
        <v>13849</v>
      </c>
      <c r="H580" s="692"/>
      <c r="I580" s="792">
        <f>B580+180</f>
        <v>43751</v>
      </c>
    </row>
    <row r="581" spans="1:9" ht="16.5" hidden="1" thickBot="1">
      <c r="A581" s="464"/>
      <c r="B581" s="598"/>
      <c r="C581" s="599" t="s">
        <v>13523</v>
      </c>
      <c r="D581" s="538">
        <f>IF(COUNT(D577:D580)=3,MEDIAN(D578:D580),SMALL(D578:D580,1))</f>
        <v>2159</v>
      </c>
      <c r="E581" s="600"/>
      <c r="F581" s="620"/>
      <c r="G581" s="602"/>
    </row>
    <row r="582" spans="1:9" s="465" customFormat="1" ht="16.5" hidden="1" thickBot="1">
      <c r="A582" s="464"/>
      <c r="B582" s="794"/>
      <c r="C582" s="795"/>
      <c r="D582" s="795"/>
      <c r="E582" s="795"/>
      <c r="F582" s="795"/>
      <c r="G582" s="796"/>
      <c r="H582" s="464"/>
    </row>
    <row r="583" spans="1:9" s="465" customFormat="1" ht="15.75" hidden="1">
      <c r="A583" s="464"/>
      <c r="B583" s="704" t="str">
        <f>IF(COUNT($H$8:H583)&lt;10,CONCATENATE("COMP ELE 00",COUNT($H$8:H583)),CONCATENATE("COMP ELE 0",COUNT($H$8:H583)))</f>
        <v>COMP ELE 046</v>
      </c>
      <c r="C583" s="1257" t="str">
        <f>CONCATENATE("FORNECIMENTO E INSTALAÇAO DE ",C586)</f>
        <v>FORNECIMENTO E INSTALAÇAO DE PADRÃO DE ENTRADA DE ENERGIA CATEGORIA "T5" (ENERGISA)</v>
      </c>
      <c r="D583" s="1225"/>
      <c r="E583" s="1225"/>
      <c r="F583" s="1225"/>
      <c r="G583" s="873" t="str">
        <f>G593</f>
        <v>UN</v>
      </c>
      <c r="H583" s="570">
        <f>G591</f>
        <v>4067.6399999999994</v>
      </c>
    </row>
    <row r="584" spans="1:9" s="465" customFormat="1" ht="31.5" hidden="1">
      <c r="A584" s="464"/>
      <c r="B584" s="469" t="s">
        <v>13463</v>
      </c>
      <c r="C584" s="707" t="s">
        <v>13464</v>
      </c>
      <c r="D584" s="470" t="s">
        <v>28</v>
      </c>
      <c r="E584" s="707" t="s">
        <v>13465</v>
      </c>
      <c r="F584" s="293" t="s">
        <v>13466</v>
      </c>
      <c r="G584" s="708" t="s">
        <v>13467</v>
      </c>
      <c r="H584" s="464"/>
    </row>
    <row r="585" spans="1:9" s="465" customFormat="1" ht="15.75" hidden="1">
      <c r="A585" s="464"/>
      <c r="B585" s="1283" t="s">
        <v>13468</v>
      </c>
      <c r="C585" s="1284"/>
      <c r="D585" s="1284"/>
      <c r="E585" s="1284"/>
      <c r="F585" s="1284"/>
      <c r="G585" s="1285"/>
      <c r="H585" s="464"/>
    </row>
    <row r="586" spans="1:9" s="465" customFormat="1" ht="30" hidden="1">
      <c r="A586" s="464"/>
      <c r="B586" s="862" t="s">
        <v>13497</v>
      </c>
      <c r="C586" s="863" t="str">
        <f>C593</f>
        <v>PADRÃO DE ENTRADA DE ENERGIA CATEGORIA "T5" (ENERGISA)</v>
      </c>
      <c r="D586" s="872" t="str">
        <f>G593</f>
        <v>UN</v>
      </c>
      <c r="E586" s="815">
        <v>1</v>
      </c>
      <c r="F586" s="815">
        <f>D598</f>
        <v>3817.64</v>
      </c>
      <c r="G586" s="845">
        <f>TRUNC(F586*E586,2)</f>
        <v>3817.64</v>
      </c>
      <c r="H586" s="464"/>
    </row>
    <row r="587" spans="1:9" s="465" customFormat="1" ht="15.75" hidden="1">
      <c r="A587" s="464"/>
      <c r="B587" s="1283" t="s">
        <v>13469</v>
      </c>
      <c r="C587" s="1284"/>
      <c r="D587" s="1284"/>
      <c r="E587" s="1284"/>
      <c r="F587" s="1284"/>
      <c r="G587" s="1285"/>
      <c r="H587" s="464"/>
    </row>
    <row r="588" spans="1:9" s="465" customFormat="1" ht="15.75" hidden="1">
      <c r="A588" s="473" t="s">
        <v>13459</v>
      </c>
      <c r="B588" s="751">
        <v>88266</v>
      </c>
      <c r="C588" s="710" t="s">
        <v>6428</v>
      </c>
      <c r="D588" s="711" t="s">
        <v>753</v>
      </c>
      <c r="E588" s="752">
        <v>2</v>
      </c>
      <c r="F588" s="713">
        <v>20.6</v>
      </c>
      <c r="G588" s="750">
        <f>TRUNC(F588*E588,2)</f>
        <v>41.2</v>
      </c>
      <c r="H588" s="464"/>
    </row>
    <row r="589" spans="1:9" s="465" customFormat="1" ht="15.75" hidden="1">
      <c r="A589" s="473" t="s">
        <v>13459</v>
      </c>
      <c r="B589" s="751">
        <v>88264</v>
      </c>
      <c r="C589" s="710" t="s">
        <v>771</v>
      </c>
      <c r="D589" s="711" t="s">
        <v>753</v>
      </c>
      <c r="E589" s="752">
        <v>4</v>
      </c>
      <c r="F589" s="713">
        <v>20.52</v>
      </c>
      <c r="G589" s="750">
        <f>TRUNC(F589*E589,2)</f>
        <v>82.08</v>
      </c>
      <c r="H589" s="464"/>
    </row>
    <row r="590" spans="1:9" s="465" customFormat="1" ht="16.5" hidden="1" thickBot="1">
      <c r="A590" s="473" t="s">
        <v>13459</v>
      </c>
      <c r="B590" s="753">
        <v>88247</v>
      </c>
      <c r="C590" s="717" t="s">
        <v>924</v>
      </c>
      <c r="D590" s="718" t="s">
        <v>753</v>
      </c>
      <c r="E590" s="754">
        <v>8</v>
      </c>
      <c r="F590" s="720">
        <v>15.84</v>
      </c>
      <c r="G590" s="755">
        <f>TRUNC(F590*E590,2)</f>
        <v>126.72</v>
      </c>
      <c r="H590" s="464"/>
    </row>
    <row r="591" spans="1:9" s="465" customFormat="1" ht="16.5" hidden="1" thickBot="1">
      <c r="A591" s="464"/>
      <c r="B591" s="1286" t="s">
        <v>13836</v>
      </c>
      <c r="C591" s="1287"/>
      <c r="D591" s="1287"/>
      <c r="E591" s="1300"/>
      <c r="F591" s="756" t="s">
        <v>22</v>
      </c>
      <c r="G591" s="757">
        <f>SUM(G585:G590)</f>
        <v>4067.6399999999994</v>
      </c>
      <c r="H591" s="464"/>
    </row>
    <row r="592" spans="1:9" s="465" customFormat="1" ht="16.5" hidden="1" thickBot="1">
      <c r="A592" s="464"/>
      <c r="B592" s="1286"/>
      <c r="C592" s="1287"/>
      <c r="D592" s="1287"/>
      <c r="E592" s="1287"/>
      <c r="F592" s="865"/>
      <c r="G592" s="866"/>
      <c r="H592" s="464"/>
    </row>
    <row r="593" spans="1:9" s="874" customFormat="1" ht="31.5" hidden="1">
      <c r="A593" s="696"/>
      <c r="B593" s="572"/>
      <c r="C593" s="607" t="s">
        <v>13860</v>
      </c>
      <c r="D593" s="574"/>
      <c r="E593" s="575"/>
      <c r="F593" s="608"/>
      <c r="G593" s="577" t="s">
        <v>28</v>
      </c>
      <c r="H593" s="823" t="s">
        <v>13500</v>
      </c>
    </row>
    <row r="594" spans="1:9" ht="31.5" hidden="1">
      <c r="A594" s="464"/>
      <c r="B594" s="578" t="s">
        <v>13502</v>
      </c>
      <c r="C594" s="579" t="s">
        <v>13503</v>
      </c>
      <c r="D594" s="580" t="s">
        <v>13504</v>
      </c>
      <c r="E594" s="581" t="s">
        <v>13505</v>
      </c>
      <c r="F594" s="610" t="s">
        <v>13506</v>
      </c>
      <c r="G594" s="583" t="s">
        <v>13507</v>
      </c>
    </row>
    <row r="595" spans="1:9" ht="15" hidden="1">
      <c r="A595" s="464"/>
      <c r="B595" s="597">
        <v>43571</v>
      </c>
      <c r="C595" s="630" t="s">
        <v>13851</v>
      </c>
      <c r="D595" s="613">
        <v>5970.26</v>
      </c>
      <c r="E595" s="652" t="s">
        <v>13773</v>
      </c>
      <c r="F595" s="814" t="s">
        <v>13852</v>
      </c>
      <c r="G595" s="790" t="s">
        <v>13853</v>
      </c>
      <c r="H595" s="692"/>
      <c r="I595" s="791">
        <f>B595+180</f>
        <v>43751</v>
      </c>
    </row>
    <row r="596" spans="1:9" ht="15" hidden="1">
      <c r="A596" s="464"/>
      <c r="B596" s="597">
        <v>43581</v>
      </c>
      <c r="C596" s="630" t="s">
        <v>13838</v>
      </c>
      <c r="D596" s="593">
        <v>1400</v>
      </c>
      <c r="E596" s="875" t="s">
        <v>13839</v>
      </c>
      <c r="F596" s="876" t="s">
        <v>13840</v>
      </c>
      <c r="G596" s="790" t="s">
        <v>13841</v>
      </c>
      <c r="H596" s="692"/>
      <c r="I596" s="791">
        <f>B596+180</f>
        <v>43761</v>
      </c>
    </row>
    <row r="597" spans="1:9" ht="15.75" hidden="1" thickBot="1">
      <c r="A597" s="464"/>
      <c r="B597" s="611">
        <v>43355</v>
      </c>
      <c r="C597" s="592" t="s">
        <v>13861</v>
      </c>
      <c r="D597" s="617">
        <v>3817.64</v>
      </c>
      <c r="E597" s="614" t="s">
        <v>13824</v>
      </c>
      <c r="F597" s="814" t="s">
        <v>13862</v>
      </c>
      <c r="G597" s="618" t="s">
        <v>13825</v>
      </c>
      <c r="H597" s="692"/>
      <c r="I597" s="792">
        <f>B597+180</f>
        <v>43535</v>
      </c>
    </row>
    <row r="598" spans="1:9" ht="16.5" hidden="1" thickBot="1">
      <c r="A598" s="464"/>
      <c r="B598" s="598"/>
      <c r="C598" s="599" t="s">
        <v>13523</v>
      </c>
      <c r="D598" s="538">
        <f>IF(COUNT(D594:D597)=3,MEDIAN(D595:D597),SMALL(D595:D597,1))</f>
        <v>3817.64</v>
      </c>
      <c r="E598" s="600"/>
      <c r="F598" s="620"/>
      <c r="G598" s="602"/>
    </row>
    <row r="599" spans="1:9" s="465" customFormat="1" ht="16.5" hidden="1" thickBot="1">
      <c r="A599" s="464"/>
      <c r="B599" s="794"/>
      <c r="C599" s="795"/>
      <c r="D599" s="795"/>
      <c r="E599" s="795"/>
      <c r="F599" s="795"/>
      <c r="G599" s="796"/>
      <c r="H599" s="464"/>
    </row>
    <row r="600" spans="1:9" s="465" customFormat="1" ht="15.75" hidden="1">
      <c r="A600" s="464"/>
      <c r="B600" s="704" t="str">
        <f>IF(COUNT($H$8:H600)&lt;10,CONCATENATE("COMP ELE 00",COUNT($H$8:H600)),CONCATENATE("COMP ELE 0",COUNT($H$8:H600)))</f>
        <v>COMP ELE 047</v>
      </c>
      <c r="C600" s="1257" t="str">
        <f>CONCATENATE("FORNECIMENTO E INSTALAÇAO DE ",C603)</f>
        <v>FORNECIMENTO E INSTALAÇAO DE PADRÃO DE ENTRADA DE ENERGIA CATEGORIA "T6" (ENERGISA)</v>
      </c>
      <c r="D600" s="1225"/>
      <c r="E600" s="1225"/>
      <c r="F600" s="1225"/>
      <c r="G600" s="873" t="str">
        <f>G610</f>
        <v>UN</v>
      </c>
      <c r="H600" s="570">
        <f>G608</f>
        <v>4067.6399999999994</v>
      </c>
    </row>
    <row r="601" spans="1:9" s="465" customFormat="1" ht="31.5" hidden="1">
      <c r="A601" s="464"/>
      <c r="B601" s="469" t="s">
        <v>13463</v>
      </c>
      <c r="C601" s="707" t="s">
        <v>13464</v>
      </c>
      <c r="D601" s="470" t="s">
        <v>28</v>
      </c>
      <c r="E601" s="707" t="s">
        <v>13465</v>
      </c>
      <c r="F601" s="293" t="s">
        <v>13466</v>
      </c>
      <c r="G601" s="708" t="s">
        <v>13467</v>
      </c>
      <c r="H601" s="464"/>
    </row>
    <row r="602" spans="1:9" s="465" customFormat="1" ht="15.75" hidden="1">
      <c r="A602" s="464"/>
      <c r="B602" s="1283" t="s">
        <v>13468</v>
      </c>
      <c r="C602" s="1284"/>
      <c r="D602" s="1284"/>
      <c r="E602" s="1284"/>
      <c r="F602" s="1284"/>
      <c r="G602" s="1285"/>
      <c r="H602" s="464"/>
    </row>
    <row r="603" spans="1:9" s="465" customFormat="1" ht="30" hidden="1">
      <c r="A603" s="464"/>
      <c r="B603" s="862" t="s">
        <v>13497</v>
      </c>
      <c r="C603" s="863" t="str">
        <f>C610</f>
        <v>PADRÃO DE ENTRADA DE ENERGIA CATEGORIA "T6" (ENERGISA)</v>
      </c>
      <c r="D603" s="872" t="str">
        <f>G610</f>
        <v>UN</v>
      </c>
      <c r="E603" s="815">
        <v>1</v>
      </c>
      <c r="F603" s="815">
        <f>D615</f>
        <v>3817.64</v>
      </c>
      <c r="G603" s="845">
        <f>TRUNC(F603*E603,2)</f>
        <v>3817.64</v>
      </c>
      <c r="H603" s="464"/>
    </row>
    <row r="604" spans="1:9" s="465" customFormat="1" ht="15.75" hidden="1">
      <c r="A604" s="464"/>
      <c r="B604" s="1283" t="s">
        <v>13469</v>
      </c>
      <c r="C604" s="1284"/>
      <c r="D604" s="1284"/>
      <c r="E604" s="1284"/>
      <c r="F604" s="1284"/>
      <c r="G604" s="1285"/>
      <c r="H604" s="464"/>
    </row>
    <row r="605" spans="1:9" s="465" customFormat="1" ht="15.75" hidden="1">
      <c r="A605" s="473" t="s">
        <v>13459</v>
      </c>
      <c r="B605" s="751">
        <v>88266</v>
      </c>
      <c r="C605" s="710" t="s">
        <v>6428</v>
      </c>
      <c r="D605" s="711" t="s">
        <v>753</v>
      </c>
      <c r="E605" s="752">
        <v>2</v>
      </c>
      <c r="F605" s="713">
        <v>20.6</v>
      </c>
      <c r="G605" s="750">
        <f>TRUNC(F605*E605,2)</f>
        <v>41.2</v>
      </c>
      <c r="H605" s="464"/>
    </row>
    <row r="606" spans="1:9" s="465" customFormat="1" ht="15.75" hidden="1">
      <c r="A606" s="473" t="s">
        <v>13459</v>
      </c>
      <c r="B606" s="751">
        <v>88264</v>
      </c>
      <c r="C606" s="710" t="s">
        <v>771</v>
      </c>
      <c r="D606" s="711" t="s">
        <v>753</v>
      </c>
      <c r="E606" s="752">
        <v>4</v>
      </c>
      <c r="F606" s="713">
        <v>20.52</v>
      </c>
      <c r="G606" s="750">
        <f>TRUNC(F606*E606,2)</f>
        <v>82.08</v>
      </c>
      <c r="H606" s="464"/>
    </row>
    <row r="607" spans="1:9" s="465" customFormat="1" ht="16.5" hidden="1" thickBot="1">
      <c r="A607" s="473" t="s">
        <v>13459</v>
      </c>
      <c r="B607" s="753">
        <v>88247</v>
      </c>
      <c r="C607" s="717" t="s">
        <v>924</v>
      </c>
      <c r="D607" s="718" t="s">
        <v>753</v>
      </c>
      <c r="E607" s="754">
        <v>8</v>
      </c>
      <c r="F607" s="720">
        <v>15.84</v>
      </c>
      <c r="G607" s="755">
        <f>TRUNC(F607*E607,2)</f>
        <v>126.72</v>
      </c>
      <c r="H607" s="464"/>
    </row>
    <row r="608" spans="1:9" s="465" customFormat="1" ht="16.5" hidden="1" thickBot="1">
      <c r="A608" s="464"/>
      <c r="B608" s="1286" t="s">
        <v>13836</v>
      </c>
      <c r="C608" s="1287"/>
      <c r="D608" s="1287"/>
      <c r="E608" s="1300"/>
      <c r="F608" s="756" t="s">
        <v>22</v>
      </c>
      <c r="G608" s="757">
        <f>SUM(G602:G607)</f>
        <v>4067.6399999999994</v>
      </c>
      <c r="H608" s="464"/>
    </row>
    <row r="609" spans="1:9" s="465" customFormat="1" ht="16.5" hidden="1" thickBot="1">
      <c r="A609" s="464"/>
      <c r="B609" s="1286"/>
      <c r="C609" s="1287"/>
      <c r="D609" s="1287"/>
      <c r="E609" s="1287"/>
      <c r="F609" s="865"/>
      <c r="G609" s="866"/>
      <c r="H609" s="464"/>
    </row>
    <row r="610" spans="1:9" s="874" customFormat="1" ht="31.5" hidden="1">
      <c r="A610" s="696"/>
      <c r="B610" s="572"/>
      <c r="C610" s="607" t="s">
        <v>13863</v>
      </c>
      <c r="D610" s="574"/>
      <c r="E610" s="575"/>
      <c r="F610" s="608"/>
      <c r="G610" s="577" t="s">
        <v>28</v>
      </c>
      <c r="H610" s="823" t="s">
        <v>13500</v>
      </c>
    </row>
    <row r="611" spans="1:9" ht="31.5" hidden="1">
      <c r="A611" s="464"/>
      <c r="B611" s="578" t="s">
        <v>13502</v>
      </c>
      <c r="C611" s="579" t="s">
        <v>13503</v>
      </c>
      <c r="D611" s="580" t="s">
        <v>13504</v>
      </c>
      <c r="E611" s="581" t="s">
        <v>13505</v>
      </c>
      <c r="F611" s="610" t="s">
        <v>13506</v>
      </c>
      <c r="G611" s="583" t="s">
        <v>13507</v>
      </c>
    </row>
    <row r="612" spans="1:9" ht="15" hidden="1">
      <c r="A612" s="464"/>
      <c r="B612" s="597">
        <v>43571</v>
      </c>
      <c r="C612" s="630" t="s">
        <v>13851</v>
      </c>
      <c r="D612" s="613">
        <v>10391.450000000001</v>
      </c>
      <c r="E612" s="652" t="s">
        <v>13773</v>
      </c>
      <c r="F612" s="814" t="s">
        <v>13852</v>
      </c>
      <c r="G612" s="790" t="s">
        <v>13853</v>
      </c>
      <c r="H612" s="879"/>
      <c r="I612" s="791">
        <f>B612+180</f>
        <v>43751</v>
      </c>
    </row>
    <row r="613" spans="1:9" ht="15" hidden="1">
      <c r="A613" s="464"/>
      <c r="B613" s="611">
        <v>43434</v>
      </c>
      <c r="C613" s="630" t="s">
        <v>13861</v>
      </c>
      <c r="D613" s="593">
        <v>3817.64</v>
      </c>
      <c r="E613" s="789" t="s">
        <v>13824</v>
      </c>
      <c r="F613" s="595" t="s">
        <v>13864</v>
      </c>
      <c r="G613" s="790" t="s">
        <v>13865</v>
      </c>
      <c r="H613" s="879"/>
      <c r="I613" s="791">
        <f>B613+180</f>
        <v>43614</v>
      </c>
    </row>
    <row r="614" spans="1:9" ht="15.75" hidden="1" thickBot="1">
      <c r="A614" s="464"/>
      <c r="B614" s="611"/>
      <c r="C614" s="592"/>
      <c r="D614" s="617"/>
      <c r="E614" s="614"/>
      <c r="F614" s="814"/>
      <c r="G614" s="618"/>
      <c r="H614" s="879"/>
      <c r="I614" s="792">
        <v>0</v>
      </c>
    </row>
    <row r="615" spans="1:9" ht="16.5" hidden="1" thickBot="1">
      <c r="A615" s="464"/>
      <c r="B615" s="598"/>
      <c r="C615" s="599" t="s">
        <v>13523</v>
      </c>
      <c r="D615" s="538">
        <f>IF(COUNT(D611:D614)=3,MEDIAN(D612:D614),SMALL(D612:D614,1))</f>
        <v>3817.64</v>
      </c>
      <c r="E615" s="600"/>
      <c r="F615" s="620"/>
      <c r="G615" s="602"/>
    </row>
    <row r="616" spans="1:9" ht="15.75" hidden="1" thickBot="1">
      <c r="A616" s="464"/>
      <c r="B616" s="850"/>
      <c r="C616" s="464"/>
      <c r="D616" s="464"/>
      <c r="E616" s="464"/>
      <c r="F616" s="464"/>
      <c r="G616" s="765"/>
    </row>
    <row r="617" spans="1:9" s="465" customFormat="1" ht="29.25" hidden="1" customHeight="1">
      <c r="A617" s="464"/>
      <c r="B617" s="704" t="str">
        <f>IF(COUNT($H$8:H617)&lt;10,CONCATENATE("COMP ELE 00",COUNT($H$8:H617)),CONCATENATE("COMP ELE 0",COUNT($H$8:H617)))</f>
        <v>COMP ELE 048</v>
      </c>
      <c r="C617" s="1257" t="str">
        <f>CONCATENATE("FORNECIMENTO E INSTALAÇÃO DE ",C620)</f>
        <v>FORNECIMENTO E INSTALAÇÃO DE BUCHA EM ALUMINIO, COM ROSCA, DE 3/4", PARA ELETRODUTO</v>
      </c>
      <c r="D617" s="1225"/>
      <c r="E617" s="1225"/>
      <c r="F617" s="1225"/>
      <c r="G617" s="705" t="s">
        <v>199</v>
      </c>
      <c r="H617" s="570">
        <f>G625</f>
        <v>1.2899999999999998</v>
      </c>
    </row>
    <row r="618" spans="1:9" s="465" customFormat="1" ht="31.5" hidden="1">
      <c r="A618" s="464"/>
      <c r="B618" s="469" t="s">
        <v>13463</v>
      </c>
      <c r="C618" s="707" t="s">
        <v>13464</v>
      </c>
      <c r="D618" s="470" t="s">
        <v>28</v>
      </c>
      <c r="E618" s="707" t="s">
        <v>13465</v>
      </c>
      <c r="F618" s="293" t="s">
        <v>13466</v>
      </c>
      <c r="G618" s="708" t="s">
        <v>13467</v>
      </c>
      <c r="H618" s="464"/>
    </row>
    <row r="619" spans="1:9" s="465" customFormat="1" ht="15.75" hidden="1">
      <c r="A619" s="464"/>
      <c r="B619" s="1283" t="s">
        <v>13468</v>
      </c>
      <c r="C619" s="1284"/>
      <c r="D619" s="1284"/>
      <c r="E619" s="1284"/>
      <c r="F619" s="1284"/>
      <c r="G619" s="1285"/>
      <c r="H619" s="464"/>
    </row>
    <row r="620" spans="1:9" s="465" customFormat="1" ht="15.75" hidden="1">
      <c r="A620" s="473" t="s">
        <v>13458</v>
      </c>
      <c r="B620" s="844">
        <v>39175</v>
      </c>
      <c r="C620" s="710" t="s">
        <v>7294</v>
      </c>
      <c r="D620" s="711" t="s">
        <v>6636</v>
      </c>
      <c r="E620" s="815">
        <v>1</v>
      </c>
      <c r="F620" s="713">
        <v>0.62</v>
      </c>
      <c r="G620" s="845">
        <f>TRUNC(F620*E620,2)</f>
        <v>0.62</v>
      </c>
      <c r="H620" s="464"/>
    </row>
    <row r="621" spans="1:9" s="465" customFormat="1" ht="30" hidden="1">
      <c r="A621" s="473" t="s">
        <v>13458</v>
      </c>
      <c r="B621" s="844">
        <v>39209</v>
      </c>
      <c r="C621" s="710" t="s">
        <v>6966</v>
      </c>
      <c r="D621" s="711" t="s">
        <v>6636</v>
      </c>
      <c r="E621" s="815">
        <v>1</v>
      </c>
      <c r="F621" s="713">
        <v>0.32</v>
      </c>
      <c r="G621" s="845">
        <f>TRUNC(F621*E621,2)</f>
        <v>0.32</v>
      </c>
      <c r="H621" s="464"/>
    </row>
    <row r="622" spans="1:9" s="465" customFormat="1" ht="15.75" hidden="1">
      <c r="A622" s="464"/>
      <c r="B622" s="1283" t="s">
        <v>13469</v>
      </c>
      <c r="C622" s="1284"/>
      <c r="D622" s="1284"/>
      <c r="E622" s="1284"/>
      <c r="F622" s="1284"/>
      <c r="G622" s="1285"/>
      <c r="H622" s="464"/>
    </row>
    <row r="623" spans="1:9" s="465" customFormat="1" ht="15.75" hidden="1">
      <c r="A623" s="473" t="s">
        <v>13459</v>
      </c>
      <c r="B623" s="751">
        <v>88264</v>
      </c>
      <c r="C623" s="710" t="s">
        <v>771</v>
      </c>
      <c r="D623" s="711" t="s">
        <v>753</v>
      </c>
      <c r="E623" s="752">
        <v>0.01</v>
      </c>
      <c r="F623" s="713">
        <v>20.52</v>
      </c>
      <c r="G623" s="750">
        <f>TRUNC(F623*E623,2)</f>
        <v>0.2</v>
      </c>
      <c r="H623" s="464"/>
    </row>
    <row r="624" spans="1:9" s="465" customFormat="1" ht="16.5" hidden="1" thickBot="1">
      <c r="A624" s="473" t="s">
        <v>13459</v>
      </c>
      <c r="B624" s="753">
        <v>88247</v>
      </c>
      <c r="C624" s="717" t="s">
        <v>924</v>
      </c>
      <c r="D624" s="718" t="s">
        <v>753</v>
      </c>
      <c r="E624" s="754">
        <v>0.01</v>
      </c>
      <c r="F624" s="720">
        <v>15.84</v>
      </c>
      <c r="G624" s="755">
        <f>TRUNC(F624*E624,2)</f>
        <v>0.15</v>
      </c>
      <c r="H624" s="464"/>
    </row>
    <row r="625" spans="1:8" s="465" customFormat="1" ht="16.5" hidden="1" thickBot="1">
      <c r="A625" s="464"/>
      <c r="B625" s="1301" t="s">
        <v>13866</v>
      </c>
      <c r="C625" s="1302"/>
      <c r="D625" s="1302"/>
      <c r="E625" s="1303"/>
      <c r="F625" s="756" t="s">
        <v>22</v>
      </c>
      <c r="G625" s="757">
        <f>SUM(G619:G624)</f>
        <v>1.2899999999999998</v>
      </c>
      <c r="H625" s="464"/>
    </row>
    <row r="626" spans="1:8" ht="13.5" hidden="1" thickBot="1">
      <c r="B626" s="826"/>
      <c r="C626" s="457"/>
      <c r="D626" s="457"/>
      <c r="E626" s="457"/>
      <c r="F626" s="457"/>
      <c r="G626" s="827"/>
    </row>
    <row r="627" spans="1:8" s="465" customFormat="1" ht="15.75" hidden="1">
      <c r="A627" s="464"/>
      <c r="B627" s="704" t="str">
        <f>IF(COUNT($H$8:H627)&lt;10,CONCATENATE("COMP ELE 00",COUNT($H$8:H627)),CONCATENATE("COMP ELE 0",COUNT($H$8:H627)))</f>
        <v>COMP ELE 049</v>
      </c>
      <c r="C627" s="1257" t="str">
        <f>CONCATENATE("FORNECIMENTO E INSTALAÇÃO DE ",C630)</f>
        <v>FORNECIMENTO E INSTALAÇÃO DE BUCHA EM ALUMINIO, COM ROSCA, DE 1", PARA ELETRODUTO</v>
      </c>
      <c r="D627" s="1225"/>
      <c r="E627" s="1225"/>
      <c r="F627" s="1225"/>
      <c r="G627" s="705" t="s">
        <v>199</v>
      </c>
      <c r="H627" s="570">
        <f>G635</f>
        <v>1.4999999999999998</v>
      </c>
    </row>
    <row r="628" spans="1:8" s="465" customFormat="1" ht="31.5" hidden="1">
      <c r="A628" s="464"/>
      <c r="B628" s="469" t="s">
        <v>13463</v>
      </c>
      <c r="C628" s="707" t="s">
        <v>13464</v>
      </c>
      <c r="D628" s="470" t="s">
        <v>28</v>
      </c>
      <c r="E628" s="707" t="s">
        <v>13465</v>
      </c>
      <c r="F628" s="293" t="s">
        <v>13466</v>
      </c>
      <c r="G628" s="708" t="s">
        <v>13467</v>
      </c>
      <c r="H628" s="464"/>
    </row>
    <row r="629" spans="1:8" s="465" customFormat="1" ht="15.75" hidden="1">
      <c r="A629" s="464"/>
      <c r="B629" s="1283" t="s">
        <v>13468</v>
      </c>
      <c r="C629" s="1284"/>
      <c r="D629" s="1284"/>
      <c r="E629" s="1284"/>
      <c r="F629" s="1284"/>
      <c r="G629" s="1285"/>
      <c r="H629" s="464"/>
    </row>
    <row r="630" spans="1:8" s="465" customFormat="1" ht="15.75" hidden="1">
      <c r="A630" s="473" t="s">
        <v>13458</v>
      </c>
      <c r="B630" s="844">
        <v>39176</v>
      </c>
      <c r="C630" s="710" t="s">
        <v>784</v>
      </c>
      <c r="D630" s="711" t="s">
        <v>6636</v>
      </c>
      <c r="E630" s="815">
        <v>1</v>
      </c>
      <c r="F630" s="713">
        <v>0.66</v>
      </c>
      <c r="G630" s="845">
        <f>TRUNC(F630*E630,2)</f>
        <v>0.66</v>
      </c>
      <c r="H630" s="464"/>
    </row>
    <row r="631" spans="1:8" s="465" customFormat="1" ht="15.75" hidden="1">
      <c r="A631" s="473" t="s">
        <v>13458</v>
      </c>
      <c r="B631" s="844">
        <v>39210</v>
      </c>
      <c r="C631" s="710" t="s">
        <v>785</v>
      </c>
      <c r="D631" s="711" t="s">
        <v>6636</v>
      </c>
      <c r="E631" s="815">
        <v>1</v>
      </c>
      <c r="F631" s="713">
        <v>0.49</v>
      </c>
      <c r="G631" s="845">
        <f>TRUNC(F631*E631,2)</f>
        <v>0.49</v>
      </c>
      <c r="H631" s="464"/>
    </row>
    <row r="632" spans="1:8" s="465" customFormat="1" ht="15.75" hidden="1">
      <c r="A632" s="464"/>
      <c r="B632" s="1283" t="s">
        <v>13469</v>
      </c>
      <c r="C632" s="1284"/>
      <c r="D632" s="1284"/>
      <c r="E632" s="1284"/>
      <c r="F632" s="1284"/>
      <c r="G632" s="1285"/>
      <c r="H632" s="464"/>
    </row>
    <row r="633" spans="1:8" s="465" customFormat="1" ht="15.75" hidden="1">
      <c r="A633" s="473" t="s">
        <v>13459</v>
      </c>
      <c r="B633" s="751">
        <v>88264</v>
      </c>
      <c r="C633" s="710" t="s">
        <v>771</v>
      </c>
      <c r="D633" s="711" t="s">
        <v>753</v>
      </c>
      <c r="E633" s="752">
        <v>0.01</v>
      </c>
      <c r="F633" s="713">
        <v>20.52</v>
      </c>
      <c r="G633" s="750">
        <f>TRUNC(F633*E633,2)</f>
        <v>0.2</v>
      </c>
      <c r="H633" s="464"/>
    </row>
    <row r="634" spans="1:8" s="465" customFormat="1" ht="16.5" hidden="1" thickBot="1">
      <c r="A634" s="473" t="s">
        <v>13459</v>
      </c>
      <c r="B634" s="753">
        <v>88247</v>
      </c>
      <c r="C634" s="717" t="s">
        <v>924</v>
      </c>
      <c r="D634" s="718" t="s">
        <v>753</v>
      </c>
      <c r="E634" s="754">
        <v>0.01</v>
      </c>
      <c r="F634" s="720">
        <v>15.84</v>
      </c>
      <c r="G634" s="755">
        <f>TRUNC(F634*E634,2)</f>
        <v>0.15</v>
      </c>
      <c r="H634" s="464"/>
    </row>
    <row r="635" spans="1:8" s="465" customFormat="1" ht="16.5" hidden="1" thickBot="1">
      <c r="A635" s="464"/>
      <c r="B635" s="1301" t="s">
        <v>13867</v>
      </c>
      <c r="C635" s="1302"/>
      <c r="D635" s="1302"/>
      <c r="E635" s="1303"/>
      <c r="F635" s="756" t="s">
        <v>22</v>
      </c>
      <c r="G635" s="757">
        <f>SUM(G629:G634)</f>
        <v>1.4999999999999998</v>
      </c>
      <c r="H635" s="464"/>
    </row>
    <row r="636" spans="1:8" ht="13.5" thickBot="1">
      <c r="B636" s="826"/>
      <c r="C636" s="457"/>
      <c r="D636" s="457"/>
      <c r="E636" s="457"/>
      <c r="F636" s="457"/>
      <c r="G636" s="827"/>
    </row>
    <row r="637" spans="1:8" ht="25.5" customHeight="1">
      <c r="A637" s="464"/>
      <c r="B637" s="704" t="str">
        <f>IF(COUNT($H$8:H637)&lt;10,CONCATENATE("COMP ELE 00",COUNT($H$8:H637)),CONCATENATE("COMP ELE 0",COUNT($H$8:H637)))</f>
        <v>COMP ELE 050</v>
      </c>
      <c r="C637" s="1257" t="s">
        <v>12946</v>
      </c>
      <c r="D637" s="1225"/>
      <c r="E637" s="1225"/>
      <c r="F637" s="1225"/>
      <c r="G637" s="705" t="s">
        <v>28</v>
      </c>
      <c r="H637" s="570">
        <f>G645</f>
        <v>128.54999999999998</v>
      </c>
    </row>
    <row r="638" spans="1:8" ht="31.5">
      <c r="A638" s="464"/>
      <c r="B638" s="469" t="s">
        <v>13463</v>
      </c>
      <c r="C638" s="707" t="s">
        <v>13464</v>
      </c>
      <c r="D638" s="470" t="s">
        <v>28</v>
      </c>
      <c r="E638" s="707" t="s">
        <v>13465</v>
      </c>
      <c r="F638" s="293" t="s">
        <v>13466</v>
      </c>
      <c r="G638" s="708" t="s">
        <v>13467</v>
      </c>
      <c r="H638" s="464"/>
    </row>
    <row r="639" spans="1:8" ht="15.75">
      <c r="A639" s="464"/>
      <c r="B639" s="1283" t="s">
        <v>13468</v>
      </c>
      <c r="C639" s="1284"/>
      <c r="D639" s="1284"/>
      <c r="E639" s="1284"/>
      <c r="F639" s="1284"/>
      <c r="G639" s="1285"/>
      <c r="H639" s="464"/>
    </row>
    <row r="640" spans="1:8" s="465" customFormat="1" ht="45">
      <c r="A640" s="473" t="s">
        <v>13458</v>
      </c>
      <c r="B640" s="844">
        <v>12232</v>
      </c>
      <c r="C640" s="710" t="s">
        <v>937</v>
      </c>
      <c r="D640" s="711" t="s">
        <v>6636</v>
      </c>
      <c r="E640" s="815">
        <v>1</v>
      </c>
      <c r="F640" s="713">
        <v>15.13</v>
      </c>
      <c r="G640" s="845">
        <f>TRUNC(F640*E640,2)</f>
        <v>15.13</v>
      </c>
      <c r="H640" s="464"/>
    </row>
    <row r="641" spans="1:8" s="465" customFormat="1" ht="15.75">
      <c r="A641" s="473" t="s">
        <v>13458</v>
      </c>
      <c r="B641" s="844">
        <v>39387</v>
      </c>
      <c r="C641" s="710" t="s">
        <v>938</v>
      </c>
      <c r="D641" s="711" t="s">
        <v>6636</v>
      </c>
      <c r="E641" s="815">
        <v>2</v>
      </c>
      <c r="F641" s="713">
        <v>41.23</v>
      </c>
      <c r="G641" s="845">
        <f>TRUNC(F641*E641,2)</f>
        <v>82.46</v>
      </c>
      <c r="H641" s="464"/>
    </row>
    <row r="642" spans="1:8" ht="15.75">
      <c r="A642" s="464"/>
      <c r="B642" s="1283" t="s">
        <v>13469</v>
      </c>
      <c r="C642" s="1284"/>
      <c r="D642" s="1284"/>
      <c r="E642" s="1284"/>
      <c r="F642" s="1284"/>
      <c r="G642" s="1285"/>
      <c r="H642" s="464"/>
    </row>
    <row r="643" spans="1:8" ht="15.75">
      <c r="A643" s="473" t="s">
        <v>13459</v>
      </c>
      <c r="B643" s="751">
        <v>88264</v>
      </c>
      <c r="C643" s="710" t="s">
        <v>771</v>
      </c>
      <c r="D643" s="711" t="s">
        <v>753</v>
      </c>
      <c r="E643" s="752">
        <v>0.85</v>
      </c>
      <c r="F643" s="713">
        <v>20.52</v>
      </c>
      <c r="G643" s="750">
        <f>TRUNC(F643*E643,2)</f>
        <v>17.440000000000001</v>
      </c>
      <c r="H643" s="464"/>
    </row>
    <row r="644" spans="1:8" ht="16.5" thickBot="1">
      <c r="A644" s="473" t="s">
        <v>13459</v>
      </c>
      <c r="B644" s="753">
        <v>88316</v>
      </c>
      <c r="C644" s="717" t="s">
        <v>761</v>
      </c>
      <c r="D644" s="718" t="s">
        <v>753</v>
      </c>
      <c r="E644" s="754">
        <v>0.85</v>
      </c>
      <c r="F644" s="720">
        <v>15.91</v>
      </c>
      <c r="G644" s="755">
        <f>TRUNC(F644*E644,2)</f>
        <v>13.52</v>
      </c>
      <c r="H644" s="464"/>
    </row>
    <row r="645" spans="1:8" ht="16.5" thickBot="1">
      <c r="A645" s="464"/>
      <c r="B645" s="1304" t="s">
        <v>13868</v>
      </c>
      <c r="C645" s="1305"/>
      <c r="D645" s="1305"/>
      <c r="E645" s="1306"/>
      <c r="F645" s="756" t="s">
        <v>22</v>
      </c>
      <c r="G645" s="757">
        <f>SUM(G639:G644)</f>
        <v>128.54999999999998</v>
      </c>
      <c r="H645" s="464"/>
    </row>
    <row r="646" spans="1:8" hidden="1">
      <c r="B646" s="826"/>
      <c r="C646" s="457"/>
      <c r="D646" s="457"/>
      <c r="E646" s="457"/>
      <c r="F646" s="457"/>
      <c r="G646" s="827"/>
    </row>
    <row r="647" spans="1:8" ht="39.75" hidden="1" customHeight="1">
      <c r="A647" s="464"/>
      <c r="B647" s="704" t="str">
        <f>IF(COUNT($H$8:H647)&lt;10,CONCATENATE("COMP ELE 00",COUNT($H$8:H647)),CONCATENATE("COMP ELE 0",COUNT($H$8:H647)))</f>
        <v>COMP ELE 051</v>
      </c>
      <c r="C647" s="1257" t="s">
        <v>13869</v>
      </c>
      <c r="D647" s="1225"/>
      <c r="E647" s="1225"/>
      <c r="F647" s="1225"/>
      <c r="G647" s="705" t="s">
        <v>28</v>
      </c>
      <c r="H647" s="570">
        <f>G655</f>
        <v>197.33</v>
      </c>
    </row>
    <row r="648" spans="1:8" ht="31.5" hidden="1">
      <c r="A648" s="464"/>
      <c r="B648" s="469" t="s">
        <v>13463</v>
      </c>
      <c r="C648" s="707" t="s">
        <v>13464</v>
      </c>
      <c r="D648" s="470" t="s">
        <v>28</v>
      </c>
      <c r="E648" s="707" t="s">
        <v>13465</v>
      </c>
      <c r="F648" s="293" t="s">
        <v>13466</v>
      </c>
      <c r="G648" s="708" t="s">
        <v>13467</v>
      </c>
      <c r="H648" s="464"/>
    </row>
    <row r="649" spans="1:8" ht="15.75" hidden="1">
      <c r="A649" s="464"/>
      <c r="B649" s="1283" t="s">
        <v>13468</v>
      </c>
      <c r="C649" s="1284"/>
      <c r="D649" s="1284"/>
      <c r="E649" s="1284"/>
      <c r="F649" s="1284"/>
      <c r="G649" s="1285"/>
      <c r="H649" s="464"/>
    </row>
    <row r="650" spans="1:8" s="465" customFormat="1" ht="30" hidden="1">
      <c r="A650" s="473" t="s">
        <v>13458</v>
      </c>
      <c r="B650" s="844">
        <v>38785</v>
      </c>
      <c r="C650" s="710" t="s">
        <v>9331</v>
      </c>
      <c r="D650" s="711" t="s">
        <v>6636</v>
      </c>
      <c r="E650" s="815">
        <v>1</v>
      </c>
      <c r="F650" s="713">
        <v>83.91</v>
      </c>
      <c r="G650" s="845">
        <f>TRUNC(F650*E650,2)</f>
        <v>83.91</v>
      </c>
      <c r="H650" s="464"/>
    </row>
    <row r="651" spans="1:8" s="465" customFormat="1" ht="15.75" hidden="1">
      <c r="A651" s="473" t="s">
        <v>13458</v>
      </c>
      <c r="B651" s="844">
        <v>39387</v>
      </c>
      <c r="C651" s="710" t="s">
        <v>938</v>
      </c>
      <c r="D651" s="711" t="s">
        <v>6636</v>
      </c>
      <c r="E651" s="815">
        <v>2</v>
      </c>
      <c r="F651" s="713">
        <v>41.23</v>
      </c>
      <c r="G651" s="845">
        <f>TRUNC(F651*E651,2)</f>
        <v>82.46</v>
      </c>
      <c r="H651" s="464"/>
    </row>
    <row r="652" spans="1:8" ht="15.75" hidden="1">
      <c r="A652" s="464"/>
      <c r="B652" s="1283" t="s">
        <v>13469</v>
      </c>
      <c r="C652" s="1284"/>
      <c r="D652" s="1284"/>
      <c r="E652" s="1284"/>
      <c r="F652" s="1284"/>
      <c r="G652" s="1285"/>
      <c r="H652" s="464"/>
    </row>
    <row r="653" spans="1:8" ht="15.75" hidden="1">
      <c r="A653" s="473" t="s">
        <v>13459</v>
      </c>
      <c r="B653" s="751">
        <v>88264</v>
      </c>
      <c r="C653" s="710" t="s">
        <v>771</v>
      </c>
      <c r="D653" s="711" t="s">
        <v>753</v>
      </c>
      <c r="E653" s="752">
        <v>0.85</v>
      </c>
      <c r="F653" s="713">
        <v>20.52</v>
      </c>
      <c r="G653" s="750">
        <f>TRUNC(F653*E653,2)</f>
        <v>17.440000000000001</v>
      </c>
      <c r="H653" s="464"/>
    </row>
    <row r="654" spans="1:8" ht="16.5" hidden="1" thickBot="1">
      <c r="A654" s="473" t="s">
        <v>13459</v>
      </c>
      <c r="B654" s="753">
        <v>88316</v>
      </c>
      <c r="C654" s="717" t="s">
        <v>761</v>
      </c>
      <c r="D654" s="718" t="s">
        <v>753</v>
      </c>
      <c r="E654" s="754">
        <v>0.85</v>
      </c>
      <c r="F654" s="720">
        <v>15.91</v>
      </c>
      <c r="G654" s="755">
        <f>TRUNC(F654*E654,2)</f>
        <v>13.52</v>
      </c>
      <c r="H654" s="464"/>
    </row>
    <row r="655" spans="1:8" ht="16.5" hidden="1" thickBot="1">
      <c r="A655" s="464"/>
      <c r="B655" s="1304" t="s">
        <v>13868</v>
      </c>
      <c r="C655" s="1305"/>
      <c r="D655" s="1305"/>
      <c r="E655" s="1306"/>
      <c r="F655" s="756" t="s">
        <v>22</v>
      </c>
      <c r="G655" s="757">
        <f>SUM(G649:G654)</f>
        <v>197.33</v>
      </c>
      <c r="H655" s="464"/>
    </row>
    <row r="656" spans="1:8" ht="13.5" hidden="1" thickBot="1">
      <c r="B656" s="826"/>
      <c r="C656" s="457"/>
      <c r="D656" s="457"/>
      <c r="E656" s="457"/>
      <c r="F656" s="457"/>
      <c r="G656" s="827"/>
    </row>
    <row r="657" spans="1:8" ht="36" hidden="1" customHeight="1">
      <c r="A657" s="464"/>
      <c r="B657" s="704" t="str">
        <f>IF(COUNT($H$8:H657)&lt;10,CONCATENATE("COMP ELE 00",COUNT($H$8:H657)),CONCATENATE("COMP ELE 0",COUNT($H$8:H657)))</f>
        <v>COMP ELE 052</v>
      </c>
      <c r="C657" s="1257" t="s">
        <v>13870</v>
      </c>
      <c r="D657" s="1225"/>
      <c r="E657" s="1225"/>
      <c r="F657" s="1225"/>
      <c r="G657" s="705" t="s">
        <v>28</v>
      </c>
      <c r="H657" s="570">
        <f>G666</f>
        <v>142.57000000000002</v>
      </c>
    </row>
    <row r="658" spans="1:8" ht="31.5" hidden="1">
      <c r="A658" s="464"/>
      <c r="B658" s="469" t="s">
        <v>13463</v>
      </c>
      <c r="C658" s="470" t="s">
        <v>13464</v>
      </c>
      <c r="D658" s="470" t="s">
        <v>28</v>
      </c>
      <c r="E658" s="470" t="s">
        <v>13465</v>
      </c>
      <c r="F658" s="471" t="s">
        <v>13466</v>
      </c>
      <c r="G658" s="472" t="s">
        <v>13467</v>
      </c>
      <c r="H658" s="464"/>
    </row>
    <row r="659" spans="1:8" ht="15.75" hidden="1">
      <c r="A659" s="464"/>
      <c r="B659" s="1246" t="s">
        <v>13468</v>
      </c>
      <c r="C659" s="1247"/>
      <c r="D659" s="1247"/>
      <c r="E659" s="1247"/>
      <c r="F659" s="1247"/>
      <c r="G659" s="1248"/>
      <c r="H659" s="464"/>
    </row>
    <row r="660" spans="1:8" ht="30" hidden="1">
      <c r="A660" s="473" t="s">
        <v>13458</v>
      </c>
      <c r="B660" s="799">
        <v>38785</v>
      </c>
      <c r="C660" s="710" t="s">
        <v>9331</v>
      </c>
      <c r="D660" s="711" t="s">
        <v>6636</v>
      </c>
      <c r="E660" s="800">
        <v>1</v>
      </c>
      <c r="F660" s="713">
        <v>83.91</v>
      </c>
      <c r="G660" s="825">
        <f>TRUNC(F660*E660,2)</f>
        <v>83.91</v>
      </c>
      <c r="H660" s="464"/>
    </row>
    <row r="661" spans="1:8" ht="15.75" hidden="1">
      <c r="A661" s="473" t="s">
        <v>13458</v>
      </c>
      <c r="B661" s="799">
        <v>38778</v>
      </c>
      <c r="C661" s="710" t="s">
        <v>9244</v>
      </c>
      <c r="D661" s="711" t="s">
        <v>6636</v>
      </c>
      <c r="E661" s="800">
        <v>2</v>
      </c>
      <c r="F661" s="713">
        <v>4.7300000000000004</v>
      </c>
      <c r="G661" s="825">
        <f>TRUNC(F661*E661,2)</f>
        <v>9.4600000000000009</v>
      </c>
      <c r="H661" s="464"/>
    </row>
    <row r="662" spans="1:8" ht="30" hidden="1">
      <c r="A662" s="473" t="s">
        <v>13458</v>
      </c>
      <c r="B662" s="799">
        <v>1086</v>
      </c>
      <c r="C662" s="710" t="s">
        <v>10311</v>
      </c>
      <c r="D662" s="711" t="s">
        <v>6636</v>
      </c>
      <c r="E662" s="800">
        <v>1</v>
      </c>
      <c r="F662" s="713">
        <v>18.239999999999998</v>
      </c>
      <c r="G662" s="825">
        <f>TRUNC(F662*E662,2)</f>
        <v>18.239999999999998</v>
      </c>
      <c r="H662" s="464"/>
    </row>
    <row r="663" spans="1:8" ht="15.75" hidden="1">
      <c r="A663" s="464"/>
      <c r="B663" s="1246" t="s">
        <v>13469</v>
      </c>
      <c r="C663" s="1247"/>
      <c r="D663" s="1247"/>
      <c r="E663" s="1247"/>
      <c r="F663" s="1247"/>
      <c r="G663" s="1248"/>
      <c r="H663" s="464"/>
    </row>
    <row r="664" spans="1:8" ht="15.75" hidden="1">
      <c r="A664" s="473" t="s">
        <v>13459</v>
      </c>
      <c r="B664" s="751">
        <v>88264</v>
      </c>
      <c r="C664" s="710" t="s">
        <v>771</v>
      </c>
      <c r="D664" s="711" t="s">
        <v>753</v>
      </c>
      <c r="E664" s="749">
        <v>0.85</v>
      </c>
      <c r="F664" s="713">
        <v>20.52</v>
      </c>
      <c r="G664" s="750">
        <f>TRUNC(F664*E664,2)</f>
        <v>17.440000000000001</v>
      </c>
      <c r="H664" s="880"/>
    </row>
    <row r="665" spans="1:8" ht="16.5" hidden="1" thickBot="1">
      <c r="A665" s="473" t="s">
        <v>13459</v>
      </c>
      <c r="B665" s="753">
        <v>88316</v>
      </c>
      <c r="C665" s="717" t="s">
        <v>761</v>
      </c>
      <c r="D665" s="718" t="s">
        <v>753</v>
      </c>
      <c r="E665" s="848">
        <v>0.85</v>
      </c>
      <c r="F665" s="720">
        <v>15.91</v>
      </c>
      <c r="G665" s="755">
        <f>TRUNC(F665*E665,2)</f>
        <v>13.52</v>
      </c>
      <c r="H665" s="880"/>
    </row>
    <row r="666" spans="1:8" ht="16.5" hidden="1" thickBot="1">
      <c r="A666" s="464"/>
      <c r="B666" s="1271" t="s">
        <v>13871</v>
      </c>
      <c r="C666" s="1272"/>
      <c r="D666" s="1272"/>
      <c r="E666" s="1273"/>
      <c r="F666" s="756" t="s">
        <v>22</v>
      </c>
      <c r="G666" s="757">
        <f>SUM(G659:G665)</f>
        <v>142.57000000000002</v>
      </c>
      <c r="H666" s="464"/>
    </row>
    <row r="667" spans="1:8" ht="13.5" hidden="1" thickBot="1">
      <c r="B667" s="826"/>
      <c r="C667" s="457"/>
      <c r="D667" s="457"/>
      <c r="E667" s="457"/>
      <c r="F667" s="457"/>
      <c r="G667" s="827"/>
    </row>
    <row r="668" spans="1:8" ht="37.5" hidden="1" customHeight="1">
      <c r="A668" s="464"/>
      <c r="B668" s="704" t="str">
        <f>IF(COUNT($H$8:H668)&lt;10,CONCATENATE("COMP ELE 00",COUNT($H$8:H668)),CONCATENATE("COMP ELE 0",COUNT($H$8:H668)))</f>
        <v>COMP ELE 053</v>
      </c>
      <c r="C668" s="1257" t="s">
        <v>13872</v>
      </c>
      <c r="D668" s="1225"/>
      <c r="E668" s="1225"/>
      <c r="F668" s="1225"/>
      <c r="G668" s="705" t="s">
        <v>28</v>
      </c>
      <c r="H668" s="570">
        <f>G677</f>
        <v>168.66</v>
      </c>
    </row>
    <row r="669" spans="1:8" ht="31.5" hidden="1">
      <c r="A669" s="464"/>
      <c r="B669" s="469" t="s">
        <v>13463</v>
      </c>
      <c r="C669" s="470" t="s">
        <v>13464</v>
      </c>
      <c r="D669" s="470" t="s">
        <v>28</v>
      </c>
      <c r="E669" s="470" t="s">
        <v>13465</v>
      </c>
      <c r="F669" s="471" t="s">
        <v>13466</v>
      </c>
      <c r="G669" s="472" t="s">
        <v>13467</v>
      </c>
      <c r="H669" s="464"/>
    </row>
    <row r="670" spans="1:8" ht="15.75" hidden="1">
      <c r="A670" s="464"/>
      <c r="B670" s="1246" t="s">
        <v>13468</v>
      </c>
      <c r="C670" s="1247"/>
      <c r="D670" s="1247"/>
      <c r="E670" s="1247"/>
      <c r="F670" s="1247"/>
      <c r="G670" s="1248"/>
      <c r="H670" s="464"/>
    </row>
    <row r="671" spans="1:8" ht="30" hidden="1">
      <c r="A671" s="473" t="s">
        <v>13458</v>
      </c>
      <c r="B671" s="799">
        <v>38786</v>
      </c>
      <c r="C671" s="710" t="s">
        <v>9332</v>
      </c>
      <c r="D671" s="711" t="s">
        <v>6636</v>
      </c>
      <c r="E671" s="800">
        <v>1</v>
      </c>
      <c r="F671" s="713">
        <v>103.36</v>
      </c>
      <c r="G671" s="825">
        <f>TRUNC(F671*E671,2)</f>
        <v>103.36</v>
      </c>
      <c r="H671" s="464"/>
    </row>
    <row r="672" spans="1:8" ht="15.75" hidden="1">
      <c r="A672" s="473" t="s">
        <v>13458</v>
      </c>
      <c r="B672" s="799">
        <v>38779</v>
      </c>
      <c r="C672" s="710" t="s">
        <v>9245</v>
      </c>
      <c r="D672" s="711" t="s">
        <v>6636</v>
      </c>
      <c r="E672" s="800">
        <v>2</v>
      </c>
      <c r="F672" s="713">
        <v>5.01</v>
      </c>
      <c r="G672" s="825">
        <f>TRUNC(F672*E672,2)</f>
        <v>10.02</v>
      </c>
      <c r="H672" s="464"/>
    </row>
    <row r="673" spans="1:8" ht="30" hidden="1">
      <c r="A673" s="473" t="s">
        <v>13458</v>
      </c>
      <c r="B673" s="799">
        <v>1079</v>
      </c>
      <c r="C673" s="710" t="s">
        <v>10312</v>
      </c>
      <c r="D673" s="711" t="s">
        <v>6636</v>
      </c>
      <c r="E673" s="800">
        <v>1</v>
      </c>
      <c r="F673" s="713">
        <v>18.850000000000001</v>
      </c>
      <c r="G673" s="825">
        <f>TRUNC(F673*E673,2)</f>
        <v>18.850000000000001</v>
      </c>
      <c r="H673" s="464"/>
    </row>
    <row r="674" spans="1:8" ht="15.75" hidden="1">
      <c r="A674" s="464"/>
      <c r="B674" s="1246" t="s">
        <v>13469</v>
      </c>
      <c r="C674" s="1247"/>
      <c r="D674" s="1247"/>
      <c r="E674" s="1247"/>
      <c r="F674" s="1247"/>
      <c r="G674" s="1248"/>
      <c r="H674" s="464"/>
    </row>
    <row r="675" spans="1:8" ht="15.75" hidden="1">
      <c r="A675" s="473" t="s">
        <v>13459</v>
      </c>
      <c r="B675" s="751">
        <v>88264</v>
      </c>
      <c r="C675" s="710" t="s">
        <v>771</v>
      </c>
      <c r="D675" s="711" t="s">
        <v>753</v>
      </c>
      <c r="E675" s="749">
        <v>1</v>
      </c>
      <c r="F675" s="713">
        <v>20.52</v>
      </c>
      <c r="G675" s="750">
        <f>TRUNC(F675*E675,2)</f>
        <v>20.52</v>
      </c>
      <c r="H675" s="880"/>
    </row>
    <row r="676" spans="1:8" ht="16.5" hidden="1" thickBot="1">
      <c r="A676" s="473" t="s">
        <v>13459</v>
      </c>
      <c r="B676" s="753">
        <v>88316</v>
      </c>
      <c r="C676" s="717" t="s">
        <v>761</v>
      </c>
      <c r="D676" s="718" t="s">
        <v>753</v>
      </c>
      <c r="E676" s="848">
        <v>1</v>
      </c>
      <c r="F676" s="720">
        <v>15.91</v>
      </c>
      <c r="G676" s="755">
        <f>TRUNC(F676*E676,2)</f>
        <v>15.91</v>
      </c>
      <c r="H676" s="880"/>
    </row>
    <row r="677" spans="1:8" ht="16.5" hidden="1" thickBot="1">
      <c r="A677" s="464"/>
      <c r="B677" s="1271" t="s">
        <v>13873</v>
      </c>
      <c r="C677" s="1272"/>
      <c r="D677" s="1272"/>
      <c r="E677" s="1273"/>
      <c r="F677" s="756" t="s">
        <v>22</v>
      </c>
      <c r="G677" s="757">
        <f>SUM(G670:G676)</f>
        <v>168.66</v>
      </c>
      <c r="H677" s="464"/>
    </row>
    <row r="678" spans="1:8" ht="13.5" hidden="1" thickBot="1">
      <c r="B678" s="826"/>
      <c r="C678" s="457"/>
      <c r="D678" s="457"/>
      <c r="E678" s="457"/>
      <c r="F678" s="457"/>
      <c r="G678" s="827"/>
    </row>
    <row r="679" spans="1:8" ht="39.75" hidden="1" customHeight="1">
      <c r="A679" s="464"/>
      <c r="B679" s="704" t="str">
        <f>IF(COUNT($H$8:H679)&lt;10,CONCATENATE("COMP ELE 00",COUNT($H$8:H679)),CONCATENATE("COMP ELE 0",COUNT($H$8:H679)))</f>
        <v>COMP ELE 054</v>
      </c>
      <c r="C679" s="1257" t="s">
        <v>13874</v>
      </c>
      <c r="D679" s="1274"/>
      <c r="E679" s="1274"/>
      <c r="F679" s="1274"/>
      <c r="G679" s="705" t="s">
        <v>28</v>
      </c>
      <c r="H679" s="570">
        <f>G686</f>
        <v>154.44999999999999</v>
      </c>
    </row>
    <row r="680" spans="1:8" ht="31.5" hidden="1">
      <c r="A680" s="464"/>
      <c r="B680" s="469" t="s">
        <v>13463</v>
      </c>
      <c r="C680" s="470" t="s">
        <v>13464</v>
      </c>
      <c r="D680" s="470" t="s">
        <v>28</v>
      </c>
      <c r="E680" s="470" t="s">
        <v>13465</v>
      </c>
      <c r="F680" s="471" t="s">
        <v>13466</v>
      </c>
      <c r="G680" s="472" t="s">
        <v>13467</v>
      </c>
      <c r="H680" s="464"/>
    </row>
    <row r="681" spans="1:8" ht="15.75" hidden="1">
      <c r="A681" s="464"/>
      <c r="B681" s="1246" t="s">
        <v>13468</v>
      </c>
      <c r="C681" s="1247"/>
      <c r="D681" s="1247"/>
      <c r="E681" s="1247"/>
      <c r="F681" s="1247"/>
      <c r="G681" s="1248"/>
      <c r="H681" s="464"/>
    </row>
    <row r="682" spans="1:8" ht="45" hidden="1">
      <c r="A682" s="473" t="s">
        <v>13458</v>
      </c>
      <c r="B682" s="799">
        <v>39796</v>
      </c>
      <c r="C682" s="710" t="s">
        <v>12338</v>
      </c>
      <c r="D682" s="711" t="s">
        <v>6636</v>
      </c>
      <c r="E682" s="800">
        <v>1</v>
      </c>
      <c r="F682" s="713">
        <v>63.55</v>
      </c>
      <c r="G682" s="825">
        <f>TRUNC(F682*E682,2)</f>
        <v>63.55</v>
      </c>
      <c r="H682" s="464"/>
    </row>
    <row r="683" spans="1:8" ht="15.75" hidden="1">
      <c r="A683" s="464"/>
      <c r="B683" s="1246" t="s">
        <v>13469</v>
      </c>
      <c r="C683" s="1247"/>
      <c r="D683" s="1247"/>
      <c r="E683" s="1247"/>
      <c r="F683" s="1247"/>
      <c r="G683" s="1248"/>
      <c r="H683" s="464"/>
    </row>
    <row r="684" spans="1:8" ht="15.75" hidden="1">
      <c r="A684" s="473" t="s">
        <v>13459</v>
      </c>
      <c r="B684" s="751">
        <v>88264</v>
      </c>
      <c r="C684" s="710" t="s">
        <v>771</v>
      </c>
      <c r="D684" s="711" t="s">
        <v>753</v>
      </c>
      <c r="E684" s="752">
        <v>2.5</v>
      </c>
      <c r="F684" s="713">
        <v>20.52</v>
      </c>
      <c r="G684" s="750">
        <f>TRUNC(F684*E684,2)</f>
        <v>51.3</v>
      </c>
      <c r="H684" s="880"/>
    </row>
    <row r="685" spans="1:8" ht="16.5" hidden="1" thickBot="1">
      <c r="A685" s="473" t="s">
        <v>13459</v>
      </c>
      <c r="B685" s="753">
        <v>88247</v>
      </c>
      <c r="C685" s="717" t="s">
        <v>924</v>
      </c>
      <c r="D685" s="718" t="s">
        <v>753</v>
      </c>
      <c r="E685" s="754">
        <v>2.5</v>
      </c>
      <c r="F685" s="720">
        <v>15.84</v>
      </c>
      <c r="G685" s="755">
        <f>TRUNC(F685*E685,2)</f>
        <v>39.6</v>
      </c>
      <c r="H685" s="880"/>
    </row>
    <row r="686" spans="1:8" ht="16.5" hidden="1" thickBot="1">
      <c r="A686" s="464"/>
      <c r="B686" s="1271" t="s">
        <v>13875</v>
      </c>
      <c r="C686" s="1272"/>
      <c r="D686" s="1272"/>
      <c r="E686" s="1273"/>
      <c r="F686" s="756" t="s">
        <v>22</v>
      </c>
      <c r="G686" s="757">
        <f>SUM(G681:G685)</f>
        <v>154.44999999999999</v>
      </c>
      <c r="H686" s="464"/>
    </row>
    <row r="687" spans="1:8" ht="13.5" hidden="1" thickBot="1">
      <c r="B687" s="826"/>
      <c r="C687" s="457"/>
      <c r="D687" s="457"/>
      <c r="E687" s="457"/>
      <c r="F687" s="457"/>
      <c r="G687" s="827"/>
    </row>
    <row r="688" spans="1:8" ht="53.25" hidden="1" customHeight="1">
      <c r="B688" s="704" t="str">
        <f>IF(COUNT($H$8:H688)&lt;10,CONCATENATE("COMP ELE 00",COUNT($H$8:H688)),CONCATENATE("COMP ELE 0",COUNT($H$8:H688)))</f>
        <v>COMP ELE 055</v>
      </c>
      <c r="C688" s="1257" t="str">
        <f>CONCATENATE("FORNECIMENTO E INSTALAÇÃO DE ",C692)</f>
        <v>FORNECIMENTO E INSTALAÇÃO DE LUMINÁRIA PLAFON DE  LED QUADRADA EMBUTIR , BRANCO FRIO,POTÊNCIA 24W ; BIVOLT;FLUXO LUMINOSO (lm) 3360lm;TEMPERATURA DA COR Branco Frio 3000K - 6000K;ÍNDICE DE REPRODUÇÃO DE COR (IRC)&gt;70;BIVOLT</v>
      </c>
      <c r="D688" s="1225"/>
      <c r="E688" s="1225"/>
      <c r="F688" s="1225"/>
      <c r="G688" s="705" t="s">
        <v>28</v>
      </c>
      <c r="H688" s="698">
        <f>G696</f>
        <v>63.75</v>
      </c>
    </row>
    <row r="689" spans="1:9" ht="15.75" hidden="1">
      <c r="B689" s="1246" t="s">
        <v>13468</v>
      </c>
      <c r="C689" s="1247"/>
      <c r="D689" s="1247"/>
      <c r="E689" s="1247"/>
      <c r="F689" s="1247"/>
      <c r="G689" s="1248"/>
    </row>
    <row r="690" spans="1:9" ht="31.5" hidden="1">
      <c r="B690" s="469" t="s">
        <v>13463</v>
      </c>
      <c r="C690" s="470" t="s">
        <v>13464</v>
      </c>
      <c r="D690" s="470" t="s">
        <v>28</v>
      </c>
      <c r="E690" s="470" t="s">
        <v>13465</v>
      </c>
      <c r="F690" s="471" t="s">
        <v>13466</v>
      </c>
      <c r="G690" s="472" t="s">
        <v>13467</v>
      </c>
    </row>
    <row r="691" spans="1:9" ht="15.75" hidden="1">
      <c r="B691" s="1246" t="s">
        <v>13468</v>
      </c>
      <c r="C691" s="1247"/>
      <c r="D691" s="1247"/>
      <c r="E691" s="1247"/>
      <c r="F691" s="1247"/>
      <c r="G691" s="1248"/>
    </row>
    <row r="692" spans="1:9" ht="60" hidden="1">
      <c r="B692" s="775" t="s">
        <v>13497</v>
      </c>
      <c r="C692" s="776" t="str">
        <f>C698</f>
        <v>LUMINÁRIA PLAFON DE  LED QUADRADA EMBUTIR , BRANCO FRIO,POTÊNCIA 24W ; BIVOLT;FLUXO LUMINOSO (lm) 3360lm;TEMPERATURA DA COR Branco Frio 3000K - 6000K;ÍNDICE DE REPRODUÇÃO DE COR (IRC)&gt;70;BIVOLT</v>
      </c>
      <c r="D692" s="881" t="str">
        <f>G698</f>
        <v>UN</v>
      </c>
      <c r="E692" s="752">
        <v>1</v>
      </c>
      <c r="F692" s="882">
        <f>D703</f>
        <v>49.19</v>
      </c>
      <c r="G692" s="750">
        <f>TRUNC(F692*E692,2)</f>
        <v>49.19</v>
      </c>
    </row>
    <row r="693" spans="1:9" ht="15.75" hidden="1">
      <c r="B693" s="1246" t="s">
        <v>13469</v>
      </c>
      <c r="C693" s="1247"/>
      <c r="D693" s="1247"/>
      <c r="E693" s="1247"/>
      <c r="F693" s="1247"/>
      <c r="G693" s="1248"/>
    </row>
    <row r="694" spans="1:9" ht="15.75" hidden="1">
      <c r="A694" s="473" t="s">
        <v>13459</v>
      </c>
      <c r="B694" s="751">
        <v>88264</v>
      </c>
      <c r="C694" s="710" t="s">
        <v>771</v>
      </c>
      <c r="D694" s="711" t="s">
        <v>753</v>
      </c>
      <c r="E694" s="752">
        <v>0.4</v>
      </c>
      <c r="F694" s="713">
        <v>20.52</v>
      </c>
      <c r="G694" s="750">
        <f>TRUNC(F694*E694,2)</f>
        <v>8.1999999999999993</v>
      </c>
    </row>
    <row r="695" spans="1:9" ht="16.5" hidden="1" thickBot="1">
      <c r="A695" s="473" t="s">
        <v>13459</v>
      </c>
      <c r="B695" s="753">
        <v>88316</v>
      </c>
      <c r="C695" s="717" t="s">
        <v>761</v>
      </c>
      <c r="D695" s="718" t="s">
        <v>753</v>
      </c>
      <c r="E695" s="754">
        <v>0.4</v>
      </c>
      <c r="F695" s="720">
        <v>15.91</v>
      </c>
      <c r="G695" s="755">
        <f>TRUNC(F695*E695,2)</f>
        <v>6.36</v>
      </c>
    </row>
    <row r="696" spans="1:9" ht="16.5" hidden="1" thickBot="1">
      <c r="B696" s="1307" t="s">
        <v>13876</v>
      </c>
      <c r="C696" s="1308"/>
      <c r="D696" s="1308"/>
      <c r="E696" s="1308"/>
      <c r="F696" s="883" t="s">
        <v>22</v>
      </c>
      <c r="G696" s="884">
        <f>SUM(G692:G695)</f>
        <v>63.75</v>
      </c>
    </row>
    <row r="697" spans="1:9" ht="15.75" hidden="1" thickBot="1">
      <c r="B697" s="809"/>
      <c r="C697" s="810"/>
      <c r="D697" s="810"/>
      <c r="E697" s="810"/>
      <c r="F697" s="810"/>
      <c r="G697" s="811"/>
    </row>
    <row r="698" spans="1:9" ht="63" hidden="1">
      <c r="A698" s="464"/>
      <c r="B698" s="572"/>
      <c r="C698" s="607" t="s">
        <v>13877</v>
      </c>
      <c r="D698" s="574"/>
      <c r="E698" s="575"/>
      <c r="F698" s="575"/>
      <c r="G698" s="577" t="s">
        <v>28</v>
      </c>
      <c r="H698" s="823" t="s">
        <v>13500</v>
      </c>
    </row>
    <row r="699" spans="1:9" ht="31.5" hidden="1">
      <c r="A699" s="464"/>
      <c r="B699" s="578" t="s">
        <v>13502</v>
      </c>
      <c r="C699" s="579" t="s">
        <v>13503</v>
      </c>
      <c r="D699" s="580" t="s">
        <v>13504</v>
      </c>
      <c r="E699" s="581" t="s">
        <v>13505</v>
      </c>
      <c r="F699" s="610" t="s">
        <v>13506</v>
      </c>
      <c r="G699" s="583" t="s">
        <v>13507</v>
      </c>
    </row>
    <row r="700" spans="1:9" ht="15" hidden="1">
      <c r="A700" s="464"/>
      <c r="B700" s="611">
        <v>43565</v>
      </c>
      <c r="C700" s="630" t="s">
        <v>13772</v>
      </c>
      <c r="D700" s="593">
        <v>49.19</v>
      </c>
      <c r="E700" s="789" t="s">
        <v>13773</v>
      </c>
      <c r="F700" s="595" t="s">
        <v>13774</v>
      </c>
      <c r="G700" s="790" t="s">
        <v>13878</v>
      </c>
      <c r="H700" s="692"/>
      <c r="I700" s="791">
        <f>B700+180</f>
        <v>43745</v>
      </c>
    </row>
    <row r="701" spans="1:9" ht="15" hidden="1">
      <c r="A701" s="464"/>
      <c r="B701" s="597">
        <v>43567</v>
      </c>
      <c r="C701" s="592" t="s">
        <v>13763</v>
      </c>
      <c r="D701" s="593">
        <v>48.13</v>
      </c>
      <c r="E701" s="652" t="s">
        <v>13764</v>
      </c>
      <c r="F701" s="814" t="s">
        <v>13765</v>
      </c>
      <c r="G701" s="790" t="s">
        <v>13766</v>
      </c>
      <c r="H701" s="692"/>
      <c r="I701" s="791">
        <f>B701+180</f>
        <v>43747</v>
      </c>
    </row>
    <row r="702" spans="1:9" ht="15.75" hidden="1" thickBot="1">
      <c r="A702" s="464"/>
      <c r="B702" s="885">
        <v>43566</v>
      </c>
      <c r="C702" s="630" t="s">
        <v>13755</v>
      </c>
      <c r="D702" s="593">
        <v>49.9</v>
      </c>
      <c r="E702" s="789" t="s">
        <v>13756</v>
      </c>
      <c r="F702" s="595" t="s">
        <v>13757</v>
      </c>
      <c r="G702" s="790" t="s">
        <v>13879</v>
      </c>
      <c r="H702" s="879"/>
      <c r="I702" s="792">
        <v>0</v>
      </c>
    </row>
    <row r="703" spans="1:9" ht="16.5" hidden="1" thickBot="1">
      <c r="A703" s="464"/>
      <c r="B703" s="886"/>
      <c r="C703" s="538"/>
      <c r="D703" s="538">
        <f>IF(COUNT(D699:D702)=3,MEDIAN(D700:D702),SMALL(D700:D702,1))</f>
        <v>49.19</v>
      </c>
      <c r="E703" s="538"/>
      <c r="F703" s="538"/>
      <c r="G703" s="887"/>
    </row>
    <row r="704" spans="1:9" ht="13.5" thickBot="1">
      <c r="B704" s="826"/>
      <c r="C704" s="457"/>
      <c r="D704" s="457"/>
      <c r="E704" s="457"/>
      <c r="F704" s="457"/>
      <c r="G704" s="827"/>
    </row>
    <row r="705" spans="1:9" ht="50.25" customHeight="1">
      <c r="B705" s="704" t="str">
        <f>IF(COUNT($H$8:H705)&lt;10,CONCATENATE("COMP ELE 00",COUNT($H$8:H705)),CONCATENATE("COMP ELE 0",COUNT($H$8:H705)))</f>
        <v>COMP ELE 056</v>
      </c>
      <c r="C705" s="1257" t="str">
        <f>CONCATENATE("FORNECIMENTO E INSTALAÇÃO DE ",C709)</f>
        <v>FORNECIMENTO E INSTALAÇÃO DE LUMINÁRIA PLAFON DE  LED QUADRADA SOBREPOR , BRANCO FRIO,POTÊNCIA 24W ; BIVOLT;FLUXO LUMINOSO (lm) 3360lm;TEMPERATURA DA COR Branco Frio 3000K - 6000K;ÍNDICE DE REPRODUÇÃO DE COR (IRC)&gt;70;BIVOLT</v>
      </c>
      <c r="D705" s="1225"/>
      <c r="E705" s="1225"/>
      <c r="F705" s="1225"/>
      <c r="G705" s="705" t="s">
        <v>28</v>
      </c>
      <c r="H705" s="698">
        <f>G713</f>
        <v>75.42</v>
      </c>
    </row>
    <row r="706" spans="1:9" ht="15.75">
      <c r="B706" s="1246" t="s">
        <v>13468</v>
      </c>
      <c r="C706" s="1247"/>
      <c r="D706" s="1247"/>
      <c r="E706" s="1247"/>
      <c r="F706" s="1247"/>
      <c r="G706" s="1248"/>
    </row>
    <row r="707" spans="1:9" ht="31.5">
      <c r="B707" s="469" t="s">
        <v>13463</v>
      </c>
      <c r="C707" s="470" t="s">
        <v>13464</v>
      </c>
      <c r="D707" s="470" t="s">
        <v>28</v>
      </c>
      <c r="E707" s="470" t="s">
        <v>13465</v>
      </c>
      <c r="F707" s="471" t="s">
        <v>13466</v>
      </c>
      <c r="G707" s="472" t="s">
        <v>13467</v>
      </c>
    </row>
    <row r="708" spans="1:9" ht="15.75">
      <c r="B708" s="1246" t="s">
        <v>13468</v>
      </c>
      <c r="C708" s="1247"/>
      <c r="D708" s="1247"/>
      <c r="E708" s="1247"/>
      <c r="F708" s="1247"/>
      <c r="G708" s="1248"/>
    </row>
    <row r="709" spans="1:9" ht="60">
      <c r="B709" s="775" t="s">
        <v>13497</v>
      </c>
      <c r="C709" s="776" t="str">
        <f>C715</f>
        <v>LUMINÁRIA PLAFON DE  LED QUADRADA SOBREPOR , BRANCO FRIO,POTÊNCIA 24W ; BIVOLT;FLUXO LUMINOSO (lm) 3360lm;TEMPERATURA DA COR Branco Frio 3000K - 6000K;ÍNDICE DE REPRODUÇÃO DE COR (IRC)&gt;70;BIVOLT</v>
      </c>
      <c r="D709" s="881" t="str">
        <f>G715</f>
        <v>UN</v>
      </c>
      <c r="E709" s="752">
        <v>1</v>
      </c>
      <c r="F709" s="882">
        <f>D720</f>
        <v>60.86</v>
      </c>
      <c r="G709" s="750">
        <f>TRUNC(F709*E709,2)</f>
        <v>60.86</v>
      </c>
    </row>
    <row r="710" spans="1:9" ht="15.75">
      <c r="B710" s="1246" t="s">
        <v>13469</v>
      </c>
      <c r="C710" s="1247"/>
      <c r="D710" s="1247"/>
      <c r="E710" s="1247"/>
      <c r="F710" s="1247"/>
      <c r="G710" s="1248"/>
    </row>
    <row r="711" spans="1:9" ht="15.75">
      <c r="A711" s="473" t="s">
        <v>13459</v>
      </c>
      <c r="B711" s="751">
        <v>88264</v>
      </c>
      <c r="C711" s="710" t="s">
        <v>771</v>
      </c>
      <c r="D711" s="711" t="s">
        <v>753</v>
      </c>
      <c r="E711" s="752">
        <v>0.4</v>
      </c>
      <c r="F711" s="713">
        <v>20.52</v>
      </c>
      <c r="G711" s="750">
        <f>TRUNC(F711*E711,2)</f>
        <v>8.1999999999999993</v>
      </c>
    </row>
    <row r="712" spans="1:9" ht="16.5" thickBot="1">
      <c r="A712" s="473" t="s">
        <v>13459</v>
      </c>
      <c r="B712" s="753">
        <v>88316</v>
      </c>
      <c r="C712" s="717" t="s">
        <v>761</v>
      </c>
      <c r="D712" s="718" t="s">
        <v>753</v>
      </c>
      <c r="E712" s="754">
        <v>0.4</v>
      </c>
      <c r="F712" s="720">
        <v>15.91</v>
      </c>
      <c r="G712" s="755">
        <f>TRUNC(F712*E712,2)</f>
        <v>6.36</v>
      </c>
    </row>
    <row r="713" spans="1:9" ht="16.5" thickBot="1">
      <c r="B713" s="1307" t="s">
        <v>13876</v>
      </c>
      <c r="C713" s="1308"/>
      <c r="D713" s="1308"/>
      <c r="E713" s="1308"/>
      <c r="F713" s="883" t="s">
        <v>22</v>
      </c>
      <c r="G713" s="884">
        <f>SUM(G709:G712)</f>
        <v>75.42</v>
      </c>
    </row>
    <row r="714" spans="1:9" ht="15.75" thickBot="1">
      <c r="B714" s="809"/>
      <c r="C714" s="810"/>
      <c r="D714" s="810"/>
      <c r="E714" s="810"/>
      <c r="F714" s="810"/>
      <c r="G714" s="811"/>
    </row>
    <row r="715" spans="1:9" ht="63">
      <c r="A715" s="464"/>
      <c r="B715" s="572"/>
      <c r="C715" s="607" t="s">
        <v>13880</v>
      </c>
      <c r="D715" s="574"/>
      <c r="E715" s="575"/>
      <c r="F715" s="575"/>
      <c r="G715" s="577" t="s">
        <v>28</v>
      </c>
      <c r="H715" s="823" t="s">
        <v>13500</v>
      </c>
    </row>
    <row r="716" spans="1:9" ht="31.5">
      <c r="A716" s="464"/>
      <c r="B716" s="578" t="s">
        <v>13502</v>
      </c>
      <c r="C716" s="579" t="s">
        <v>13503</v>
      </c>
      <c r="D716" s="580" t="s">
        <v>13504</v>
      </c>
      <c r="E716" s="581" t="s">
        <v>13505</v>
      </c>
      <c r="F716" s="610" t="s">
        <v>13506</v>
      </c>
      <c r="G716" s="583" t="s">
        <v>13507</v>
      </c>
    </row>
    <row r="717" spans="1:9" ht="15">
      <c r="A717" s="464"/>
      <c r="B717" s="885">
        <v>43932</v>
      </c>
      <c r="C717" s="630" t="s">
        <v>13755</v>
      </c>
      <c r="D717" s="593">
        <v>54.95</v>
      </c>
      <c r="E717" s="789" t="s">
        <v>13756</v>
      </c>
      <c r="F717" s="595" t="s">
        <v>13757</v>
      </c>
      <c r="G717" s="790" t="s">
        <v>13879</v>
      </c>
      <c r="H717" s="692"/>
      <c r="I717" s="791">
        <f>B717+180</f>
        <v>44112</v>
      </c>
    </row>
    <row r="718" spans="1:9" ht="15">
      <c r="A718" s="464"/>
      <c r="B718" s="611">
        <v>43931</v>
      </c>
      <c r="C718" s="630" t="s">
        <v>13772</v>
      </c>
      <c r="D718" s="593">
        <v>60.86</v>
      </c>
      <c r="E718" s="789" t="s">
        <v>13773</v>
      </c>
      <c r="F718" s="595" t="s">
        <v>13774</v>
      </c>
      <c r="G718" s="790" t="s">
        <v>13878</v>
      </c>
      <c r="H718" s="692"/>
      <c r="I718" s="791">
        <f>B718+180</f>
        <v>44111</v>
      </c>
    </row>
    <row r="719" spans="1:9" ht="15.75" thickBot="1">
      <c r="A719" s="464"/>
      <c r="B719" s="597">
        <v>43933</v>
      </c>
      <c r="C719" s="592" t="s">
        <v>13763</v>
      </c>
      <c r="D719" s="593">
        <v>67.56</v>
      </c>
      <c r="E719" s="652" t="s">
        <v>13764</v>
      </c>
      <c r="F719" s="814" t="s">
        <v>13765</v>
      </c>
      <c r="G719" s="790" t="s">
        <v>13766</v>
      </c>
      <c r="H719" s="879"/>
      <c r="I719" s="792">
        <v>0</v>
      </c>
    </row>
    <row r="720" spans="1:9" ht="16.5" thickBot="1">
      <c r="A720" s="464"/>
      <c r="B720" s="886"/>
      <c r="C720" s="538"/>
      <c r="D720" s="538">
        <f>IF(COUNT(D716:D719)=3,MEDIAN(D717:D719),SMALL(D717:D719,1))</f>
        <v>60.86</v>
      </c>
      <c r="E720" s="538"/>
      <c r="F720" s="538"/>
      <c r="G720" s="887"/>
    </row>
    <row r="721" spans="1:8" ht="13.5" thickBot="1">
      <c r="B721" s="826"/>
      <c r="C721" s="457"/>
      <c r="D721" s="457"/>
      <c r="E721" s="457"/>
      <c r="F721" s="457"/>
      <c r="G721" s="827"/>
    </row>
    <row r="722" spans="1:8" ht="54.75" hidden="1" customHeight="1">
      <c r="A722" s="464"/>
      <c r="B722" s="704" t="str">
        <f>IF(COUNT($H$8:H722)&lt;10,CONCATENATE("COMP ELE 00",COUNT($H$8:H722)),CONCATENATE("COMP ELE 0",COUNT($H$8:H722)))</f>
        <v>COMP ELE 057</v>
      </c>
      <c r="C722" s="1257" t="str">
        <f>CONCATENATE("FORNECIMENTO E INSTALAÇÃO DE ",C725)</f>
        <v>FORNECIMENTO E INSTALAÇÃO DE ELETRODUTODUTO PEAD FLEXIVEL PAREDE SIMPLES, CORRUGACAO HELICOIDAL, COR PRETA, SEM ROSCA, DE 1 1/4",  PARA CABEAMENTO SUBTERRANEO (NBR 15715)</v>
      </c>
      <c r="D722" s="1257"/>
      <c r="E722" s="1257"/>
      <c r="F722" s="1257"/>
      <c r="G722" s="705" t="s">
        <v>35</v>
      </c>
      <c r="H722" s="698">
        <f>G728</f>
        <v>10.34</v>
      </c>
    </row>
    <row r="723" spans="1:8" ht="32.25" hidden="1" thickBot="1">
      <c r="A723" s="464"/>
      <c r="B723" s="469" t="s">
        <v>13463</v>
      </c>
      <c r="C723" s="470" t="s">
        <v>13464</v>
      </c>
      <c r="D723" s="470" t="s">
        <v>28</v>
      </c>
      <c r="E723" s="470" t="s">
        <v>13465</v>
      </c>
      <c r="F723" s="471" t="s">
        <v>13466</v>
      </c>
      <c r="G723" s="472" t="s">
        <v>13467</v>
      </c>
    </row>
    <row r="724" spans="1:8" ht="16.5" hidden="1" thickBot="1">
      <c r="A724" s="464"/>
      <c r="B724" s="1246" t="s">
        <v>13468</v>
      </c>
      <c r="C724" s="1247"/>
      <c r="D724" s="1247"/>
      <c r="E724" s="1247"/>
      <c r="F724" s="1247"/>
      <c r="G724" s="1248"/>
    </row>
    <row r="725" spans="1:8" ht="45.75" hidden="1" thickBot="1">
      <c r="A725" s="473" t="s">
        <v>13458</v>
      </c>
      <c r="B725" s="751">
        <v>39247</v>
      </c>
      <c r="C725" s="710" t="s">
        <v>8478</v>
      </c>
      <c r="D725" s="711" t="s">
        <v>6649</v>
      </c>
      <c r="E725" s="766">
        <v>1.0149999999999999</v>
      </c>
      <c r="F725" s="713">
        <v>3.15</v>
      </c>
      <c r="G725" s="750">
        <f>TRUNC(F725*E725,2)</f>
        <v>3.19</v>
      </c>
    </row>
    <row r="726" spans="1:8" ht="16.5" hidden="1" thickBot="1">
      <c r="A726" s="464"/>
      <c r="B726" s="1246" t="s">
        <v>13469</v>
      </c>
      <c r="C726" s="1247"/>
      <c r="D726" s="1247"/>
      <c r="E726" s="1247"/>
      <c r="F726" s="1247"/>
      <c r="G726" s="1248"/>
    </row>
    <row r="727" spans="1:8" ht="16.5" hidden="1" thickBot="1">
      <c r="A727" s="473" t="s">
        <v>13459</v>
      </c>
      <c r="B727" s="753">
        <v>88316</v>
      </c>
      <c r="C727" s="717" t="s">
        <v>761</v>
      </c>
      <c r="D727" s="718" t="s">
        <v>753</v>
      </c>
      <c r="E727" s="754">
        <v>0.45</v>
      </c>
      <c r="F727" s="720">
        <v>15.91</v>
      </c>
      <c r="G727" s="755">
        <f>TRUNC(F727*E727,2)</f>
        <v>7.15</v>
      </c>
    </row>
    <row r="728" spans="1:8" ht="16.5" hidden="1" thickBot="1">
      <c r="A728" s="464"/>
      <c r="B728" s="1264" t="s">
        <v>13881</v>
      </c>
      <c r="C728" s="1265"/>
      <c r="D728" s="1265"/>
      <c r="E728" s="1265"/>
      <c r="F728" s="756" t="s">
        <v>22</v>
      </c>
      <c r="G728" s="757">
        <f>SUM(G725:G727)</f>
        <v>10.34</v>
      </c>
    </row>
    <row r="729" spans="1:8" ht="13.5" hidden="1" thickBot="1">
      <c r="B729" s="826"/>
      <c r="C729" s="457"/>
      <c r="D729" s="457"/>
      <c r="E729" s="457"/>
      <c r="F729" s="457"/>
      <c r="G729" s="827"/>
    </row>
    <row r="730" spans="1:8" ht="16.5" hidden="1" thickBot="1">
      <c r="A730" s="464"/>
      <c r="B730" s="704" t="str">
        <f>IF(COUNT($H$8:H730)&lt;10,CONCATENATE("COMP ELE 00",COUNT($H$8:H730)),CONCATENATE("COMP ELE 0",COUNT($H$8:H730)))</f>
        <v>COMP ELE 058</v>
      </c>
      <c r="C730" s="1257" t="s">
        <v>13882</v>
      </c>
      <c r="D730" s="1257"/>
      <c r="E730" s="1257"/>
      <c r="F730" s="1257"/>
      <c r="G730" s="705" t="s">
        <v>28</v>
      </c>
      <c r="H730" s="698">
        <f>G745</f>
        <v>167.86</v>
      </c>
    </row>
    <row r="731" spans="1:8" ht="32.25" hidden="1" thickBot="1">
      <c r="A731" s="464"/>
      <c r="B731" s="469" t="s">
        <v>13463</v>
      </c>
      <c r="C731" s="470" t="s">
        <v>13464</v>
      </c>
      <c r="D731" s="470" t="s">
        <v>28</v>
      </c>
      <c r="E731" s="470" t="s">
        <v>13465</v>
      </c>
      <c r="F731" s="471" t="s">
        <v>13466</v>
      </c>
      <c r="G731" s="472" t="s">
        <v>13467</v>
      </c>
    </row>
    <row r="732" spans="1:8" ht="16.5" hidden="1" thickBot="1">
      <c r="A732" s="464"/>
      <c r="B732" s="1246" t="s">
        <v>13468</v>
      </c>
      <c r="C732" s="1247"/>
      <c r="D732" s="1247"/>
      <c r="E732" s="1247"/>
      <c r="F732" s="1247"/>
      <c r="G732" s="1248"/>
    </row>
    <row r="733" spans="1:8" ht="30.75" hidden="1" thickBot="1">
      <c r="A733" s="473" t="s">
        <v>13458</v>
      </c>
      <c r="B733" s="751">
        <v>43059</v>
      </c>
      <c r="C733" s="710" t="s">
        <v>12214</v>
      </c>
      <c r="D733" s="711" t="s">
        <v>6698</v>
      </c>
      <c r="E733" s="766">
        <v>0.56000000000000005</v>
      </c>
      <c r="F733" s="713">
        <v>4.76</v>
      </c>
      <c r="G733" s="750">
        <f t="shared" ref="G733:G741" si="0">TRUNC(F733*E733,2)</f>
        <v>2.66</v>
      </c>
    </row>
    <row r="734" spans="1:8" ht="30.75" hidden="1" thickBot="1">
      <c r="A734" s="473" t="s">
        <v>13458</v>
      </c>
      <c r="B734" s="751">
        <v>367</v>
      </c>
      <c r="C734" s="710" t="s">
        <v>820</v>
      </c>
      <c r="D734" s="711" t="s">
        <v>6781</v>
      </c>
      <c r="E734" s="766">
        <v>5.0400000000000002E-3</v>
      </c>
      <c r="F734" s="713">
        <v>61.5</v>
      </c>
      <c r="G734" s="750">
        <f t="shared" si="0"/>
        <v>0.3</v>
      </c>
    </row>
    <row r="735" spans="1:8" ht="30.75" hidden="1" thickBot="1">
      <c r="A735" s="473" t="s">
        <v>13458</v>
      </c>
      <c r="B735" s="751">
        <v>370</v>
      </c>
      <c r="C735" s="710" t="s">
        <v>765</v>
      </c>
      <c r="D735" s="711" t="s">
        <v>6781</v>
      </c>
      <c r="E735" s="766">
        <v>7.0000000000000007E-2</v>
      </c>
      <c r="F735" s="713">
        <v>62.5</v>
      </c>
      <c r="G735" s="750">
        <f t="shared" si="0"/>
        <v>4.37</v>
      </c>
    </row>
    <row r="736" spans="1:8" ht="16.5" hidden="1" thickBot="1">
      <c r="A736" s="473" t="s">
        <v>13458</v>
      </c>
      <c r="B736" s="751">
        <v>1106</v>
      </c>
      <c r="C736" s="710" t="s">
        <v>840</v>
      </c>
      <c r="D736" s="711" t="s">
        <v>6698</v>
      </c>
      <c r="E736" s="766">
        <v>5.78</v>
      </c>
      <c r="F736" s="713">
        <v>0.57999999999999996</v>
      </c>
      <c r="G736" s="750">
        <f t="shared" si="0"/>
        <v>3.35</v>
      </c>
    </row>
    <row r="737" spans="1:8" ht="30.75" hidden="1" thickBot="1">
      <c r="A737" s="473" t="s">
        <v>13458</v>
      </c>
      <c r="B737" s="751">
        <v>1358</v>
      </c>
      <c r="C737" s="710" t="s">
        <v>7712</v>
      </c>
      <c r="D737" s="711" t="s">
        <v>6638</v>
      </c>
      <c r="E737" s="766">
        <v>0.08</v>
      </c>
      <c r="F737" s="713">
        <v>25.98</v>
      </c>
      <c r="G737" s="750">
        <f t="shared" si="0"/>
        <v>2.0699999999999998</v>
      </c>
    </row>
    <row r="738" spans="1:8" ht="16.5" hidden="1" thickBot="1">
      <c r="A738" s="473" t="s">
        <v>13458</v>
      </c>
      <c r="B738" s="751">
        <v>1379</v>
      </c>
      <c r="C738" s="710" t="s">
        <v>817</v>
      </c>
      <c r="D738" s="711" t="s">
        <v>6698</v>
      </c>
      <c r="E738" s="766">
        <v>16.47</v>
      </c>
      <c r="F738" s="713">
        <v>0.49</v>
      </c>
      <c r="G738" s="750">
        <f t="shared" si="0"/>
        <v>8.07</v>
      </c>
    </row>
    <row r="739" spans="1:8" ht="30.75" hidden="1" thickBot="1">
      <c r="A739" s="473" t="s">
        <v>13458</v>
      </c>
      <c r="B739" s="751">
        <v>4718</v>
      </c>
      <c r="C739" s="710" t="s">
        <v>860</v>
      </c>
      <c r="D739" s="711" t="s">
        <v>6781</v>
      </c>
      <c r="E739" s="766">
        <v>5.8399999999999997E-3</v>
      </c>
      <c r="F739" s="713">
        <v>80</v>
      </c>
      <c r="G739" s="750">
        <f t="shared" si="0"/>
        <v>0.46</v>
      </c>
    </row>
    <row r="740" spans="1:8" ht="30.75" hidden="1" thickBot="1">
      <c r="A740" s="473" t="s">
        <v>13458</v>
      </c>
      <c r="B740" s="751">
        <v>4722</v>
      </c>
      <c r="C740" s="710" t="s">
        <v>921</v>
      </c>
      <c r="D740" s="711" t="s">
        <v>6781</v>
      </c>
      <c r="E740" s="766">
        <v>6.0000000000000001E-3</v>
      </c>
      <c r="F740" s="713">
        <v>80</v>
      </c>
      <c r="G740" s="750">
        <f t="shared" si="0"/>
        <v>0.48</v>
      </c>
    </row>
    <row r="741" spans="1:8" ht="16.5" hidden="1" thickBot="1">
      <c r="A741" s="473" t="s">
        <v>13458</v>
      </c>
      <c r="B741" s="751">
        <v>7258</v>
      </c>
      <c r="C741" s="710" t="s">
        <v>769</v>
      </c>
      <c r="D741" s="711" t="s">
        <v>6636</v>
      </c>
      <c r="E741" s="766">
        <v>89</v>
      </c>
      <c r="F741" s="713">
        <v>0.37</v>
      </c>
      <c r="G741" s="750">
        <f t="shared" si="0"/>
        <v>32.93</v>
      </c>
    </row>
    <row r="742" spans="1:8" ht="16.5" hidden="1" thickBot="1">
      <c r="A742" s="464"/>
      <c r="B742" s="1246" t="s">
        <v>13469</v>
      </c>
      <c r="C742" s="1247"/>
      <c r="D742" s="1247"/>
      <c r="E742" s="1247"/>
      <c r="F742" s="1247"/>
      <c r="G742" s="1248"/>
    </row>
    <row r="743" spans="1:8" ht="16.5" hidden="1" thickBot="1">
      <c r="A743" s="473" t="s">
        <v>13459</v>
      </c>
      <c r="B743" s="751">
        <v>88309</v>
      </c>
      <c r="C743" s="710" t="s">
        <v>760</v>
      </c>
      <c r="D743" s="711" t="s">
        <v>753</v>
      </c>
      <c r="E743" s="752">
        <v>2.42</v>
      </c>
      <c r="F743" s="713">
        <v>19.809999999999999</v>
      </c>
      <c r="G743" s="750">
        <f>TRUNC(F743*E743,2)</f>
        <v>47.94</v>
      </c>
    </row>
    <row r="744" spans="1:8" ht="16.5" hidden="1" thickBot="1">
      <c r="A744" s="473" t="s">
        <v>13459</v>
      </c>
      <c r="B744" s="753">
        <v>88316</v>
      </c>
      <c r="C744" s="717" t="s">
        <v>761</v>
      </c>
      <c r="D744" s="718" t="s">
        <v>753</v>
      </c>
      <c r="E744" s="754">
        <v>4.0999999999999996</v>
      </c>
      <c r="F744" s="720">
        <v>15.91</v>
      </c>
      <c r="G744" s="755">
        <f>TRUNC(F744*E744,2)</f>
        <v>65.23</v>
      </c>
    </row>
    <row r="745" spans="1:8" ht="16.5" hidden="1" thickBot="1">
      <c r="A745" s="464"/>
      <c r="B745" s="1264" t="s">
        <v>13883</v>
      </c>
      <c r="C745" s="1265"/>
      <c r="D745" s="1265"/>
      <c r="E745" s="1265"/>
      <c r="F745" s="756" t="s">
        <v>22</v>
      </c>
      <c r="G745" s="757">
        <f>SUM(G733:G744)</f>
        <v>167.86</v>
      </c>
    </row>
    <row r="746" spans="1:8" ht="13.5" hidden="1" thickBot="1">
      <c r="B746" s="826"/>
      <c r="C746" s="457"/>
      <c r="D746" s="457"/>
      <c r="E746" s="457"/>
      <c r="F746" s="457"/>
      <c r="G746" s="827"/>
    </row>
    <row r="747" spans="1:8" ht="16.5" hidden="1" thickBot="1">
      <c r="A747" s="464"/>
      <c r="B747" s="704" t="str">
        <f>IF(COUNT($H$8:H747)&lt;10,CONCATENATE("COMP ELE 00",COUNT($H$8:H747)),CONCATENATE("COMP ELE 0",COUNT($H$8:H747)))</f>
        <v>COMP ELE 059</v>
      </c>
      <c r="C747" s="1257" t="s">
        <v>13884</v>
      </c>
      <c r="D747" s="1257"/>
      <c r="E747" s="1257"/>
      <c r="F747" s="1257"/>
      <c r="G747" s="705" t="s">
        <v>28</v>
      </c>
      <c r="H747" s="698">
        <f>G762</f>
        <v>47.65</v>
      </c>
    </row>
    <row r="748" spans="1:8" ht="32.25" hidden="1" thickBot="1">
      <c r="A748" s="464"/>
      <c r="B748" s="469" t="s">
        <v>13463</v>
      </c>
      <c r="C748" s="470" t="s">
        <v>13464</v>
      </c>
      <c r="D748" s="470" t="s">
        <v>28</v>
      </c>
      <c r="E748" s="470" t="s">
        <v>13465</v>
      </c>
      <c r="F748" s="471" t="s">
        <v>13466</v>
      </c>
      <c r="G748" s="472" t="s">
        <v>13467</v>
      </c>
    </row>
    <row r="749" spans="1:8" ht="16.5" hidden="1" thickBot="1">
      <c r="A749" s="464"/>
      <c r="B749" s="1246" t="s">
        <v>13468</v>
      </c>
      <c r="C749" s="1247"/>
      <c r="D749" s="1247"/>
      <c r="E749" s="1247"/>
      <c r="F749" s="1247"/>
      <c r="G749" s="1248"/>
    </row>
    <row r="750" spans="1:8" ht="30.75" hidden="1" thickBot="1">
      <c r="A750" s="473" t="s">
        <v>13458</v>
      </c>
      <c r="B750" s="751">
        <v>43059</v>
      </c>
      <c r="C750" s="710" t="s">
        <v>12214</v>
      </c>
      <c r="D750" s="711" t="s">
        <v>6698</v>
      </c>
      <c r="E750" s="766">
        <v>0.14000000000000001</v>
      </c>
      <c r="F750" s="713">
        <v>4.76</v>
      </c>
      <c r="G750" s="750">
        <f t="shared" ref="G750:G758" si="1">TRUNC(F750*E750,2)</f>
        <v>0.66</v>
      </c>
    </row>
    <row r="751" spans="1:8" ht="30.75" hidden="1" thickBot="1">
      <c r="A751" s="473" t="s">
        <v>13458</v>
      </c>
      <c r="B751" s="751">
        <v>367</v>
      </c>
      <c r="C751" s="710" t="s">
        <v>820</v>
      </c>
      <c r="D751" s="711" t="s">
        <v>6781</v>
      </c>
      <c r="E751" s="766">
        <v>1.2600000000000001E-3</v>
      </c>
      <c r="F751" s="713">
        <v>61.5</v>
      </c>
      <c r="G751" s="750">
        <f t="shared" si="1"/>
        <v>7.0000000000000007E-2</v>
      </c>
    </row>
    <row r="752" spans="1:8" ht="30.75" hidden="1" thickBot="1">
      <c r="A752" s="473" t="s">
        <v>13458</v>
      </c>
      <c r="B752" s="751">
        <v>370</v>
      </c>
      <c r="C752" s="710" t="s">
        <v>765</v>
      </c>
      <c r="D752" s="711" t="s">
        <v>6781</v>
      </c>
      <c r="E752" s="766">
        <v>0.02</v>
      </c>
      <c r="F752" s="713">
        <v>62.5</v>
      </c>
      <c r="G752" s="750">
        <f t="shared" si="1"/>
        <v>1.25</v>
      </c>
    </row>
    <row r="753" spans="1:8" ht="16.5" hidden="1" thickBot="1">
      <c r="A753" s="473" t="s">
        <v>13458</v>
      </c>
      <c r="B753" s="751">
        <v>1106</v>
      </c>
      <c r="C753" s="710" t="s">
        <v>840</v>
      </c>
      <c r="D753" s="711" t="s">
        <v>6698</v>
      </c>
      <c r="E753" s="766">
        <v>1.65</v>
      </c>
      <c r="F753" s="713">
        <v>0.57999999999999996</v>
      </c>
      <c r="G753" s="750">
        <f t="shared" si="1"/>
        <v>0.95</v>
      </c>
    </row>
    <row r="754" spans="1:8" ht="30.75" hidden="1" thickBot="1">
      <c r="A754" s="473" t="s">
        <v>13458</v>
      </c>
      <c r="B754" s="751">
        <v>1358</v>
      </c>
      <c r="C754" s="710" t="s">
        <v>7712</v>
      </c>
      <c r="D754" s="711" t="s">
        <v>6638</v>
      </c>
      <c r="E754" s="766">
        <v>0.04</v>
      </c>
      <c r="F754" s="713">
        <v>25.98</v>
      </c>
      <c r="G754" s="750">
        <f t="shared" si="1"/>
        <v>1.03</v>
      </c>
    </row>
    <row r="755" spans="1:8" ht="16.5" hidden="1" thickBot="1">
      <c r="A755" s="473" t="s">
        <v>13458</v>
      </c>
      <c r="B755" s="751">
        <v>1379</v>
      </c>
      <c r="C755" s="710" t="s">
        <v>817</v>
      </c>
      <c r="D755" s="711" t="s">
        <v>6698</v>
      </c>
      <c r="E755" s="766">
        <v>4.5999999999999996</v>
      </c>
      <c r="F755" s="713">
        <v>0.49</v>
      </c>
      <c r="G755" s="750">
        <f t="shared" si="1"/>
        <v>2.25</v>
      </c>
    </row>
    <row r="756" spans="1:8" ht="30.75" hidden="1" thickBot="1">
      <c r="A756" s="473" t="s">
        <v>13458</v>
      </c>
      <c r="B756" s="751">
        <v>4718</v>
      </c>
      <c r="C756" s="710" t="s">
        <v>860</v>
      </c>
      <c r="D756" s="711" t="s">
        <v>6781</v>
      </c>
      <c r="E756" s="766">
        <v>1.4599999999999999E-3</v>
      </c>
      <c r="F756" s="713">
        <v>80</v>
      </c>
      <c r="G756" s="750">
        <f t="shared" si="1"/>
        <v>0.11</v>
      </c>
    </row>
    <row r="757" spans="1:8" ht="30.75" hidden="1" thickBot="1">
      <c r="A757" s="473" t="s">
        <v>13458</v>
      </c>
      <c r="B757" s="751">
        <v>4722</v>
      </c>
      <c r="C757" s="710" t="s">
        <v>921</v>
      </c>
      <c r="D757" s="711" t="s">
        <v>6781</v>
      </c>
      <c r="E757" s="766">
        <v>3.0000000000000001E-3</v>
      </c>
      <c r="F757" s="713">
        <v>80</v>
      </c>
      <c r="G757" s="750">
        <f t="shared" si="1"/>
        <v>0.24</v>
      </c>
    </row>
    <row r="758" spans="1:8" ht="16.5" hidden="1" thickBot="1">
      <c r="A758" s="473" t="s">
        <v>13458</v>
      </c>
      <c r="B758" s="751">
        <v>7258</v>
      </c>
      <c r="C758" s="710" t="s">
        <v>769</v>
      </c>
      <c r="D758" s="711" t="s">
        <v>6636</v>
      </c>
      <c r="E758" s="766">
        <v>29</v>
      </c>
      <c r="F758" s="713">
        <v>0.37</v>
      </c>
      <c r="G758" s="750">
        <f t="shared" si="1"/>
        <v>10.73</v>
      </c>
    </row>
    <row r="759" spans="1:8" ht="16.5" hidden="1" thickBot="1">
      <c r="A759" s="464"/>
      <c r="B759" s="1246" t="s">
        <v>13469</v>
      </c>
      <c r="C759" s="1247"/>
      <c r="D759" s="1247"/>
      <c r="E759" s="1247"/>
      <c r="F759" s="1247"/>
      <c r="G759" s="1248"/>
    </row>
    <row r="760" spans="1:8" ht="16.5" hidden="1" thickBot="1">
      <c r="A760" s="473" t="s">
        <v>13459</v>
      </c>
      <c r="B760" s="751">
        <v>88309</v>
      </c>
      <c r="C760" s="710" t="s">
        <v>760</v>
      </c>
      <c r="D760" s="711" t="s">
        <v>753</v>
      </c>
      <c r="E760" s="752">
        <v>0.69</v>
      </c>
      <c r="F760" s="713">
        <v>19.809999999999999</v>
      </c>
      <c r="G760" s="750">
        <f>TRUNC(F760*E760,2)</f>
        <v>13.66</v>
      </c>
    </row>
    <row r="761" spans="1:8" ht="16.5" hidden="1" thickBot="1">
      <c r="A761" s="473" t="s">
        <v>13459</v>
      </c>
      <c r="B761" s="753">
        <v>88316</v>
      </c>
      <c r="C761" s="717" t="s">
        <v>761</v>
      </c>
      <c r="D761" s="718" t="s">
        <v>753</v>
      </c>
      <c r="E761" s="754">
        <v>1.05</v>
      </c>
      <c r="F761" s="720">
        <v>15.91</v>
      </c>
      <c r="G761" s="755">
        <f>TRUNC(F761*E761,2)</f>
        <v>16.7</v>
      </c>
    </row>
    <row r="762" spans="1:8" ht="16.5" hidden="1" thickBot="1">
      <c r="A762" s="464"/>
      <c r="B762" s="1264" t="s">
        <v>13885</v>
      </c>
      <c r="C762" s="1265"/>
      <c r="D762" s="1265"/>
      <c r="E762" s="1265"/>
      <c r="F762" s="756" t="s">
        <v>22</v>
      </c>
      <c r="G762" s="757">
        <f>SUM(G750:G761)</f>
        <v>47.65</v>
      </c>
    </row>
    <row r="763" spans="1:8" s="465" customFormat="1" ht="16.5" hidden="1" thickBot="1">
      <c r="A763" s="464"/>
      <c r="B763" s="794"/>
      <c r="C763" s="795"/>
      <c r="D763" s="795"/>
      <c r="E763" s="795"/>
      <c r="F763" s="795"/>
      <c r="G763" s="796"/>
      <c r="H763" s="464"/>
    </row>
    <row r="764" spans="1:8" ht="54.75" customHeight="1">
      <c r="A764" s="464"/>
      <c r="B764" s="704" t="str">
        <f>IF(COUNT($H$8:H764)&lt;10,CONCATENATE("COMP ELE 00",COUNT($H$8:H764)),CONCATENATE("COMP ELE 0",COUNT($H$8:H764)))</f>
        <v>COMP ELE 060</v>
      </c>
      <c r="C764" s="1257" t="s">
        <v>12922</v>
      </c>
      <c r="D764" s="1257"/>
      <c r="E764" s="1257"/>
      <c r="F764" s="1257"/>
      <c r="G764" s="705" t="s">
        <v>117</v>
      </c>
      <c r="H764" s="698">
        <f>G795</f>
        <v>374.34000000000003</v>
      </c>
    </row>
    <row r="765" spans="1:8" ht="31.5">
      <c r="A765" s="464"/>
      <c r="B765" s="469" t="s">
        <v>13463</v>
      </c>
      <c r="C765" s="470" t="s">
        <v>13464</v>
      </c>
      <c r="D765" s="470" t="s">
        <v>28</v>
      </c>
      <c r="E765" s="470" t="s">
        <v>13465</v>
      </c>
      <c r="F765" s="471" t="s">
        <v>13466</v>
      </c>
      <c r="G765" s="472" t="s">
        <v>13467</v>
      </c>
    </row>
    <row r="766" spans="1:8" ht="15.75">
      <c r="A766" s="464"/>
      <c r="B766" s="1246" t="s">
        <v>13468</v>
      </c>
      <c r="C766" s="1247"/>
      <c r="D766" s="1247"/>
      <c r="E766" s="1247"/>
      <c r="F766" s="1247"/>
      <c r="G766" s="1248"/>
    </row>
    <row r="767" spans="1:8" ht="15.75">
      <c r="A767" s="473" t="s">
        <v>13458</v>
      </c>
      <c r="B767" s="751">
        <v>7258</v>
      </c>
      <c r="C767" s="710" t="s">
        <v>769</v>
      </c>
      <c r="D767" s="711" t="s">
        <v>6636</v>
      </c>
      <c r="E767" s="766">
        <v>183.02</v>
      </c>
      <c r="F767" s="713">
        <v>0.37</v>
      </c>
      <c r="G767" s="750">
        <f t="shared" ref="G767:G786" si="2">TRUNC(F767*E767,2)</f>
        <v>67.709999999999994</v>
      </c>
    </row>
    <row r="768" spans="1:8" ht="15.75">
      <c r="A768" s="473" t="s">
        <v>13458</v>
      </c>
      <c r="B768" s="751">
        <v>35693</v>
      </c>
      <c r="C768" s="710" t="s">
        <v>10943</v>
      </c>
      <c r="D768" s="711" t="s">
        <v>6700</v>
      </c>
      <c r="E768" s="766">
        <v>0.49</v>
      </c>
      <c r="F768" s="713">
        <v>9.2799999999999994</v>
      </c>
      <c r="G768" s="750">
        <f t="shared" si="2"/>
        <v>4.54</v>
      </c>
    </row>
    <row r="769" spans="1:8" ht="15.75">
      <c r="A769" s="473" t="s">
        <v>13458</v>
      </c>
      <c r="B769" s="751">
        <v>38383</v>
      </c>
      <c r="C769" s="710" t="s">
        <v>879</v>
      </c>
      <c r="D769" s="711" t="s">
        <v>6636</v>
      </c>
      <c r="E769" s="766">
        <v>0.22</v>
      </c>
      <c r="F769" s="713">
        <v>1.84</v>
      </c>
      <c r="G769" s="750">
        <f t="shared" si="2"/>
        <v>0.4</v>
      </c>
    </row>
    <row r="770" spans="1:8" ht="45">
      <c r="A770" s="473" t="s">
        <v>13458</v>
      </c>
      <c r="B770" s="751">
        <v>2742</v>
      </c>
      <c r="C770" s="710" t="s">
        <v>9563</v>
      </c>
      <c r="D770" s="711" t="s">
        <v>6649</v>
      </c>
      <c r="E770" s="766">
        <v>1.0900000000000001</v>
      </c>
      <c r="F770" s="713">
        <v>2.27</v>
      </c>
      <c r="G770" s="750">
        <f t="shared" si="2"/>
        <v>2.4700000000000002</v>
      </c>
    </row>
    <row r="771" spans="1:8" ht="30">
      <c r="A771" s="473" t="s">
        <v>13458</v>
      </c>
      <c r="B771" s="751">
        <v>6189</v>
      </c>
      <c r="C771" s="710" t="s">
        <v>10557</v>
      </c>
      <c r="D771" s="711" t="s">
        <v>6649</v>
      </c>
      <c r="E771" s="766">
        <v>0.84</v>
      </c>
      <c r="F771" s="713">
        <v>9.0299999999999994</v>
      </c>
      <c r="G771" s="750">
        <f t="shared" si="2"/>
        <v>7.58</v>
      </c>
    </row>
    <row r="772" spans="1:8" ht="30">
      <c r="A772" s="473" t="s">
        <v>13458</v>
      </c>
      <c r="B772" s="751">
        <v>43618</v>
      </c>
      <c r="C772" s="710" t="s">
        <v>12224</v>
      </c>
      <c r="D772" s="711" t="s">
        <v>6698</v>
      </c>
      <c r="E772" s="766">
        <v>0.1</v>
      </c>
      <c r="F772" s="713">
        <v>12.42</v>
      </c>
      <c r="G772" s="750">
        <f t="shared" si="2"/>
        <v>1.24</v>
      </c>
      <c r="H772" s="464"/>
    </row>
    <row r="773" spans="1:8" ht="45" customHeight="1">
      <c r="A773" s="473" t="s">
        <v>13458</v>
      </c>
      <c r="B773" s="751">
        <v>4500</v>
      </c>
      <c r="C773" s="710" t="s">
        <v>7460</v>
      </c>
      <c r="D773" s="711" t="s">
        <v>6649</v>
      </c>
      <c r="E773" s="766">
        <v>0.6</v>
      </c>
      <c r="F773" s="713">
        <v>18.170000000000002</v>
      </c>
      <c r="G773" s="750">
        <f t="shared" si="2"/>
        <v>10.9</v>
      </c>
    </row>
    <row r="774" spans="1:8" ht="30" customHeight="1">
      <c r="A774" s="473" t="s">
        <v>13458</v>
      </c>
      <c r="B774" s="751">
        <v>6085</v>
      </c>
      <c r="C774" s="710" t="s">
        <v>10456</v>
      </c>
      <c r="D774" s="711" t="s">
        <v>6700</v>
      </c>
      <c r="E774" s="766">
        <v>0.26</v>
      </c>
      <c r="F774" s="713">
        <v>4.03</v>
      </c>
      <c r="G774" s="750">
        <f t="shared" si="2"/>
        <v>1.04</v>
      </c>
    </row>
    <row r="775" spans="1:8" ht="30">
      <c r="A775" s="473" t="s">
        <v>13458</v>
      </c>
      <c r="B775" s="751">
        <v>4491</v>
      </c>
      <c r="C775" s="710" t="s">
        <v>10132</v>
      </c>
      <c r="D775" s="711" t="s">
        <v>6649</v>
      </c>
      <c r="E775" s="766">
        <v>0.01</v>
      </c>
      <c r="F775" s="713">
        <v>5.58</v>
      </c>
      <c r="G775" s="750">
        <f t="shared" si="2"/>
        <v>0.05</v>
      </c>
    </row>
    <row r="776" spans="1:8" ht="15.75">
      <c r="A776" s="473" t="s">
        <v>13458</v>
      </c>
      <c r="B776" s="751">
        <v>5071</v>
      </c>
      <c r="C776" s="710" t="s">
        <v>10243</v>
      </c>
      <c r="D776" s="711" t="s">
        <v>6698</v>
      </c>
      <c r="E776" s="766">
        <v>0.14000000000000001</v>
      </c>
      <c r="F776" s="713">
        <v>11.18</v>
      </c>
      <c r="G776" s="750">
        <f t="shared" si="2"/>
        <v>1.56</v>
      </c>
    </row>
    <row r="777" spans="1:8" ht="15.75">
      <c r="A777" s="473" t="s">
        <v>13458</v>
      </c>
      <c r="B777" s="751">
        <v>1379</v>
      </c>
      <c r="C777" s="710" t="s">
        <v>817</v>
      </c>
      <c r="D777" s="711" t="s">
        <v>6698</v>
      </c>
      <c r="E777" s="766">
        <v>38.299999999999997</v>
      </c>
      <c r="F777" s="713">
        <v>0.49</v>
      </c>
      <c r="G777" s="750">
        <f t="shared" si="2"/>
        <v>18.760000000000002</v>
      </c>
    </row>
    <row r="778" spans="1:8" ht="30">
      <c r="A778" s="473" t="s">
        <v>13458</v>
      </c>
      <c r="B778" s="751">
        <v>1355</v>
      </c>
      <c r="C778" s="710" t="s">
        <v>7711</v>
      </c>
      <c r="D778" s="711" t="s">
        <v>6638</v>
      </c>
      <c r="E778" s="766">
        <v>0.23</v>
      </c>
      <c r="F778" s="713">
        <v>22.42</v>
      </c>
      <c r="G778" s="750">
        <f t="shared" si="2"/>
        <v>5.15</v>
      </c>
    </row>
    <row r="779" spans="1:8" ht="30">
      <c r="A779" s="473" t="s">
        <v>13458</v>
      </c>
      <c r="B779" s="751">
        <v>2692</v>
      </c>
      <c r="C779" s="710" t="s">
        <v>850</v>
      </c>
      <c r="D779" s="711" t="s">
        <v>6700</v>
      </c>
      <c r="E779" s="766">
        <v>0.05</v>
      </c>
      <c r="F779" s="713">
        <v>4.6100000000000003</v>
      </c>
      <c r="G779" s="750">
        <f t="shared" si="2"/>
        <v>0.23</v>
      </c>
    </row>
    <row r="780" spans="1:8" ht="15.75">
      <c r="A780" s="473" t="s">
        <v>13458</v>
      </c>
      <c r="B780" s="751">
        <v>1106</v>
      </c>
      <c r="C780" s="710" t="s">
        <v>840</v>
      </c>
      <c r="D780" s="711" t="s">
        <v>6698</v>
      </c>
      <c r="E780" s="766">
        <v>17.95</v>
      </c>
      <c r="F780" s="713">
        <v>0.57999999999999996</v>
      </c>
      <c r="G780" s="750">
        <f t="shared" si="2"/>
        <v>10.41</v>
      </c>
    </row>
    <row r="781" spans="1:8" ht="30">
      <c r="A781" s="473" t="s">
        <v>13458</v>
      </c>
      <c r="B781" s="751">
        <v>4721</v>
      </c>
      <c r="C781" s="710" t="s">
        <v>852</v>
      </c>
      <c r="D781" s="711" t="s">
        <v>6781</v>
      </c>
      <c r="E781" s="766">
        <v>0.03</v>
      </c>
      <c r="F781" s="713">
        <v>80</v>
      </c>
      <c r="G781" s="750">
        <f t="shared" si="2"/>
        <v>2.4</v>
      </c>
    </row>
    <row r="782" spans="1:8" ht="30">
      <c r="A782" s="473" t="s">
        <v>13458</v>
      </c>
      <c r="B782" s="751">
        <v>4718</v>
      </c>
      <c r="C782" s="710" t="s">
        <v>860</v>
      </c>
      <c r="D782" s="711" t="s">
        <v>6781</v>
      </c>
      <c r="E782" s="766">
        <v>0.03</v>
      </c>
      <c r="F782" s="713">
        <v>80</v>
      </c>
      <c r="G782" s="750">
        <f t="shared" si="2"/>
        <v>2.4</v>
      </c>
    </row>
    <row r="783" spans="1:8" ht="15.75">
      <c r="A783" s="473" t="s">
        <v>13458</v>
      </c>
      <c r="B783" s="751">
        <v>33</v>
      </c>
      <c r="C783" s="710" t="s">
        <v>862</v>
      </c>
      <c r="D783" s="711" t="s">
        <v>6698</v>
      </c>
      <c r="E783" s="766">
        <v>4.32</v>
      </c>
      <c r="F783" s="713">
        <v>5.34</v>
      </c>
      <c r="G783" s="750">
        <f t="shared" si="2"/>
        <v>23.06</v>
      </c>
    </row>
    <row r="784" spans="1:8" ht="30">
      <c r="A784" s="473" t="s">
        <v>13458</v>
      </c>
      <c r="B784" s="751">
        <v>43130</v>
      </c>
      <c r="C784" s="710" t="s">
        <v>12244</v>
      </c>
      <c r="D784" s="711" t="s">
        <v>6698</v>
      </c>
      <c r="E784" s="766">
        <v>0.08</v>
      </c>
      <c r="F784" s="713">
        <v>12.44</v>
      </c>
      <c r="G784" s="750">
        <f t="shared" si="2"/>
        <v>0.99</v>
      </c>
    </row>
    <row r="785" spans="1:8" ht="15.75">
      <c r="A785" s="473" t="s">
        <v>13458</v>
      </c>
      <c r="B785" s="751">
        <v>333</v>
      </c>
      <c r="C785" s="710" t="s">
        <v>6919</v>
      </c>
      <c r="D785" s="711" t="s">
        <v>6698</v>
      </c>
      <c r="E785" s="766">
        <v>4.4000000000000003E-3</v>
      </c>
      <c r="F785" s="713">
        <v>12.44</v>
      </c>
      <c r="G785" s="750">
        <f t="shared" si="2"/>
        <v>0.05</v>
      </c>
    </row>
    <row r="786" spans="1:8" ht="30">
      <c r="A786" s="473" t="s">
        <v>13458</v>
      </c>
      <c r="B786" s="751">
        <v>370</v>
      </c>
      <c r="C786" s="710" t="s">
        <v>765</v>
      </c>
      <c r="D786" s="711" t="s">
        <v>6781</v>
      </c>
      <c r="E786" s="766">
        <v>0.2</v>
      </c>
      <c r="F786" s="713">
        <v>62.5</v>
      </c>
      <c r="G786" s="750">
        <f t="shared" si="2"/>
        <v>12.5</v>
      </c>
    </row>
    <row r="787" spans="1:8" ht="15.75">
      <c r="A787" s="464"/>
      <c r="B787" s="1246" t="s">
        <v>13469</v>
      </c>
      <c r="C787" s="1247"/>
      <c r="D787" s="1247"/>
      <c r="E787" s="1247"/>
      <c r="F787" s="1247"/>
      <c r="G787" s="1248"/>
    </row>
    <row r="788" spans="1:8" ht="15.75">
      <c r="A788" s="473" t="s">
        <v>13459</v>
      </c>
      <c r="B788" s="751">
        <v>88316</v>
      </c>
      <c r="C788" s="710" t="s">
        <v>761</v>
      </c>
      <c r="D788" s="711" t="s">
        <v>753</v>
      </c>
      <c r="E788" s="766">
        <v>5.7</v>
      </c>
      <c r="F788" s="713">
        <v>15.91</v>
      </c>
      <c r="G788" s="750">
        <f t="shared" ref="G788:G794" si="3">TRUNC(F788*E788,2)</f>
        <v>90.68</v>
      </c>
    </row>
    <row r="789" spans="1:8" ht="15.75">
      <c r="A789" s="473" t="s">
        <v>13459</v>
      </c>
      <c r="B789" s="751">
        <v>88309</v>
      </c>
      <c r="C789" s="710" t="s">
        <v>760</v>
      </c>
      <c r="D789" s="711" t="s">
        <v>753</v>
      </c>
      <c r="E789" s="766">
        <v>3.26</v>
      </c>
      <c r="F789" s="713">
        <v>19.809999999999999</v>
      </c>
      <c r="G789" s="750">
        <f t="shared" si="3"/>
        <v>64.58</v>
      </c>
    </row>
    <row r="790" spans="1:8" ht="15.75">
      <c r="A790" s="473" t="s">
        <v>13459</v>
      </c>
      <c r="B790" s="751">
        <v>88310</v>
      </c>
      <c r="C790" s="710" t="s">
        <v>801</v>
      </c>
      <c r="D790" s="711" t="s">
        <v>753</v>
      </c>
      <c r="E790" s="766">
        <v>0.76</v>
      </c>
      <c r="F790" s="713">
        <v>20.92</v>
      </c>
      <c r="G790" s="750">
        <f t="shared" si="3"/>
        <v>15.89</v>
      </c>
    </row>
    <row r="791" spans="1:8" ht="30">
      <c r="A791" s="473" t="s">
        <v>13459</v>
      </c>
      <c r="B791" s="751">
        <v>88377</v>
      </c>
      <c r="C791" s="710" t="s">
        <v>6469</v>
      </c>
      <c r="D791" s="711" t="s">
        <v>753</v>
      </c>
      <c r="E791" s="766">
        <v>0.16</v>
      </c>
      <c r="F791" s="713">
        <v>14.28</v>
      </c>
      <c r="G791" s="750">
        <f t="shared" si="3"/>
        <v>2.2799999999999998</v>
      </c>
    </row>
    <row r="792" spans="1:8" ht="30">
      <c r="A792" s="473" t="s">
        <v>13459</v>
      </c>
      <c r="B792" s="751">
        <v>88262</v>
      </c>
      <c r="C792" s="710" t="s">
        <v>762</v>
      </c>
      <c r="D792" s="711" t="s">
        <v>753</v>
      </c>
      <c r="E792" s="766">
        <v>0.69</v>
      </c>
      <c r="F792" s="713">
        <v>19.670000000000002</v>
      </c>
      <c r="G792" s="750">
        <f t="shared" si="3"/>
        <v>13.57</v>
      </c>
    </row>
    <row r="793" spans="1:8" ht="15.75">
      <c r="A793" s="473" t="s">
        <v>13459</v>
      </c>
      <c r="B793" s="751">
        <v>88245</v>
      </c>
      <c r="C793" s="710" t="s">
        <v>844</v>
      </c>
      <c r="D793" s="711" t="s">
        <v>753</v>
      </c>
      <c r="E793" s="766">
        <v>0.31</v>
      </c>
      <c r="F793" s="713">
        <v>19.71</v>
      </c>
      <c r="G793" s="750">
        <f t="shared" si="3"/>
        <v>6.11</v>
      </c>
    </row>
    <row r="794" spans="1:8" ht="16.5" thickBot="1">
      <c r="A794" s="473" t="s">
        <v>13459</v>
      </c>
      <c r="B794" s="753">
        <v>88242</v>
      </c>
      <c r="C794" s="717" t="s">
        <v>858</v>
      </c>
      <c r="D794" s="718" t="s">
        <v>753</v>
      </c>
      <c r="E794" s="754">
        <v>0.49</v>
      </c>
      <c r="F794" s="720">
        <v>15.9</v>
      </c>
      <c r="G794" s="755">
        <f t="shared" si="3"/>
        <v>7.79</v>
      </c>
    </row>
    <row r="795" spans="1:8" ht="16.5" thickBot="1">
      <c r="A795" s="464"/>
      <c r="B795" s="1264" t="s">
        <v>13886</v>
      </c>
      <c r="C795" s="1265"/>
      <c r="D795" s="1265"/>
      <c r="E795" s="1265"/>
      <c r="F795" s="756" t="s">
        <v>22</v>
      </c>
      <c r="G795" s="757">
        <f>SUM(G767:G794)</f>
        <v>374.34000000000003</v>
      </c>
    </row>
    <row r="796" spans="1:8" s="465" customFormat="1" ht="16.5" thickBot="1">
      <c r="A796" s="464"/>
      <c r="B796" s="794"/>
      <c r="C796" s="795"/>
      <c r="D796" s="795"/>
      <c r="E796" s="795"/>
      <c r="F796" s="795"/>
      <c r="G796" s="796"/>
      <c r="H796" s="464"/>
    </row>
    <row r="797" spans="1:8" ht="16.5" hidden="1" thickBot="1">
      <c r="A797" s="464"/>
      <c r="B797" s="704" t="str">
        <f>IF(COUNT($H$8:H797)&lt;10,CONCATENATE("COMP ELE 00",COUNT($H$8:H797)),CONCATENATE("COMP ELE 0",COUNT($H$8:H797)))</f>
        <v>COMP ELE 061</v>
      </c>
      <c r="C797" s="1257" t="s">
        <v>12585</v>
      </c>
      <c r="D797" s="1257"/>
      <c r="E797" s="1257"/>
      <c r="F797" s="1257"/>
      <c r="G797" s="705" t="s">
        <v>60</v>
      </c>
      <c r="H797" s="698">
        <f>G813</f>
        <v>522.96</v>
      </c>
    </row>
    <row r="798" spans="1:8" ht="32.25" hidden="1" thickBot="1">
      <c r="A798" s="464"/>
      <c r="B798" s="469" t="s">
        <v>13463</v>
      </c>
      <c r="C798" s="470" t="s">
        <v>13464</v>
      </c>
      <c r="D798" s="470" t="s">
        <v>28</v>
      </c>
      <c r="E798" s="470" t="s">
        <v>13465</v>
      </c>
      <c r="F798" s="471" t="s">
        <v>13466</v>
      </c>
      <c r="G798" s="472" t="s">
        <v>13467</v>
      </c>
    </row>
    <row r="799" spans="1:8" ht="16.5" hidden="1" thickBot="1">
      <c r="A799" s="464"/>
      <c r="B799" s="1246" t="s">
        <v>13468</v>
      </c>
      <c r="C799" s="1247"/>
      <c r="D799" s="1247"/>
      <c r="E799" s="1247"/>
      <c r="F799" s="1247"/>
      <c r="G799" s="1248"/>
    </row>
    <row r="800" spans="1:8" ht="30.75" hidden="1" thickBot="1">
      <c r="A800" s="473" t="s">
        <v>13458</v>
      </c>
      <c r="B800" s="751">
        <v>367</v>
      </c>
      <c r="C800" s="710" t="s">
        <v>820</v>
      </c>
      <c r="D800" s="711" t="s">
        <v>6781</v>
      </c>
      <c r="E800" s="888">
        <v>0.41099999999999998</v>
      </c>
      <c r="F800" s="713">
        <v>61.5</v>
      </c>
      <c r="G800" s="750">
        <f t="shared" ref="G800:G809" si="4">TRUNC(F800*E800,2)</f>
        <v>25.27</v>
      </c>
    </row>
    <row r="801" spans="1:8" ht="30.75" hidden="1" thickBot="1">
      <c r="A801" s="473" t="s">
        <v>13458</v>
      </c>
      <c r="B801" s="751">
        <v>4720</v>
      </c>
      <c r="C801" s="710" t="s">
        <v>853</v>
      </c>
      <c r="D801" s="711" t="s">
        <v>6781</v>
      </c>
      <c r="E801" s="888">
        <v>0.48399999999999999</v>
      </c>
      <c r="F801" s="713">
        <v>102.15</v>
      </c>
      <c r="G801" s="750">
        <f t="shared" si="4"/>
        <v>49.44</v>
      </c>
    </row>
    <row r="802" spans="1:8" ht="30.75" hidden="1" thickBot="1">
      <c r="A802" s="473" t="s">
        <v>13458</v>
      </c>
      <c r="B802" s="751">
        <v>4721</v>
      </c>
      <c r="C802" s="710" t="s">
        <v>852</v>
      </c>
      <c r="D802" s="711" t="s">
        <v>6781</v>
      </c>
      <c r="E802" s="888">
        <v>0.48399999999999999</v>
      </c>
      <c r="F802" s="713">
        <v>80</v>
      </c>
      <c r="G802" s="750">
        <f t="shared" si="4"/>
        <v>38.72</v>
      </c>
    </row>
    <row r="803" spans="1:8" ht="45.75" hidden="1" thickBot="1">
      <c r="A803" s="473" t="s">
        <v>13459</v>
      </c>
      <c r="B803" s="751">
        <v>5835</v>
      </c>
      <c r="C803" s="710" t="s">
        <v>1431</v>
      </c>
      <c r="D803" s="711" t="s">
        <v>791</v>
      </c>
      <c r="E803" s="888">
        <v>2.1000000000000001E-2</v>
      </c>
      <c r="F803" s="713">
        <v>259.13</v>
      </c>
      <c r="G803" s="750">
        <f t="shared" si="4"/>
        <v>5.44</v>
      </c>
    </row>
    <row r="804" spans="1:8" ht="45.75" hidden="1" thickBot="1">
      <c r="A804" s="473" t="s">
        <v>13459</v>
      </c>
      <c r="B804" s="751">
        <v>5837</v>
      </c>
      <c r="C804" s="710" t="s">
        <v>1564</v>
      </c>
      <c r="D804" s="711" t="s">
        <v>793</v>
      </c>
      <c r="E804" s="888">
        <v>7.9000000000000001E-2</v>
      </c>
      <c r="F804" s="713">
        <v>94.25</v>
      </c>
      <c r="G804" s="750">
        <f t="shared" si="4"/>
        <v>7.44</v>
      </c>
    </row>
    <row r="805" spans="1:8" ht="45.75" hidden="1" thickBot="1">
      <c r="A805" s="473" t="s">
        <v>13459</v>
      </c>
      <c r="B805" s="751">
        <v>5867</v>
      </c>
      <c r="C805" s="710" t="s">
        <v>1438</v>
      </c>
      <c r="D805" s="711" t="s">
        <v>791</v>
      </c>
      <c r="E805" s="888">
        <v>1.7999999999999999E-2</v>
      </c>
      <c r="F805" s="713">
        <v>88.33</v>
      </c>
      <c r="G805" s="750">
        <f t="shared" si="4"/>
        <v>1.58</v>
      </c>
      <c r="H805" s="464"/>
    </row>
    <row r="806" spans="1:8" ht="45" hidden="1" customHeight="1">
      <c r="A806" s="473" t="s">
        <v>13459</v>
      </c>
      <c r="B806" s="751">
        <v>5869</v>
      </c>
      <c r="C806" s="710" t="s">
        <v>1571</v>
      </c>
      <c r="D806" s="711" t="s">
        <v>793</v>
      </c>
      <c r="E806" s="888">
        <v>8.2000000000000003E-2</v>
      </c>
      <c r="F806" s="713">
        <v>36.47</v>
      </c>
      <c r="G806" s="750">
        <f t="shared" si="4"/>
        <v>2.99</v>
      </c>
    </row>
    <row r="807" spans="1:8" ht="30" hidden="1" customHeight="1">
      <c r="A807" s="473" t="s">
        <v>13459</v>
      </c>
      <c r="B807" s="751">
        <v>6879</v>
      </c>
      <c r="C807" s="710" t="s">
        <v>1452</v>
      </c>
      <c r="D807" s="711" t="s">
        <v>791</v>
      </c>
      <c r="E807" s="888">
        <v>0.02</v>
      </c>
      <c r="F807" s="713">
        <v>116.36</v>
      </c>
      <c r="G807" s="750">
        <f t="shared" si="4"/>
        <v>2.3199999999999998</v>
      </c>
    </row>
    <row r="808" spans="1:8" ht="45.75" hidden="1" thickBot="1">
      <c r="A808" s="473" t="s">
        <v>13459</v>
      </c>
      <c r="B808" s="751">
        <v>6880</v>
      </c>
      <c r="C808" s="710" t="s">
        <v>1588</v>
      </c>
      <c r="D808" s="711" t="s">
        <v>793</v>
      </c>
      <c r="E808" s="888">
        <v>0.08</v>
      </c>
      <c r="F808" s="713">
        <v>42.34</v>
      </c>
      <c r="G808" s="750">
        <f t="shared" si="4"/>
        <v>3.38</v>
      </c>
    </row>
    <row r="809" spans="1:8" ht="45.75" hidden="1" thickBot="1">
      <c r="A809" s="473" t="s">
        <v>13458</v>
      </c>
      <c r="B809" s="751">
        <v>41904</v>
      </c>
      <c r="C809" s="475" t="s">
        <v>8491</v>
      </c>
      <c r="D809" s="711" t="s">
        <v>7650</v>
      </c>
      <c r="E809" s="888">
        <f>132/1000</f>
        <v>0.13200000000000001</v>
      </c>
      <c r="F809" s="713">
        <v>2795.5</v>
      </c>
      <c r="G809" s="750">
        <f t="shared" si="4"/>
        <v>369</v>
      </c>
    </row>
    <row r="810" spans="1:8" ht="30.75" hidden="1" thickBot="1">
      <c r="A810" s="473" t="s">
        <v>13459</v>
      </c>
      <c r="B810" s="751">
        <v>93439</v>
      </c>
      <c r="C810" s="710" t="s">
        <v>1526</v>
      </c>
      <c r="D810" s="711" t="s">
        <v>791</v>
      </c>
      <c r="E810" s="888">
        <v>0.1</v>
      </c>
      <c r="F810" s="713">
        <v>110.23</v>
      </c>
      <c r="G810" s="750">
        <f>TRUNC(F810*E810,2)</f>
        <v>11.02</v>
      </c>
    </row>
    <row r="811" spans="1:8" ht="16.5" hidden="1" thickBot="1">
      <c r="A811" s="464"/>
      <c r="B811" s="1246" t="s">
        <v>13469</v>
      </c>
      <c r="C811" s="1247"/>
      <c r="D811" s="1247"/>
      <c r="E811" s="1247"/>
      <c r="F811" s="1247"/>
      <c r="G811" s="1248"/>
    </row>
    <row r="812" spans="1:8" ht="16.5" hidden="1" thickBot="1">
      <c r="A812" s="473" t="s">
        <v>13459</v>
      </c>
      <c r="B812" s="753">
        <v>88316</v>
      </c>
      <c r="C812" s="717" t="s">
        <v>761</v>
      </c>
      <c r="D812" s="718" t="s">
        <v>753</v>
      </c>
      <c r="E812" s="856">
        <v>0.4</v>
      </c>
      <c r="F812" s="720">
        <v>15.91</v>
      </c>
      <c r="G812" s="755">
        <f>TRUNC(F812*E812,2)</f>
        <v>6.36</v>
      </c>
    </row>
    <row r="813" spans="1:8" ht="16.5" hidden="1" thickBot="1">
      <c r="A813" s="464"/>
      <c r="B813" s="1309" t="s">
        <v>13887</v>
      </c>
      <c r="C813" s="1310"/>
      <c r="D813" s="1310"/>
      <c r="E813" s="1310"/>
      <c r="F813" s="756" t="s">
        <v>22</v>
      </c>
      <c r="G813" s="757">
        <f>SUM(G800:G812)</f>
        <v>522.96</v>
      </c>
    </row>
    <row r="814" spans="1:8" ht="34.5" hidden="1" customHeight="1">
      <c r="B814" s="1264"/>
      <c r="C814" s="1265"/>
      <c r="D814" s="1265"/>
      <c r="E814" s="1265"/>
      <c r="F814" s="457"/>
      <c r="G814" s="827"/>
    </row>
    <row r="815" spans="1:8" ht="13.5" hidden="1" thickBot="1">
      <c r="B815" s="826"/>
      <c r="C815" s="457"/>
      <c r="D815" s="457"/>
      <c r="E815" s="457"/>
      <c r="F815" s="457"/>
      <c r="G815" s="827"/>
    </row>
    <row r="816" spans="1:8" ht="16.5" hidden="1" thickBot="1">
      <c r="A816" s="464"/>
      <c r="B816" s="704" t="str">
        <f>IF(COUNT($H$8:H816)&lt;10,CONCATENATE("COMP ELE 00",COUNT($H$8:H816)),CONCATENATE("COMP ELE 0",COUNT($H$8:H816)))</f>
        <v>COMP ELE 062</v>
      </c>
      <c r="C816" s="1257" t="s">
        <v>13888</v>
      </c>
      <c r="D816" s="1257"/>
      <c r="E816" s="1257"/>
      <c r="F816" s="1257"/>
      <c r="G816" s="705" t="s">
        <v>35</v>
      </c>
      <c r="H816" s="698">
        <f>G823</f>
        <v>8.89</v>
      </c>
    </row>
    <row r="817" spans="1:8" ht="32.25" hidden="1" thickBot="1">
      <c r="A817" s="464"/>
      <c r="B817" s="469" t="s">
        <v>13463</v>
      </c>
      <c r="C817" s="470" t="s">
        <v>13464</v>
      </c>
      <c r="D817" s="470" t="s">
        <v>28</v>
      </c>
      <c r="E817" s="470" t="s">
        <v>13465</v>
      </c>
      <c r="F817" s="471" t="s">
        <v>13466</v>
      </c>
      <c r="G817" s="472" t="s">
        <v>13467</v>
      </c>
    </row>
    <row r="818" spans="1:8" ht="16.5" hidden="1" thickBot="1">
      <c r="A818" s="464"/>
      <c r="B818" s="1246" t="s">
        <v>13468</v>
      </c>
      <c r="C818" s="1247"/>
      <c r="D818" s="1247"/>
      <c r="E818" s="1247"/>
      <c r="F818" s="1247"/>
      <c r="G818" s="1248"/>
    </row>
    <row r="819" spans="1:8" ht="16.5" hidden="1" thickBot="1">
      <c r="A819" s="473" t="s">
        <v>13458</v>
      </c>
      <c r="B819" s="751">
        <v>862</v>
      </c>
      <c r="C819" s="710" t="s">
        <v>7318</v>
      </c>
      <c r="D819" s="711" t="s">
        <v>6649</v>
      </c>
      <c r="E819" s="766">
        <v>1.02</v>
      </c>
      <c r="F819" s="713">
        <v>5.16</v>
      </c>
      <c r="G819" s="750">
        <f>TRUNC(F819*E819,2)</f>
        <v>5.26</v>
      </c>
    </row>
    <row r="820" spans="1:8" ht="16.5" hidden="1" thickBot="1">
      <c r="A820" s="464"/>
      <c r="B820" s="1246" t="s">
        <v>13469</v>
      </c>
      <c r="C820" s="1247"/>
      <c r="D820" s="1247"/>
      <c r="E820" s="1247"/>
      <c r="F820" s="1247"/>
      <c r="G820" s="1248"/>
    </row>
    <row r="821" spans="1:8" ht="16.5" hidden="1" thickBot="1">
      <c r="A821" s="473" t="s">
        <v>13459</v>
      </c>
      <c r="B821" s="751">
        <v>88247</v>
      </c>
      <c r="C821" s="710" t="s">
        <v>924</v>
      </c>
      <c r="D821" s="711" t="s">
        <v>753</v>
      </c>
      <c r="E821" s="752">
        <v>0.1</v>
      </c>
      <c r="F821" s="713">
        <v>15.84</v>
      </c>
      <c r="G821" s="750">
        <f>TRUNC(F821*E821,2)</f>
        <v>1.58</v>
      </c>
    </row>
    <row r="822" spans="1:8" ht="16.5" hidden="1" thickBot="1">
      <c r="A822" s="473" t="s">
        <v>13459</v>
      </c>
      <c r="B822" s="753">
        <v>88264</v>
      </c>
      <c r="C822" s="717" t="s">
        <v>771</v>
      </c>
      <c r="D822" s="718" t="s">
        <v>753</v>
      </c>
      <c r="E822" s="754">
        <v>0.1</v>
      </c>
      <c r="F822" s="720">
        <v>20.52</v>
      </c>
      <c r="G822" s="755">
        <f>TRUNC(F822*E822,2)</f>
        <v>2.0499999999999998</v>
      </c>
    </row>
    <row r="823" spans="1:8" ht="16.5" hidden="1" thickBot="1">
      <c r="A823" s="464"/>
      <c r="B823" s="1264" t="s">
        <v>13889</v>
      </c>
      <c r="C823" s="1265"/>
      <c r="D823" s="1265"/>
      <c r="E823" s="1265"/>
      <c r="F823" s="756" t="s">
        <v>22</v>
      </c>
      <c r="G823" s="757">
        <f>SUM(G819:G822)</f>
        <v>8.89</v>
      </c>
    </row>
    <row r="824" spans="1:8" ht="13.5" hidden="1" thickBot="1">
      <c r="B824" s="826"/>
      <c r="C824" s="457"/>
      <c r="D824" s="457"/>
      <c r="E824" s="457"/>
      <c r="F824" s="457"/>
      <c r="G824" s="827"/>
    </row>
    <row r="825" spans="1:8" ht="16.5" hidden="1" thickBot="1">
      <c r="A825" s="464"/>
      <c r="B825" s="704" t="str">
        <f>IF(COUNT($H$8:H825)&lt;10,CONCATENATE("COMP ELE 00",COUNT($H$8:H825)),CONCATENATE("COMP ELE 0",COUNT($H$8:H825)))</f>
        <v>COMP ELE 063</v>
      </c>
      <c r="C825" s="1257" t="s">
        <v>13890</v>
      </c>
      <c r="D825" s="1257"/>
      <c r="E825" s="1257"/>
      <c r="F825" s="1257"/>
      <c r="G825" s="705" t="s">
        <v>35</v>
      </c>
      <c r="H825" s="698">
        <f>G832</f>
        <v>13.079999999999998</v>
      </c>
    </row>
    <row r="826" spans="1:8" ht="32.25" hidden="1" thickBot="1">
      <c r="A826" s="464"/>
      <c r="B826" s="469" t="s">
        <v>13463</v>
      </c>
      <c r="C826" s="470" t="s">
        <v>13464</v>
      </c>
      <c r="D826" s="470" t="s">
        <v>28</v>
      </c>
      <c r="E826" s="470" t="s">
        <v>13465</v>
      </c>
      <c r="F826" s="471" t="s">
        <v>13466</v>
      </c>
      <c r="G826" s="472" t="s">
        <v>13467</v>
      </c>
    </row>
    <row r="827" spans="1:8" ht="16.5" hidden="1" thickBot="1">
      <c r="A827" s="464"/>
      <c r="B827" s="1246" t="s">
        <v>13468</v>
      </c>
      <c r="C827" s="1247"/>
      <c r="D827" s="1247"/>
      <c r="E827" s="1247"/>
      <c r="F827" s="1247"/>
      <c r="G827" s="1248"/>
    </row>
    <row r="828" spans="1:8" ht="16.5" hidden="1" thickBot="1">
      <c r="A828" s="473" t="s">
        <v>13458</v>
      </c>
      <c r="B828" s="751">
        <v>857</v>
      </c>
      <c r="C828" s="710" t="s">
        <v>774</v>
      </c>
      <c r="D828" s="711" t="s">
        <v>6649</v>
      </c>
      <c r="E828" s="766">
        <v>1.02</v>
      </c>
      <c r="F828" s="713">
        <v>8.2100000000000009</v>
      </c>
      <c r="G828" s="750">
        <f>TRUNC(F828*E828,2)</f>
        <v>8.3699999999999992</v>
      </c>
    </row>
    <row r="829" spans="1:8" ht="16.5" hidden="1" thickBot="1">
      <c r="A829" s="464"/>
      <c r="B829" s="1246" t="s">
        <v>13469</v>
      </c>
      <c r="C829" s="1247"/>
      <c r="D829" s="1247"/>
      <c r="E829" s="1247"/>
      <c r="F829" s="1247"/>
      <c r="G829" s="1248"/>
    </row>
    <row r="830" spans="1:8" ht="16.5" hidden="1" thickBot="1">
      <c r="A830" s="473" t="s">
        <v>13459</v>
      </c>
      <c r="B830" s="751">
        <v>88247</v>
      </c>
      <c r="C830" s="710" t="s">
        <v>924</v>
      </c>
      <c r="D830" s="711" t="s">
        <v>753</v>
      </c>
      <c r="E830" s="752">
        <v>0.13</v>
      </c>
      <c r="F830" s="713">
        <v>15.84</v>
      </c>
      <c r="G830" s="750">
        <f>TRUNC(F830*E830,2)</f>
        <v>2.0499999999999998</v>
      </c>
    </row>
    <row r="831" spans="1:8" ht="16.5" hidden="1" thickBot="1">
      <c r="A831" s="473" t="s">
        <v>13459</v>
      </c>
      <c r="B831" s="753">
        <v>88264</v>
      </c>
      <c r="C831" s="717" t="s">
        <v>771</v>
      </c>
      <c r="D831" s="718" t="s">
        <v>753</v>
      </c>
      <c r="E831" s="754">
        <v>0.13</v>
      </c>
      <c r="F831" s="720">
        <v>20.52</v>
      </c>
      <c r="G831" s="755">
        <f>TRUNC(F831*E831,2)</f>
        <v>2.66</v>
      </c>
    </row>
    <row r="832" spans="1:8" ht="16.5" hidden="1" thickBot="1">
      <c r="A832" s="464"/>
      <c r="B832" s="1264" t="s">
        <v>13891</v>
      </c>
      <c r="C832" s="1265"/>
      <c r="D832" s="1265"/>
      <c r="E832" s="1265"/>
      <c r="F832" s="756" t="s">
        <v>22</v>
      </c>
      <c r="G832" s="757">
        <f>SUM(G828:G831)</f>
        <v>13.079999999999998</v>
      </c>
    </row>
    <row r="833" spans="1:8" ht="13.5" hidden="1" thickBot="1">
      <c r="B833" s="826"/>
      <c r="C833" s="457"/>
      <c r="D833" s="457"/>
      <c r="E833" s="457"/>
      <c r="F833" s="457"/>
      <c r="G833" s="827"/>
    </row>
    <row r="834" spans="1:8" ht="16.5" hidden="1" thickBot="1">
      <c r="A834" s="464"/>
      <c r="B834" s="704" t="str">
        <f>IF(COUNT($H$8:H834)&lt;10,CONCATENATE("COMP ELE 00",COUNT($H$8:H834)),CONCATENATE("COMP ELE 0",COUNT($H$8:H834)))</f>
        <v>COMP ELE 064</v>
      </c>
      <c r="C834" s="1257" t="s">
        <v>13892</v>
      </c>
      <c r="D834" s="1257"/>
      <c r="E834" s="1257"/>
      <c r="F834" s="1257"/>
      <c r="G834" s="705" t="s">
        <v>35</v>
      </c>
      <c r="H834" s="698">
        <f>G841</f>
        <v>19.099999999999998</v>
      </c>
    </row>
    <row r="835" spans="1:8" ht="32.25" hidden="1" thickBot="1">
      <c r="A835" s="464"/>
      <c r="B835" s="469" t="s">
        <v>13463</v>
      </c>
      <c r="C835" s="470" t="s">
        <v>13464</v>
      </c>
      <c r="D835" s="470" t="s">
        <v>28</v>
      </c>
      <c r="E835" s="470" t="s">
        <v>13465</v>
      </c>
      <c r="F835" s="471" t="s">
        <v>13466</v>
      </c>
      <c r="G835" s="472" t="s">
        <v>13467</v>
      </c>
    </row>
    <row r="836" spans="1:8" ht="16.5" hidden="1" thickBot="1">
      <c r="A836" s="464"/>
      <c r="B836" s="1246" t="s">
        <v>13468</v>
      </c>
      <c r="C836" s="1247"/>
      <c r="D836" s="1247"/>
      <c r="E836" s="1247"/>
      <c r="F836" s="1247"/>
      <c r="G836" s="1248"/>
    </row>
    <row r="837" spans="1:8" ht="16.5" hidden="1" thickBot="1">
      <c r="A837" s="473" t="s">
        <v>13458</v>
      </c>
      <c r="B837" s="751">
        <v>868</v>
      </c>
      <c r="C837" s="710" t="s">
        <v>7322</v>
      </c>
      <c r="D837" s="711" t="s">
        <v>6649</v>
      </c>
      <c r="E837" s="766">
        <v>1.02</v>
      </c>
      <c r="F837" s="713">
        <v>12.68</v>
      </c>
      <c r="G837" s="750">
        <f>TRUNC(F837*E837,2)</f>
        <v>12.93</v>
      </c>
    </row>
    <row r="838" spans="1:8" ht="16.5" hidden="1" thickBot="1">
      <c r="A838" s="464"/>
      <c r="B838" s="1246" t="s">
        <v>13469</v>
      </c>
      <c r="C838" s="1247"/>
      <c r="D838" s="1247"/>
      <c r="E838" s="1247"/>
      <c r="F838" s="1247"/>
      <c r="G838" s="1248"/>
    </row>
    <row r="839" spans="1:8" ht="16.5" hidden="1" thickBot="1">
      <c r="A839" s="473" t="s">
        <v>13459</v>
      </c>
      <c r="B839" s="751">
        <v>88247</v>
      </c>
      <c r="C839" s="710" t="s">
        <v>924</v>
      </c>
      <c r="D839" s="711" t="s">
        <v>753</v>
      </c>
      <c r="E839" s="752">
        <v>0.17</v>
      </c>
      <c r="F839" s="713">
        <v>15.84</v>
      </c>
      <c r="G839" s="750">
        <f>TRUNC(F839*E839,2)</f>
        <v>2.69</v>
      </c>
    </row>
    <row r="840" spans="1:8" ht="16.5" hidden="1" thickBot="1">
      <c r="A840" s="473" t="s">
        <v>13459</v>
      </c>
      <c r="B840" s="753">
        <v>88264</v>
      </c>
      <c r="C840" s="717" t="s">
        <v>771</v>
      </c>
      <c r="D840" s="718" t="s">
        <v>753</v>
      </c>
      <c r="E840" s="754">
        <v>0.17</v>
      </c>
      <c r="F840" s="720">
        <v>20.52</v>
      </c>
      <c r="G840" s="755">
        <f>TRUNC(F840*E840,2)</f>
        <v>3.48</v>
      </c>
    </row>
    <row r="841" spans="1:8" ht="16.5" hidden="1" thickBot="1">
      <c r="A841" s="464"/>
      <c r="B841" s="1264" t="s">
        <v>13893</v>
      </c>
      <c r="C841" s="1265"/>
      <c r="D841" s="1265"/>
      <c r="E841" s="1265"/>
      <c r="F841" s="756" t="s">
        <v>22</v>
      </c>
      <c r="G841" s="757">
        <f>SUM(G837:G840)</f>
        <v>19.099999999999998</v>
      </c>
    </row>
    <row r="842" spans="1:8" ht="13.5" hidden="1" thickBot="1">
      <c r="B842" s="826"/>
      <c r="C842" s="457"/>
      <c r="D842" s="457"/>
      <c r="E842" s="457"/>
      <c r="F842" s="457"/>
      <c r="G842" s="827"/>
    </row>
    <row r="843" spans="1:8" ht="16.5" hidden="1" thickBot="1">
      <c r="A843" s="464"/>
      <c r="B843" s="704" t="str">
        <f>IF(COUNT($H$8:H843)&lt;10,CONCATENATE("COMP ELE 00",COUNT($H$8:H843)),CONCATENATE("COMP ELE 0",COUNT($H$8:H843)))</f>
        <v>COMP ELE 065</v>
      </c>
      <c r="C843" s="1257" t="s">
        <v>160</v>
      </c>
      <c r="D843" s="1257"/>
      <c r="E843" s="1257"/>
      <c r="F843" s="1257"/>
      <c r="G843" s="705" t="s">
        <v>35</v>
      </c>
      <c r="H843" s="698">
        <f>G850</f>
        <v>25.48</v>
      </c>
    </row>
    <row r="844" spans="1:8" ht="32.25" hidden="1" thickBot="1">
      <c r="A844" s="464"/>
      <c r="B844" s="469" t="s">
        <v>13463</v>
      </c>
      <c r="C844" s="470" t="s">
        <v>13464</v>
      </c>
      <c r="D844" s="470" t="s">
        <v>28</v>
      </c>
      <c r="E844" s="470" t="s">
        <v>13465</v>
      </c>
      <c r="F844" s="471" t="s">
        <v>13466</v>
      </c>
      <c r="G844" s="472" t="s">
        <v>13467</v>
      </c>
    </row>
    <row r="845" spans="1:8" ht="16.5" hidden="1" thickBot="1">
      <c r="A845" s="464"/>
      <c r="B845" s="1246" t="s">
        <v>13468</v>
      </c>
      <c r="C845" s="1247"/>
      <c r="D845" s="1247"/>
      <c r="E845" s="1247"/>
      <c r="F845" s="1247"/>
      <c r="G845" s="1248"/>
    </row>
    <row r="846" spans="1:8" ht="16.5" hidden="1" thickBot="1">
      <c r="A846" s="473" t="s">
        <v>13458</v>
      </c>
      <c r="B846" s="751">
        <v>863</v>
      </c>
      <c r="C846" s="710" t="s">
        <v>946</v>
      </c>
      <c r="D846" s="711" t="s">
        <v>6649</v>
      </c>
      <c r="E846" s="766">
        <v>1.02</v>
      </c>
      <c r="F846" s="713">
        <v>17.510000000000002</v>
      </c>
      <c r="G846" s="750">
        <f>TRUNC(F846*E846,2)</f>
        <v>17.86</v>
      </c>
    </row>
    <row r="847" spans="1:8" ht="16.5" hidden="1" thickBot="1">
      <c r="A847" s="464"/>
      <c r="B847" s="1246" t="s">
        <v>13469</v>
      </c>
      <c r="C847" s="1247"/>
      <c r="D847" s="1247"/>
      <c r="E847" s="1247"/>
      <c r="F847" s="1247"/>
      <c r="G847" s="1248"/>
    </row>
    <row r="848" spans="1:8" ht="16.5" hidden="1" thickBot="1">
      <c r="A848" s="473" t="s">
        <v>13459</v>
      </c>
      <c r="B848" s="751">
        <v>88247</v>
      </c>
      <c r="C848" s="710" t="s">
        <v>924</v>
      </c>
      <c r="D848" s="711" t="s">
        <v>753</v>
      </c>
      <c r="E848" s="752">
        <v>0.21</v>
      </c>
      <c r="F848" s="713">
        <v>15.84</v>
      </c>
      <c r="G848" s="750">
        <f>TRUNC(F848*E848,2)</f>
        <v>3.32</v>
      </c>
    </row>
    <row r="849" spans="1:8" ht="16.5" hidden="1" thickBot="1">
      <c r="A849" s="473" t="s">
        <v>13459</v>
      </c>
      <c r="B849" s="753">
        <v>88264</v>
      </c>
      <c r="C849" s="717" t="s">
        <v>771</v>
      </c>
      <c r="D849" s="718" t="s">
        <v>753</v>
      </c>
      <c r="E849" s="754">
        <v>0.21</v>
      </c>
      <c r="F849" s="720">
        <v>20.52</v>
      </c>
      <c r="G849" s="755">
        <f>TRUNC(F849*E849,2)</f>
        <v>4.3</v>
      </c>
    </row>
    <row r="850" spans="1:8" ht="16.5" hidden="1" customHeight="1" thickBot="1">
      <c r="A850" s="464"/>
      <c r="B850" s="1264" t="s">
        <v>13894</v>
      </c>
      <c r="C850" s="1265"/>
      <c r="D850" s="1265"/>
      <c r="E850" s="1265"/>
      <c r="F850" s="756" t="s">
        <v>22</v>
      </c>
      <c r="G850" s="757">
        <f>SUM(G846:G849)</f>
        <v>25.48</v>
      </c>
    </row>
    <row r="851" spans="1:8" ht="13.5" hidden="1" thickBot="1">
      <c r="B851" s="826"/>
      <c r="C851" s="457"/>
      <c r="D851" s="457"/>
      <c r="E851" s="457"/>
      <c r="F851" s="457"/>
      <c r="G851" s="827"/>
    </row>
    <row r="852" spans="1:8" ht="16.5" hidden="1" thickBot="1">
      <c r="A852" s="464"/>
      <c r="B852" s="704" t="str">
        <f>IF(COUNT($H$8:H852)&lt;10,CONCATENATE("COMP ELE 00",COUNT($H$8:H852)),CONCATENATE("COMP ELE 0",COUNT($H$8:H852)))</f>
        <v>COMP ELE 066</v>
      </c>
      <c r="C852" s="1257" t="s">
        <v>161</v>
      </c>
      <c r="D852" s="1257"/>
      <c r="E852" s="1257"/>
      <c r="F852" s="1257"/>
      <c r="G852" s="705" t="s">
        <v>35</v>
      </c>
      <c r="H852" s="698">
        <f>G859</f>
        <v>36.14</v>
      </c>
    </row>
    <row r="853" spans="1:8" ht="32.25" hidden="1" thickBot="1">
      <c r="A853" s="464"/>
      <c r="B853" s="469" t="s">
        <v>13463</v>
      </c>
      <c r="C853" s="470" t="s">
        <v>13464</v>
      </c>
      <c r="D853" s="470" t="s">
        <v>28</v>
      </c>
      <c r="E853" s="470" t="s">
        <v>13465</v>
      </c>
      <c r="F853" s="471" t="s">
        <v>13466</v>
      </c>
      <c r="G853" s="472" t="s">
        <v>13467</v>
      </c>
    </row>
    <row r="854" spans="1:8" ht="16.5" hidden="1" thickBot="1">
      <c r="A854" s="464"/>
      <c r="B854" s="1246" t="s">
        <v>13468</v>
      </c>
      <c r="C854" s="1247"/>
      <c r="D854" s="1247"/>
      <c r="E854" s="1247"/>
      <c r="F854" s="1247"/>
      <c r="G854" s="1248"/>
    </row>
    <row r="855" spans="1:8" ht="16.5" hidden="1" thickBot="1">
      <c r="A855" s="473" t="s">
        <v>13458</v>
      </c>
      <c r="B855" s="751">
        <v>867</v>
      </c>
      <c r="C855" s="710" t="s">
        <v>947</v>
      </c>
      <c r="D855" s="711" t="s">
        <v>6649</v>
      </c>
      <c r="E855" s="766">
        <v>1.02</v>
      </c>
      <c r="F855" s="713">
        <v>24.39</v>
      </c>
      <c r="G855" s="750">
        <f>TRUNC(F855*E855,2)</f>
        <v>24.87</v>
      </c>
    </row>
    <row r="856" spans="1:8" ht="16.5" hidden="1" thickBot="1">
      <c r="A856" s="464"/>
      <c r="B856" s="1246" t="s">
        <v>13469</v>
      </c>
      <c r="C856" s="1247"/>
      <c r="D856" s="1247"/>
      <c r="E856" s="1247"/>
      <c r="F856" s="1247"/>
      <c r="G856" s="1248"/>
    </row>
    <row r="857" spans="1:8" ht="16.5" hidden="1" thickBot="1">
      <c r="A857" s="473" t="s">
        <v>13459</v>
      </c>
      <c r="B857" s="751">
        <v>88247</v>
      </c>
      <c r="C857" s="710" t="s">
        <v>924</v>
      </c>
      <c r="D857" s="711" t="s">
        <v>753</v>
      </c>
      <c r="E857" s="752">
        <v>0.31</v>
      </c>
      <c r="F857" s="713">
        <v>15.84</v>
      </c>
      <c r="G857" s="750">
        <f>TRUNC(F857*E857,2)</f>
        <v>4.91</v>
      </c>
    </row>
    <row r="858" spans="1:8" ht="16.5" hidden="1" thickBot="1">
      <c r="A858" s="473" t="s">
        <v>13459</v>
      </c>
      <c r="B858" s="753">
        <v>88264</v>
      </c>
      <c r="C858" s="717" t="s">
        <v>771</v>
      </c>
      <c r="D858" s="718" t="s">
        <v>753</v>
      </c>
      <c r="E858" s="754">
        <v>0.31</v>
      </c>
      <c r="F858" s="720">
        <v>20.52</v>
      </c>
      <c r="G858" s="755">
        <f>TRUNC(F858*E858,2)</f>
        <v>6.36</v>
      </c>
    </row>
    <row r="859" spans="1:8" ht="16.5" hidden="1" thickBot="1">
      <c r="A859" s="464"/>
      <c r="B859" s="1264" t="s">
        <v>13895</v>
      </c>
      <c r="C859" s="1265"/>
      <c r="D859" s="1265"/>
      <c r="E859" s="1265"/>
      <c r="F859" s="756" t="s">
        <v>22</v>
      </c>
      <c r="G859" s="757">
        <f>SUM(G855:G858)</f>
        <v>36.14</v>
      </c>
    </row>
    <row r="860" spans="1:8" ht="13.5" hidden="1" thickBot="1">
      <c r="B860" s="826"/>
      <c r="C860" s="457"/>
      <c r="D860" s="457"/>
      <c r="E860" s="457"/>
      <c r="F860" s="457"/>
      <c r="G860" s="827"/>
    </row>
    <row r="861" spans="1:8" ht="16.5" hidden="1" thickBot="1">
      <c r="A861" s="464"/>
      <c r="B861" s="704" t="str">
        <f>IF(COUNT($H$8:H861)&lt;10,CONCATENATE("COMP ELE 00",COUNT($H$8:H861)),CONCATENATE("COMP ELE 0",COUNT($H$8:H861)))</f>
        <v>COMP ELE 067</v>
      </c>
      <c r="C861" s="1257" t="s">
        <v>13896</v>
      </c>
      <c r="D861" s="1257"/>
      <c r="E861" s="1257"/>
      <c r="F861" s="1257"/>
      <c r="G861" s="705" t="s">
        <v>35</v>
      </c>
      <c r="H861" s="698">
        <f>G868</f>
        <v>47.4</v>
      </c>
    </row>
    <row r="862" spans="1:8" ht="32.25" hidden="1" thickBot="1">
      <c r="A862" s="464"/>
      <c r="B862" s="469" t="s">
        <v>13463</v>
      </c>
      <c r="C862" s="470" t="s">
        <v>13464</v>
      </c>
      <c r="D862" s="470" t="s">
        <v>28</v>
      </c>
      <c r="E862" s="470" t="s">
        <v>13465</v>
      </c>
      <c r="F862" s="471" t="s">
        <v>13466</v>
      </c>
      <c r="G862" s="472" t="s">
        <v>13467</v>
      </c>
    </row>
    <row r="863" spans="1:8" ht="16.5" hidden="1" thickBot="1">
      <c r="A863" s="464"/>
      <c r="B863" s="1246" t="s">
        <v>13468</v>
      </c>
      <c r="C863" s="1247"/>
      <c r="D863" s="1247"/>
      <c r="E863" s="1247"/>
      <c r="F863" s="1247"/>
      <c r="G863" s="1248"/>
    </row>
    <row r="864" spans="1:8" ht="16.5" hidden="1" thickBot="1">
      <c r="A864" s="473" t="s">
        <v>13458</v>
      </c>
      <c r="B864" s="751">
        <v>864</v>
      </c>
      <c r="C864" s="710" t="s">
        <v>7325</v>
      </c>
      <c r="D864" s="711" t="s">
        <v>6649</v>
      </c>
      <c r="E864" s="766">
        <v>1.02</v>
      </c>
      <c r="F864" s="713">
        <v>34.369999999999997</v>
      </c>
      <c r="G864" s="750">
        <f>TRUNC(F864*E864,2)</f>
        <v>35.049999999999997</v>
      </c>
    </row>
    <row r="865" spans="1:8" ht="16.5" hidden="1" thickBot="1">
      <c r="A865" s="464"/>
      <c r="B865" s="1246" t="s">
        <v>13469</v>
      </c>
      <c r="C865" s="1247"/>
      <c r="D865" s="1247"/>
      <c r="E865" s="1247"/>
      <c r="F865" s="1247"/>
      <c r="G865" s="1248"/>
    </row>
    <row r="866" spans="1:8" ht="16.5" hidden="1" thickBot="1">
      <c r="A866" s="473" t="s">
        <v>13459</v>
      </c>
      <c r="B866" s="751">
        <v>88247</v>
      </c>
      <c r="C866" s="710" t="s">
        <v>924</v>
      </c>
      <c r="D866" s="711" t="s">
        <v>753</v>
      </c>
      <c r="E866" s="752">
        <v>0.34</v>
      </c>
      <c r="F866" s="713">
        <v>15.84</v>
      </c>
      <c r="G866" s="750">
        <f>TRUNC(F866*E866,2)</f>
        <v>5.38</v>
      </c>
    </row>
    <row r="867" spans="1:8" ht="16.5" hidden="1" thickBot="1">
      <c r="A867" s="473" t="s">
        <v>13459</v>
      </c>
      <c r="B867" s="753">
        <v>88264</v>
      </c>
      <c r="C867" s="717" t="s">
        <v>771</v>
      </c>
      <c r="D867" s="718" t="s">
        <v>753</v>
      </c>
      <c r="E867" s="754">
        <v>0.34</v>
      </c>
      <c r="F867" s="720">
        <v>20.52</v>
      </c>
      <c r="G867" s="755">
        <f>TRUNC(F867*E867,2)</f>
        <v>6.97</v>
      </c>
    </row>
    <row r="868" spans="1:8" ht="16.5" hidden="1" thickBot="1">
      <c r="A868" s="464"/>
      <c r="B868" s="1264" t="s">
        <v>13897</v>
      </c>
      <c r="C868" s="1265"/>
      <c r="D868" s="1265"/>
      <c r="E868" s="1265"/>
      <c r="F868" s="756" t="s">
        <v>22</v>
      </c>
      <c r="G868" s="757">
        <f>SUM(G864:G867)</f>
        <v>47.4</v>
      </c>
    </row>
    <row r="869" spans="1:8" ht="13.5" hidden="1" thickBot="1">
      <c r="B869" s="826"/>
      <c r="C869" s="457"/>
      <c r="D869" s="457"/>
      <c r="E869" s="457"/>
      <c r="F869" s="457"/>
      <c r="G869" s="827"/>
    </row>
    <row r="870" spans="1:8" ht="16.5" hidden="1" thickBot="1">
      <c r="A870" s="464"/>
      <c r="B870" s="704" t="str">
        <f>IF(COUNT($H$8:H870)&lt;10,CONCATENATE("COMP ELE 00",COUNT($H$8:H870)),CONCATENATE("COMP ELE 0",COUNT($H$8:H870)))</f>
        <v>COMP ELE 068</v>
      </c>
      <c r="C870" s="1257" t="s">
        <v>13898</v>
      </c>
      <c r="D870" s="1257"/>
      <c r="E870" s="1257"/>
      <c r="F870" s="1257"/>
      <c r="G870" s="705" t="s">
        <v>35</v>
      </c>
      <c r="H870" s="698">
        <f>G877</f>
        <v>62.45</v>
      </c>
    </row>
    <row r="871" spans="1:8" ht="32.25" hidden="1" thickBot="1">
      <c r="A871" s="464"/>
      <c r="B871" s="469" t="s">
        <v>13463</v>
      </c>
      <c r="C871" s="470" t="s">
        <v>13464</v>
      </c>
      <c r="D871" s="470" t="s">
        <v>28</v>
      </c>
      <c r="E871" s="470" t="s">
        <v>13465</v>
      </c>
      <c r="F871" s="471" t="s">
        <v>13466</v>
      </c>
      <c r="G871" s="472" t="s">
        <v>13467</v>
      </c>
    </row>
    <row r="872" spans="1:8" ht="16.5" hidden="1" thickBot="1">
      <c r="A872" s="464"/>
      <c r="B872" s="1246" t="s">
        <v>13468</v>
      </c>
      <c r="C872" s="1247"/>
      <c r="D872" s="1247"/>
      <c r="E872" s="1247"/>
      <c r="F872" s="1247"/>
      <c r="G872" s="1248"/>
    </row>
    <row r="873" spans="1:8" ht="16.5" hidden="1" thickBot="1">
      <c r="A873" s="473" t="s">
        <v>13458</v>
      </c>
      <c r="B873" s="751">
        <v>865</v>
      </c>
      <c r="C873" s="710" t="s">
        <v>7326</v>
      </c>
      <c r="D873" s="711" t="s">
        <v>6649</v>
      </c>
      <c r="E873" s="766">
        <v>1.02</v>
      </c>
      <c r="F873" s="713">
        <v>48.41</v>
      </c>
      <c r="G873" s="750">
        <f>TRUNC(F873*E873,2)</f>
        <v>49.37</v>
      </c>
    </row>
    <row r="874" spans="1:8" ht="16.5" hidden="1" thickBot="1">
      <c r="A874" s="464"/>
      <c r="B874" s="1246" t="s">
        <v>13469</v>
      </c>
      <c r="C874" s="1247"/>
      <c r="D874" s="1247"/>
      <c r="E874" s="1247"/>
      <c r="F874" s="1247"/>
      <c r="G874" s="1248"/>
    </row>
    <row r="875" spans="1:8" ht="16.5" hidden="1" thickBot="1">
      <c r="A875" s="473" t="s">
        <v>13459</v>
      </c>
      <c r="B875" s="751">
        <v>88247</v>
      </c>
      <c r="C875" s="710" t="s">
        <v>924</v>
      </c>
      <c r="D875" s="711" t="s">
        <v>753</v>
      </c>
      <c r="E875" s="752">
        <v>0.36</v>
      </c>
      <c r="F875" s="713">
        <v>15.84</v>
      </c>
      <c r="G875" s="750">
        <f>TRUNC(F875*E875,2)</f>
        <v>5.7</v>
      </c>
    </row>
    <row r="876" spans="1:8" ht="16.5" hidden="1" thickBot="1">
      <c r="A876" s="473" t="s">
        <v>13459</v>
      </c>
      <c r="B876" s="753">
        <v>88264</v>
      </c>
      <c r="C876" s="717" t="s">
        <v>771</v>
      </c>
      <c r="D876" s="718" t="s">
        <v>753</v>
      </c>
      <c r="E876" s="754">
        <v>0.36</v>
      </c>
      <c r="F876" s="720">
        <v>20.52</v>
      </c>
      <c r="G876" s="755">
        <f>TRUNC(F876*E876,2)</f>
        <v>7.38</v>
      </c>
    </row>
    <row r="877" spans="1:8" ht="16.5" hidden="1" thickBot="1">
      <c r="A877" s="464"/>
      <c r="B877" s="1264" t="s">
        <v>13899</v>
      </c>
      <c r="C877" s="1265"/>
      <c r="D877" s="1265"/>
      <c r="E877" s="1265"/>
      <c r="F877" s="756" t="s">
        <v>22</v>
      </c>
      <c r="G877" s="757">
        <f>SUM(G873:G876)</f>
        <v>62.45</v>
      </c>
    </row>
    <row r="878" spans="1:8" ht="13.5" hidden="1" thickBot="1">
      <c r="B878" s="826"/>
      <c r="C878" s="457"/>
      <c r="D878" s="457"/>
      <c r="E878" s="457"/>
      <c r="F878" s="457"/>
      <c r="G878" s="827"/>
    </row>
    <row r="879" spans="1:8" ht="16.5" hidden="1" thickBot="1">
      <c r="A879" s="464"/>
      <c r="B879" s="704" t="str">
        <f>IF(COUNT($H$8:H879)&lt;10,CONCATENATE("COMP ELE 00",COUNT($H$8:H879)),CONCATENATE("COMP ELE 0",COUNT($H$8:H879)))</f>
        <v>COMP ELE 069</v>
      </c>
      <c r="C879" s="1257" t="s">
        <v>13900</v>
      </c>
      <c r="D879" s="1257"/>
      <c r="E879" s="1257"/>
      <c r="F879" s="1257"/>
      <c r="G879" s="705" t="s">
        <v>28</v>
      </c>
      <c r="H879" s="698">
        <f>G886</f>
        <v>14.41</v>
      </c>
    </row>
    <row r="880" spans="1:8" ht="32.25" hidden="1" thickBot="1">
      <c r="A880" s="464"/>
      <c r="B880" s="469" t="s">
        <v>13463</v>
      </c>
      <c r="C880" s="470" t="s">
        <v>13464</v>
      </c>
      <c r="D880" s="470" t="s">
        <v>28</v>
      </c>
      <c r="E880" s="470" t="s">
        <v>13465</v>
      </c>
      <c r="F880" s="471" t="s">
        <v>13466</v>
      </c>
      <c r="G880" s="472" t="s">
        <v>13467</v>
      </c>
    </row>
    <row r="881" spans="1:8" ht="16.5" hidden="1" thickBot="1">
      <c r="A881" s="464"/>
      <c r="B881" s="1246" t="s">
        <v>13468</v>
      </c>
      <c r="C881" s="1247"/>
      <c r="D881" s="1247"/>
      <c r="E881" s="1247"/>
      <c r="F881" s="1247"/>
      <c r="G881" s="1248"/>
    </row>
    <row r="882" spans="1:8" ht="30.75" hidden="1" thickBot="1">
      <c r="A882" s="473" t="s">
        <v>13458</v>
      </c>
      <c r="B882" s="751">
        <v>1535</v>
      </c>
      <c r="C882" s="710" t="s">
        <v>10913</v>
      </c>
      <c r="D882" s="711" t="s">
        <v>6636</v>
      </c>
      <c r="E882" s="766">
        <v>1</v>
      </c>
      <c r="F882" s="713">
        <v>3.51</v>
      </c>
      <c r="G882" s="750">
        <f>TRUNC(F882*E882,2)</f>
        <v>3.51</v>
      </c>
    </row>
    <row r="883" spans="1:8" ht="16.5" hidden="1" thickBot="1">
      <c r="A883" s="464"/>
      <c r="B883" s="1246" t="s">
        <v>13469</v>
      </c>
      <c r="C883" s="1247"/>
      <c r="D883" s="1247"/>
      <c r="E883" s="1247"/>
      <c r="F883" s="1247"/>
      <c r="G883" s="1248"/>
    </row>
    <row r="884" spans="1:8" ht="16.5" hidden="1" thickBot="1">
      <c r="A884" s="473" t="s">
        <v>13459</v>
      </c>
      <c r="B884" s="751">
        <v>88247</v>
      </c>
      <c r="C884" s="710" t="s">
        <v>924</v>
      </c>
      <c r="D884" s="711" t="s">
        <v>753</v>
      </c>
      <c r="E884" s="752">
        <v>0.3</v>
      </c>
      <c r="F884" s="713">
        <v>15.84</v>
      </c>
      <c r="G884" s="750">
        <f>TRUNC(F884*E884,2)</f>
        <v>4.75</v>
      </c>
    </row>
    <row r="885" spans="1:8" ht="16.5" hidden="1" thickBot="1">
      <c r="A885" s="473" t="s">
        <v>13459</v>
      </c>
      <c r="B885" s="753">
        <v>88264</v>
      </c>
      <c r="C885" s="717" t="s">
        <v>771</v>
      </c>
      <c r="D885" s="718" t="s">
        <v>753</v>
      </c>
      <c r="E885" s="754">
        <v>0.3</v>
      </c>
      <c r="F885" s="720">
        <v>20.52</v>
      </c>
      <c r="G885" s="755">
        <f>TRUNC(F885*E885,2)</f>
        <v>6.15</v>
      </c>
    </row>
    <row r="886" spans="1:8" ht="16.5" hidden="1" thickBot="1">
      <c r="A886" s="464"/>
      <c r="B886" s="1264" t="s">
        <v>13901</v>
      </c>
      <c r="C886" s="1265"/>
      <c r="D886" s="1265"/>
      <c r="E886" s="1265"/>
      <c r="F886" s="756" t="s">
        <v>22</v>
      </c>
      <c r="G886" s="757">
        <f>SUM(G882:G885)</f>
        <v>14.41</v>
      </c>
    </row>
    <row r="887" spans="1:8" ht="13.5" hidden="1" thickBot="1">
      <c r="B887" s="826"/>
      <c r="C887" s="457"/>
      <c r="D887" s="457"/>
      <c r="E887" s="457"/>
      <c r="F887" s="457"/>
      <c r="G887" s="827"/>
    </row>
    <row r="888" spans="1:8" ht="16.5" hidden="1" thickBot="1">
      <c r="A888" s="464"/>
      <c r="B888" s="704" t="str">
        <f>IF(COUNT($H$8:H888)&lt;10,CONCATENATE("COMP ELE 00",COUNT($H$8:H888)),CONCATENATE("COMP ELE 0",COUNT($H$8:H888)))</f>
        <v>COMP ELE 070</v>
      </c>
      <c r="C888" s="1257" t="s">
        <v>13902</v>
      </c>
      <c r="D888" s="1257"/>
      <c r="E888" s="1257"/>
      <c r="F888" s="1257"/>
      <c r="G888" s="705" t="s">
        <v>28</v>
      </c>
      <c r="H888" s="698">
        <f>G895</f>
        <v>14.34</v>
      </c>
    </row>
    <row r="889" spans="1:8" ht="32.25" hidden="1" thickBot="1">
      <c r="A889" s="464"/>
      <c r="B889" s="469" t="s">
        <v>13463</v>
      </c>
      <c r="C889" s="470" t="s">
        <v>13464</v>
      </c>
      <c r="D889" s="470" t="s">
        <v>28</v>
      </c>
      <c r="E889" s="470" t="s">
        <v>13465</v>
      </c>
      <c r="F889" s="471" t="s">
        <v>13466</v>
      </c>
      <c r="G889" s="472" t="s">
        <v>13467</v>
      </c>
    </row>
    <row r="890" spans="1:8" ht="16.5" hidden="1" thickBot="1">
      <c r="A890" s="464"/>
      <c r="B890" s="1246" t="s">
        <v>13468</v>
      </c>
      <c r="C890" s="1247"/>
      <c r="D890" s="1247"/>
      <c r="E890" s="1247"/>
      <c r="F890" s="1247"/>
      <c r="G890" s="1248"/>
    </row>
    <row r="891" spans="1:8" ht="30.75" hidden="1" thickBot="1">
      <c r="A891" s="473" t="s">
        <v>13458</v>
      </c>
      <c r="B891" s="751">
        <v>1585</v>
      </c>
      <c r="C891" s="710" t="s">
        <v>10904</v>
      </c>
      <c r="D891" s="711" t="s">
        <v>6636</v>
      </c>
      <c r="E891" s="766">
        <v>1</v>
      </c>
      <c r="F891" s="713">
        <v>3.44</v>
      </c>
      <c r="G891" s="750">
        <f>TRUNC(F891*E891,2)</f>
        <v>3.44</v>
      </c>
    </row>
    <row r="892" spans="1:8" ht="16.5" hidden="1" thickBot="1">
      <c r="A892" s="464"/>
      <c r="B892" s="1246" t="s">
        <v>13469</v>
      </c>
      <c r="C892" s="1247"/>
      <c r="D892" s="1247"/>
      <c r="E892" s="1247"/>
      <c r="F892" s="1247"/>
      <c r="G892" s="1248"/>
    </row>
    <row r="893" spans="1:8" ht="16.5" hidden="1" thickBot="1">
      <c r="A893" s="473" t="s">
        <v>13459</v>
      </c>
      <c r="B893" s="751">
        <v>88247</v>
      </c>
      <c r="C893" s="710" t="s">
        <v>924</v>
      </c>
      <c r="D893" s="711" t="s">
        <v>753</v>
      </c>
      <c r="E893" s="752">
        <v>0.3</v>
      </c>
      <c r="F893" s="713">
        <v>15.84</v>
      </c>
      <c r="G893" s="750">
        <f>TRUNC(F893*E893,2)</f>
        <v>4.75</v>
      </c>
    </row>
    <row r="894" spans="1:8" ht="16.5" hidden="1" thickBot="1">
      <c r="A894" s="473" t="s">
        <v>13459</v>
      </c>
      <c r="B894" s="753">
        <v>88264</v>
      </c>
      <c r="C894" s="717" t="s">
        <v>771</v>
      </c>
      <c r="D894" s="718" t="s">
        <v>753</v>
      </c>
      <c r="E894" s="754">
        <v>0.3</v>
      </c>
      <c r="F894" s="720">
        <v>20.52</v>
      </c>
      <c r="G894" s="755">
        <f>TRUNC(F894*E894,2)</f>
        <v>6.15</v>
      </c>
    </row>
    <row r="895" spans="1:8" ht="16.5" hidden="1" thickBot="1">
      <c r="A895" s="464"/>
      <c r="B895" s="1264" t="s">
        <v>13903</v>
      </c>
      <c r="C895" s="1265"/>
      <c r="D895" s="1265"/>
      <c r="E895" s="1265"/>
      <c r="F895" s="756" t="s">
        <v>22</v>
      </c>
      <c r="G895" s="757">
        <f>SUM(G891:G894)</f>
        <v>14.34</v>
      </c>
    </row>
    <row r="896" spans="1:8" ht="13.5" hidden="1" thickBot="1">
      <c r="B896" s="826"/>
      <c r="C896" s="457"/>
      <c r="D896" s="457"/>
      <c r="E896" s="457"/>
      <c r="F896" s="457"/>
      <c r="G896" s="827"/>
    </row>
    <row r="897" spans="1:8" ht="16.5" hidden="1" thickBot="1">
      <c r="A897" s="464"/>
      <c r="B897" s="704" t="str">
        <f>IF(COUNT($H$8:H897)&lt;10,CONCATENATE("COMP ELE 00",COUNT($H$8:H897)),CONCATENATE("COMP ELE 0",COUNT($H$8:H897)))</f>
        <v>COMP ELE 071</v>
      </c>
      <c r="C897" s="1257" t="s">
        <v>13904</v>
      </c>
      <c r="D897" s="1257"/>
      <c r="E897" s="1257"/>
      <c r="F897" s="1257"/>
      <c r="G897" s="705" t="s">
        <v>28</v>
      </c>
      <c r="H897" s="698">
        <f>G904</f>
        <v>15.26</v>
      </c>
    </row>
    <row r="898" spans="1:8" ht="32.25" hidden="1" thickBot="1">
      <c r="A898" s="464"/>
      <c r="B898" s="469" t="s">
        <v>13463</v>
      </c>
      <c r="C898" s="470" t="s">
        <v>13464</v>
      </c>
      <c r="D898" s="470" t="s">
        <v>28</v>
      </c>
      <c r="E898" s="470" t="s">
        <v>13465</v>
      </c>
      <c r="F898" s="471" t="s">
        <v>13466</v>
      </c>
      <c r="G898" s="472" t="s">
        <v>13467</v>
      </c>
    </row>
    <row r="899" spans="1:8" ht="16.5" hidden="1" thickBot="1">
      <c r="A899" s="464"/>
      <c r="B899" s="1246" t="s">
        <v>13468</v>
      </c>
      <c r="C899" s="1247"/>
      <c r="D899" s="1247"/>
      <c r="E899" s="1247"/>
      <c r="F899" s="1247"/>
      <c r="G899" s="1248"/>
    </row>
    <row r="900" spans="1:8" ht="30.75" hidden="1" thickBot="1">
      <c r="A900" s="473" t="s">
        <v>13458</v>
      </c>
      <c r="B900" s="751">
        <v>1586</v>
      </c>
      <c r="C900" s="710" t="s">
        <v>10908</v>
      </c>
      <c r="D900" s="711" t="s">
        <v>6636</v>
      </c>
      <c r="E900" s="766">
        <v>1</v>
      </c>
      <c r="F900" s="713">
        <v>4.3600000000000003</v>
      </c>
      <c r="G900" s="750">
        <f>TRUNC(F900*E900,2)</f>
        <v>4.3600000000000003</v>
      </c>
    </row>
    <row r="901" spans="1:8" ht="16.5" hidden="1" thickBot="1">
      <c r="A901" s="464"/>
      <c r="B901" s="1246" t="s">
        <v>13469</v>
      </c>
      <c r="C901" s="1247"/>
      <c r="D901" s="1247"/>
      <c r="E901" s="1247"/>
      <c r="F901" s="1247"/>
      <c r="G901" s="1248"/>
    </row>
    <row r="902" spans="1:8" ht="16.5" hidden="1" thickBot="1">
      <c r="A902" s="473" t="s">
        <v>13459</v>
      </c>
      <c r="B902" s="751">
        <v>88247</v>
      </c>
      <c r="C902" s="710" t="s">
        <v>924</v>
      </c>
      <c r="D902" s="711" t="s">
        <v>753</v>
      </c>
      <c r="E902" s="752">
        <v>0.3</v>
      </c>
      <c r="F902" s="713">
        <v>15.84</v>
      </c>
      <c r="G902" s="750">
        <f>TRUNC(F902*E902,2)</f>
        <v>4.75</v>
      </c>
    </row>
    <row r="903" spans="1:8" ht="16.5" hidden="1" thickBot="1">
      <c r="A903" s="473" t="s">
        <v>13459</v>
      </c>
      <c r="B903" s="753">
        <v>88264</v>
      </c>
      <c r="C903" s="717" t="s">
        <v>771</v>
      </c>
      <c r="D903" s="718" t="s">
        <v>753</v>
      </c>
      <c r="E903" s="754">
        <v>0.3</v>
      </c>
      <c r="F903" s="720">
        <v>20.52</v>
      </c>
      <c r="G903" s="755">
        <f>TRUNC(F903*E903,2)</f>
        <v>6.15</v>
      </c>
    </row>
    <row r="904" spans="1:8" ht="16.5" hidden="1" thickBot="1">
      <c r="A904" s="464"/>
      <c r="B904" s="1264" t="s">
        <v>13905</v>
      </c>
      <c r="C904" s="1265"/>
      <c r="D904" s="1265"/>
      <c r="E904" s="1265"/>
      <c r="F904" s="756" t="s">
        <v>22</v>
      </c>
      <c r="G904" s="757">
        <f>SUM(G900:G903)</f>
        <v>15.26</v>
      </c>
    </row>
    <row r="905" spans="1:8" ht="13.5" hidden="1" thickBot="1">
      <c r="B905" s="826"/>
      <c r="C905" s="457"/>
      <c r="D905" s="457"/>
      <c r="E905" s="457"/>
      <c r="F905" s="457"/>
      <c r="G905" s="827"/>
    </row>
    <row r="906" spans="1:8" ht="16.5" hidden="1" thickBot="1">
      <c r="A906" s="464"/>
      <c r="B906" s="704" t="str">
        <f>IF(COUNT($H$8:H906)&lt;10,CONCATENATE("COMP ELE 00",COUNT($H$8:H906)),CONCATENATE("COMP ELE 0",COUNT($H$8:H906)))</f>
        <v>COMP ELE 072</v>
      </c>
      <c r="C906" s="1257" t="s">
        <v>203</v>
      </c>
      <c r="D906" s="1257"/>
      <c r="E906" s="1257"/>
      <c r="F906" s="1257"/>
      <c r="G906" s="705" t="s">
        <v>28</v>
      </c>
      <c r="H906" s="698">
        <f>G913</f>
        <v>15.340000000000002</v>
      </c>
    </row>
    <row r="907" spans="1:8" ht="32.25" hidden="1" thickBot="1">
      <c r="A907" s="464"/>
      <c r="B907" s="469" t="s">
        <v>13463</v>
      </c>
      <c r="C907" s="470" t="s">
        <v>13464</v>
      </c>
      <c r="D907" s="470" t="s">
        <v>28</v>
      </c>
      <c r="E907" s="470" t="s">
        <v>13465</v>
      </c>
      <c r="F907" s="471" t="s">
        <v>13466</v>
      </c>
      <c r="G907" s="472" t="s">
        <v>13467</v>
      </c>
    </row>
    <row r="908" spans="1:8" ht="16.5" hidden="1" thickBot="1">
      <c r="A908" s="464"/>
      <c r="B908" s="1246" t="s">
        <v>13468</v>
      </c>
      <c r="C908" s="1247"/>
      <c r="D908" s="1247"/>
      <c r="E908" s="1247"/>
      <c r="F908" s="1247"/>
      <c r="G908" s="1248"/>
    </row>
    <row r="909" spans="1:8" ht="30.75" hidden="1" thickBot="1">
      <c r="A909" s="473" t="s">
        <v>13458</v>
      </c>
      <c r="B909" s="751">
        <v>1587</v>
      </c>
      <c r="C909" s="710" t="s">
        <v>10910</v>
      </c>
      <c r="D909" s="711" t="s">
        <v>6636</v>
      </c>
      <c r="E909" s="766">
        <v>1</v>
      </c>
      <c r="F909" s="713">
        <v>4.4400000000000004</v>
      </c>
      <c r="G909" s="750">
        <f>TRUNC(F909*E909,2)</f>
        <v>4.4400000000000004</v>
      </c>
    </row>
    <row r="910" spans="1:8" ht="16.5" hidden="1" thickBot="1">
      <c r="A910" s="464"/>
      <c r="B910" s="1246" t="s">
        <v>13469</v>
      </c>
      <c r="C910" s="1247"/>
      <c r="D910" s="1247"/>
      <c r="E910" s="1247"/>
      <c r="F910" s="1247"/>
      <c r="G910" s="1248"/>
    </row>
    <row r="911" spans="1:8" ht="16.5" hidden="1" thickBot="1">
      <c r="A911" s="473" t="s">
        <v>13459</v>
      </c>
      <c r="B911" s="751">
        <v>88247</v>
      </c>
      <c r="C911" s="710" t="s">
        <v>924</v>
      </c>
      <c r="D911" s="711" t="s">
        <v>753</v>
      </c>
      <c r="E911" s="752">
        <v>0.3</v>
      </c>
      <c r="F911" s="713">
        <v>15.84</v>
      </c>
      <c r="G911" s="750">
        <f>TRUNC(F911*E911,2)</f>
        <v>4.75</v>
      </c>
    </row>
    <row r="912" spans="1:8" ht="16.5" hidden="1" thickBot="1">
      <c r="A912" s="473" t="s">
        <v>13459</v>
      </c>
      <c r="B912" s="753">
        <v>88264</v>
      </c>
      <c r="C912" s="717" t="s">
        <v>771</v>
      </c>
      <c r="D912" s="718" t="s">
        <v>753</v>
      </c>
      <c r="E912" s="754">
        <v>0.3</v>
      </c>
      <c r="F912" s="720">
        <v>20.52</v>
      </c>
      <c r="G912" s="755">
        <f>TRUNC(F912*E912,2)</f>
        <v>6.15</v>
      </c>
    </row>
    <row r="913" spans="1:8" ht="16.5" hidden="1" thickBot="1">
      <c r="A913" s="464"/>
      <c r="B913" s="1264" t="s">
        <v>13906</v>
      </c>
      <c r="C913" s="1265"/>
      <c r="D913" s="1265"/>
      <c r="E913" s="1265"/>
      <c r="F913" s="756" t="s">
        <v>22</v>
      </c>
      <c r="G913" s="757">
        <f>SUM(G909:G912)</f>
        <v>15.340000000000002</v>
      </c>
    </row>
    <row r="914" spans="1:8" ht="13.5" hidden="1" thickBot="1">
      <c r="B914" s="826"/>
      <c r="C914" s="457"/>
      <c r="D914" s="457"/>
      <c r="E914" s="457"/>
      <c r="F914" s="457"/>
      <c r="G914" s="827"/>
    </row>
    <row r="915" spans="1:8" ht="16.5" hidden="1" thickBot="1">
      <c r="A915" s="464"/>
      <c r="B915" s="704" t="str">
        <f>IF(COUNT($H$8:H915)&lt;10,CONCATENATE("COMP ELE 00",COUNT($H$8:H915)),CONCATENATE("COMP ELE 0",COUNT($H$8:H915)))</f>
        <v>COMP ELE 073</v>
      </c>
      <c r="C915" s="1257" t="s">
        <v>207</v>
      </c>
      <c r="D915" s="1257"/>
      <c r="E915" s="1257"/>
      <c r="F915" s="1257"/>
      <c r="G915" s="705" t="s">
        <v>28</v>
      </c>
      <c r="H915" s="698">
        <f>G922</f>
        <v>20.619999999999997</v>
      </c>
    </row>
    <row r="916" spans="1:8" ht="32.25" hidden="1" thickBot="1">
      <c r="A916" s="464"/>
      <c r="B916" s="469" t="s">
        <v>13463</v>
      </c>
      <c r="C916" s="470" t="s">
        <v>13464</v>
      </c>
      <c r="D916" s="470" t="s">
        <v>28</v>
      </c>
      <c r="E916" s="470" t="s">
        <v>13465</v>
      </c>
      <c r="F916" s="471" t="s">
        <v>13466</v>
      </c>
      <c r="G916" s="472" t="s">
        <v>13467</v>
      </c>
    </row>
    <row r="917" spans="1:8" ht="16.5" hidden="1" thickBot="1">
      <c r="A917" s="464"/>
      <c r="B917" s="1246" t="s">
        <v>13468</v>
      </c>
      <c r="C917" s="1247"/>
      <c r="D917" s="1247"/>
      <c r="E917" s="1247"/>
      <c r="F917" s="1247"/>
      <c r="G917" s="1248"/>
    </row>
    <row r="918" spans="1:8" ht="30.75" hidden="1" thickBot="1">
      <c r="A918" s="473" t="s">
        <v>13458</v>
      </c>
      <c r="B918" s="751">
        <v>1588</v>
      </c>
      <c r="C918" s="710" t="s">
        <v>10912</v>
      </c>
      <c r="D918" s="711" t="s">
        <v>6636</v>
      </c>
      <c r="E918" s="766">
        <v>1</v>
      </c>
      <c r="F918" s="713">
        <v>6.09</v>
      </c>
      <c r="G918" s="750">
        <f>TRUNC(F918*E918,2)</f>
        <v>6.09</v>
      </c>
    </row>
    <row r="919" spans="1:8" ht="16.5" hidden="1" thickBot="1">
      <c r="A919" s="464"/>
      <c r="B919" s="1246" t="s">
        <v>13469</v>
      </c>
      <c r="C919" s="1247"/>
      <c r="D919" s="1247"/>
      <c r="E919" s="1247"/>
      <c r="F919" s="1247"/>
      <c r="G919" s="1248"/>
    </row>
    <row r="920" spans="1:8" ht="16.5" hidden="1" thickBot="1">
      <c r="A920" s="473" t="s">
        <v>13459</v>
      </c>
      <c r="B920" s="751">
        <v>88247</v>
      </c>
      <c r="C920" s="710" t="s">
        <v>924</v>
      </c>
      <c r="D920" s="711" t="s">
        <v>753</v>
      </c>
      <c r="E920" s="752">
        <v>0.4</v>
      </c>
      <c r="F920" s="713">
        <v>15.84</v>
      </c>
      <c r="G920" s="750">
        <f>TRUNC(F920*E920,2)</f>
        <v>6.33</v>
      </c>
    </row>
    <row r="921" spans="1:8" ht="16.5" hidden="1" thickBot="1">
      <c r="A921" s="473" t="s">
        <v>13459</v>
      </c>
      <c r="B921" s="753">
        <v>88264</v>
      </c>
      <c r="C921" s="717" t="s">
        <v>771</v>
      </c>
      <c r="D921" s="718" t="s">
        <v>753</v>
      </c>
      <c r="E921" s="754">
        <v>0.4</v>
      </c>
      <c r="F921" s="720">
        <v>20.52</v>
      </c>
      <c r="G921" s="755">
        <f>TRUNC(F921*E921,2)</f>
        <v>8.1999999999999993</v>
      </c>
    </row>
    <row r="922" spans="1:8" ht="16.5" hidden="1" thickBot="1">
      <c r="A922" s="464"/>
      <c r="B922" s="1264" t="s">
        <v>13907</v>
      </c>
      <c r="C922" s="1265"/>
      <c r="D922" s="1265"/>
      <c r="E922" s="1265"/>
      <c r="F922" s="756" t="s">
        <v>22</v>
      </c>
      <c r="G922" s="757">
        <f>SUM(G918:G921)</f>
        <v>20.619999999999997</v>
      </c>
    </row>
    <row r="923" spans="1:8" ht="13.5" hidden="1" thickBot="1">
      <c r="B923" s="826"/>
      <c r="C923" s="457"/>
      <c r="D923" s="457"/>
      <c r="E923" s="457"/>
      <c r="F923" s="457"/>
      <c r="G923" s="827"/>
    </row>
    <row r="924" spans="1:8" ht="16.5" hidden="1" thickBot="1">
      <c r="A924" s="464"/>
      <c r="B924" s="704" t="str">
        <f>IF(COUNT($H$8:H924)&lt;10,CONCATENATE("COMP ELE 00",COUNT($H$8:H924)),CONCATENATE("COMP ELE 0",COUNT($H$8:H924)))</f>
        <v>COMP ELE 074</v>
      </c>
      <c r="C924" s="1257" t="s">
        <v>13908</v>
      </c>
      <c r="D924" s="1257"/>
      <c r="E924" s="1257"/>
      <c r="F924" s="1257"/>
      <c r="G924" s="705" t="s">
        <v>28</v>
      </c>
      <c r="H924" s="698">
        <f>G931</f>
        <v>17.18</v>
      </c>
    </row>
    <row r="925" spans="1:8" ht="32.25" hidden="1" thickBot="1">
      <c r="A925" s="464"/>
      <c r="B925" s="469" t="s">
        <v>13463</v>
      </c>
      <c r="C925" s="470" t="s">
        <v>13464</v>
      </c>
      <c r="D925" s="470" t="s">
        <v>28</v>
      </c>
      <c r="E925" s="470" t="s">
        <v>13465</v>
      </c>
      <c r="F925" s="471" t="s">
        <v>13466</v>
      </c>
      <c r="G925" s="472" t="s">
        <v>13467</v>
      </c>
    </row>
    <row r="926" spans="1:8" ht="16.5" hidden="1" thickBot="1">
      <c r="A926" s="464"/>
      <c r="B926" s="1246" t="s">
        <v>13468</v>
      </c>
      <c r="C926" s="1247"/>
      <c r="D926" s="1247"/>
      <c r="E926" s="1247"/>
      <c r="F926" s="1247"/>
      <c r="G926" s="1248"/>
    </row>
    <row r="927" spans="1:8" ht="30.75" hidden="1" thickBot="1">
      <c r="A927" s="473" t="s">
        <v>13458</v>
      </c>
      <c r="B927" s="751">
        <v>1589</v>
      </c>
      <c r="C927" s="710" t="s">
        <v>10914</v>
      </c>
      <c r="D927" s="711" t="s">
        <v>6636</v>
      </c>
      <c r="E927" s="766">
        <v>1</v>
      </c>
      <c r="F927" s="713">
        <v>6.28</v>
      </c>
      <c r="G927" s="750">
        <f>TRUNC(F927*E927,2)</f>
        <v>6.28</v>
      </c>
    </row>
    <row r="928" spans="1:8" ht="16.5" hidden="1" thickBot="1">
      <c r="A928" s="464"/>
      <c r="B928" s="1246" t="s">
        <v>13469</v>
      </c>
      <c r="C928" s="1247"/>
      <c r="D928" s="1247"/>
      <c r="E928" s="1247"/>
      <c r="F928" s="1247"/>
      <c r="G928" s="1248"/>
    </row>
    <row r="929" spans="1:8" ht="16.5" hidden="1" thickBot="1">
      <c r="A929" s="473" t="s">
        <v>13459</v>
      </c>
      <c r="B929" s="751">
        <v>88247</v>
      </c>
      <c r="C929" s="710" t="s">
        <v>924</v>
      </c>
      <c r="D929" s="711" t="s">
        <v>753</v>
      </c>
      <c r="E929" s="752">
        <v>0.3</v>
      </c>
      <c r="F929" s="713">
        <v>15.84</v>
      </c>
      <c r="G929" s="750">
        <f>TRUNC(F929*E929,2)</f>
        <v>4.75</v>
      </c>
    </row>
    <row r="930" spans="1:8" ht="16.5" hidden="1" thickBot="1">
      <c r="A930" s="473" t="s">
        <v>13459</v>
      </c>
      <c r="B930" s="753">
        <v>88264</v>
      </c>
      <c r="C930" s="717" t="s">
        <v>771</v>
      </c>
      <c r="D930" s="718" t="s">
        <v>753</v>
      </c>
      <c r="E930" s="754">
        <v>0.3</v>
      </c>
      <c r="F930" s="720">
        <v>20.52</v>
      </c>
      <c r="G930" s="755">
        <f>TRUNC(F930*E930,2)</f>
        <v>6.15</v>
      </c>
    </row>
    <row r="931" spans="1:8" ht="16.5" hidden="1" thickBot="1">
      <c r="A931" s="464"/>
      <c r="B931" s="1264" t="s">
        <v>13909</v>
      </c>
      <c r="C931" s="1265"/>
      <c r="D931" s="1265"/>
      <c r="E931" s="1265"/>
      <c r="F931" s="756" t="s">
        <v>22</v>
      </c>
      <c r="G931" s="757">
        <f>SUM(G927:G930)</f>
        <v>17.18</v>
      </c>
    </row>
    <row r="932" spans="1:8" ht="13.5" hidden="1" thickBot="1">
      <c r="B932" s="826"/>
      <c r="C932" s="457"/>
      <c r="D932" s="457"/>
      <c r="E932" s="457"/>
      <c r="F932" s="457"/>
      <c r="G932" s="827"/>
    </row>
    <row r="933" spans="1:8" ht="16.5" hidden="1" thickBot="1">
      <c r="A933" s="464"/>
      <c r="B933" s="704" t="str">
        <f>IF(COUNT($H$8:H933)&lt;10,CONCATENATE("COMP ELE 00",COUNT($H$8:H933)),CONCATENATE("COMP ELE 0",COUNT($H$8:H933)))</f>
        <v>COMP ELE 075</v>
      </c>
      <c r="C933" s="1257" t="s">
        <v>13910</v>
      </c>
      <c r="D933" s="1257"/>
      <c r="E933" s="1257"/>
      <c r="F933" s="1257"/>
      <c r="G933" s="705" t="s">
        <v>28</v>
      </c>
      <c r="H933" s="698">
        <f>G940</f>
        <v>21.96</v>
      </c>
    </row>
    <row r="934" spans="1:8" ht="32.25" hidden="1" thickBot="1">
      <c r="A934" s="464"/>
      <c r="B934" s="469" t="s">
        <v>13463</v>
      </c>
      <c r="C934" s="470" t="s">
        <v>13464</v>
      </c>
      <c r="D934" s="470" t="s">
        <v>28</v>
      </c>
      <c r="E934" s="470" t="s">
        <v>13465</v>
      </c>
      <c r="F934" s="471" t="s">
        <v>13466</v>
      </c>
      <c r="G934" s="472" t="s">
        <v>13467</v>
      </c>
    </row>
    <row r="935" spans="1:8" ht="16.5" hidden="1" thickBot="1">
      <c r="A935" s="464"/>
      <c r="B935" s="1246" t="s">
        <v>13468</v>
      </c>
      <c r="C935" s="1247"/>
      <c r="D935" s="1247"/>
      <c r="E935" s="1247"/>
      <c r="F935" s="1247"/>
      <c r="G935" s="1248"/>
    </row>
    <row r="936" spans="1:8" ht="30.75" hidden="1" thickBot="1">
      <c r="A936" s="473" t="s">
        <v>13458</v>
      </c>
      <c r="B936" s="751">
        <v>1590</v>
      </c>
      <c r="C936" s="710" t="s">
        <v>10916</v>
      </c>
      <c r="D936" s="711" t="s">
        <v>6636</v>
      </c>
      <c r="E936" s="766">
        <v>1</v>
      </c>
      <c r="F936" s="713">
        <v>11.06</v>
      </c>
      <c r="G936" s="750">
        <f>TRUNC(F936*E936,2)</f>
        <v>11.06</v>
      </c>
    </row>
    <row r="937" spans="1:8" ht="16.5" hidden="1" thickBot="1">
      <c r="A937" s="464"/>
      <c r="B937" s="1246" t="s">
        <v>13469</v>
      </c>
      <c r="C937" s="1247"/>
      <c r="D937" s="1247"/>
      <c r="E937" s="1247"/>
      <c r="F937" s="1247"/>
      <c r="G937" s="1248"/>
    </row>
    <row r="938" spans="1:8" ht="16.5" hidden="1" thickBot="1">
      <c r="A938" s="473" t="s">
        <v>13459</v>
      </c>
      <c r="B938" s="751">
        <v>88247</v>
      </c>
      <c r="C938" s="710" t="s">
        <v>924</v>
      </c>
      <c r="D938" s="711" t="s">
        <v>753</v>
      </c>
      <c r="E938" s="752">
        <v>0.3</v>
      </c>
      <c r="F938" s="713">
        <v>15.84</v>
      </c>
      <c r="G938" s="750">
        <f>TRUNC(F938*E938,2)</f>
        <v>4.75</v>
      </c>
    </row>
    <row r="939" spans="1:8" ht="16.5" hidden="1" thickBot="1">
      <c r="A939" s="473" t="s">
        <v>13459</v>
      </c>
      <c r="B939" s="753">
        <v>88264</v>
      </c>
      <c r="C939" s="717" t="s">
        <v>771</v>
      </c>
      <c r="D939" s="718" t="s">
        <v>753</v>
      </c>
      <c r="E939" s="754">
        <v>0.3</v>
      </c>
      <c r="F939" s="720">
        <v>20.52</v>
      </c>
      <c r="G939" s="755">
        <f>TRUNC(F939*E939,2)</f>
        <v>6.15</v>
      </c>
    </row>
    <row r="940" spans="1:8" ht="16.5" hidden="1" thickBot="1">
      <c r="A940" s="464"/>
      <c r="B940" s="1264" t="s">
        <v>13911</v>
      </c>
      <c r="C940" s="1265"/>
      <c r="D940" s="1265"/>
      <c r="E940" s="1265"/>
      <c r="F940" s="756" t="s">
        <v>22</v>
      </c>
      <c r="G940" s="757">
        <f>SUM(G936:G939)</f>
        <v>21.96</v>
      </c>
    </row>
    <row r="941" spans="1:8" ht="13.5" hidden="1" thickBot="1">
      <c r="B941" s="826"/>
      <c r="C941" s="457"/>
      <c r="D941" s="457"/>
      <c r="E941" s="457"/>
      <c r="F941" s="457"/>
      <c r="G941" s="827"/>
    </row>
    <row r="942" spans="1:8" ht="15.75">
      <c r="A942" s="464"/>
      <c r="B942" s="704" t="str">
        <f>IF(COUNT($H$8:H942)&lt;10,CONCATENATE("COMP ELE 00",COUNT($H$8:H942)),CONCATENATE("COMP ELE 0",COUNT($H$8:H942)))</f>
        <v>COMP ELE 076</v>
      </c>
      <c r="C942" s="1257" t="s">
        <v>12925</v>
      </c>
      <c r="D942" s="1257"/>
      <c r="E942" s="1257"/>
      <c r="F942" s="1257"/>
      <c r="G942" s="705" t="s">
        <v>28</v>
      </c>
      <c r="H942" s="698">
        <f>G949</f>
        <v>34.57</v>
      </c>
    </row>
    <row r="943" spans="1:8" ht="31.5">
      <c r="A943" s="464"/>
      <c r="B943" s="469" t="s">
        <v>13463</v>
      </c>
      <c r="C943" s="470" t="s">
        <v>13464</v>
      </c>
      <c r="D943" s="470" t="s">
        <v>28</v>
      </c>
      <c r="E943" s="470" t="s">
        <v>13465</v>
      </c>
      <c r="F943" s="471" t="s">
        <v>13466</v>
      </c>
      <c r="G943" s="472" t="s">
        <v>13467</v>
      </c>
    </row>
    <row r="944" spans="1:8" ht="15.75">
      <c r="A944" s="464"/>
      <c r="B944" s="1246" t="s">
        <v>13468</v>
      </c>
      <c r="C944" s="1247"/>
      <c r="D944" s="1247"/>
      <c r="E944" s="1247"/>
      <c r="F944" s="1247"/>
      <c r="G944" s="1248"/>
    </row>
    <row r="945" spans="1:8" ht="30">
      <c r="A945" s="473" t="s">
        <v>13458</v>
      </c>
      <c r="B945" s="751">
        <v>1591</v>
      </c>
      <c r="C945" s="710" t="s">
        <v>1146</v>
      </c>
      <c r="D945" s="711" t="s">
        <v>6636</v>
      </c>
      <c r="E945" s="766">
        <v>1</v>
      </c>
      <c r="F945" s="713">
        <v>16.39</v>
      </c>
      <c r="G945" s="750">
        <f>TRUNC(F945*E945,2)</f>
        <v>16.39</v>
      </c>
    </row>
    <row r="946" spans="1:8" ht="15.75">
      <c r="A946" s="464"/>
      <c r="B946" s="1246" t="s">
        <v>13469</v>
      </c>
      <c r="C946" s="1247"/>
      <c r="D946" s="1247"/>
      <c r="E946" s="1247"/>
      <c r="F946" s="1247"/>
      <c r="G946" s="1248"/>
    </row>
    <row r="947" spans="1:8" ht="15.75">
      <c r="A947" s="473" t="s">
        <v>13459</v>
      </c>
      <c r="B947" s="751">
        <v>88247</v>
      </c>
      <c r="C947" s="710" t="s">
        <v>924</v>
      </c>
      <c r="D947" s="711" t="s">
        <v>753</v>
      </c>
      <c r="E947" s="752">
        <v>0.5</v>
      </c>
      <c r="F947" s="713">
        <v>15.84</v>
      </c>
      <c r="G947" s="750">
        <f>TRUNC(F947*E947,2)</f>
        <v>7.92</v>
      </c>
    </row>
    <row r="948" spans="1:8" ht="16.5" thickBot="1">
      <c r="A948" s="473" t="s">
        <v>13459</v>
      </c>
      <c r="B948" s="753">
        <v>88264</v>
      </c>
      <c r="C948" s="717" t="s">
        <v>771</v>
      </c>
      <c r="D948" s="718" t="s">
        <v>753</v>
      </c>
      <c r="E948" s="754">
        <v>0.5</v>
      </c>
      <c r="F948" s="720">
        <v>20.52</v>
      </c>
      <c r="G948" s="755">
        <f>TRUNC(F948*E948,2)</f>
        <v>10.26</v>
      </c>
    </row>
    <row r="949" spans="1:8" ht="16.5" thickBot="1">
      <c r="A949" s="464"/>
      <c r="B949" s="1264" t="s">
        <v>13912</v>
      </c>
      <c r="C949" s="1265"/>
      <c r="D949" s="1265"/>
      <c r="E949" s="1265"/>
      <c r="F949" s="756" t="s">
        <v>22</v>
      </c>
      <c r="G949" s="757">
        <f>SUM(G945:G948)</f>
        <v>34.57</v>
      </c>
    </row>
    <row r="950" spans="1:8" ht="13.5" thickBot="1">
      <c r="B950" s="826"/>
      <c r="C950" s="457"/>
      <c r="D950" s="457"/>
      <c r="E950" s="457"/>
      <c r="F950" s="457"/>
      <c r="G950" s="827"/>
    </row>
    <row r="951" spans="1:8" ht="16.5" hidden="1" thickBot="1">
      <c r="A951" s="464"/>
      <c r="B951" s="704" t="str">
        <f>IF(COUNT($H$8:H951)&lt;10,CONCATENATE("COMP ELE 00",COUNT($H$8:H951)),CONCATENATE("COMP ELE 0",COUNT($H$8:H951)))</f>
        <v>COMP ELE 077</v>
      </c>
      <c r="C951" s="1257" t="s">
        <v>13913</v>
      </c>
      <c r="D951" s="1257"/>
      <c r="E951" s="1257"/>
      <c r="F951" s="1257"/>
      <c r="G951" s="705" t="s">
        <v>28</v>
      </c>
      <c r="H951" s="698">
        <f>G958</f>
        <v>34.909999999999997</v>
      </c>
    </row>
    <row r="952" spans="1:8" ht="32.25" hidden="1" thickBot="1">
      <c r="A952" s="464"/>
      <c r="B952" s="469" t="s">
        <v>13463</v>
      </c>
      <c r="C952" s="470" t="s">
        <v>13464</v>
      </c>
      <c r="D952" s="470" t="s">
        <v>28</v>
      </c>
      <c r="E952" s="470" t="s">
        <v>13465</v>
      </c>
      <c r="F952" s="471" t="s">
        <v>13466</v>
      </c>
      <c r="G952" s="472" t="s">
        <v>13467</v>
      </c>
    </row>
    <row r="953" spans="1:8" ht="16.5" hidden="1" thickBot="1">
      <c r="A953" s="464"/>
      <c r="B953" s="1246" t="s">
        <v>13468</v>
      </c>
      <c r="C953" s="1247"/>
      <c r="D953" s="1247"/>
      <c r="E953" s="1247"/>
      <c r="F953" s="1247"/>
      <c r="G953" s="1248"/>
    </row>
    <row r="954" spans="1:8" ht="30.75" hidden="1" thickBot="1">
      <c r="A954" s="473" t="s">
        <v>13458</v>
      </c>
      <c r="B954" s="751">
        <v>38196</v>
      </c>
      <c r="C954" s="710" t="s">
        <v>10902</v>
      </c>
      <c r="D954" s="711" t="s">
        <v>6636</v>
      </c>
      <c r="E954" s="766">
        <v>1</v>
      </c>
      <c r="F954" s="713">
        <v>16.73</v>
      </c>
      <c r="G954" s="750">
        <f>TRUNC(F954*E954,2)</f>
        <v>16.73</v>
      </c>
    </row>
    <row r="955" spans="1:8" ht="16.5" hidden="1" thickBot="1">
      <c r="A955" s="464"/>
      <c r="B955" s="1246" t="s">
        <v>13469</v>
      </c>
      <c r="C955" s="1247"/>
      <c r="D955" s="1247"/>
      <c r="E955" s="1247"/>
      <c r="F955" s="1247"/>
      <c r="G955" s="1248"/>
    </row>
    <row r="956" spans="1:8" ht="16.5" hidden="1" thickBot="1">
      <c r="A956" s="473" t="s">
        <v>13459</v>
      </c>
      <c r="B956" s="751">
        <v>88247</v>
      </c>
      <c r="C956" s="710" t="s">
        <v>924</v>
      </c>
      <c r="D956" s="711" t="s">
        <v>753</v>
      </c>
      <c r="E956" s="752">
        <v>0.5</v>
      </c>
      <c r="F956" s="713">
        <v>15.84</v>
      </c>
      <c r="G956" s="750">
        <f>TRUNC(F956*E956,2)</f>
        <v>7.92</v>
      </c>
    </row>
    <row r="957" spans="1:8" ht="16.5" hidden="1" thickBot="1">
      <c r="A957" s="473" t="s">
        <v>13459</v>
      </c>
      <c r="B957" s="753">
        <v>88264</v>
      </c>
      <c r="C957" s="717" t="s">
        <v>771</v>
      </c>
      <c r="D957" s="718" t="s">
        <v>753</v>
      </c>
      <c r="E957" s="754">
        <v>0.5</v>
      </c>
      <c r="F957" s="720">
        <v>20.52</v>
      </c>
      <c r="G957" s="755">
        <f>TRUNC(F957*E957,2)</f>
        <v>10.26</v>
      </c>
    </row>
    <row r="958" spans="1:8" ht="16.5" hidden="1" thickBot="1">
      <c r="A958" s="464"/>
      <c r="B958" s="1264" t="s">
        <v>13914</v>
      </c>
      <c r="C958" s="1265"/>
      <c r="D958" s="1265"/>
      <c r="E958" s="1265"/>
      <c r="F958" s="756" t="s">
        <v>22</v>
      </c>
      <c r="G958" s="757">
        <f>SUM(G954:G957)</f>
        <v>34.909999999999997</v>
      </c>
    </row>
    <row r="959" spans="1:8" ht="13.5" hidden="1" thickBot="1">
      <c r="B959" s="826"/>
      <c r="C959" s="457"/>
      <c r="D959" s="457"/>
      <c r="E959" s="457"/>
      <c r="F959" s="457"/>
      <c r="G959" s="827"/>
    </row>
    <row r="960" spans="1:8" ht="16.5" hidden="1" thickBot="1">
      <c r="A960" s="464"/>
      <c r="B960" s="704" t="str">
        <f>IF(COUNT($H$8:H960)&lt;10,CONCATENATE("COMP ELE 00",COUNT($H$8:H960)),CONCATENATE("COMP ELE 0",COUNT($H$8:H960)))</f>
        <v>COMP ELE 078</v>
      </c>
      <c r="C960" s="1257" t="s">
        <v>13915</v>
      </c>
      <c r="D960" s="1257"/>
      <c r="E960" s="1257"/>
      <c r="F960" s="1257"/>
      <c r="G960" s="705" t="s">
        <v>28</v>
      </c>
      <c r="H960" s="698">
        <f>G967</f>
        <v>36.47</v>
      </c>
    </row>
    <row r="961" spans="1:8" ht="32.25" hidden="1" thickBot="1">
      <c r="A961" s="464"/>
      <c r="B961" s="469" t="s">
        <v>13463</v>
      </c>
      <c r="C961" s="470" t="s">
        <v>13464</v>
      </c>
      <c r="D961" s="470" t="s">
        <v>28</v>
      </c>
      <c r="E961" s="470" t="s">
        <v>13465</v>
      </c>
      <c r="F961" s="471" t="s">
        <v>13466</v>
      </c>
      <c r="G961" s="472" t="s">
        <v>13467</v>
      </c>
    </row>
    <row r="962" spans="1:8" ht="16.5" hidden="1" thickBot="1">
      <c r="A962" s="464"/>
      <c r="B962" s="1246" t="s">
        <v>13468</v>
      </c>
      <c r="C962" s="1247"/>
      <c r="D962" s="1247"/>
      <c r="E962" s="1247"/>
      <c r="F962" s="1247"/>
      <c r="G962" s="1248"/>
    </row>
    <row r="963" spans="1:8" ht="30.75" hidden="1" thickBot="1">
      <c r="A963" s="473" t="s">
        <v>13458</v>
      </c>
      <c r="B963" s="751">
        <v>1593</v>
      </c>
      <c r="C963" s="710" t="s">
        <v>10905</v>
      </c>
      <c r="D963" s="711" t="s">
        <v>6636</v>
      </c>
      <c r="E963" s="766">
        <v>1</v>
      </c>
      <c r="F963" s="713">
        <v>18.29</v>
      </c>
      <c r="G963" s="750">
        <f>TRUNC(F963*E963,2)</f>
        <v>18.29</v>
      </c>
    </row>
    <row r="964" spans="1:8" ht="16.5" hidden="1" thickBot="1">
      <c r="A964" s="464"/>
      <c r="B964" s="1246" t="s">
        <v>13469</v>
      </c>
      <c r="C964" s="1247"/>
      <c r="D964" s="1247"/>
      <c r="E964" s="1247"/>
      <c r="F964" s="1247"/>
      <c r="G964" s="1248"/>
    </row>
    <row r="965" spans="1:8" ht="16.5" hidden="1" thickBot="1">
      <c r="A965" s="473" t="s">
        <v>13459</v>
      </c>
      <c r="B965" s="751">
        <v>88247</v>
      </c>
      <c r="C965" s="710" t="s">
        <v>924</v>
      </c>
      <c r="D965" s="711" t="s">
        <v>753</v>
      </c>
      <c r="E965" s="752">
        <v>0.5</v>
      </c>
      <c r="F965" s="713">
        <v>15.84</v>
      </c>
      <c r="G965" s="750">
        <f>TRUNC(F965*E965,2)</f>
        <v>7.92</v>
      </c>
    </row>
    <row r="966" spans="1:8" ht="16.5" hidden="1" thickBot="1">
      <c r="A966" s="473" t="s">
        <v>13459</v>
      </c>
      <c r="B966" s="753">
        <v>88264</v>
      </c>
      <c r="C966" s="717" t="s">
        <v>771</v>
      </c>
      <c r="D966" s="718" t="s">
        <v>753</v>
      </c>
      <c r="E966" s="754">
        <v>0.5</v>
      </c>
      <c r="F966" s="720">
        <v>20.52</v>
      </c>
      <c r="G966" s="755">
        <f>TRUNC(F966*E966,2)</f>
        <v>10.26</v>
      </c>
    </row>
    <row r="967" spans="1:8" ht="16.5" hidden="1" thickBot="1">
      <c r="A967" s="464"/>
      <c r="B967" s="1264" t="s">
        <v>13916</v>
      </c>
      <c r="C967" s="1265"/>
      <c r="D967" s="1265"/>
      <c r="E967" s="1265"/>
      <c r="F967" s="756" t="s">
        <v>22</v>
      </c>
      <c r="G967" s="757">
        <f>SUM(G963:G966)</f>
        <v>36.47</v>
      </c>
    </row>
    <row r="968" spans="1:8" ht="13.5" hidden="1" thickBot="1">
      <c r="B968" s="826"/>
      <c r="C968" s="457"/>
      <c r="D968" s="457"/>
      <c r="E968" s="457"/>
      <c r="F968" s="457"/>
      <c r="G968" s="827"/>
    </row>
    <row r="969" spans="1:8" ht="15.75">
      <c r="A969" s="464"/>
      <c r="B969" s="704" t="str">
        <f>IF(COUNT($H$8:H969)&lt;10,CONCATENATE("COMP ELE 00",COUNT($H$8:H969)),CONCATENATE("COMP ELE 0",COUNT($H$8:H969)))</f>
        <v>COMP ELE 079</v>
      </c>
      <c r="C969" s="1257" t="s">
        <v>12926</v>
      </c>
      <c r="D969" s="1257"/>
      <c r="E969" s="1257"/>
      <c r="F969" s="1257"/>
      <c r="G969" s="705" t="s">
        <v>28</v>
      </c>
      <c r="H969" s="698">
        <f>G976</f>
        <v>42.309999999999995</v>
      </c>
    </row>
    <row r="970" spans="1:8" ht="31.5">
      <c r="A970" s="464"/>
      <c r="B970" s="469" t="s">
        <v>13463</v>
      </c>
      <c r="C970" s="470" t="s">
        <v>13464</v>
      </c>
      <c r="D970" s="470" t="s">
        <v>28</v>
      </c>
      <c r="E970" s="470" t="s">
        <v>13465</v>
      </c>
      <c r="F970" s="471" t="s">
        <v>13466</v>
      </c>
      <c r="G970" s="472" t="s">
        <v>13467</v>
      </c>
    </row>
    <row r="971" spans="1:8" ht="15.75">
      <c r="A971" s="464"/>
      <c r="B971" s="1246" t="s">
        <v>13468</v>
      </c>
      <c r="C971" s="1247"/>
      <c r="D971" s="1247"/>
      <c r="E971" s="1247"/>
      <c r="F971" s="1247"/>
      <c r="G971" s="1248"/>
    </row>
    <row r="972" spans="1:8" ht="30">
      <c r="A972" s="473" t="s">
        <v>13458</v>
      </c>
      <c r="B972" s="751">
        <v>11838</v>
      </c>
      <c r="C972" s="710" t="s">
        <v>10906</v>
      </c>
      <c r="D972" s="711" t="s">
        <v>6636</v>
      </c>
      <c r="E972" s="766">
        <v>1</v>
      </c>
      <c r="F972" s="713">
        <v>24.13</v>
      </c>
      <c r="G972" s="750">
        <f>TRUNC(F972*E972,2)</f>
        <v>24.13</v>
      </c>
    </row>
    <row r="973" spans="1:8" ht="15.75">
      <c r="A973" s="464"/>
      <c r="B973" s="1246" t="s">
        <v>13469</v>
      </c>
      <c r="C973" s="1247"/>
      <c r="D973" s="1247"/>
      <c r="E973" s="1247"/>
      <c r="F973" s="1247"/>
      <c r="G973" s="1248"/>
    </row>
    <row r="974" spans="1:8" ht="15.75">
      <c r="A974" s="473" t="s">
        <v>13459</v>
      </c>
      <c r="B974" s="751">
        <v>88247</v>
      </c>
      <c r="C974" s="710" t="s">
        <v>924</v>
      </c>
      <c r="D974" s="711" t="s">
        <v>753</v>
      </c>
      <c r="E974" s="752">
        <v>0.5</v>
      </c>
      <c r="F974" s="713">
        <v>15.84</v>
      </c>
      <c r="G974" s="750">
        <f>TRUNC(F974*E974,2)</f>
        <v>7.92</v>
      </c>
    </row>
    <row r="975" spans="1:8" ht="16.5" thickBot="1">
      <c r="A975" s="473" t="s">
        <v>13459</v>
      </c>
      <c r="B975" s="753">
        <v>88264</v>
      </c>
      <c r="C975" s="717" t="s">
        <v>771</v>
      </c>
      <c r="D975" s="718" t="s">
        <v>753</v>
      </c>
      <c r="E975" s="754">
        <v>0.5</v>
      </c>
      <c r="F975" s="720">
        <v>20.52</v>
      </c>
      <c r="G975" s="755">
        <f>TRUNC(F975*E975,2)</f>
        <v>10.26</v>
      </c>
    </row>
    <row r="976" spans="1:8" ht="16.5" thickBot="1">
      <c r="A976" s="464"/>
      <c r="B976" s="1264" t="s">
        <v>13917</v>
      </c>
      <c r="C976" s="1265"/>
      <c r="D976" s="1265"/>
      <c r="E976" s="1265"/>
      <c r="F976" s="756" t="s">
        <v>22</v>
      </c>
      <c r="G976" s="757">
        <f>SUM(G972:G975)</f>
        <v>42.309999999999995</v>
      </c>
    </row>
    <row r="977" spans="1:15" ht="13.5" thickBot="1">
      <c r="B977" s="826"/>
      <c r="C977" s="457"/>
      <c r="D977" s="457"/>
      <c r="E977" s="457"/>
      <c r="F977" s="457"/>
      <c r="G977" s="827"/>
    </row>
    <row r="978" spans="1:15" ht="16.5" hidden="1" thickBot="1">
      <c r="A978" s="464"/>
      <c r="B978" s="704" t="str">
        <f>IF(COUNT($H$8:H978)&lt;10,CONCATENATE("COMP ELE 00",COUNT($H$8:H978)),CONCATENATE("COMP ELE 0",COUNT($H$8:H978)))</f>
        <v>COMP ELE 080</v>
      </c>
      <c r="C978" s="1257" t="s">
        <v>13918</v>
      </c>
      <c r="D978" s="1257"/>
      <c r="E978" s="1257"/>
      <c r="F978" s="1257"/>
      <c r="G978" s="705" t="s">
        <v>28</v>
      </c>
      <c r="H978" s="698">
        <f>G985</f>
        <v>53.29</v>
      </c>
    </row>
    <row r="979" spans="1:15" ht="32.25" hidden="1" thickBot="1">
      <c r="A979" s="464"/>
      <c r="B979" s="469" t="s">
        <v>13463</v>
      </c>
      <c r="C979" s="470" t="s">
        <v>13464</v>
      </c>
      <c r="D979" s="470" t="s">
        <v>28</v>
      </c>
      <c r="E979" s="470" t="s">
        <v>13465</v>
      </c>
      <c r="F979" s="471" t="s">
        <v>13466</v>
      </c>
      <c r="G979" s="472" t="s">
        <v>13467</v>
      </c>
    </row>
    <row r="980" spans="1:15" ht="16.5" hidden="1" thickBot="1">
      <c r="A980" s="464"/>
      <c r="B980" s="1246" t="s">
        <v>13468</v>
      </c>
      <c r="C980" s="1247"/>
      <c r="D980" s="1247"/>
      <c r="E980" s="1247"/>
      <c r="F980" s="1247"/>
      <c r="G980" s="1248"/>
    </row>
    <row r="981" spans="1:15" ht="30.75" hidden="1" thickBot="1">
      <c r="A981" s="473" t="s">
        <v>13458</v>
      </c>
      <c r="B981" s="751">
        <v>11839</v>
      </c>
      <c r="C981" s="710" t="s">
        <v>10909</v>
      </c>
      <c r="D981" s="711" t="s">
        <v>6636</v>
      </c>
      <c r="E981" s="766">
        <v>1</v>
      </c>
      <c r="F981" s="713">
        <v>35.11</v>
      </c>
      <c r="G981" s="750">
        <f>TRUNC(F981*E981,2)</f>
        <v>35.11</v>
      </c>
    </row>
    <row r="982" spans="1:15" ht="16.5" hidden="1" thickBot="1">
      <c r="A982" s="464"/>
      <c r="B982" s="1246" t="s">
        <v>13469</v>
      </c>
      <c r="C982" s="1247"/>
      <c r="D982" s="1247"/>
      <c r="E982" s="1247"/>
      <c r="F982" s="1247"/>
      <c r="G982" s="1248"/>
    </row>
    <row r="983" spans="1:15" ht="16.5" hidden="1" thickBot="1">
      <c r="A983" s="473" t="s">
        <v>13459</v>
      </c>
      <c r="B983" s="751">
        <v>88247</v>
      </c>
      <c r="C983" s="710" t="s">
        <v>924</v>
      </c>
      <c r="D983" s="711" t="s">
        <v>753</v>
      </c>
      <c r="E983" s="752">
        <v>0.5</v>
      </c>
      <c r="F983" s="713">
        <v>15.84</v>
      </c>
      <c r="G983" s="750">
        <f>TRUNC(F983*E983,2)</f>
        <v>7.92</v>
      </c>
    </row>
    <row r="984" spans="1:15" ht="16.5" hidden="1" thickBot="1">
      <c r="A984" s="473" t="s">
        <v>13459</v>
      </c>
      <c r="B984" s="753">
        <v>88264</v>
      </c>
      <c r="C984" s="717" t="s">
        <v>771</v>
      </c>
      <c r="D984" s="718" t="s">
        <v>753</v>
      </c>
      <c r="E984" s="754">
        <v>0.5</v>
      </c>
      <c r="F984" s="720">
        <v>20.52</v>
      </c>
      <c r="G984" s="755">
        <f>TRUNC(F984*E984,2)</f>
        <v>10.26</v>
      </c>
    </row>
    <row r="985" spans="1:15" ht="16.5" hidden="1" thickBot="1">
      <c r="A985" s="464"/>
      <c r="B985" s="1265" t="s">
        <v>13919</v>
      </c>
      <c r="C985" s="1265"/>
      <c r="D985" s="1265"/>
      <c r="E985" s="1265"/>
      <c r="F985" s="756" t="s">
        <v>22</v>
      </c>
      <c r="G985" s="757">
        <f>SUM(G981:G984)</f>
        <v>53.29</v>
      </c>
    </row>
    <row r="986" spans="1:15" ht="13.5" hidden="1" thickBot="1"/>
    <row r="987" spans="1:15" ht="33.75" hidden="1" customHeight="1">
      <c r="A987" s="464"/>
      <c r="B987" s="704" t="str">
        <f>IF(COUNT($H$8:H987)&lt;10,CONCATENATE("COMP ELE 00",COUNT($H$8:H987)),CONCATENATE("COMP ELE 0",COUNT($H$8:H987)))</f>
        <v>COMP ELE 081</v>
      </c>
      <c r="C987" s="1257" t="str">
        <f>CONCATENATE("FORNECIMENTO E INSTALAÇÃO DE ",C990)</f>
        <v>FORNECIMENTO E INSTALAÇÃO DE DISPOSITIVO DR, 2 POLOS, SENSIBILIDADE DE 30 MA, CORRENTE DE 40 A, TIPO AC</v>
      </c>
      <c r="D987" s="1257"/>
      <c r="E987" s="1257"/>
      <c r="F987" s="1257"/>
      <c r="G987" s="705" t="s">
        <v>28</v>
      </c>
      <c r="H987" s="570">
        <f>G994</f>
        <v>136.19999999999999</v>
      </c>
    </row>
    <row r="988" spans="1:15" ht="32.25" hidden="1" thickBot="1">
      <c r="A988" s="464"/>
      <c r="B988" s="469" t="s">
        <v>13463</v>
      </c>
      <c r="C988" s="470" t="s">
        <v>13464</v>
      </c>
      <c r="D988" s="470" t="s">
        <v>28</v>
      </c>
      <c r="E988" s="470" t="s">
        <v>13465</v>
      </c>
      <c r="F988" s="471" t="s">
        <v>13466</v>
      </c>
      <c r="G988" s="472" t="s">
        <v>13467</v>
      </c>
      <c r="H988" s="464"/>
      <c r="N988" s="722"/>
      <c r="O988" s="749"/>
    </row>
    <row r="989" spans="1:15" ht="16.5" hidden="1" thickBot="1">
      <c r="A989" s="464"/>
      <c r="B989" s="1246" t="s">
        <v>13468</v>
      </c>
      <c r="C989" s="1247"/>
      <c r="D989" s="1247"/>
      <c r="E989" s="1247"/>
      <c r="F989" s="1247"/>
      <c r="G989" s="1248"/>
      <c r="H989" s="464"/>
    </row>
    <row r="990" spans="1:15" ht="30.75" hidden="1" thickBot="1">
      <c r="A990" s="473" t="s">
        <v>13458</v>
      </c>
      <c r="B990" s="722">
        <v>39446</v>
      </c>
      <c r="C990" s="710" t="s">
        <v>8355</v>
      </c>
      <c r="D990" s="711" t="s">
        <v>6636</v>
      </c>
      <c r="E990" s="766">
        <v>1</v>
      </c>
      <c r="F990" s="713">
        <v>114.35</v>
      </c>
      <c r="G990" s="750">
        <f>TRUNC(F990*E990,2)</f>
        <v>114.35</v>
      </c>
      <c r="H990" s="464"/>
      <c r="N990" s="751"/>
      <c r="O990" s="752"/>
    </row>
    <row r="991" spans="1:15" ht="16.5" hidden="1" thickBot="1">
      <c r="A991" s="464"/>
      <c r="B991" s="1246" t="s">
        <v>13469</v>
      </c>
      <c r="C991" s="1247"/>
      <c r="D991" s="1247"/>
      <c r="E991" s="1247"/>
      <c r="F991" s="1247"/>
      <c r="G991" s="1248"/>
      <c r="H991" s="464"/>
      <c r="N991" s="753"/>
      <c r="O991" s="754"/>
    </row>
    <row r="992" spans="1:15" ht="16.5" hidden="1" thickBot="1">
      <c r="A992" s="473" t="s">
        <v>13459</v>
      </c>
      <c r="B992" s="751">
        <v>88264</v>
      </c>
      <c r="C992" s="710" t="s">
        <v>771</v>
      </c>
      <c r="D992" s="711" t="s">
        <v>753</v>
      </c>
      <c r="E992" s="752">
        <v>0.6</v>
      </c>
      <c r="F992" s="713">
        <v>20.52</v>
      </c>
      <c r="G992" s="750">
        <f>TRUNC(F992*E992,2)</f>
        <v>12.31</v>
      </c>
      <c r="H992" s="763"/>
    </row>
    <row r="993" spans="1:16" ht="16.5" hidden="1" thickBot="1">
      <c r="A993" s="473" t="s">
        <v>13459</v>
      </c>
      <c r="B993" s="753">
        <v>88316</v>
      </c>
      <c r="C993" s="717" t="s">
        <v>761</v>
      </c>
      <c r="D993" s="718" t="s">
        <v>753</v>
      </c>
      <c r="E993" s="754">
        <v>0.6</v>
      </c>
      <c r="F993" s="720">
        <v>15.91</v>
      </c>
      <c r="G993" s="755">
        <f>TRUNC(F993*E993,2)</f>
        <v>9.5399999999999991</v>
      </c>
      <c r="H993" s="763"/>
    </row>
    <row r="994" spans="1:16" ht="16.5" hidden="1" thickBot="1">
      <c r="A994" s="464"/>
      <c r="B994" s="1262" t="s">
        <v>13749</v>
      </c>
      <c r="C994" s="1263"/>
      <c r="D994" s="1263"/>
      <c r="E994" s="1263"/>
      <c r="F994" s="756" t="s">
        <v>22</v>
      </c>
      <c r="G994" s="757">
        <f>SUM(G990:G993)</f>
        <v>136.19999999999999</v>
      </c>
      <c r="H994" s="464"/>
    </row>
    <row r="995" spans="1:16" ht="39.75" customHeight="1">
      <c r="A995" s="464"/>
      <c r="B995" s="704" t="str">
        <f>IF(COUNT($H$8:H995)&lt;10,CONCATENATE("COMP ELE 00",COUNT($H$8:H995)),CONCATENATE("COMP ELE 0",COUNT($H$8:H995)))</f>
        <v>COMP ELE 082</v>
      </c>
      <c r="C995" s="1257" t="str">
        <f>CONCATENATE("FORNECIMENTO E INSTALAÇÃO DE ",C998)</f>
        <v>FORNECIMENTO E INSTALAÇÃO DE ABRACADEIRA EM ACO PARA AMARRACAO DE ELETRODUTOS, TIPO D, COM 1 1/4" E PARAFUSO DE FIXACAO</v>
      </c>
      <c r="D995" s="1274"/>
      <c r="E995" s="1274"/>
      <c r="F995" s="1274"/>
      <c r="G995" s="705" t="s">
        <v>28</v>
      </c>
      <c r="H995" s="570">
        <f>G1001</f>
        <v>7.38</v>
      </c>
    </row>
    <row r="996" spans="1:16" ht="31.5">
      <c r="A996" s="464"/>
      <c r="B996" s="469" t="s">
        <v>13463</v>
      </c>
      <c r="C996" s="470" t="s">
        <v>13464</v>
      </c>
      <c r="D996" s="470" t="s">
        <v>28</v>
      </c>
      <c r="E996" s="470" t="s">
        <v>13465</v>
      </c>
      <c r="F996" s="471" t="s">
        <v>13466</v>
      </c>
      <c r="G996" s="472" t="s">
        <v>13467</v>
      </c>
      <c r="H996" s="464"/>
      <c r="O996" s="799">
        <v>395</v>
      </c>
    </row>
    <row r="997" spans="1:16" ht="16.5" thickBot="1">
      <c r="A997" s="464"/>
      <c r="B997" s="1246" t="s">
        <v>13468</v>
      </c>
      <c r="C997" s="1247"/>
      <c r="D997" s="1247"/>
      <c r="E997" s="1247"/>
      <c r="F997" s="1247"/>
      <c r="G997" s="1248"/>
      <c r="H997" s="464"/>
      <c r="O997" s="753">
        <v>88247</v>
      </c>
      <c r="P997" s="754">
        <v>0.3</v>
      </c>
    </row>
    <row r="998" spans="1:16" ht="30">
      <c r="A998" s="473" t="s">
        <v>13458</v>
      </c>
      <c r="B998" s="799">
        <v>395</v>
      </c>
      <c r="C998" s="710" t="s">
        <v>6663</v>
      </c>
      <c r="D998" s="711" t="s">
        <v>6636</v>
      </c>
      <c r="E998" s="766">
        <v>1</v>
      </c>
      <c r="F998" s="713">
        <v>2.63</v>
      </c>
      <c r="G998" s="750">
        <f>TRUNC(F998*E998,2)</f>
        <v>2.63</v>
      </c>
      <c r="H998" s="464"/>
    </row>
    <row r="999" spans="1:16" ht="15.75">
      <c r="A999" s="464"/>
      <c r="B999" s="1246" t="s">
        <v>13469</v>
      </c>
      <c r="C999" s="1247"/>
      <c r="D999" s="1247"/>
      <c r="E999" s="1247"/>
      <c r="F999" s="1247"/>
      <c r="G999" s="1248"/>
      <c r="H999" s="464"/>
    </row>
    <row r="1000" spans="1:16" ht="16.5" thickBot="1">
      <c r="A1000" s="473" t="s">
        <v>13459</v>
      </c>
      <c r="B1000" s="753">
        <v>88247</v>
      </c>
      <c r="C1000" s="710" t="s">
        <v>924</v>
      </c>
      <c r="D1000" s="711" t="s">
        <v>753</v>
      </c>
      <c r="E1000" s="754">
        <v>0.3</v>
      </c>
      <c r="F1000" s="713">
        <v>15.84</v>
      </c>
      <c r="G1000" s="750">
        <f>TRUNC(F1000*E1000,2)</f>
        <v>4.75</v>
      </c>
      <c r="H1000" s="464"/>
    </row>
    <row r="1001" spans="1:16" ht="16.5" thickBot="1">
      <c r="A1001" s="464"/>
      <c r="B1001" s="1271" t="s">
        <v>13793</v>
      </c>
      <c r="C1001" s="1272"/>
      <c r="D1001" s="1272"/>
      <c r="E1001" s="1273"/>
      <c r="F1001" s="756" t="s">
        <v>22</v>
      </c>
      <c r="G1001" s="757">
        <f>SUM(G997:G1000)</f>
        <v>7.38</v>
      </c>
      <c r="H1001" s="464"/>
    </row>
    <row r="1002" spans="1:16" ht="47.25" hidden="1" customHeight="1">
      <c r="A1002" s="464"/>
      <c r="B1002" s="704" t="str">
        <f>IF(COUNT($H$8:H1002)&lt;10,CONCATENATE("COMP ELE 00",COUNT($H$8:H1002)),CONCATENATE("COMP ELE 0",COUNT($H$8:H1002)))</f>
        <v>COMP ELE 083</v>
      </c>
      <c r="C1002" s="1257" t="str">
        <f>CONCATENATE("FORNECIMENTO E INSTALAÇÃO DE ",C1005)</f>
        <v>FORNECIMENTO E INSTALAÇÃO DE QUADRO DE DISTRIBUICAO COM BARRAMENTO TRIFASICO, DE SOBREPOR, EM CHAPA DE ACO GALVANIZADO, PARA 48 DISJUNTORES DIN, 100 A</v>
      </c>
      <c r="D1002" s="1257"/>
      <c r="E1002" s="1257"/>
      <c r="F1002" s="1257"/>
      <c r="G1002" s="705" t="s">
        <v>28</v>
      </c>
      <c r="H1002" s="698">
        <f>G1009</f>
        <v>847.61</v>
      </c>
    </row>
    <row r="1003" spans="1:16" ht="31.5" hidden="1">
      <c r="A1003" s="464"/>
      <c r="B1003" s="469" t="s">
        <v>13463</v>
      </c>
      <c r="C1003" s="470" t="s">
        <v>13464</v>
      </c>
      <c r="D1003" s="470" t="s">
        <v>28</v>
      </c>
      <c r="E1003" s="470" t="s">
        <v>13465</v>
      </c>
      <c r="F1003" s="471" t="s">
        <v>13466</v>
      </c>
      <c r="G1003" s="472" t="s">
        <v>13467</v>
      </c>
    </row>
    <row r="1004" spans="1:16" ht="15.75" hidden="1">
      <c r="A1004" s="464"/>
      <c r="B1004" s="1226" t="s">
        <v>13468</v>
      </c>
      <c r="C1004" s="1227"/>
      <c r="D1004" s="1227"/>
      <c r="E1004" s="1227"/>
      <c r="F1004" s="1227"/>
      <c r="G1004" s="1228"/>
    </row>
    <row r="1005" spans="1:16" ht="45" hidden="1">
      <c r="A1005" s="473" t="s">
        <v>13458</v>
      </c>
      <c r="B1005" s="799">
        <v>39761</v>
      </c>
      <c r="C1005" s="710" t="s">
        <v>10290</v>
      </c>
      <c r="D1005" s="711" t="s">
        <v>6636</v>
      </c>
      <c r="E1005" s="766">
        <v>1</v>
      </c>
      <c r="F1005" s="713">
        <v>629.45000000000005</v>
      </c>
      <c r="G1005" s="750">
        <f>TRUNC(F1005*E1005,2)</f>
        <v>629.45000000000005</v>
      </c>
      <c r="N1005" s="799">
        <v>39761</v>
      </c>
    </row>
    <row r="1006" spans="1:16" ht="15.75" hidden="1">
      <c r="A1006" s="464"/>
      <c r="B1006" s="1226" t="s">
        <v>13469</v>
      </c>
      <c r="C1006" s="1227"/>
      <c r="D1006" s="1227"/>
      <c r="E1006" s="1227"/>
      <c r="F1006" s="1227"/>
      <c r="G1006" s="1228"/>
    </row>
    <row r="1007" spans="1:16" ht="15.75" hidden="1">
      <c r="A1007" s="473" t="s">
        <v>13459</v>
      </c>
      <c r="B1007" s="751">
        <v>88247</v>
      </c>
      <c r="C1007" s="710" t="s">
        <v>924</v>
      </c>
      <c r="D1007" s="711" t="s">
        <v>753</v>
      </c>
      <c r="E1007" s="752">
        <v>6</v>
      </c>
      <c r="F1007" s="713">
        <v>15.84</v>
      </c>
      <c r="G1007" s="750">
        <f>TRUNC(F1007*E1007,2)</f>
        <v>95.04</v>
      </c>
    </row>
    <row r="1008" spans="1:16" ht="16.5" hidden="1" thickBot="1">
      <c r="A1008" s="473" t="s">
        <v>13459</v>
      </c>
      <c r="B1008" s="753">
        <v>88264</v>
      </c>
      <c r="C1008" s="717" t="s">
        <v>771</v>
      </c>
      <c r="D1008" s="718" t="s">
        <v>753</v>
      </c>
      <c r="E1008" s="754">
        <v>6</v>
      </c>
      <c r="F1008" s="720">
        <v>20.52</v>
      </c>
      <c r="G1008" s="755">
        <f>TRUNC(F1008*E1008,2)</f>
        <v>123.12</v>
      </c>
    </row>
    <row r="1009" spans="1:8" ht="16.5" hidden="1" thickBot="1">
      <c r="A1009" s="464"/>
      <c r="B1009" s="1317" t="s">
        <v>13920</v>
      </c>
      <c r="C1009" s="1317"/>
      <c r="D1009" s="1317"/>
      <c r="E1009" s="1318"/>
      <c r="F1009" s="787" t="s">
        <v>22</v>
      </c>
      <c r="G1009" s="788">
        <f>SUM(G1004:G1008)</f>
        <v>847.61</v>
      </c>
    </row>
    <row r="1010" spans="1:8" ht="13.5" thickBot="1">
      <c r="B1010" s="826"/>
      <c r="C1010" s="457"/>
      <c r="D1010" s="457"/>
      <c r="E1010" s="457"/>
      <c r="F1010" s="457"/>
      <c r="G1010" s="827"/>
    </row>
    <row r="1011" spans="1:8" ht="39.75" customHeight="1">
      <c r="A1011" s="464"/>
      <c r="B1011" s="704" t="str">
        <f>IF(COUNT($H$8:H1011)&lt;10,CONCATENATE("COMP ELE 00",COUNT($H$8:H1011)),CONCATENATE("COMP ELE 0",COUNT($H$8:H1011)))</f>
        <v>COMP ELE 084</v>
      </c>
      <c r="C1011" s="1311" t="s">
        <v>12949</v>
      </c>
      <c r="D1011" s="1312"/>
      <c r="E1011" s="1312"/>
      <c r="F1011" s="1313"/>
      <c r="G1011" s="705" t="s">
        <v>28</v>
      </c>
      <c r="H1011" s="889">
        <f>G1018</f>
        <v>6.2299999999999995</v>
      </c>
    </row>
    <row r="1012" spans="1:8" ht="31.5">
      <c r="A1012" s="464"/>
      <c r="B1012" s="469" t="s">
        <v>13463</v>
      </c>
      <c r="C1012" s="707" t="s">
        <v>13464</v>
      </c>
      <c r="D1012" s="470" t="s">
        <v>28</v>
      </c>
      <c r="E1012" s="707" t="s">
        <v>13465</v>
      </c>
      <c r="F1012" s="293" t="s">
        <v>13466</v>
      </c>
      <c r="G1012" s="708" t="s">
        <v>13467</v>
      </c>
      <c r="H1012" s="890"/>
    </row>
    <row r="1013" spans="1:8" ht="15.75">
      <c r="A1013" s="464"/>
      <c r="B1013" s="1314" t="s">
        <v>13468</v>
      </c>
      <c r="C1013" s="1315"/>
      <c r="D1013" s="1315"/>
      <c r="E1013" s="1315"/>
      <c r="F1013" s="1315"/>
      <c r="G1013" s="1316"/>
      <c r="H1013" s="890"/>
    </row>
    <row r="1014" spans="1:8" ht="30">
      <c r="A1014" s="464"/>
      <c r="B1014" s="862" t="s">
        <v>13497</v>
      </c>
      <c r="C1014" s="863" t="str">
        <f>C1020</f>
        <v>FORNECIMENTO E INSTALAÇÃO DE SAÍDA HORIZONTAL PARA ELETRODUTO 3/4"</v>
      </c>
      <c r="D1014" s="872" t="str">
        <f>G1020</f>
        <v>UN</v>
      </c>
      <c r="E1014" s="815">
        <v>1</v>
      </c>
      <c r="F1014" s="815">
        <f>D1025</f>
        <v>4.05</v>
      </c>
      <c r="G1014" s="845">
        <f>TRUNC(F1014*E1014,2)</f>
        <v>4.05</v>
      </c>
      <c r="H1014" s="890"/>
    </row>
    <row r="1015" spans="1:8" ht="15.75">
      <c r="A1015" s="464"/>
      <c r="B1015" s="1314" t="s">
        <v>13469</v>
      </c>
      <c r="C1015" s="1315"/>
      <c r="D1015" s="1315"/>
      <c r="E1015" s="1315"/>
      <c r="F1015" s="1315"/>
      <c r="G1015" s="1316"/>
      <c r="H1015" s="890"/>
    </row>
    <row r="1016" spans="1:8" ht="15.75">
      <c r="A1016" s="473" t="s">
        <v>13459</v>
      </c>
      <c r="B1016" s="751">
        <v>88264</v>
      </c>
      <c r="C1016" s="710" t="s">
        <v>771</v>
      </c>
      <c r="D1016" s="711" t="s">
        <v>753</v>
      </c>
      <c r="E1016" s="752">
        <v>0.06</v>
      </c>
      <c r="F1016" s="713">
        <v>20.52</v>
      </c>
      <c r="G1016" s="750">
        <f>TRUNC(F1016*E1016,2)</f>
        <v>1.23</v>
      </c>
      <c r="H1016" s="890"/>
    </row>
    <row r="1017" spans="1:8" ht="16.5" thickBot="1">
      <c r="A1017" s="473" t="s">
        <v>13459</v>
      </c>
      <c r="B1017" s="753">
        <v>88316</v>
      </c>
      <c r="C1017" s="717" t="s">
        <v>761</v>
      </c>
      <c r="D1017" s="718" t="s">
        <v>753</v>
      </c>
      <c r="E1017" s="754">
        <v>0.06</v>
      </c>
      <c r="F1017" s="720">
        <v>15.91</v>
      </c>
      <c r="G1017" s="755">
        <f>TRUNC(F1017*E1017,2)</f>
        <v>0.95</v>
      </c>
      <c r="H1017" s="890"/>
    </row>
    <row r="1018" spans="1:8" ht="16.5" thickBot="1">
      <c r="A1018" s="464"/>
      <c r="B1018" s="1310" t="s">
        <v>13921</v>
      </c>
      <c r="C1018" s="1310"/>
      <c r="D1018" s="1310"/>
      <c r="E1018" s="1310"/>
      <c r="F1018" s="787" t="s">
        <v>22</v>
      </c>
      <c r="G1018" s="788">
        <f>SUM(G1014:G1017)</f>
        <v>6.2299999999999995</v>
      </c>
      <c r="H1018" s="890"/>
    </row>
    <row r="1019" spans="1:8" ht="15.75" thickBot="1">
      <c r="A1019" s="464"/>
      <c r="B1019" s="1265"/>
      <c r="C1019" s="1265"/>
      <c r="D1019" s="1265"/>
      <c r="E1019" s="1265"/>
      <c r="F1019" s="465"/>
      <c r="G1019" s="465"/>
      <c r="H1019" s="890"/>
    </row>
    <row r="1020" spans="1:8" ht="31.5">
      <c r="B1020" s="572"/>
      <c r="C1020" s="607" t="s">
        <v>13922</v>
      </c>
      <c r="D1020" s="574"/>
      <c r="E1020" s="575"/>
      <c r="F1020" s="608"/>
      <c r="G1020" s="891" t="s">
        <v>28</v>
      </c>
      <c r="H1020" s="892" t="s">
        <v>13923</v>
      </c>
    </row>
    <row r="1021" spans="1:8" ht="31.5">
      <c r="B1021" s="578" t="s">
        <v>13502</v>
      </c>
      <c r="C1021" s="579" t="s">
        <v>13503</v>
      </c>
      <c r="D1021" s="580" t="s">
        <v>13504</v>
      </c>
      <c r="E1021" s="581" t="s">
        <v>13505</v>
      </c>
      <c r="F1021" s="610" t="s">
        <v>13506</v>
      </c>
      <c r="G1021" s="583" t="s">
        <v>13507</v>
      </c>
      <c r="H1021" s="890"/>
    </row>
    <row r="1022" spans="1:8" ht="15">
      <c r="B1022" s="611">
        <v>43592</v>
      </c>
      <c r="C1022" s="592" t="s">
        <v>13924</v>
      </c>
      <c r="D1022" s="617">
        <v>2.23</v>
      </c>
      <c r="E1022" s="614" t="s">
        <v>13824</v>
      </c>
      <c r="F1022" s="814" t="s">
        <v>13864</v>
      </c>
      <c r="G1022" s="618" t="s">
        <v>13825</v>
      </c>
      <c r="H1022" s="892"/>
    </row>
    <row r="1023" spans="1:8" ht="15">
      <c r="B1023" s="611">
        <v>43559</v>
      </c>
      <c r="C1023" s="592" t="s">
        <v>13925</v>
      </c>
      <c r="D1023" s="617">
        <v>4.05</v>
      </c>
      <c r="E1023" s="614" t="s">
        <v>13773</v>
      </c>
      <c r="F1023" s="814" t="s">
        <v>13774</v>
      </c>
      <c r="G1023" s="618" t="s">
        <v>13926</v>
      </c>
      <c r="H1023" s="892"/>
    </row>
    <row r="1024" spans="1:8" ht="15">
      <c r="B1024" s="885">
        <v>43567</v>
      </c>
      <c r="C1024" s="592" t="s">
        <v>13755</v>
      </c>
      <c r="D1024" s="617">
        <v>6.95</v>
      </c>
      <c r="E1024" s="652" t="s">
        <v>13756</v>
      </c>
      <c r="F1024" s="814" t="s">
        <v>13757</v>
      </c>
      <c r="G1024" s="618" t="s">
        <v>13927</v>
      </c>
      <c r="H1024" s="890"/>
    </row>
    <row r="1025" spans="1:8" ht="16.5" thickBot="1">
      <c r="B1025" s="598"/>
      <c r="C1025" s="599" t="s">
        <v>13523</v>
      </c>
      <c r="D1025" s="538">
        <f>IF(COUNT(D1021:D1024)=3,MEDIAN(D1022:D1024),SMALL(D1022:D1024,1))</f>
        <v>4.05</v>
      </c>
      <c r="E1025" s="600"/>
      <c r="F1025" s="620"/>
      <c r="G1025" s="602"/>
      <c r="H1025" s="890"/>
    </row>
    <row r="1026" spans="1:8" ht="37.5" customHeight="1">
      <c r="A1026" s="464"/>
      <c r="B1026" s="704" t="str">
        <f>IF(COUNT($H$8:H1026)&lt;10,CONCATENATE("COMP ELE 00",COUNT($H$8:H1026)),CONCATENATE("COMP ELE 0",COUNT($H$8:H1026)))</f>
        <v>COMP ELE 085</v>
      </c>
      <c r="C1026" s="1311" t="s">
        <v>12951</v>
      </c>
      <c r="D1026" s="1312"/>
      <c r="E1026" s="1312"/>
      <c r="F1026" s="1313"/>
      <c r="G1026" s="705" t="s">
        <v>28</v>
      </c>
      <c r="H1026" s="889">
        <f>G1033</f>
        <v>6.29</v>
      </c>
    </row>
    <row r="1027" spans="1:8" ht="31.5">
      <c r="A1027" s="464"/>
      <c r="B1027" s="469" t="s">
        <v>13463</v>
      </c>
      <c r="C1027" s="707" t="s">
        <v>13464</v>
      </c>
      <c r="D1027" s="470" t="s">
        <v>28</v>
      </c>
      <c r="E1027" s="707" t="s">
        <v>13465</v>
      </c>
      <c r="F1027" s="293" t="s">
        <v>13466</v>
      </c>
      <c r="G1027" s="708" t="s">
        <v>13467</v>
      </c>
      <c r="H1027" s="890"/>
    </row>
    <row r="1028" spans="1:8" ht="15.75">
      <c r="A1028" s="464"/>
      <c r="B1028" s="1314" t="s">
        <v>13468</v>
      </c>
      <c r="C1028" s="1315"/>
      <c r="D1028" s="1315"/>
      <c r="E1028" s="1315"/>
      <c r="F1028" s="1315"/>
      <c r="G1028" s="1316"/>
      <c r="H1028" s="890"/>
    </row>
    <row r="1029" spans="1:8" ht="30">
      <c r="A1029" s="464"/>
      <c r="B1029" s="862" t="s">
        <v>13497</v>
      </c>
      <c r="C1029" s="863" t="str">
        <f>C1035</f>
        <v>SAÍDA LATERAL DE ELETROCALHA PERFURADA GALVANIZADA PARA ELETRODUTO DE 1"</v>
      </c>
      <c r="D1029" s="872" t="str">
        <f>G1035</f>
        <v>UN</v>
      </c>
      <c r="E1029" s="815">
        <v>1</v>
      </c>
      <c r="F1029" s="815">
        <f>D1040</f>
        <v>4.1100000000000003</v>
      </c>
      <c r="G1029" s="845">
        <f>TRUNC(F1029*E1029,2)</f>
        <v>4.1100000000000003</v>
      </c>
      <c r="H1029" s="890"/>
    </row>
    <row r="1030" spans="1:8" ht="15.75">
      <c r="A1030" s="464"/>
      <c r="B1030" s="1314" t="s">
        <v>13469</v>
      </c>
      <c r="C1030" s="1315"/>
      <c r="D1030" s="1315"/>
      <c r="E1030" s="1315"/>
      <c r="F1030" s="1315"/>
      <c r="G1030" s="1316"/>
      <c r="H1030" s="890"/>
    </row>
    <row r="1031" spans="1:8" ht="15.75">
      <c r="A1031" s="473" t="s">
        <v>13459</v>
      </c>
      <c r="B1031" s="751">
        <v>88264</v>
      </c>
      <c r="C1031" s="710" t="s">
        <v>771</v>
      </c>
      <c r="D1031" s="711" t="s">
        <v>753</v>
      </c>
      <c r="E1031" s="752">
        <v>0.06</v>
      </c>
      <c r="F1031" s="713">
        <v>20.52</v>
      </c>
      <c r="G1031" s="750">
        <f>TRUNC(F1031*E1031,2)</f>
        <v>1.23</v>
      </c>
      <c r="H1031" s="890"/>
    </row>
    <row r="1032" spans="1:8" ht="16.5" thickBot="1">
      <c r="A1032" s="473" t="s">
        <v>13459</v>
      </c>
      <c r="B1032" s="753">
        <v>88316</v>
      </c>
      <c r="C1032" s="717" t="s">
        <v>761</v>
      </c>
      <c r="D1032" s="718" t="s">
        <v>753</v>
      </c>
      <c r="E1032" s="754">
        <v>0.06</v>
      </c>
      <c r="F1032" s="720">
        <v>15.91</v>
      </c>
      <c r="G1032" s="755">
        <f>TRUNC(F1032*E1032,2)</f>
        <v>0.95</v>
      </c>
      <c r="H1032" s="890"/>
    </row>
    <row r="1033" spans="1:8" ht="16.5" thickBot="1">
      <c r="A1033" s="464"/>
      <c r="B1033" s="1310" t="s">
        <v>13921</v>
      </c>
      <c r="C1033" s="1310"/>
      <c r="D1033" s="1310"/>
      <c r="E1033" s="1310"/>
      <c r="F1033" s="787" t="s">
        <v>22</v>
      </c>
      <c r="G1033" s="788">
        <f>SUM(G1029:G1032)</f>
        <v>6.29</v>
      </c>
      <c r="H1033" s="890"/>
    </row>
    <row r="1034" spans="1:8" ht="15.75" thickBot="1">
      <c r="A1034" s="464"/>
      <c r="B1034" s="1265"/>
      <c r="C1034" s="1265"/>
      <c r="D1034" s="1265"/>
      <c r="E1034" s="1265"/>
      <c r="F1034" s="465"/>
      <c r="G1034" s="465"/>
      <c r="H1034" s="890"/>
    </row>
    <row r="1035" spans="1:8" ht="31.5">
      <c r="B1035" s="572"/>
      <c r="C1035" s="607" t="s">
        <v>13928</v>
      </c>
      <c r="D1035" s="574"/>
      <c r="E1035" s="575"/>
      <c r="F1035" s="608"/>
      <c r="G1035" s="891" t="s">
        <v>28</v>
      </c>
      <c r="H1035" s="892" t="s">
        <v>13923</v>
      </c>
    </row>
    <row r="1036" spans="1:8" ht="31.5">
      <c r="B1036" s="578" t="s">
        <v>13502</v>
      </c>
      <c r="C1036" s="579" t="s">
        <v>13503</v>
      </c>
      <c r="D1036" s="580" t="s">
        <v>13504</v>
      </c>
      <c r="E1036" s="581" t="s">
        <v>13505</v>
      </c>
      <c r="F1036" s="610" t="s">
        <v>13506</v>
      </c>
      <c r="G1036" s="583" t="s">
        <v>13507</v>
      </c>
      <c r="H1036" s="890"/>
    </row>
    <row r="1037" spans="1:8" ht="15">
      <c r="B1037" s="893">
        <v>43565</v>
      </c>
      <c r="C1037" s="592" t="s">
        <v>13772</v>
      </c>
      <c r="D1037" s="617">
        <v>4.1100000000000003</v>
      </c>
      <c r="E1037" s="789" t="s">
        <v>13929</v>
      </c>
      <c r="F1037" s="876" t="s">
        <v>13852</v>
      </c>
      <c r="G1037" s="878" t="s">
        <v>13878</v>
      </c>
      <c r="H1037" s="892"/>
    </row>
    <row r="1038" spans="1:8" ht="15">
      <c r="B1038" s="648">
        <v>43566</v>
      </c>
      <c r="C1038" s="612" t="s">
        <v>13930</v>
      </c>
      <c r="D1038" s="894">
        <v>1.19</v>
      </c>
      <c r="E1038" s="652" t="s">
        <v>13831</v>
      </c>
      <c r="F1038" s="814" t="s">
        <v>13931</v>
      </c>
      <c r="G1038" s="878" t="s">
        <v>13833</v>
      </c>
      <c r="H1038" s="892"/>
    </row>
    <row r="1039" spans="1:8" ht="15">
      <c r="B1039" s="895">
        <v>43566</v>
      </c>
      <c r="C1039" s="630" t="s">
        <v>13755</v>
      </c>
      <c r="D1039" s="593">
        <v>6.99</v>
      </c>
      <c r="E1039" s="789" t="s">
        <v>13756</v>
      </c>
      <c r="F1039" s="595" t="s">
        <v>13757</v>
      </c>
      <c r="G1039" s="878" t="s">
        <v>13879</v>
      </c>
      <c r="H1039" s="890"/>
    </row>
    <row r="1040" spans="1:8" ht="16.5" thickBot="1">
      <c r="B1040" s="598"/>
      <c r="C1040" s="599" t="s">
        <v>13523</v>
      </c>
      <c r="D1040" s="538">
        <f>IF(COUNT(D1036:D1039)=3,MEDIAN(D1036:D1039),SMALL(D1037:D1039,1))</f>
        <v>4.1100000000000003</v>
      </c>
      <c r="E1040" s="600"/>
      <c r="F1040" s="620"/>
      <c r="G1040" s="602"/>
      <c r="H1040" s="890"/>
    </row>
    <row r="1041" spans="1:15" ht="37.5" customHeight="1">
      <c r="A1041" s="464"/>
      <c r="B1041" s="704" t="str">
        <f>IF(COUNT($H$8:H1041)&lt;10,CONCATENATE("COMP ELE 00",COUNT($H$8:H1041)),CONCATENATE("COMP ELE 0",COUNT($H$8:H1041)))</f>
        <v>COMP ELE 086</v>
      </c>
      <c r="C1041" s="1257" t="str">
        <f>CONCATENATE("FORNECIMENTO E INSTALAÇÃO DE ",C1044)</f>
        <v>FORNECIMENTO E INSTALAÇÃO DE MÃO FRANCESA SIMPLES 100 MM PARA ELETROCALHA</v>
      </c>
      <c r="D1041" s="1225"/>
      <c r="E1041" s="1225"/>
      <c r="F1041" s="1225"/>
      <c r="G1041" s="705" t="s">
        <v>28</v>
      </c>
      <c r="H1041" s="570">
        <f>G1049</f>
        <v>20.189999999999998</v>
      </c>
    </row>
    <row r="1042" spans="1:15" ht="31.5">
      <c r="A1042" s="464"/>
      <c r="B1042" s="469" t="s">
        <v>13463</v>
      </c>
      <c r="C1042" s="707" t="s">
        <v>13464</v>
      </c>
      <c r="D1042" s="470" t="s">
        <v>28</v>
      </c>
      <c r="E1042" s="707" t="s">
        <v>13465</v>
      </c>
      <c r="F1042" s="293" t="s">
        <v>13466</v>
      </c>
      <c r="G1042" s="708" t="s">
        <v>13467</v>
      </c>
      <c r="H1042" s="464"/>
    </row>
    <row r="1043" spans="1:15" ht="15.75">
      <c r="A1043" s="464"/>
      <c r="B1043" s="1283" t="s">
        <v>13468</v>
      </c>
      <c r="C1043" s="1284"/>
      <c r="D1043" s="1284"/>
      <c r="E1043" s="1284"/>
      <c r="F1043" s="1284"/>
      <c r="G1043" s="1285"/>
      <c r="H1043" s="464"/>
    </row>
    <row r="1044" spans="1:15" ht="15">
      <c r="A1044" s="464"/>
      <c r="B1044" s="862" t="s">
        <v>13497</v>
      </c>
      <c r="C1044" s="863" t="str">
        <f>C1051</f>
        <v>MÃO FRANCESA SIMPLES 100 MM PARA ELETROCALHA</v>
      </c>
      <c r="D1044" s="872" t="str">
        <f>G1051</f>
        <v>UN</v>
      </c>
      <c r="E1044" s="815">
        <v>1</v>
      </c>
      <c r="F1044" s="815">
        <f>D1056</f>
        <v>14.44</v>
      </c>
      <c r="G1044" s="845">
        <f>TRUNC(F1044*E1044,2)</f>
        <v>14.44</v>
      </c>
      <c r="H1044" s="464"/>
    </row>
    <row r="1045" spans="1:15" ht="45">
      <c r="A1045" s="473" t="s">
        <v>13458</v>
      </c>
      <c r="B1045" s="751">
        <v>11950</v>
      </c>
      <c r="C1045" s="710" t="s">
        <v>923</v>
      </c>
      <c r="D1045" s="711" t="s">
        <v>6636</v>
      </c>
      <c r="E1045" s="752">
        <v>3</v>
      </c>
      <c r="F1045" s="713">
        <v>0.1</v>
      </c>
      <c r="G1045" s="750">
        <f>TRUNC(F1045*E1045,2)</f>
        <v>0.3</v>
      </c>
      <c r="H1045" s="464"/>
      <c r="N1045" s="751">
        <v>11950</v>
      </c>
      <c r="O1045" s="752">
        <v>3</v>
      </c>
    </row>
    <row r="1046" spans="1:15" ht="15.75">
      <c r="A1046" s="464"/>
      <c r="B1046" s="1283" t="s">
        <v>13469</v>
      </c>
      <c r="C1046" s="1284"/>
      <c r="D1046" s="1284"/>
      <c r="E1046" s="1284"/>
      <c r="F1046" s="1284"/>
      <c r="G1046" s="1285"/>
      <c r="H1046" s="464"/>
    </row>
    <row r="1047" spans="1:15" ht="15.75">
      <c r="A1047" s="473" t="s">
        <v>13459</v>
      </c>
      <c r="B1047" s="751">
        <v>88264</v>
      </c>
      <c r="C1047" s="710" t="s">
        <v>771</v>
      </c>
      <c r="D1047" s="711" t="s">
        <v>753</v>
      </c>
      <c r="E1047" s="752">
        <v>0.15</v>
      </c>
      <c r="F1047" s="713">
        <v>20.52</v>
      </c>
      <c r="G1047" s="750">
        <f>TRUNC(F1047*E1047,2)</f>
        <v>3.07</v>
      </c>
      <c r="H1047" s="464"/>
    </row>
    <row r="1048" spans="1:15" ht="16.5" thickBot="1">
      <c r="A1048" s="473" t="s">
        <v>13459</v>
      </c>
      <c r="B1048" s="753">
        <v>88316</v>
      </c>
      <c r="C1048" s="717" t="s">
        <v>761</v>
      </c>
      <c r="D1048" s="718" t="s">
        <v>753</v>
      </c>
      <c r="E1048" s="754">
        <v>0.15</v>
      </c>
      <c r="F1048" s="720">
        <v>15.91</v>
      </c>
      <c r="G1048" s="755">
        <f>TRUNC(F1048*E1048,2)</f>
        <v>2.38</v>
      </c>
      <c r="H1048" s="464"/>
    </row>
    <row r="1049" spans="1:15" ht="16.5" thickBot="1">
      <c r="A1049" s="464"/>
      <c r="B1049" s="1264" t="s">
        <v>13932</v>
      </c>
      <c r="C1049" s="1265"/>
      <c r="D1049" s="1265"/>
      <c r="E1049" s="1320"/>
      <c r="F1049" s="756" t="s">
        <v>22</v>
      </c>
      <c r="G1049" s="757">
        <f>SUM(G1043:G1048)</f>
        <v>20.189999999999998</v>
      </c>
      <c r="H1049" s="464"/>
    </row>
    <row r="1050" spans="1:15" ht="15.75" thickBot="1">
      <c r="A1050" s="464"/>
      <c r="B1050" s="850"/>
      <c r="C1050" s="464"/>
      <c r="D1050" s="464"/>
      <c r="E1050" s="464"/>
      <c r="F1050" s="464"/>
      <c r="G1050" s="765"/>
      <c r="H1050" s="464"/>
    </row>
    <row r="1051" spans="1:15" ht="15.75">
      <c r="A1051" s="489"/>
      <c r="B1051" s="572"/>
      <c r="C1051" s="896" t="s">
        <v>13933</v>
      </c>
      <c r="D1051" s="574"/>
      <c r="E1051" s="575"/>
      <c r="F1051" s="608"/>
      <c r="G1051" s="891" t="s">
        <v>28</v>
      </c>
      <c r="H1051" s="897" t="s">
        <v>13934</v>
      </c>
    </row>
    <row r="1052" spans="1:15" ht="31.5">
      <c r="A1052" s="489"/>
      <c r="B1052" s="578" t="s">
        <v>13502</v>
      </c>
      <c r="C1052" s="579" t="s">
        <v>13503</v>
      </c>
      <c r="D1052" s="580" t="s">
        <v>13504</v>
      </c>
      <c r="E1052" s="581" t="s">
        <v>13505</v>
      </c>
      <c r="F1052" s="610" t="s">
        <v>13506</v>
      </c>
      <c r="G1052" s="583" t="s">
        <v>13507</v>
      </c>
      <c r="H1052" s="489"/>
    </row>
    <row r="1053" spans="1:15" ht="15">
      <c r="A1053" s="489"/>
      <c r="B1053" s="597">
        <v>43581</v>
      </c>
      <c r="C1053" s="630" t="s">
        <v>13838</v>
      </c>
      <c r="D1053" s="593">
        <v>15.6</v>
      </c>
      <c r="E1053" s="875" t="s">
        <v>13839</v>
      </c>
      <c r="F1053" s="876" t="s">
        <v>13840</v>
      </c>
      <c r="G1053" s="790" t="s">
        <v>13841</v>
      </c>
      <c r="H1053"/>
    </row>
    <row r="1054" spans="1:15" ht="15">
      <c r="A1054" s="489"/>
      <c r="B1054" s="648">
        <v>43566</v>
      </c>
      <c r="C1054" s="612" t="s">
        <v>13930</v>
      </c>
      <c r="D1054" s="894">
        <v>4.6399999999999997</v>
      </c>
      <c r="E1054" s="652" t="s">
        <v>13831</v>
      </c>
      <c r="F1054" s="814" t="s">
        <v>13931</v>
      </c>
      <c r="G1054" s="878" t="s">
        <v>13833</v>
      </c>
      <c r="H1054"/>
    </row>
    <row r="1055" spans="1:15" ht="15">
      <c r="A1055" s="489"/>
      <c r="B1055" s="893">
        <v>43565</v>
      </c>
      <c r="C1055" s="592" t="s">
        <v>13772</v>
      </c>
      <c r="D1055" s="617">
        <v>14.44</v>
      </c>
      <c r="E1055" s="789" t="s">
        <v>13929</v>
      </c>
      <c r="F1055" s="876" t="s">
        <v>13852</v>
      </c>
      <c r="G1055" s="878" t="s">
        <v>13878</v>
      </c>
      <c r="H1055"/>
    </row>
    <row r="1056" spans="1:15" ht="16.5" thickBot="1">
      <c r="A1056" s="489"/>
      <c r="B1056" s="598"/>
      <c r="C1056" s="599" t="s">
        <v>13523</v>
      </c>
      <c r="D1056" s="538">
        <f>IF(COUNT(D1052:D1055)=3,MEDIAN(D1052:D1055),SMALL(D1053:D1055,1))</f>
        <v>14.44</v>
      </c>
      <c r="E1056" s="600"/>
      <c r="F1056" s="620"/>
      <c r="G1056" s="602"/>
      <c r="H1056"/>
    </row>
    <row r="1057" spans="1:8" ht="30" customHeight="1">
      <c r="A1057" s="464"/>
      <c r="B1057" s="704" t="str">
        <f>IF(COUNT($H$8:H1057)&lt;10,CONCATENATE("COMP ELE 00",COUNT($H$8:H1057)),CONCATENATE("COMP ELE 0",COUNT($H$8:H1057)))</f>
        <v>COMP ELE 087</v>
      </c>
      <c r="C1057" s="1257" t="str">
        <f>CONCATENATE("FORNECIMENTO E INSTALAÇÃO DE ",C1060)</f>
        <v>FORNECIMENTO E INSTALAÇÃO DE MÃO FRANCESA SIMPLES 200 MM PARA ELETROCALHA</v>
      </c>
      <c r="D1057" s="1225"/>
      <c r="E1057" s="1225"/>
      <c r="F1057" s="1225"/>
      <c r="G1057" s="705" t="s">
        <v>28</v>
      </c>
      <c r="H1057" s="570">
        <f>G1065</f>
        <v>26.16</v>
      </c>
    </row>
    <row r="1058" spans="1:8" ht="31.5">
      <c r="A1058" s="464"/>
      <c r="B1058" s="469" t="s">
        <v>13463</v>
      </c>
      <c r="C1058" s="707" t="s">
        <v>13464</v>
      </c>
      <c r="D1058" s="470" t="s">
        <v>28</v>
      </c>
      <c r="E1058" s="707" t="s">
        <v>13465</v>
      </c>
      <c r="F1058" s="293" t="s">
        <v>13466</v>
      </c>
      <c r="G1058" s="708" t="s">
        <v>13467</v>
      </c>
      <c r="H1058" s="464"/>
    </row>
    <row r="1059" spans="1:8" ht="15.75">
      <c r="A1059" s="464"/>
      <c r="B1059" s="1314" t="s">
        <v>13468</v>
      </c>
      <c r="C1059" s="1315"/>
      <c r="D1059" s="1315"/>
      <c r="E1059" s="1315"/>
      <c r="F1059" s="1315"/>
      <c r="G1059" s="1316"/>
      <c r="H1059" s="464"/>
    </row>
    <row r="1060" spans="1:8" ht="15">
      <c r="A1060" s="464"/>
      <c r="B1060" s="862" t="s">
        <v>13497</v>
      </c>
      <c r="C1060" s="863" t="str">
        <f>C1067</f>
        <v>MÃO FRANCESA SIMPLES 200 MM PARA ELETROCALHA</v>
      </c>
      <c r="D1060" s="872" t="str">
        <f>G1067</f>
        <v>UN</v>
      </c>
      <c r="E1060" s="815">
        <v>1</v>
      </c>
      <c r="F1060" s="815">
        <f>D1072</f>
        <v>20.41</v>
      </c>
      <c r="G1060" s="845">
        <f>TRUNC(F1060*E1060,2)</f>
        <v>20.41</v>
      </c>
      <c r="H1060" s="464"/>
    </row>
    <row r="1061" spans="1:8" ht="45">
      <c r="A1061" s="473" t="s">
        <v>13458</v>
      </c>
      <c r="B1061" s="751">
        <v>11950</v>
      </c>
      <c r="C1061" s="710" t="s">
        <v>923</v>
      </c>
      <c r="D1061" s="711" t="s">
        <v>6636</v>
      </c>
      <c r="E1061" s="752">
        <v>3</v>
      </c>
      <c r="F1061" s="713">
        <v>0.1</v>
      </c>
      <c r="G1061" s="750">
        <f>TRUNC(F1061*E1061,2)</f>
        <v>0.3</v>
      </c>
      <c r="H1061" s="464"/>
    </row>
    <row r="1062" spans="1:8" ht="15.75">
      <c r="A1062" s="464"/>
      <c r="B1062" s="1314" t="s">
        <v>13469</v>
      </c>
      <c r="C1062" s="1315"/>
      <c r="D1062" s="1315"/>
      <c r="E1062" s="1315"/>
      <c r="F1062" s="1315"/>
      <c r="G1062" s="1316"/>
      <c r="H1062" s="464"/>
    </row>
    <row r="1063" spans="1:8" ht="15.75">
      <c r="A1063" s="473" t="s">
        <v>13459</v>
      </c>
      <c r="B1063" s="751">
        <v>88264</v>
      </c>
      <c r="C1063" s="710" t="s">
        <v>771</v>
      </c>
      <c r="D1063" s="711" t="s">
        <v>753</v>
      </c>
      <c r="E1063" s="752">
        <v>0.15</v>
      </c>
      <c r="F1063" s="713">
        <v>20.52</v>
      </c>
      <c r="G1063" s="750">
        <f>TRUNC(F1063*E1063,2)</f>
        <v>3.07</v>
      </c>
      <c r="H1063" s="464"/>
    </row>
    <row r="1064" spans="1:8" ht="16.5" thickBot="1">
      <c r="A1064" s="473" t="s">
        <v>13459</v>
      </c>
      <c r="B1064" s="753">
        <v>88316</v>
      </c>
      <c r="C1064" s="717" t="s">
        <v>761</v>
      </c>
      <c r="D1064" s="718" t="s">
        <v>753</v>
      </c>
      <c r="E1064" s="754">
        <v>0.15</v>
      </c>
      <c r="F1064" s="720">
        <v>15.91</v>
      </c>
      <c r="G1064" s="755">
        <f>TRUNC(F1064*E1064,2)</f>
        <v>2.38</v>
      </c>
      <c r="H1064" s="464"/>
    </row>
    <row r="1065" spans="1:8" ht="16.5" thickBot="1">
      <c r="A1065" s="464"/>
      <c r="B1065" s="1309" t="s">
        <v>13932</v>
      </c>
      <c r="C1065" s="1310"/>
      <c r="D1065" s="1310"/>
      <c r="E1065" s="1319"/>
      <c r="F1065" s="787" t="s">
        <v>22</v>
      </c>
      <c r="G1065" s="788">
        <f>SUM(G1059:G1064)</f>
        <v>26.16</v>
      </c>
      <c r="H1065" s="464"/>
    </row>
    <row r="1066" spans="1:8" ht="15.75" thickBot="1">
      <c r="A1066" s="464"/>
      <c r="B1066" s="850"/>
      <c r="C1066" s="464"/>
      <c r="D1066" s="464"/>
      <c r="E1066" s="464"/>
      <c r="F1066" s="464"/>
      <c r="G1066" s="765"/>
      <c r="H1066" s="464"/>
    </row>
    <row r="1067" spans="1:8" ht="15.75">
      <c r="A1067" s="489"/>
      <c r="B1067" s="572"/>
      <c r="C1067" s="898" t="s">
        <v>13935</v>
      </c>
      <c r="D1067" s="574"/>
      <c r="E1067" s="575"/>
      <c r="F1067" s="608"/>
      <c r="G1067" s="891" t="s">
        <v>28</v>
      </c>
      <c r="H1067" s="897" t="s">
        <v>13934</v>
      </c>
    </row>
    <row r="1068" spans="1:8" ht="31.5">
      <c r="A1068" s="489"/>
      <c r="B1068" s="578" t="s">
        <v>13502</v>
      </c>
      <c r="C1068" s="579" t="s">
        <v>13503</v>
      </c>
      <c r="D1068" s="580" t="s">
        <v>13504</v>
      </c>
      <c r="E1068" s="581" t="s">
        <v>13505</v>
      </c>
      <c r="F1068" s="610" t="s">
        <v>13506</v>
      </c>
      <c r="G1068" s="583" t="s">
        <v>13507</v>
      </c>
      <c r="H1068" s="489"/>
    </row>
    <row r="1069" spans="1:8" ht="15">
      <c r="A1069" s="489"/>
      <c r="B1069" s="893">
        <v>43245</v>
      </c>
      <c r="C1069" s="630" t="s">
        <v>13936</v>
      </c>
      <c r="D1069" s="593">
        <f>24.65*1.3</f>
        <v>32.045000000000002</v>
      </c>
      <c r="E1069" s="899" t="s">
        <v>13937</v>
      </c>
      <c r="F1069" s="876" t="s">
        <v>13938</v>
      </c>
      <c r="G1069" s="878" t="s">
        <v>13939</v>
      </c>
      <c r="H1069" s="489"/>
    </row>
    <row r="1070" spans="1:8" ht="15">
      <c r="A1070" s="489"/>
      <c r="B1070" s="893">
        <v>43264</v>
      </c>
      <c r="C1070" s="612" t="s">
        <v>13755</v>
      </c>
      <c r="D1070" s="613">
        <f>15.7*1.3</f>
        <v>20.41</v>
      </c>
      <c r="E1070" s="294" t="s">
        <v>13756</v>
      </c>
      <c r="F1070" s="615" t="s">
        <v>13757</v>
      </c>
      <c r="G1070" s="900" t="s">
        <v>13940</v>
      </c>
      <c r="H1070" s="489"/>
    </row>
    <row r="1071" spans="1:8" ht="15">
      <c r="A1071" s="489"/>
      <c r="B1071" s="611"/>
      <c r="C1071" s="592"/>
      <c r="D1071" s="617"/>
      <c r="E1071" s="901"/>
      <c r="F1071" s="814"/>
      <c r="G1071" s="618"/>
      <c r="H1071" s="489"/>
    </row>
    <row r="1072" spans="1:8" ht="16.5" thickBot="1">
      <c r="A1072" s="489"/>
      <c r="B1072" s="598"/>
      <c r="C1072" s="599" t="s">
        <v>13523</v>
      </c>
      <c r="D1072" s="538">
        <f>D1070</f>
        <v>20.41</v>
      </c>
      <c r="E1072" s="600"/>
      <c r="F1072" s="620"/>
      <c r="G1072" s="602"/>
      <c r="H1072" s="489"/>
    </row>
    <row r="1073" spans="1:8" ht="24" customHeight="1">
      <c r="A1073" s="464"/>
      <c r="B1073" s="704" t="str">
        <f>IF(COUNT($H$8:H1073)&lt;10,CONCATENATE("COMP ELE 00",COUNT($H$8:H1073)),CONCATENATE("COMP ELE 0",COUNT($H$8:H1073)))</f>
        <v>COMP ELE 088</v>
      </c>
      <c r="C1073" s="1257" t="str">
        <f>CONCATENATE("FORNECIMENTO E INSTALAÇÃO DE ",C1076)</f>
        <v>FORNECIMENTO E INSTALAÇÃO DE VERGALHÃO ROSCA TOTAL 5/16'' (TIRANTE)</v>
      </c>
      <c r="D1073" s="1225"/>
      <c r="E1073" s="1225"/>
      <c r="F1073" s="1225"/>
      <c r="G1073" s="705" t="s">
        <v>28</v>
      </c>
      <c r="H1073" s="570">
        <f>G1080</f>
        <v>22.94</v>
      </c>
    </row>
    <row r="1074" spans="1:8" ht="31.5">
      <c r="A1074" s="464"/>
      <c r="B1074" s="469" t="s">
        <v>13463</v>
      </c>
      <c r="C1074" s="707" t="s">
        <v>13464</v>
      </c>
      <c r="D1074" s="470" t="s">
        <v>28</v>
      </c>
      <c r="E1074" s="707" t="s">
        <v>13465</v>
      </c>
      <c r="F1074" s="293" t="s">
        <v>13466</v>
      </c>
      <c r="G1074" s="708" t="s">
        <v>13467</v>
      </c>
      <c r="H1074" s="464"/>
    </row>
    <row r="1075" spans="1:8" ht="15.75">
      <c r="A1075" s="464"/>
      <c r="B1075" s="1283" t="s">
        <v>13468</v>
      </c>
      <c r="C1075" s="1284"/>
      <c r="D1075" s="1284"/>
      <c r="E1075" s="1284"/>
      <c r="F1075" s="1284"/>
      <c r="G1075" s="1285"/>
      <c r="H1075" s="464"/>
    </row>
    <row r="1076" spans="1:8" ht="15">
      <c r="A1076" s="464"/>
      <c r="B1076" s="862" t="s">
        <v>13497</v>
      </c>
      <c r="C1076" s="863" t="str">
        <f>C1082</f>
        <v>VERGALHÃO ROSCA TOTAL 5/16'' (TIRANTE)</v>
      </c>
      <c r="D1076" s="872" t="str">
        <f>G1082</f>
        <v>M</v>
      </c>
      <c r="E1076" s="815">
        <v>1</v>
      </c>
      <c r="F1076" s="815">
        <f>D1087</f>
        <v>12.02</v>
      </c>
      <c r="G1076" s="845">
        <f>TRUNC(F1076*E1076,2)</f>
        <v>12.02</v>
      </c>
      <c r="H1076" s="464"/>
    </row>
    <row r="1077" spans="1:8" ht="15.75">
      <c r="A1077" s="464"/>
      <c r="B1077" s="1283" t="s">
        <v>13469</v>
      </c>
      <c r="C1077" s="1284"/>
      <c r="D1077" s="1284"/>
      <c r="E1077" s="1284"/>
      <c r="F1077" s="1284"/>
      <c r="G1077" s="1285"/>
      <c r="H1077" s="464"/>
    </row>
    <row r="1078" spans="1:8" ht="15.75">
      <c r="A1078" s="473" t="s">
        <v>13459</v>
      </c>
      <c r="B1078" s="751">
        <v>88264</v>
      </c>
      <c r="C1078" s="710" t="s">
        <v>771</v>
      </c>
      <c r="D1078" s="711" t="s">
        <v>753</v>
      </c>
      <c r="E1078" s="752">
        <v>0.3</v>
      </c>
      <c r="F1078" s="713">
        <v>20.52</v>
      </c>
      <c r="G1078" s="750">
        <f>TRUNC(F1078*E1078,2)</f>
        <v>6.15</v>
      </c>
      <c r="H1078" s="464"/>
    </row>
    <row r="1079" spans="1:8" ht="16.5" thickBot="1">
      <c r="A1079" s="473" t="s">
        <v>13459</v>
      </c>
      <c r="B1079" s="753">
        <v>88316</v>
      </c>
      <c r="C1079" s="717" t="s">
        <v>761</v>
      </c>
      <c r="D1079" s="718" t="s">
        <v>753</v>
      </c>
      <c r="E1079" s="754">
        <v>0.3</v>
      </c>
      <c r="F1079" s="720">
        <v>15.91</v>
      </c>
      <c r="G1079" s="755">
        <f>TRUNC(F1079*E1079,2)</f>
        <v>4.7699999999999996</v>
      </c>
      <c r="H1079" s="464"/>
    </row>
    <row r="1080" spans="1:8" ht="16.5" thickBot="1">
      <c r="A1080" s="464"/>
      <c r="B1080" s="1265" t="s">
        <v>13941</v>
      </c>
      <c r="C1080" s="1265"/>
      <c r="D1080" s="1265"/>
      <c r="E1080" s="1320"/>
      <c r="F1080" s="756" t="s">
        <v>22</v>
      </c>
      <c r="G1080" s="757">
        <f>SUM(G1075:G1079)</f>
        <v>22.94</v>
      </c>
      <c r="H1080" s="464"/>
    </row>
    <row r="1081" spans="1:8" ht="15.75" thickBot="1">
      <c r="A1081" s="464"/>
      <c r="B1081" s="465"/>
      <c r="C1081" s="465"/>
      <c r="D1081" s="465"/>
      <c r="E1081" s="465"/>
      <c r="F1081" s="465"/>
      <c r="G1081" s="465"/>
      <c r="H1081" s="464"/>
    </row>
    <row r="1082" spans="1:8" ht="15.75">
      <c r="A1082" s="489"/>
      <c r="B1082" s="572"/>
      <c r="C1082" s="574" t="s">
        <v>13942</v>
      </c>
      <c r="D1082" s="574"/>
      <c r="E1082" s="575"/>
      <c r="F1082" s="608"/>
      <c r="G1082" s="577" t="s">
        <v>35</v>
      </c>
      <c r="H1082" s="515" t="s">
        <v>13934</v>
      </c>
    </row>
    <row r="1083" spans="1:8" ht="31.5">
      <c r="A1083" s="489"/>
      <c r="B1083" s="867" t="s">
        <v>13502</v>
      </c>
      <c r="C1083" s="707" t="s">
        <v>13503</v>
      </c>
      <c r="D1083" s="293" t="s">
        <v>13504</v>
      </c>
      <c r="E1083" s="868" t="s">
        <v>13505</v>
      </c>
      <c r="F1083" s="869" t="s">
        <v>13506</v>
      </c>
      <c r="G1083" s="299" t="s">
        <v>13507</v>
      </c>
      <c r="H1083" s="489"/>
    </row>
    <row r="1084" spans="1:8" ht="15">
      <c r="A1084" s="489"/>
      <c r="B1084" s="597">
        <v>43581</v>
      </c>
      <c r="C1084" s="630" t="s">
        <v>13838</v>
      </c>
      <c r="D1084" s="593">
        <v>13.64</v>
      </c>
      <c r="E1084" s="875" t="s">
        <v>13839</v>
      </c>
      <c r="F1084" s="876" t="s">
        <v>13840</v>
      </c>
      <c r="G1084" s="790" t="s">
        <v>13841</v>
      </c>
      <c r="H1084"/>
    </row>
    <row r="1085" spans="1:8" ht="15">
      <c r="A1085" s="489"/>
      <c r="B1085" s="902">
        <v>43572</v>
      </c>
      <c r="C1085" s="630" t="s">
        <v>13781</v>
      </c>
      <c r="D1085" s="593">
        <v>10.48</v>
      </c>
      <c r="E1085" s="789" t="s">
        <v>13782</v>
      </c>
      <c r="F1085" s="595" t="s">
        <v>13761</v>
      </c>
      <c r="G1085" s="878" t="s">
        <v>13762</v>
      </c>
      <c r="H1085"/>
    </row>
    <row r="1086" spans="1:8" ht="15">
      <c r="A1086" s="489"/>
      <c r="B1086" s="902">
        <v>43567</v>
      </c>
      <c r="C1086" s="630" t="s">
        <v>13763</v>
      </c>
      <c r="D1086" s="617">
        <v>12.02</v>
      </c>
      <c r="E1086" s="789" t="s">
        <v>13764</v>
      </c>
      <c r="F1086" s="595" t="s">
        <v>13765</v>
      </c>
      <c r="G1086" s="878" t="s">
        <v>13943</v>
      </c>
      <c r="H1086"/>
    </row>
    <row r="1087" spans="1:8" ht="16.5" thickBot="1">
      <c r="A1087" s="489"/>
      <c r="B1087" s="598"/>
      <c r="C1087" s="599" t="s">
        <v>13523</v>
      </c>
      <c r="D1087" s="538">
        <f>IF(COUNT(D1083:D1086)=3,MEDIAN(D1083:D1086),SMALL(D1084:D1086,1))</f>
        <v>12.02</v>
      </c>
      <c r="E1087" s="600"/>
      <c r="F1087" s="620"/>
      <c r="G1087" s="602"/>
      <c r="H1087"/>
    </row>
    <row r="1088" spans="1:8" ht="13.5" thickBot="1"/>
    <row r="1089" spans="1:14" ht="26.25" customHeight="1">
      <c r="A1089" s="464"/>
      <c r="B1089" s="704" t="str">
        <f>IF(COUNT($H$8:H1089)&lt;10,CONCATENATE("COMP ELE 00",COUNT($H$8:H1089)),CONCATENATE("COMP ELE 0",COUNT($H$8:H1089)))</f>
        <v>COMP ELE 089</v>
      </c>
      <c r="C1089" s="1257" t="str">
        <f>CONCATENATE("FORNECIMENTO E INSTALAÇÃO DE ",C1092)</f>
        <v>FORNECIMENTO E INSTALAÇÃO DE CANTONEIRA ZZ</v>
      </c>
      <c r="D1089" s="1225"/>
      <c r="E1089" s="1225"/>
      <c r="F1089" s="1225"/>
      <c r="G1089" s="705" t="s">
        <v>28</v>
      </c>
      <c r="H1089" s="570">
        <f>G1099</f>
        <v>9.39</v>
      </c>
    </row>
    <row r="1090" spans="1:14" ht="31.5">
      <c r="A1090" s="464"/>
      <c r="B1090" s="469" t="s">
        <v>13463</v>
      </c>
      <c r="C1090" s="707" t="s">
        <v>13464</v>
      </c>
      <c r="D1090" s="470" t="s">
        <v>28</v>
      </c>
      <c r="E1090" s="707" t="s">
        <v>13465</v>
      </c>
      <c r="F1090" s="293" t="s">
        <v>13466</v>
      </c>
      <c r="G1090" s="708" t="s">
        <v>13467</v>
      </c>
      <c r="H1090" s="464"/>
    </row>
    <row r="1091" spans="1:14" ht="15.75">
      <c r="A1091" s="464"/>
      <c r="B1091" s="1283" t="s">
        <v>13468</v>
      </c>
      <c r="C1091" s="1284"/>
      <c r="D1091" s="1284"/>
      <c r="E1091" s="1284"/>
      <c r="F1091" s="1284"/>
      <c r="G1091" s="1285"/>
      <c r="H1091" s="464"/>
    </row>
    <row r="1092" spans="1:14" ht="15">
      <c r="A1092" s="464"/>
      <c r="B1092" s="862" t="s">
        <v>13497</v>
      </c>
      <c r="C1092" s="863" t="str">
        <f>C1118</f>
        <v>CANTONEIRA ZZ</v>
      </c>
      <c r="D1092" s="872" t="str">
        <f>G1118</f>
        <v>UN</v>
      </c>
      <c r="E1092" s="815">
        <v>1</v>
      </c>
      <c r="F1092" s="815">
        <f>D1123</f>
        <v>1.8</v>
      </c>
      <c r="G1092" s="845">
        <f>TRUNC(F1092*E1092,2)</f>
        <v>1.8</v>
      </c>
      <c r="H1092" s="464"/>
    </row>
    <row r="1093" spans="1:14" ht="30">
      <c r="A1093" s="473" t="s">
        <v>13458</v>
      </c>
      <c r="B1093" s="799">
        <v>11962</v>
      </c>
      <c r="C1093" s="710" t="s">
        <v>957</v>
      </c>
      <c r="D1093" s="711" t="s">
        <v>6636</v>
      </c>
      <c r="E1093" s="749">
        <v>2</v>
      </c>
      <c r="F1093" s="713">
        <v>0.15</v>
      </c>
      <c r="G1093" s="750">
        <f t="shared" ref="G1093:G1095" si="5">TRUNC(F1093*E1093,2)</f>
        <v>0.3</v>
      </c>
      <c r="H1093" s="464"/>
      <c r="M1093" s="799">
        <v>11962</v>
      </c>
      <c r="N1093" s="749">
        <v>2</v>
      </c>
    </row>
    <row r="1094" spans="1:14" ht="30">
      <c r="A1094" s="473" t="s">
        <v>13458</v>
      </c>
      <c r="B1094" s="799">
        <v>39211</v>
      </c>
      <c r="C1094" s="710" t="s">
        <v>6961</v>
      </c>
      <c r="D1094" s="711" t="s">
        <v>6636</v>
      </c>
      <c r="E1094" s="749">
        <v>2</v>
      </c>
      <c r="F1094" s="713">
        <v>0.89</v>
      </c>
      <c r="G1094" s="750">
        <f t="shared" si="5"/>
        <v>1.78</v>
      </c>
      <c r="H1094" s="464"/>
      <c r="M1094" s="799">
        <v>39211</v>
      </c>
      <c r="N1094" s="749">
        <v>2</v>
      </c>
    </row>
    <row r="1095" spans="1:14" ht="15.75">
      <c r="A1095" s="473" t="s">
        <v>13458</v>
      </c>
      <c r="B1095" s="799">
        <v>39997</v>
      </c>
      <c r="C1095" s="710" t="s">
        <v>10140</v>
      </c>
      <c r="D1095" s="711" t="s">
        <v>6636</v>
      </c>
      <c r="E1095" s="749">
        <v>2</v>
      </c>
      <c r="F1095" s="713">
        <v>0.21</v>
      </c>
      <c r="G1095" s="750">
        <f t="shared" si="5"/>
        <v>0.42</v>
      </c>
      <c r="H1095" s="464"/>
      <c r="M1095" s="799">
        <v>39997</v>
      </c>
      <c r="N1095" s="749">
        <v>2</v>
      </c>
    </row>
    <row r="1096" spans="1:14" ht="15.75">
      <c r="A1096" s="464"/>
      <c r="B1096" s="1283" t="s">
        <v>13469</v>
      </c>
      <c r="C1096" s="1284"/>
      <c r="D1096" s="1284"/>
      <c r="E1096" s="1284"/>
      <c r="F1096" s="1284"/>
      <c r="G1096" s="1285"/>
      <c r="H1096" s="464"/>
    </row>
    <row r="1097" spans="1:14" ht="15.75">
      <c r="A1097" s="473" t="s">
        <v>13459</v>
      </c>
      <c r="B1097" s="751">
        <v>88264</v>
      </c>
      <c r="C1097" s="710" t="s">
        <v>771</v>
      </c>
      <c r="D1097" s="711" t="s">
        <v>753</v>
      </c>
      <c r="E1097" s="752">
        <v>0.14000000000000001</v>
      </c>
      <c r="F1097" s="713">
        <v>20.52</v>
      </c>
      <c r="G1097" s="750">
        <f>TRUNC(F1097*E1097,2)</f>
        <v>2.87</v>
      </c>
      <c r="H1097" s="464"/>
    </row>
    <row r="1098" spans="1:14" ht="16.5" thickBot="1">
      <c r="A1098" s="473" t="s">
        <v>13459</v>
      </c>
      <c r="B1098" s="753">
        <v>88316</v>
      </c>
      <c r="C1098" s="717" t="s">
        <v>761</v>
      </c>
      <c r="D1098" s="718" t="s">
        <v>753</v>
      </c>
      <c r="E1098" s="754">
        <v>0.14000000000000001</v>
      </c>
      <c r="F1098" s="720">
        <v>15.91</v>
      </c>
      <c r="G1098" s="755">
        <f>TRUNC(F1098*E1098,2)</f>
        <v>2.2200000000000002</v>
      </c>
      <c r="H1098" s="464"/>
    </row>
    <row r="1099" spans="1:14" ht="16.5" thickBot="1">
      <c r="A1099" s="464"/>
      <c r="B1099" s="1265" t="s">
        <v>13944</v>
      </c>
      <c r="C1099" s="1265"/>
      <c r="D1099" s="1265"/>
      <c r="E1099" s="1265"/>
      <c r="F1099" s="756" t="s">
        <v>22</v>
      </c>
      <c r="G1099" s="757">
        <f>SUM(G1091:G1098)</f>
        <v>9.39</v>
      </c>
      <c r="H1099" s="464"/>
    </row>
    <row r="1100" spans="1:14">
      <c r="B1100" s="1265"/>
      <c r="C1100" s="1265"/>
      <c r="D1100" s="1265"/>
      <c r="E1100" s="1265"/>
    </row>
    <row r="1102" spans="1:14" ht="16.5" thickBot="1">
      <c r="A1102" s="832"/>
      <c r="B1102" s="1275" t="s">
        <v>13945</v>
      </c>
      <c r="C1102" s="1276"/>
      <c r="D1102" s="833"/>
      <c r="E1102" s="833"/>
      <c r="F1102" s="833"/>
      <c r="G1102" s="834"/>
      <c r="H1102" s="832"/>
    </row>
    <row r="1103" spans="1:14" ht="15.75">
      <c r="A1103" s="835"/>
      <c r="B1103" s="1277" t="s">
        <v>13946</v>
      </c>
      <c r="C1103" s="1278"/>
      <c r="D1103" s="1278"/>
      <c r="E1103" s="1278"/>
      <c r="F1103" s="1278"/>
      <c r="G1103" s="1279"/>
      <c r="H1103" s="835"/>
    </row>
    <row r="1104" spans="1:14" ht="15">
      <c r="A1104" s="835"/>
      <c r="B1104" s="837">
        <v>88264</v>
      </c>
      <c r="C1104" s="710" t="s">
        <v>771</v>
      </c>
      <c r="D1104" s="711" t="s">
        <v>753</v>
      </c>
      <c r="E1104" s="1321">
        <v>0.08</v>
      </c>
      <c r="F1104" s="1321"/>
      <c r="G1104" s="1322"/>
      <c r="H1104" s="835"/>
    </row>
    <row r="1105" spans="1:8" ht="15">
      <c r="A1105" s="835"/>
      <c r="B1105" s="837">
        <v>88247</v>
      </c>
      <c r="C1105" s="710" t="s">
        <v>924</v>
      </c>
      <c r="D1105" s="711" t="s">
        <v>753</v>
      </c>
      <c r="E1105" s="1321">
        <v>0.08</v>
      </c>
      <c r="F1105" s="1321"/>
      <c r="G1105" s="1322"/>
      <c r="H1105" s="835"/>
    </row>
    <row r="1106" spans="1:8" ht="15.75">
      <c r="A1106" s="835"/>
      <c r="B1106" s="1280" t="s">
        <v>13947</v>
      </c>
      <c r="C1106" s="1281"/>
      <c r="D1106" s="1281"/>
      <c r="E1106" s="1281"/>
      <c r="F1106" s="903" t="s">
        <v>13465</v>
      </c>
      <c r="G1106" s="904" t="s">
        <v>13948</v>
      </c>
      <c r="H1106" s="835"/>
    </row>
    <row r="1107" spans="1:8" ht="15">
      <c r="A1107" s="835"/>
      <c r="B1107" s="837">
        <v>88264</v>
      </c>
      <c r="C1107" s="710" t="s">
        <v>771</v>
      </c>
      <c r="D1107" s="711" t="s">
        <v>753</v>
      </c>
      <c r="E1107" s="905">
        <v>0.01</v>
      </c>
      <c r="F1107" s="905">
        <v>2</v>
      </c>
      <c r="G1107" s="906">
        <f>E1107*F1107</f>
        <v>0.02</v>
      </c>
      <c r="H1107" s="835"/>
    </row>
    <row r="1108" spans="1:8" ht="15">
      <c r="A1108" s="835"/>
      <c r="B1108" s="837">
        <v>88247</v>
      </c>
      <c r="C1108" s="710" t="s">
        <v>924</v>
      </c>
      <c r="D1108" s="711" t="s">
        <v>753</v>
      </c>
      <c r="E1108" s="905">
        <v>0.01</v>
      </c>
      <c r="F1108" s="905">
        <v>2</v>
      </c>
      <c r="G1108" s="906">
        <f>E1108*F1108</f>
        <v>0.02</v>
      </c>
      <c r="H1108" s="835"/>
    </row>
    <row r="1109" spans="1:8" ht="15.75">
      <c r="A1109" s="835"/>
      <c r="B1109" s="1280" t="s">
        <v>13949</v>
      </c>
      <c r="C1109" s="1281"/>
      <c r="D1109" s="1281"/>
      <c r="E1109" s="1281"/>
      <c r="F1109" s="903" t="s">
        <v>13465</v>
      </c>
      <c r="G1109" s="904" t="s">
        <v>13948</v>
      </c>
      <c r="H1109" s="835"/>
    </row>
    <row r="1110" spans="1:8" ht="15">
      <c r="A1110" s="835"/>
      <c r="B1110" s="837">
        <v>88264</v>
      </c>
      <c r="C1110" s="710" t="s">
        <v>771</v>
      </c>
      <c r="D1110" s="711" t="s">
        <v>753</v>
      </c>
      <c r="E1110" s="905">
        <v>0.01</v>
      </c>
      <c r="F1110" s="905">
        <v>2</v>
      </c>
      <c r="G1110" s="906">
        <f>E1110*F1110</f>
        <v>0.02</v>
      </c>
      <c r="H1110" s="835"/>
    </row>
    <row r="1111" spans="1:8" ht="15">
      <c r="A1111" s="835"/>
      <c r="B1111" s="837">
        <v>88247</v>
      </c>
      <c r="C1111" s="710" t="s">
        <v>924</v>
      </c>
      <c r="D1111" s="711" t="s">
        <v>753</v>
      </c>
      <c r="E1111" s="905">
        <v>0.01</v>
      </c>
      <c r="F1111" s="905">
        <v>2</v>
      </c>
      <c r="G1111" s="906">
        <f>E1111*F1111</f>
        <v>0.02</v>
      </c>
      <c r="H1111" s="835"/>
    </row>
    <row r="1112" spans="1:8" ht="15.75">
      <c r="A1112" s="835"/>
      <c r="B1112" s="1280" t="s">
        <v>13950</v>
      </c>
      <c r="C1112" s="1281"/>
      <c r="D1112" s="1281"/>
      <c r="E1112" s="1281"/>
      <c r="F1112" s="903" t="s">
        <v>13465</v>
      </c>
      <c r="G1112" s="904" t="s">
        <v>13948</v>
      </c>
      <c r="H1112" s="835"/>
    </row>
    <row r="1113" spans="1:8" ht="15">
      <c r="A1113" s="835"/>
      <c r="B1113" s="837">
        <v>88264</v>
      </c>
      <c r="C1113" s="710" t="s">
        <v>771</v>
      </c>
      <c r="D1113" s="711" t="s">
        <v>753</v>
      </c>
      <c r="E1113" s="905">
        <v>0.01</v>
      </c>
      <c r="F1113" s="905">
        <v>2</v>
      </c>
      <c r="G1113" s="906">
        <f>E1113*F1113</f>
        <v>0.02</v>
      </c>
      <c r="H1113" s="835"/>
    </row>
    <row r="1114" spans="1:8" ht="15">
      <c r="A1114" s="835"/>
      <c r="B1114" s="837">
        <v>88247</v>
      </c>
      <c r="C1114" s="710" t="s">
        <v>924</v>
      </c>
      <c r="D1114" s="711" t="s">
        <v>753</v>
      </c>
      <c r="E1114" s="905">
        <v>0.01</v>
      </c>
      <c r="F1114" s="905">
        <v>2</v>
      </c>
      <c r="G1114" s="906">
        <f>E1114*F1114</f>
        <v>0.02</v>
      </c>
      <c r="H1114" s="835"/>
    </row>
    <row r="1115" spans="1:8" ht="15.75">
      <c r="A1115" s="835"/>
      <c r="B1115" s="1280" t="s">
        <v>13951</v>
      </c>
      <c r="C1115" s="1281"/>
      <c r="D1115" s="1281"/>
      <c r="E1115" s="1281"/>
      <c r="F1115" s="1281"/>
      <c r="G1115" s="1282"/>
      <c r="H1115" s="835"/>
    </row>
    <row r="1116" spans="1:8" ht="15">
      <c r="A1116" s="835"/>
      <c r="B1116" s="837">
        <v>88264</v>
      </c>
      <c r="C1116" s="710" t="s">
        <v>771</v>
      </c>
      <c r="D1116" s="711" t="s">
        <v>753</v>
      </c>
      <c r="E1116" s="1321">
        <f>E1104+G1107+G1110+G1113</f>
        <v>0.14000000000000001</v>
      </c>
      <c r="F1116" s="1323"/>
      <c r="G1116" s="1324"/>
      <c r="H1116" s="835"/>
    </row>
    <row r="1117" spans="1:8" ht="15.75" thickBot="1">
      <c r="A1117" s="835"/>
      <c r="B1117" s="840">
        <v>88247</v>
      </c>
      <c r="C1117" s="717" t="s">
        <v>924</v>
      </c>
      <c r="D1117" s="718" t="s">
        <v>753</v>
      </c>
      <c r="E1117" s="1325">
        <f>E1105+G1108+G1111+G1114</f>
        <v>0.14000000000000001</v>
      </c>
      <c r="F1117" s="1326"/>
      <c r="G1117" s="1327"/>
      <c r="H1117" s="835"/>
    </row>
    <row r="1118" spans="1:8" ht="18">
      <c r="B1118" s="572"/>
      <c r="C1118" s="574" t="s">
        <v>13952</v>
      </c>
      <c r="D1118" s="574"/>
      <c r="E1118" s="575"/>
      <c r="F1118" s="608"/>
      <c r="G1118" s="577" t="s">
        <v>28</v>
      </c>
      <c r="H1118" s="823" t="s">
        <v>13934</v>
      </c>
    </row>
    <row r="1119" spans="1:8" ht="31.5">
      <c r="B1119" s="578" t="s">
        <v>13502</v>
      </c>
      <c r="C1119" s="579" t="s">
        <v>13503</v>
      </c>
      <c r="D1119" s="580" t="s">
        <v>13504</v>
      </c>
      <c r="E1119" s="581" t="s">
        <v>13505</v>
      </c>
      <c r="F1119" s="610" t="s">
        <v>13506</v>
      </c>
      <c r="G1119" s="583" t="s">
        <v>13507</v>
      </c>
    </row>
    <row r="1120" spans="1:8" ht="15.75">
      <c r="B1120" s="648">
        <v>43584</v>
      </c>
      <c r="C1120" s="630" t="s">
        <v>13842</v>
      </c>
      <c r="D1120" s="613">
        <v>1.8</v>
      </c>
      <c r="E1120" s="875" t="s">
        <v>13843</v>
      </c>
      <c r="F1120" s="877" t="s">
        <v>13844</v>
      </c>
      <c r="G1120" s="878" t="s">
        <v>13845</v>
      </c>
      <c r="H1120"/>
    </row>
    <row r="1121" spans="1:8" ht="15">
      <c r="B1121" s="902">
        <v>43572</v>
      </c>
      <c r="C1121" s="630" t="s">
        <v>13781</v>
      </c>
      <c r="D1121" s="593">
        <v>2.59</v>
      </c>
      <c r="E1121" s="789" t="s">
        <v>13782</v>
      </c>
      <c r="F1121" s="595" t="s">
        <v>13761</v>
      </c>
      <c r="G1121" s="878" t="s">
        <v>13762</v>
      </c>
      <c r="H1121"/>
    </row>
    <row r="1122" spans="1:8" ht="15">
      <c r="B1122" s="902">
        <v>43567</v>
      </c>
      <c r="C1122" s="630" t="s">
        <v>13763</v>
      </c>
      <c r="D1122" s="617">
        <v>1.65</v>
      </c>
      <c r="E1122" s="789" t="s">
        <v>13764</v>
      </c>
      <c r="F1122" s="595" t="s">
        <v>13765</v>
      </c>
      <c r="G1122" s="878" t="s">
        <v>13943</v>
      </c>
      <c r="H1122"/>
    </row>
    <row r="1123" spans="1:8" ht="16.5" thickBot="1">
      <c r="B1123" s="598"/>
      <c r="C1123" s="599" t="s">
        <v>13523</v>
      </c>
      <c r="D1123" s="538">
        <f>IF(COUNT(D1119:D1122)=3,MEDIAN(D1119:D1122),SMALL(D1120:D1122,1))</f>
        <v>1.8</v>
      </c>
      <c r="E1123" s="600"/>
      <c r="F1123" s="620"/>
      <c r="G1123" s="602"/>
    </row>
    <row r="1124" spans="1:8" ht="13.5" thickBot="1"/>
    <row r="1125" spans="1:8" ht="36" customHeight="1">
      <c r="A1125" s="464"/>
      <c r="B1125" s="704" t="str">
        <f>IF(COUNT($H$8:H1125)&lt;10,CONCATENATE("COMP ELE 00",COUNT($H$8:H1125)),CONCATENATE("COMP ELE 0",COUNT($H$8:H1125)))</f>
        <v>COMP ELE 090</v>
      </c>
      <c r="C1125" s="1257" t="str">
        <f>CONCATENATE("FORNECIMENTO E INSTALAÇÃO DE ",C1128)</f>
        <v>FORNECIMENTO E INSTALAÇÃO DE SUSPENSÃO VERTICAL PARA ELETROCALHA PERFURADA 100 X 50 mm</v>
      </c>
      <c r="D1125" s="1225"/>
      <c r="E1125" s="1225"/>
      <c r="F1125" s="1225"/>
      <c r="G1125" s="705" t="s">
        <v>28</v>
      </c>
      <c r="H1125" s="570">
        <f>G1134</f>
        <v>13.31</v>
      </c>
    </row>
    <row r="1126" spans="1:8" ht="31.5">
      <c r="A1126" s="464"/>
      <c r="B1126" s="469" t="s">
        <v>13463</v>
      </c>
      <c r="C1126" s="707" t="s">
        <v>13464</v>
      </c>
      <c r="D1126" s="470" t="s">
        <v>28</v>
      </c>
      <c r="E1126" s="707" t="s">
        <v>13465</v>
      </c>
      <c r="F1126" s="293" t="s">
        <v>13466</v>
      </c>
      <c r="G1126" s="708" t="s">
        <v>13467</v>
      </c>
      <c r="H1126" s="464"/>
    </row>
    <row r="1127" spans="1:8" ht="15.75">
      <c r="A1127" s="464"/>
      <c r="B1127" s="1283" t="s">
        <v>13468</v>
      </c>
      <c r="C1127" s="1284"/>
      <c r="D1127" s="1284"/>
      <c r="E1127" s="1284"/>
      <c r="F1127" s="1284"/>
      <c r="G1127" s="1285"/>
      <c r="H1127" s="464"/>
    </row>
    <row r="1128" spans="1:8" ht="30">
      <c r="A1128" s="464"/>
      <c r="B1128" s="862" t="s">
        <v>13497</v>
      </c>
      <c r="C1128" s="863" t="str">
        <f>C1151</f>
        <v>SUSPENSÃO VERTICAL PARA ELETROCALHA PERFURADA 100 X 50 mm</v>
      </c>
      <c r="D1128" s="872" t="str">
        <f>G1151</f>
        <v>UN</v>
      </c>
      <c r="E1128" s="815">
        <v>1</v>
      </c>
      <c r="F1128" s="815">
        <f>D1156</f>
        <v>2.38</v>
      </c>
      <c r="G1128" s="845">
        <f>TRUNC(F1128*E1128,2)</f>
        <v>2.38</v>
      </c>
      <c r="H1128" s="464"/>
    </row>
    <row r="1129" spans="1:8" ht="30">
      <c r="A1129" s="473" t="s">
        <v>13458</v>
      </c>
      <c r="B1129" s="799">
        <v>39211</v>
      </c>
      <c r="C1129" s="710" t="s">
        <v>6961</v>
      </c>
      <c r="D1129" s="711" t="s">
        <v>6636</v>
      </c>
      <c r="E1129" s="749">
        <v>2</v>
      </c>
      <c r="F1129" s="713">
        <v>0.89</v>
      </c>
      <c r="G1129" s="750">
        <f t="shared" ref="G1129:G1130" si="6">TRUNC(F1129*E1129,2)</f>
        <v>1.78</v>
      </c>
      <c r="H1129" s="464"/>
    </row>
    <row r="1130" spans="1:8" ht="15.75">
      <c r="A1130" s="473" t="s">
        <v>13458</v>
      </c>
      <c r="B1130" s="799">
        <v>39997</v>
      </c>
      <c r="C1130" s="710" t="s">
        <v>10140</v>
      </c>
      <c r="D1130" s="711" t="s">
        <v>6636</v>
      </c>
      <c r="E1130" s="749">
        <v>2</v>
      </c>
      <c r="F1130" s="713">
        <v>0.21</v>
      </c>
      <c r="G1130" s="750">
        <f t="shared" si="6"/>
        <v>0.42</v>
      </c>
      <c r="H1130" s="464"/>
    </row>
    <row r="1131" spans="1:8" ht="15.75">
      <c r="A1131" s="464"/>
      <c r="B1131" s="1283" t="s">
        <v>13469</v>
      </c>
      <c r="C1131" s="1284"/>
      <c r="D1131" s="1284"/>
      <c r="E1131" s="1284"/>
      <c r="F1131" s="1284"/>
      <c r="G1131" s="1285"/>
      <c r="H1131" s="464"/>
    </row>
    <row r="1132" spans="1:8" ht="15.75">
      <c r="A1132" s="473" t="s">
        <v>13459</v>
      </c>
      <c r="B1132" s="751">
        <v>88264</v>
      </c>
      <c r="C1132" s="710" t="s">
        <v>771</v>
      </c>
      <c r="D1132" s="711" t="s">
        <v>753</v>
      </c>
      <c r="E1132" s="752">
        <v>0.24</v>
      </c>
      <c r="F1132" s="713">
        <v>20.52</v>
      </c>
      <c r="G1132" s="750">
        <f>TRUNC(F1132*E1132,2)</f>
        <v>4.92</v>
      </c>
      <c r="H1132" s="464"/>
    </row>
    <row r="1133" spans="1:8" ht="16.5" thickBot="1">
      <c r="A1133" s="473" t="s">
        <v>13459</v>
      </c>
      <c r="B1133" s="753">
        <v>88316</v>
      </c>
      <c r="C1133" s="717" t="s">
        <v>761</v>
      </c>
      <c r="D1133" s="718" t="s">
        <v>753</v>
      </c>
      <c r="E1133" s="754">
        <v>0.24</v>
      </c>
      <c r="F1133" s="720">
        <v>15.91</v>
      </c>
      <c r="G1133" s="755">
        <f>TRUNC(F1133*E1133,2)</f>
        <v>3.81</v>
      </c>
      <c r="H1133" s="464"/>
    </row>
    <row r="1134" spans="1:8" ht="16.5" thickBot="1">
      <c r="A1134" s="464"/>
      <c r="B1134" s="1265" t="s">
        <v>13953</v>
      </c>
      <c r="C1134" s="1265"/>
      <c r="D1134" s="1265"/>
      <c r="E1134" s="1265"/>
      <c r="F1134" s="756" t="s">
        <v>22</v>
      </c>
      <c r="G1134" s="757">
        <f>SUM(G1127:G1133)</f>
        <v>13.31</v>
      </c>
      <c r="H1134" s="464"/>
    </row>
    <row r="1135" spans="1:8">
      <c r="B1135" s="1265"/>
      <c r="C1135" s="1265"/>
      <c r="D1135" s="1265"/>
      <c r="E1135" s="1265"/>
    </row>
    <row r="1137" spans="1:8" ht="16.5" thickBot="1">
      <c r="A1137" s="832"/>
      <c r="B1137" s="1275" t="s">
        <v>13945</v>
      </c>
      <c r="C1137" s="1276"/>
      <c r="D1137" s="833"/>
      <c r="E1137" s="833"/>
      <c r="F1137" s="833"/>
      <c r="G1137" s="834"/>
      <c r="H1137" s="832"/>
    </row>
    <row r="1138" spans="1:8" ht="15.75">
      <c r="A1138" s="835"/>
      <c r="B1138" s="1277" t="s">
        <v>13954</v>
      </c>
      <c r="C1138" s="1278"/>
      <c r="D1138" s="1278"/>
      <c r="E1138" s="1278"/>
      <c r="F1138" s="1278"/>
      <c r="G1138" s="1279"/>
      <c r="H1138" s="835"/>
    </row>
    <row r="1139" spans="1:8" ht="15">
      <c r="A1139" s="835"/>
      <c r="B1139" s="837">
        <v>88264</v>
      </c>
      <c r="C1139" s="710" t="s">
        <v>771</v>
      </c>
      <c r="D1139" s="711" t="s">
        <v>753</v>
      </c>
      <c r="E1139" s="1321">
        <v>0.2</v>
      </c>
      <c r="F1139" s="1321"/>
      <c r="G1139" s="1322"/>
      <c r="H1139" s="835"/>
    </row>
    <row r="1140" spans="1:8" ht="15">
      <c r="A1140" s="835"/>
      <c r="B1140" s="837">
        <v>88247</v>
      </c>
      <c r="C1140" s="710" t="s">
        <v>924</v>
      </c>
      <c r="D1140" s="711" t="s">
        <v>753</v>
      </c>
      <c r="E1140" s="1321">
        <v>0.2</v>
      </c>
      <c r="F1140" s="1321"/>
      <c r="G1140" s="1322"/>
      <c r="H1140" s="835"/>
    </row>
    <row r="1141" spans="1:8" ht="15.75">
      <c r="A1141" s="835"/>
      <c r="B1141" s="1280" t="s">
        <v>13949</v>
      </c>
      <c r="C1141" s="1281"/>
      <c r="D1141" s="1281"/>
      <c r="E1141" s="1281"/>
      <c r="F1141" s="903" t="s">
        <v>13465</v>
      </c>
      <c r="G1141" s="904" t="s">
        <v>13948</v>
      </c>
      <c r="H1141" s="835"/>
    </row>
    <row r="1142" spans="1:8" ht="15">
      <c r="A1142" s="835"/>
      <c r="B1142" s="837">
        <v>88264</v>
      </c>
      <c r="C1142" s="710" t="s">
        <v>771</v>
      </c>
      <c r="D1142" s="711" t="s">
        <v>753</v>
      </c>
      <c r="E1142" s="905">
        <v>0.01</v>
      </c>
      <c r="F1142" s="905">
        <v>2</v>
      </c>
      <c r="G1142" s="906">
        <f>E1142*F1142</f>
        <v>0.02</v>
      </c>
      <c r="H1142" s="835"/>
    </row>
    <row r="1143" spans="1:8" ht="15">
      <c r="A1143" s="835"/>
      <c r="B1143" s="837">
        <v>88247</v>
      </c>
      <c r="C1143" s="710" t="s">
        <v>924</v>
      </c>
      <c r="D1143" s="711" t="s">
        <v>753</v>
      </c>
      <c r="E1143" s="905">
        <v>0.01</v>
      </c>
      <c r="F1143" s="905">
        <v>2</v>
      </c>
      <c r="G1143" s="906">
        <f>E1143*F1143</f>
        <v>0.02</v>
      </c>
      <c r="H1143" s="835"/>
    </row>
    <row r="1144" spans="1:8" ht="15.75">
      <c r="A1144" s="835"/>
      <c r="B1144" s="1280" t="s">
        <v>13950</v>
      </c>
      <c r="C1144" s="1281"/>
      <c r="D1144" s="1281"/>
      <c r="E1144" s="1281"/>
      <c r="F1144" s="903" t="s">
        <v>13465</v>
      </c>
      <c r="G1144" s="904" t="s">
        <v>13948</v>
      </c>
      <c r="H1144" s="835"/>
    </row>
    <row r="1145" spans="1:8" ht="15">
      <c r="A1145" s="835"/>
      <c r="B1145" s="837">
        <v>88264</v>
      </c>
      <c r="C1145" s="710" t="s">
        <v>771</v>
      </c>
      <c r="D1145" s="711" t="s">
        <v>753</v>
      </c>
      <c r="E1145" s="905">
        <v>0.01</v>
      </c>
      <c r="F1145" s="905">
        <v>2</v>
      </c>
      <c r="G1145" s="906">
        <f>E1145*F1145</f>
        <v>0.02</v>
      </c>
      <c r="H1145" s="835"/>
    </row>
    <row r="1146" spans="1:8" ht="15">
      <c r="A1146" s="835"/>
      <c r="B1146" s="837">
        <v>88247</v>
      </c>
      <c r="C1146" s="710" t="s">
        <v>924</v>
      </c>
      <c r="D1146" s="711" t="s">
        <v>753</v>
      </c>
      <c r="E1146" s="905">
        <v>0.01</v>
      </c>
      <c r="F1146" s="905">
        <v>2</v>
      </c>
      <c r="G1146" s="906">
        <f>E1146*F1146</f>
        <v>0.02</v>
      </c>
      <c r="H1146" s="835"/>
    </row>
    <row r="1147" spans="1:8" ht="15.75">
      <c r="A1147" s="835"/>
      <c r="B1147" s="1280" t="s">
        <v>13951</v>
      </c>
      <c r="C1147" s="1281"/>
      <c r="D1147" s="1281"/>
      <c r="E1147" s="1281"/>
      <c r="F1147" s="1281"/>
      <c r="G1147" s="1282"/>
      <c r="H1147" s="835"/>
    </row>
    <row r="1148" spans="1:8" ht="15">
      <c r="A1148" s="835"/>
      <c r="B1148" s="837">
        <v>88264</v>
      </c>
      <c r="C1148" s="710" t="s">
        <v>771</v>
      </c>
      <c r="D1148" s="711" t="s">
        <v>753</v>
      </c>
      <c r="E1148" s="1321">
        <f>E1139+G1142+G1145</f>
        <v>0.24</v>
      </c>
      <c r="F1148" s="1323"/>
      <c r="G1148" s="1324"/>
      <c r="H1148" s="835"/>
    </row>
    <row r="1149" spans="1:8" ht="15.75" thickBot="1">
      <c r="A1149" s="835"/>
      <c r="B1149" s="840">
        <v>88247</v>
      </c>
      <c r="C1149" s="717" t="s">
        <v>924</v>
      </c>
      <c r="D1149" s="718" t="s">
        <v>753</v>
      </c>
      <c r="E1149" s="1325">
        <f>E1140+G1143+G1146</f>
        <v>0.24</v>
      </c>
      <c r="F1149" s="1326"/>
      <c r="G1149" s="1327"/>
      <c r="H1149" s="835"/>
    </row>
    <row r="1150" spans="1:8" ht="15.75" thickBot="1">
      <c r="A1150" s="464"/>
      <c r="B1150" s="850"/>
      <c r="C1150" s="464"/>
      <c r="D1150" s="464"/>
      <c r="E1150" s="464"/>
      <c r="F1150" s="464"/>
      <c r="G1150" s="765"/>
      <c r="H1150" s="464"/>
    </row>
    <row r="1151" spans="1:8" ht="31.5">
      <c r="B1151" s="572">
        <v>59</v>
      </c>
      <c r="C1151" s="574" t="s">
        <v>13955</v>
      </c>
      <c r="D1151" s="574"/>
      <c r="E1151" s="575"/>
      <c r="F1151" s="608"/>
      <c r="G1151" s="891" t="s">
        <v>28</v>
      </c>
      <c r="H1151" s="823" t="s">
        <v>13934</v>
      </c>
    </row>
    <row r="1152" spans="1:8" ht="31.5">
      <c r="B1152" s="867" t="s">
        <v>13502</v>
      </c>
      <c r="C1152" s="707" t="s">
        <v>13503</v>
      </c>
      <c r="D1152" s="293" t="s">
        <v>13504</v>
      </c>
      <c r="E1152" s="868"/>
      <c r="F1152" s="869"/>
      <c r="G1152" s="299"/>
    </row>
    <row r="1153" spans="1:14" ht="15">
      <c r="B1153" s="648">
        <v>43566</v>
      </c>
      <c r="C1153" s="612" t="s">
        <v>13930</v>
      </c>
      <c r="D1153" s="894">
        <v>3</v>
      </c>
      <c r="E1153" s="652" t="s">
        <v>13831</v>
      </c>
      <c r="F1153" s="814" t="s">
        <v>13931</v>
      </c>
      <c r="G1153" s="878" t="s">
        <v>13833</v>
      </c>
      <c r="H1153"/>
    </row>
    <row r="1154" spans="1:14" ht="15">
      <c r="B1154" s="902">
        <v>43567</v>
      </c>
      <c r="C1154" s="630" t="s">
        <v>13763</v>
      </c>
      <c r="D1154" s="617">
        <v>2.38</v>
      </c>
      <c r="E1154" s="789" t="s">
        <v>13764</v>
      </c>
      <c r="F1154" s="595" t="s">
        <v>13765</v>
      </c>
      <c r="G1154" s="878" t="s">
        <v>13943</v>
      </c>
      <c r="H1154"/>
    </row>
    <row r="1155" spans="1:14" ht="15">
      <c r="B1155" s="648">
        <v>43567</v>
      </c>
      <c r="C1155" s="612" t="s">
        <v>13956</v>
      </c>
      <c r="D1155" s="907">
        <v>2.2200000000000002</v>
      </c>
      <c r="E1155" s="294" t="s">
        <v>13957</v>
      </c>
      <c r="F1155" s="615" t="s">
        <v>13852</v>
      </c>
      <c r="G1155" s="900" t="s">
        <v>13958</v>
      </c>
      <c r="H1155"/>
    </row>
    <row r="1156" spans="1:14" ht="16.5" thickBot="1">
      <c r="B1156" s="598"/>
      <c r="C1156" s="599" t="s">
        <v>13523</v>
      </c>
      <c r="D1156" s="538">
        <f>IF(COUNT(D1152:D1155)=3,MEDIAN(D1152:D1155),SMALL(D1153:D1155,1))</f>
        <v>2.38</v>
      </c>
      <c r="E1156" s="600"/>
      <c r="F1156" s="620"/>
      <c r="G1156" s="602"/>
    </row>
    <row r="1157" spans="1:14" ht="36.75" customHeight="1">
      <c r="A1157" s="464"/>
      <c r="B1157" s="704" t="str">
        <f>IF(COUNT($H$8:H1157)&lt;10,CONCATENATE("COMP ELE 00",COUNT($H$8:H1157)),CONCATENATE("COMP ELE 0",COUNT($H$8:H1157)))</f>
        <v>COMP ELE 091</v>
      </c>
      <c r="C1157" s="1257" t="s">
        <v>12963</v>
      </c>
      <c r="D1157" s="1225"/>
      <c r="E1157" s="1225"/>
      <c r="F1157" s="1225"/>
      <c r="G1157" s="705" t="s">
        <v>28</v>
      </c>
      <c r="H1157" s="570">
        <f>G1166</f>
        <v>17.47</v>
      </c>
    </row>
    <row r="1158" spans="1:14" ht="31.5">
      <c r="A1158" s="464"/>
      <c r="B1158" s="469" t="s">
        <v>13463</v>
      </c>
      <c r="C1158" s="707" t="s">
        <v>13464</v>
      </c>
      <c r="D1158" s="470" t="s">
        <v>28</v>
      </c>
      <c r="E1158" s="707" t="s">
        <v>13465</v>
      </c>
      <c r="F1158" s="293" t="s">
        <v>13466</v>
      </c>
      <c r="G1158" s="708" t="s">
        <v>13467</v>
      </c>
      <c r="H1158" s="464"/>
    </row>
    <row r="1159" spans="1:14" ht="15.75">
      <c r="A1159" s="464"/>
      <c r="B1159" s="1314" t="s">
        <v>13468</v>
      </c>
      <c r="C1159" s="1315"/>
      <c r="D1159" s="1315"/>
      <c r="E1159" s="1315"/>
      <c r="F1159" s="1315"/>
      <c r="G1159" s="1316"/>
      <c r="H1159" s="464"/>
    </row>
    <row r="1160" spans="1:14" ht="30">
      <c r="A1160" s="464"/>
      <c r="B1160" s="862" t="s">
        <v>13497</v>
      </c>
      <c r="C1160" s="863" t="str">
        <f>C1183</f>
        <v>SUSPENSÃO VERTICAL PARA ELETROCALHA PERFURADA 200 X 50 mm</v>
      </c>
      <c r="D1160" s="872" t="str">
        <f>G1183</f>
        <v>UN</v>
      </c>
      <c r="E1160" s="815">
        <v>1</v>
      </c>
      <c r="F1160" s="815">
        <f>D1188</f>
        <v>6.54</v>
      </c>
      <c r="G1160" s="845">
        <f>TRUNC(F1160*E1160,2)</f>
        <v>6.54</v>
      </c>
      <c r="H1160" s="464"/>
    </row>
    <row r="1161" spans="1:14" ht="30">
      <c r="A1161" s="473" t="s">
        <v>13458</v>
      </c>
      <c r="B1161" s="799">
        <v>39211</v>
      </c>
      <c r="C1161" s="710" t="s">
        <v>6961</v>
      </c>
      <c r="D1161" s="711" t="s">
        <v>6636</v>
      </c>
      <c r="E1161" s="749">
        <v>2</v>
      </c>
      <c r="F1161" s="713">
        <v>0.89</v>
      </c>
      <c r="G1161" s="750">
        <f t="shared" ref="G1161:G1162" si="7">TRUNC(F1161*E1161,2)</f>
        <v>1.78</v>
      </c>
      <c r="H1161" s="464"/>
      <c r="M1161" s="799">
        <v>39211</v>
      </c>
      <c r="N1161" s="749">
        <v>2</v>
      </c>
    </row>
    <row r="1162" spans="1:14" ht="15.75">
      <c r="A1162" s="473" t="s">
        <v>13458</v>
      </c>
      <c r="B1162" s="799">
        <v>39997</v>
      </c>
      <c r="C1162" s="710" t="s">
        <v>10140</v>
      </c>
      <c r="D1162" s="711" t="s">
        <v>6636</v>
      </c>
      <c r="E1162" s="749">
        <v>2</v>
      </c>
      <c r="F1162" s="713">
        <v>0.21</v>
      </c>
      <c r="G1162" s="750">
        <f t="shared" si="7"/>
        <v>0.42</v>
      </c>
      <c r="H1162" s="464"/>
      <c r="M1162" s="799">
        <v>39997</v>
      </c>
      <c r="N1162" s="749">
        <v>2</v>
      </c>
    </row>
    <row r="1163" spans="1:14" ht="15.75">
      <c r="A1163" s="464"/>
      <c r="B1163" s="1314" t="s">
        <v>13469</v>
      </c>
      <c r="C1163" s="1315"/>
      <c r="D1163" s="1315"/>
      <c r="E1163" s="1315"/>
      <c r="F1163" s="1315"/>
      <c r="G1163" s="1316"/>
      <c r="H1163" s="464"/>
    </row>
    <row r="1164" spans="1:14" ht="15.75">
      <c r="A1164" s="473" t="s">
        <v>13459</v>
      </c>
      <c r="B1164" s="751">
        <v>88264</v>
      </c>
      <c r="C1164" s="710" t="s">
        <v>771</v>
      </c>
      <c r="D1164" s="711" t="s">
        <v>753</v>
      </c>
      <c r="E1164" s="752">
        <v>0.24</v>
      </c>
      <c r="F1164" s="713">
        <v>20.52</v>
      </c>
      <c r="G1164" s="750">
        <f>TRUNC(F1164*E1164,2)</f>
        <v>4.92</v>
      </c>
      <c r="H1164" s="464"/>
    </row>
    <row r="1165" spans="1:14" ht="16.5" thickBot="1">
      <c r="A1165" s="473" t="s">
        <v>13459</v>
      </c>
      <c r="B1165" s="753">
        <v>88316</v>
      </c>
      <c r="C1165" s="717" t="s">
        <v>761</v>
      </c>
      <c r="D1165" s="718" t="s">
        <v>753</v>
      </c>
      <c r="E1165" s="754">
        <v>0.24</v>
      </c>
      <c r="F1165" s="720">
        <v>15.91</v>
      </c>
      <c r="G1165" s="755">
        <f>TRUNC(F1165*E1165,2)</f>
        <v>3.81</v>
      </c>
      <c r="H1165" s="464"/>
    </row>
    <row r="1166" spans="1:14" ht="16.5" thickBot="1">
      <c r="A1166" s="464"/>
      <c r="B1166" s="1310" t="s">
        <v>13959</v>
      </c>
      <c r="C1166" s="1310"/>
      <c r="D1166" s="1310"/>
      <c r="E1166" s="1310"/>
      <c r="F1166" s="908" t="s">
        <v>22</v>
      </c>
      <c r="G1166" s="788">
        <f>SUM(G1160:G1165)</f>
        <v>17.47</v>
      </c>
      <c r="H1166" s="464"/>
    </row>
    <row r="1167" spans="1:14">
      <c r="B1167" s="1265"/>
      <c r="C1167" s="1265"/>
      <c r="D1167" s="1265"/>
      <c r="E1167" s="1265"/>
    </row>
    <row r="1169" spans="1:8" ht="16.5" thickBot="1">
      <c r="A1169" s="832"/>
      <c r="B1169" s="1328" t="s">
        <v>13945</v>
      </c>
      <c r="C1169" s="1329"/>
      <c r="D1169" s="909"/>
      <c r="E1169" s="909"/>
      <c r="F1169" s="909"/>
      <c r="G1169" s="910"/>
      <c r="H1169" s="832"/>
    </row>
    <row r="1170" spans="1:8" ht="15.75">
      <c r="A1170" s="835"/>
      <c r="B1170" s="1330" t="s">
        <v>13960</v>
      </c>
      <c r="C1170" s="1331"/>
      <c r="D1170" s="1331"/>
      <c r="E1170" s="1331"/>
      <c r="F1170" s="1331"/>
      <c r="G1170" s="1332"/>
      <c r="H1170" s="835"/>
    </row>
    <row r="1171" spans="1:8" ht="15">
      <c r="A1171" s="835"/>
      <c r="B1171" s="837">
        <v>88264</v>
      </c>
      <c r="C1171" s="710" t="e">
        <v>#N/A</v>
      </c>
      <c r="D1171" s="711" t="s">
        <v>753</v>
      </c>
      <c r="E1171" s="1333">
        <v>0.2</v>
      </c>
      <c r="F1171" s="1334"/>
      <c r="G1171" s="1335"/>
      <c r="H1171" s="835"/>
    </row>
    <row r="1172" spans="1:8" ht="15.75" thickBot="1">
      <c r="A1172" s="835"/>
      <c r="B1172" s="840">
        <v>88247</v>
      </c>
      <c r="C1172" s="710" t="s">
        <v>924</v>
      </c>
      <c r="D1172" s="711" t="s">
        <v>753</v>
      </c>
      <c r="E1172" s="1336">
        <v>0.2</v>
      </c>
      <c r="F1172" s="1337"/>
      <c r="G1172" s="1338"/>
      <c r="H1172" s="835"/>
    </row>
    <row r="1173" spans="1:8" ht="15.75">
      <c r="A1173" s="835"/>
      <c r="B1173" s="1330" t="s">
        <v>13949</v>
      </c>
      <c r="C1173" s="1331"/>
      <c r="D1173" s="1331"/>
      <c r="E1173" s="1339"/>
      <c r="F1173" s="911" t="s">
        <v>13465</v>
      </c>
      <c r="G1173" s="912" t="s">
        <v>13948</v>
      </c>
      <c r="H1173" s="835"/>
    </row>
    <row r="1174" spans="1:8" ht="15">
      <c r="A1174" s="835"/>
      <c r="B1174" s="837">
        <v>88264</v>
      </c>
      <c r="C1174" s="710" t="s">
        <v>771</v>
      </c>
      <c r="D1174" s="711" t="s">
        <v>753</v>
      </c>
      <c r="E1174" s="905">
        <v>0.01</v>
      </c>
      <c r="F1174" s="905">
        <v>2</v>
      </c>
      <c r="G1174" s="906">
        <f>E1174*F1174</f>
        <v>0.02</v>
      </c>
      <c r="H1174" s="835"/>
    </row>
    <row r="1175" spans="1:8" ht="15.75" thickBot="1">
      <c r="A1175" s="835"/>
      <c r="B1175" s="840">
        <v>88247</v>
      </c>
      <c r="C1175" s="717" t="s">
        <v>924</v>
      </c>
      <c r="D1175" s="718" t="s">
        <v>753</v>
      </c>
      <c r="E1175" s="913">
        <v>0.01</v>
      </c>
      <c r="F1175" s="913">
        <v>2</v>
      </c>
      <c r="G1175" s="914">
        <f>E1175*F1175</f>
        <v>0.02</v>
      </c>
      <c r="H1175" s="835"/>
    </row>
    <row r="1176" spans="1:8" ht="15.75">
      <c r="A1176" s="835"/>
      <c r="B1176" s="1340" t="s">
        <v>13950</v>
      </c>
      <c r="C1176" s="1341"/>
      <c r="D1176" s="1341"/>
      <c r="E1176" s="1342"/>
      <c r="F1176" s="911" t="s">
        <v>13465</v>
      </c>
      <c r="G1176" s="912" t="s">
        <v>13948</v>
      </c>
      <c r="H1176" s="835"/>
    </row>
    <row r="1177" spans="1:8" ht="15">
      <c r="A1177" s="835"/>
      <c r="B1177" s="837">
        <v>88264</v>
      </c>
      <c r="C1177" s="710" t="s">
        <v>771</v>
      </c>
      <c r="D1177" s="711" t="s">
        <v>753</v>
      </c>
      <c r="E1177" s="905">
        <v>0.01</v>
      </c>
      <c r="F1177" s="905">
        <v>2</v>
      </c>
      <c r="G1177" s="906">
        <f>E1177*F1177</f>
        <v>0.02</v>
      </c>
      <c r="H1177" s="835"/>
    </row>
    <row r="1178" spans="1:8" ht="15.75" thickBot="1">
      <c r="A1178" s="835"/>
      <c r="B1178" s="840">
        <v>88247</v>
      </c>
      <c r="C1178" s="717" t="s">
        <v>924</v>
      </c>
      <c r="D1178" s="718" t="s">
        <v>753</v>
      </c>
      <c r="E1178" s="913">
        <v>0.01</v>
      </c>
      <c r="F1178" s="913">
        <v>2</v>
      </c>
      <c r="G1178" s="914">
        <f>E1178*F1178</f>
        <v>0.02</v>
      </c>
      <c r="H1178" s="835"/>
    </row>
    <row r="1179" spans="1:8" ht="15.75">
      <c r="A1179" s="835"/>
      <c r="B1179" s="1330" t="s">
        <v>13951</v>
      </c>
      <c r="C1179" s="1331"/>
      <c r="D1179" s="1331"/>
      <c r="E1179" s="1331"/>
      <c r="F1179" s="1331"/>
      <c r="G1179" s="1332"/>
      <c r="H1179" s="835"/>
    </row>
    <row r="1180" spans="1:8" ht="15">
      <c r="A1180" s="835"/>
      <c r="B1180" s="837">
        <v>88264</v>
      </c>
      <c r="C1180" s="710" t="s">
        <v>771</v>
      </c>
      <c r="D1180" s="711" t="s">
        <v>753</v>
      </c>
      <c r="E1180" s="1333">
        <f>E1171+G1174+G1177</f>
        <v>0.24</v>
      </c>
      <c r="F1180" s="1334"/>
      <c r="G1180" s="1335"/>
      <c r="H1180" s="835"/>
    </row>
    <row r="1181" spans="1:8" ht="15.75" thickBot="1">
      <c r="A1181" s="835"/>
      <c r="B1181" s="840">
        <v>88247</v>
      </c>
      <c r="C1181" s="717" t="s">
        <v>924</v>
      </c>
      <c r="D1181" s="718" t="s">
        <v>753</v>
      </c>
      <c r="E1181" s="1336">
        <f>E1172+G1175+G1178</f>
        <v>0.24</v>
      </c>
      <c r="F1181" s="1337"/>
      <c r="G1181" s="1338"/>
      <c r="H1181" s="835"/>
    </row>
    <row r="1182" spans="1:8" ht="15.75" thickBot="1">
      <c r="A1182" s="464"/>
      <c r="B1182" s="850"/>
      <c r="C1182" s="464"/>
      <c r="D1182" s="464"/>
      <c r="E1182" s="464"/>
      <c r="F1182" s="464"/>
      <c r="G1182" s="765"/>
      <c r="H1182" s="464"/>
    </row>
    <row r="1183" spans="1:8" ht="35.25">
      <c r="B1183" s="572"/>
      <c r="C1183" s="574" t="s">
        <v>13961</v>
      </c>
      <c r="D1183" s="574"/>
      <c r="E1183" s="575"/>
      <c r="F1183" s="608"/>
      <c r="G1183" s="891" t="s">
        <v>28</v>
      </c>
      <c r="H1183" s="915" t="s">
        <v>13934</v>
      </c>
    </row>
    <row r="1184" spans="1:8" ht="31.5">
      <c r="B1184" s="867" t="s">
        <v>13502</v>
      </c>
      <c r="C1184" s="707" t="s">
        <v>13503</v>
      </c>
      <c r="D1184" s="293" t="s">
        <v>13504</v>
      </c>
      <c r="E1184" s="868"/>
      <c r="F1184" s="869"/>
      <c r="G1184" s="299"/>
    </row>
    <row r="1185" spans="1:8" ht="15">
      <c r="B1185" s="611">
        <v>43245</v>
      </c>
      <c r="C1185" s="592" t="s">
        <v>13936</v>
      </c>
      <c r="D1185" s="617">
        <v>5.52</v>
      </c>
      <c r="E1185" s="901" t="s">
        <v>13937</v>
      </c>
      <c r="F1185" s="814" t="s">
        <v>13938</v>
      </c>
      <c r="G1185" s="618" t="s">
        <v>13939</v>
      </c>
    </row>
    <row r="1186" spans="1:8" ht="15">
      <c r="B1186" s="611">
        <v>43256</v>
      </c>
      <c r="C1186" s="648" t="s">
        <v>13925</v>
      </c>
      <c r="D1186" s="593">
        <v>6.54</v>
      </c>
      <c r="E1186" s="631" t="s">
        <v>13962</v>
      </c>
      <c r="F1186" s="595" t="s">
        <v>13774</v>
      </c>
      <c r="G1186" s="790" t="s">
        <v>13963</v>
      </c>
    </row>
    <row r="1187" spans="1:8" ht="15">
      <c r="B1187" s="611">
        <v>43256</v>
      </c>
      <c r="C1187" s="630" t="s">
        <v>13964</v>
      </c>
      <c r="D1187" s="593">
        <v>11.97</v>
      </c>
      <c r="E1187" s="789" t="s">
        <v>13965</v>
      </c>
      <c r="F1187" s="876" t="s">
        <v>13966</v>
      </c>
      <c r="G1187" s="790" t="s">
        <v>13967</v>
      </c>
    </row>
    <row r="1188" spans="1:8" ht="16.5" thickBot="1">
      <c r="B1188" s="598"/>
      <c r="C1188" s="599" t="s">
        <v>13523</v>
      </c>
      <c r="D1188" s="538">
        <f>MEDIAN(D1185:D1187)</f>
        <v>6.54</v>
      </c>
      <c r="E1188" s="600"/>
      <c r="F1188" s="620"/>
      <c r="G1188" s="602"/>
    </row>
    <row r="1189" spans="1:8" ht="27.75" customHeight="1">
      <c r="A1189" s="464"/>
      <c r="B1189" s="704" t="str">
        <f>IF(COUNT($H$8:H1189)&lt;10,CONCATENATE("COMP ELE 00",COUNT($H$8:H1189)),CONCATENATE("COMP ELE 0",COUNT($H$8:H1189)))</f>
        <v>COMP ELE 092</v>
      </c>
      <c r="C1189" s="1257" t="str">
        <f>CONCATENATE("FORNECIMENTO E INSTALAÇÃO DE ",C1192)</f>
        <v>FORNECIMENTO E INSTALAÇÃO DE ELETROCALHA PERFURADA GALVANIZADA DE 100 X 50 X 3000mm</v>
      </c>
      <c r="D1189" s="1225"/>
      <c r="E1189" s="1225"/>
      <c r="F1189" s="1225"/>
      <c r="G1189" s="705" t="s">
        <v>28</v>
      </c>
      <c r="H1189" s="570">
        <f>G1196</f>
        <v>73.710000000000008</v>
      </c>
    </row>
    <row r="1190" spans="1:8" ht="31.5">
      <c r="A1190" s="464"/>
      <c r="B1190" s="469" t="s">
        <v>13463</v>
      </c>
      <c r="C1190" s="707" t="s">
        <v>13464</v>
      </c>
      <c r="D1190" s="470" t="s">
        <v>28</v>
      </c>
      <c r="E1190" s="707" t="s">
        <v>13465</v>
      </c>
      <c r="F1190" s="293" t="s">
        <v>13466</v>
      </c>
      <c r="G1190" s="708" t="s">
        <v>13467</v>
      </c>
      <c r="H1190" s="464"/>
    </row>
    <row r="1191" spans="1:8" ht="15.75">
      <c r="A1191" s="464"/>
      <c r="B1191" s="1283" t="s">
        <v>13468</v>
      </c>
      <c r="C1191" s="1284"/>
      <c r="D1191" s="1284"/>
      <c r="E1191" s="1284"/>
      <c r="F1191" s="1284"/>
      <c r="G1191" s="1285"/>
      <c r="H1191" s="464"/>
    </row>
    <row r="1192" spans="1:8" ht="30">
      <c r="A1192" s="464"/>
      <c r="B1192" s="862" t="s">
        <v>13497</v>
      </c>
      <c r="C1192" s="863" t="str">
        <f>C1202</f>
        <v>ELETROCALHA PERFURADA GALVANIZADA DE 100 X 50 X 3000mm</v>
      </c>
      <c r="D1192" s="872" t="str">
        <f>G1202</f>
        <v>UN</v>
      </c>
      <c r="E1192" s="815">
        <v>1</v>
      </c>
      <c r="F1192" s="815">
        <f>D1207</f>
        <v>30</v>
      </c>
      <c r="G1192" s="845">
        <f>TRUNC(F1192*E1192,2)</f>
        <v>30</v>
      </c>
      <c r="H1192" s="464"/>
    </row>
    <row r="1193" spans="1:8" ht="15.75">
      <c r="A1193" s="464"/>
      <c r="B1193" s="1283" t="s">
        <v>13469</v>
      </c>
      <c r="C1193" s="1284"/>
      <c r="D1193" s="1284"/>
      <c r="E1193" s="1284"/>
      <c r="F1193" s="1284"/>
      <c r="G1193" s="1285"/>
      <c r="H1193" s="464"/>
    </row>
    <row r="1194" spans="1:8" ht="15.75">
      <c r="A1194" s="473" t="s">
        <v>13459</v>
      </c>
      <c r="B1194" s="751">
        <v>88264</v>
      </c>
      <c r="C1194" s="710" t="s">
        <v>771</v>
      </c>
      <c r="D1194" s="711" t="s">
        <v>753</v>
      </c>
      <c r="E1194" s="752">
        <v>1.2</v>
      </c>
      <c r="F1194" s="713">
        <v>20.52</v>
      </c>
      <c r="G1194" s="750">
        <f>TRUNC(F1194*E1194,2)</f>
        <v>24.62</v>
      </c>
      <c r="H1194" s="464"/>
    </row>
    <row r="1195" spans="1:8" ht="16.5" thickBot="1">
      <c r="A1195" s="473" t="s">
        <v>13459</v>
      </c>
      <c r="B1195" s="753">
        <v>88316</v>
      </c>
      <c r="C1195" s="717" t="s">
        <v>761</v>
      </c>
      <c r="D1195" s="718" t="s">
        <v>753</v>
      </c>
      <c r="E1195" s="754">
        <v>1.2</v>
      </c>
      <c r="F1195" s="720">
        <v>15.91</v>
      </c>
      <c r="G1195" s="755">
        <f>TRUNC(F1195*E1195,2)</f>
        <v>19.09</v>
      </c>
      <c r="H1195" s="464"/>
    </row>
    <row r="1196" spans="1:8" ht="16.5" thickBot="1">
      <c r="A1196" s="464"/>
      <c r="B1196" s="1264" t="s">
        <v>13968</v>
      </c>
      <c r="C1196" s="1265"/>
      <c r="D1196" s="1265"/>
      <c r="E1196" s="1265"/>
      <c r="F1196" s="756" t="s">
        <v>22</v>
      </c>
      <c r="G1196" s="757">
        <f>SUM(G1191:G1195)</f>
        <v>73.710000000000008</v>
      </c>
      <c r="H1196" s="464"/>
    </row>
    <row r="1197" spans="1:8" ht="15.75" thickBot="1">
      <c r="A1197" s="464"/>
      <c r="B1197" s="1264"/>
      <c r="C1197" s="1265"/>
      <c r="D1197" s="1265"/>
      <c r="E1197" s="1265"/>
      <c r="F1197" s="464"/>
      <c r="G1197" s="765"/>
      <c r="H1197" s="464"/>
    </row>
    <row r="1198" spans="1:8" ht="15.75">
      <c r="A1198" s="835"/>
      <c r="B1198" s="1277" t="s">
        <v>13969</v>
      </c>
      <c r="C1198" s="1278"/>
      <c r="D1198" s="1278"/>
      <c r="E1198" s="1278"/>
      <c r="F1198" s="911" t="s">
        <v>13465</v>
      </c>
      <c r="G1198" s="912" t="s">
        <v>13738</v>
      </c>
      <c r="H1198" s="835"/>
    </row>
    <row r="1199" spans="1:8" ht="15">
      <c r="A1199" s="835"/>
      <c r="B1199" s="837">
        <v>88264</v>
      </c>
      <c r="C1199" s="710" t="s">
        <v>771</v>
      </c>
      <c r="D1199" s="711" t="s">
        <v>753</v>
      </c>
      <c r="E1199" s="905">
        <v>0.4</v>
      </c>
      <c r="F1199" s="905">
        <v>3</v>
      </c>
      <c r="G1199" s="906">
        <f>E1199*F1199</f>
        <v>1.2000000000000002</v>
      </c>
      <c r="H1199" s="835"/>
    </row>
    <row r="1200" spans="1:8" ht="15.75" thickBot="1">
      <c r="A1200" s="835"/>
      <c r="B1200" s="840">
        <v>88247</v>
      </c>
      <c r="C1200" s="717" t="s">
        <v>924</v>
      </c>
      <c r="D1200" s="718" t="s">
        <v>753</v>
      </c>
      <c r="E1200" s="913">
        <v>0.4</v>
      </c>
      <c r="F1200" s="913">
        <v>3</v>
      </c>
      <c r="G1200" s="914">
        <f>E1200*F1200</f>
        <v>1.2000000000000002</v>
      </c>
      <c r="H1200" s="835"/>
    </row>
    <row r="1201" spans="1:8" ht="15.75" thickBot="1">
      <c r="A1201" s="464"/>
      <c r="B1201" s="850"/>
      <c r="C1201" s="464"/>
      <c r="D1201" s="464"/>
      <c r="E1201" s="464"/>
      <c r="F1201" s="464"/>
      <c r="G1201" s="765"/>
      <c r="H1201" s="464"/>
    </row>
    <row r="1202" spans="1:8" ht="31.5">
      <c r="A1202" s="489"/>
      <c r="B1202" s="572"/>
      <c r="C1202" s="574" t="s">
        <v>13970</v>
      </c>
      <c r="D1202" s="574"/>
      <c r="E1202" s="575"/>
      <c r="F1202" s="608"/>
      <c r="G1202" s="891" t="s">
        <v>28</v>
      </c>
      <c r="H1202" s="916" t="s">
        <v>13934</v>
      </c>
    </row>
    <row r="1203" spans="1:8" ht="31.5">
      <c r="A1203" s="489"/>
      <c r="B1203" s="867" t="s">
        <v>13502</v>
      </c>
      <c r="C1203" s="707" t="s">
        <v>13503</v>
      </c>
      <c r="D1203" s="293" t="s">
        <v>13504</v>
      </c>
      <c r="E1203" s="581" t="s">
        <v>13505</v>
      </c>
      <c r="F1203" s="610" t="s">
        <v>13506</v>
      </c>
      <c r="G1203" s="583" t="s">
        <v>13507</v>
      </c>
      <c r="H1203" s="489"/>
    </row>
    <row r="1204" spans="1:8" ht="15">
      <c r="A1204" s="489"/>
      <c r="B1204" s="648">
        <v>43566</v>
      </c>
      <c r="C1204" s="612" t="s">
        <v>13930</v>
      </c>
      <c r="D1204" s="894">
        <v>30</v>
      </c>
      <c r="E1204" s="652" t="s">
        <v>13831</v>
      </c>
      <c r="F1204" s="814" t="s">
        <v>13931</v>
      </c>
      <c r="G1204" s="878" t="s">
        <v>13833</v>
      </c>
      <c r="H1204"/>
    </row>
    <row r="1205" spans="1:8" ht="15">
      <c r="A1205" s="489"/>
      <c r="B1205" s="902">
        <v>43567</v>
      </c>
      <c r="C1205" s="630" t="s">
        <v>13763</v>
      </c>
      <c r="D1205" s="617">
        <v>28.4</v>
      </c>
      <c r="E1205" s="789" t="s">
        <v>13764</v>
      </c>
      <c r="F1205" s="595" t="s">
        <v>13765</v>
      </c>
      <c r="G1205" s="878" t="s">
        <v>13943</v>
      </c>
      <c r="H1205"/>
    </row>
    <row r="1206" spans="1:8" ht="15">
      <c r="A1206" s="489"/>
      <c r="B1206" s="648">
        <v>43567</v>
      </c>
      <c r="C1206" s="612" t="s">
        <v>13956</v>
      </c>
      <c r="D1206" s="907">
        <v>48.91</v>
      </c>
      <c r="E1206" s="294" t="s">
        <v>13957</v>
      </c>
      <c r="F1206" s="615" t="s">
        <v>13852</v>
      </c>
      <c r="G1206" s="900" t="s">
        <v>13958</v>
      </c>
      <c r="H1206"/>
    </row>
    <row r="1207" spans="1:8" ht="16.5" thickBot="1">
      <c r="A1207" s="489"/>
      <c r="B1207" s="598"/>
      <c r="C1207" s="599"/>
      <c r="D1207" s="538">
        <f>IF(COUNT(D1203:D1206)=3,MEDIAN(D1203:D1206),SMALL(D1204:D1206,1))</f>
        <v>30</v>
      </c>
      <c r="E1207" s="600"/>
      <c r="F1207" s="620"/>
      <c r="G1207" s="602"/>
      <c r="H1207" s="489"/>
    </row>
    <row r="1208" spans="1:8" ht="39" customHeight="1">
      <c r="A1208" s="464"/>
      <c r="B1208" s="704" t="str">
        <f>IF(COUNT($H$8:H1208)&lt;10,CONCATENATE("COMP ELE 00",COUNT($H$8:H1208)),CONCATENATE("COMP ELE 0",COUNT($H$8:H1208)))</f>
        <v>COMP ELE 093</v>
      </c>
      <c r="C1208" s="1257" t="str">
        <f>CONCATENATE("FORNECIMENTO E INSTALAÇÃO DE ",C1211)</f>
        <v>FORNECIMENTO E INSTALAÇÃO DE EMENDA INTERNA PARA ELETROCLHA PERFURADA GALVANIZADA DE 100 X 50 X 3000mm</v>
      </c>
      <c r="D1208" s="1225"/>
      <c r="E1208" s="1225"/>
      <c r="F1208" s="1225"/>
      <c r="G1208" s="705" t="s">
        <v>28</v>
      </c>
      <c r="H1208" s="570">
        <f>G1218</f>
        <v>19.37</v>
      </c>
    </row>
    <row r="1209" spans="1:8" ht="31.5">
      <c r="A1209" s="464"/>
      <c r="B1209" s="469" t="s">
        <v>13463</v>
      </c>
      <c r="C1209" s="707" t="s">
        <v>13464</v>
      </c>
      <c r="D1209" s="470" t="s">
        <v>28</v>
      </c>
      <c r="E1209" s="707" t="s">
        <v>13465</v>
      </c>
      <c r="F1209" s="293" t="s">
        <v>13466</v>
      </c>
      <c r="G1209" s="708" t="s">
        <v>13467</v>
      </c>
      <c r="H1209" s="464"/>
    </row>
    <row r="1210" spans="1:8" ht="15.75">
      <c r="A1210" s="464"/>
      <c r="B1210" s="1283" t="s">
        <v>13468</v>
      </c>
      <c r="C1210" s="1284"/>
      <c r="D1210" s="1284"/>
      <c r="E1210" s="1284"/>
      <c r="F1210" s="1284"/>
      <c r="G1210" s="1285"/>
      <c r="H1210" s="464"/>
    </row>
    <row r="1211" spans="1:8" ht="30">
      <c r="A1211" s="464"/>
      <c r="B1211" s="862" t="s">
        <v>13497</v>
      </c>
      <c r="C1211" s="863" t="str">
        <f>C1238</f>
        <v>EMENDA INTERNA PARA ELETROCLHA PERFURADA GALVANIZADA DE 100 X 50 X 3000mm</v>
      </c>
      <c r="D1211" s="872" t="str">
        <f>G1238</f>
        <v>UN</v>
      </c>
      <c r="E1211" s="815">
        <v>1</v>
      </c>
      <c r="F1211" s="815">
        <f>D1243</f>
        <v>2.72</v>
      </c>
      <c r="G1211" s="845">
        <f>TRUNC(F1211*E1211,2)</f>
        <v>2.72</v>
      </c>
      <c r="H1211" s="464"/>
    </row>
    <row r="1212" spans="1:8" ht="30">
      <c r="A1212" s="473" t="s">
        <v>13458</v>
      </c>
      <c r="B1212" s="799">
        <v>11962</v>
      </c>
      <c r="C1212" s="710" t="s">
        <v>957</v>
      </c>
      <c r="D1212" s="711" t="s">
        <v>6636</v>
      </c>
      <c r="E1212" s="749">
        <v>4</v>
      </c>
      <c r="F1212" s="713">
        <v>0.15</v>
      </c>
      <c r="G1212" s="750">
        <f t="shared" ref="G1212:G1214" si="8">TRUNC(F1212*E1212,2)</f>
        <v>0.6</v>
      </c>
      <c r="H1212" s="464"/>
    </row>
    <row r="1213" spans="1:8" ht="30">
      <c r="A1213" s="473" t="s">
        <v>13458</v>
      </c>
      <c r="B1213" s="799">
        <v>39211</v>
      </c>
      <c r="C1213" s="710" t="s">
        <v>6961</v>
      </c>
      <c r="D1213" s="711" t="s">
        <v>6636</v>
      </c>
      <c r="E1213" s="749">
        <v>4</v>
      </c>
      <c r="F1213" s="713">
        <v>0.89</v>
      </c>
      <c r="G1213" s="750">
        <f t="shared" si="8"/>
        <v>3.56</v>
      </c>
      <c r="H1213" s="464"/>
    </row>
    <row r="1214" spans="1:8" ht="15.75">
      <c r="A1214" s="473" t="s">
        <v>13458</v>
      </c>
      <c r="B1214" s="799">
        <v>39997</v>
      </c>
      <c r="C1214" s="710" t="s">
        <v>10140</v>
      </c>
      <c r="D1214" s="711" t="s">
        <v>6636</v>
      </c>
      <c r="E1214" s="749">
        <v>4</v>
      </c>
      <c r="F1214" s="713">
        <v>0.21</v>
      </c>
      <c r="G1214" s="750">
        <f t="shared" si="8"/>
        <v>0.84</v>
      </c>
      <c r="H1214" s="464"/>
    </row>
    <row r="1215" spans="1:8" ht="15.75">
      <c r="A1215" s="464"/>
      <c r="B1215" s="1283" t="s">
        <v>13469</v>
      </c>
      <c r="C1215" s="1284"/>
      <c r="D1215" s="1284"/>
      <c r="E1215" s="1284"/>
      <c r="F1215" s="1284"/>
      <c r="G1215" s="1285"/>
      <c r="H1215" s="464"/>
    </row>
    <row r="1216" spans="1:8" ht="15.75">
      <c r="A1216" s="473" t="s">
        <v>13459</v>
      </c>
      <c r="B1216" s="751">
        <v>88264</v>
      </c>
      <c r="C1216" s="710" t="s">
        <v>771</v>
      </c>
      <c r="D1216" s="711" t="s">
        <v>753</v>
      </c>
      <c r="E1216" s="752">
        <v>0.32</v>
      </c>
      <c r="F1216" s="713">
        <v>20.52</v>
      </c>
      <c r="G1216" s="750">
        <f>TRUNC(F1216*E1216,2)</f>
        <v>6.56</v>
      </c>
      <c r="H1216" s="464"/>
    </row>
    <row r="1217" spans="1:8" ht="16.5" thickBot="1">
      <c r="A1217" s="473" t="s">
        <v>13459</v>
      </c>
      <c r="B1217" s="753">
        <v>88316</v>
      </c>
      <c r="C1217" s="717" t="s">
        <v>761</v>
      </c>
      <c r="D1217" s="718" t="s">
        <v>753</v>
      </c>
      <c r="E1217" s="754">
        <v>0.32</v>
      </c>
      <c r="F1217" s="720">
        <v>15.91</v>
      </c>
      <c r="G1217" s="755">
        <f>TRUNC(F1217*E1217,2)</f>
        <v>5.09</v>
      </c>
      <c r="H1217" s="464"/>
    </row>
    <row r="1218" spans="1:8" ht="16.5" thickBot="1">
      <c r="A1218" s="464"/>
      <c r="B1218" s="1265" t="s">
        <v>13971</v>
      </c>
      <c r="C1218" s="1265"/>
      <c r="D1218" s="1265"/>
      <c r="E1218" s="1265"/>
      <c r="F1218" s="756" t="s">
        <v>22</v>
      </c>
      <c r="G1218" s="757">
        <f>SUM(G1210:G1217)</f>
        <v>19.37</v>
      </c>
      <c r="H1218" s="464"/>
    </row>
    <row r="1219" spans="1:8" ht="15">
      <c r="A1219" s="464"/>
      <c r="B1219" s="1265"/>
      <c r="C1219" s="1265"/>
      <c r="D1219" s="1265"/>
      <c r="E1219" s="1265"/>
      <c r="F1219" s="465"/>
      <c r="G1219" s="465"/>
      <c r="H1219" s="464"/>
    </row>
    <row r="1220" spans="1:8" ht="15">
      <c r="A1220" s="464"/>
      <c r="B1220" s="465"/>
      <c r="C1220" s="465"/>
      <c r="D1220" s="465"/>
      <c r="E1220" s="465"/>
      <c r="F1220" s="465"/>
      <c r="G1220" s="465"/>
      <c r="H1220" s="464"/>
    </row>
    <row r="1221" spans="1:8" ht="16.5" thickBot="1">
      <c r="A1221" s="832"/>
      <c r="B1221" s="1275" t="s">
        <v>13945</v>
      </c>
      <c r="C1221" s="1276"/>
      <c r="D1221" s="833"/>
      <c r="E1221" s="833"/>
      <c r="F1221" s="833"/>
      <c r="G1221" s="834"/>
      <c r="H1221" s="832"/>
    </row>
    <row r="1222" spans="1:8" ht="15.75">
      <c r="A1222" s="835"/>
      <c r="B1222" s="1277" t="s">
        <v>13972</v>
      </c>
      <c r="C1222" s="1278"/>
      <c r="D1222" s="1278"/>
      <c r="E1222" s="1278"/>
      <c r="F1222" s="1278"/>
      <c r="G1222" s="1279"/>
      <c r="H1222" s="835"/>
    </row>
    <row r="1223" spans="1:8" ht="15">
      <c r="A1223" s="835"/>
      <c r="B1223" s="837">
        <v>88264</v>
      </c>
      <c r="C1223" s="710" t="s">
        <v>771</v>
      </c>
      <c r="D1223" s="711" t="s">
        <v>753</v>
      </c>
      <c r="E1223" s="1321">
        <v>0.2</v>
      </c>
      <c r="F1223" s="1321"/>
      <c r="G1223" s="1322"/>
      <c r="H1223" s="835"/>
    </row>
    <row r="1224" spans="1:8" ht="15">
      <c r="A1224" s="835"/>
      <c r="B1224" s="837">
        <v>88247</v>
      </c>
      <c r="C1224" s="710" t="s">
        <v>924</v>
      </c>
      <c r="D1224" s="711" t="s">
        <v>753</v>
      </c>
      <c r="E1224" s="1321">
        <v>0.2</v>
      </c>
      <c r="F1224" s="1321"/>
      <c r="G1224" s="1322"/>
      <c r="H1224" s="835"/>
    </row>
    <row r="1225" spans="1:8" ht="15.75">
      <c r="A1225" s="835"/>
      <c r="B1225" s="1280" t="s">
        <v>13947</v>
      </c>
      <c r="C1225" s="1281"/>
      <c r="D1225" s="1281"/>
      <c r="E1225" s="1281"/>
      <c r="F1225" s="903" t="s">
        <v>13465</v>
      </c>
      <c r="G1225" s="904" t="s">
        <v>13948</v>
      </c>
      <c r="H1225" s="835"/>
    </row>
    <row r="1226" spans="1:8" ht="15">
      <c r="A1226" s="835"/>
      <c r="B1226" s="837">
        <v>88264</v>
      </c>
      <c r="C1226" s="710" t="s">
        <v>771</v>
      </c>
      <c r="D1226" s="711" t="s">
        <v>753</v>
      </c>
      <c r="E1226" s="905">
        <v>0.01</v>
      </c>
      <c r="F1226" s="905">
        <v>4</v>
      </c>
      <c r="G1226" s="906">
        <f>E1226*F1226</f>
        <v>0.04</v>
      </c>
      <c r="H1226" s="835"/>
    </row>
    <row r="1227" spans="1:8" ht="15">
      <c r="A1227" s="835"/>
      <c r="B1227" s="837">
        <v>88247</v>
      </c>
      <c r="C1227" s="710" t="s">
        <v>924</v>
      </c>
      <c r="D1227" s="711" t="s">
        <v>753</v>
      </c>
      <c r="E1227" s="905">
        <v>0.01</v>
      </c>
      <c r="F1227" s="905">
        <v>4</v>
      </c>
      <c r="G1227" s="906">
        <f>E1227*F1227</f>
        <v>0.04</v>
      </c>
      <c r="H1227" s="835"/>
    </row>
    <row r="1228" spans="1:8" ht="15.75">
      <c r="A1228" s="835"/>
      <c r="B1228" s="1280" t="s">
        <v>13949</v>
      </c>
      <c r="C1228" s="1281"/>
      <c r="D1228" s="1281"/>
      <c r="E1228" s="1281"/>
      <c r="F1228" s="903" t="s">
        <v>13465</v>
      </c>
      <c r="G1228" s="904" t="s">
        <v>13948</v>
      </c>
      <c r="H1228" s="835"/>
    </row>
    <row r="1229" spans="1:8" ht="15">
      <c r="A1229" s="835"/>
      <c r="B1229" s="837">
        <v>88264</v>
      </c>
      <c r="C1229" s="710" t="s">
        <v>771</v>
      </c>
      <c r="D1229" s="711" t="s">
        <v>753</v>
      </c>
      <c r="E1229" s="905">
        <v>0.01</v>
      </c>
      <c r="F1229" s="905">
        <v>4</v>
      </c>
      <c r="G1229" s="906">
        <f>E1229*F1229</f>
        <v>0.04</v>
      </c>
      <c r="H1229" s="835"/>
    </row>
    <row r="1230" spans="1:8" ht="15">
      <c r="A1230" s="835"/>
      <c r="B1230" s="837">
        <v>88247</v>
      </c>
      <c r="C1230" s="710" t="s">
        <v>924</v>
      </c>
      <c r="D1230" s="711" t="s">
        <v>753</v>
      </c>
      <c r="E1230" s="905">
        <v>0.01</v>
      </c>
      <c r="F1230" s="905">
        <v>4</v>
      </c>
      <c r="G1230" s="906">
        <f>E1230*F1230</f>
        <v>0.04</v>
      </c>
      <c r="H1230" s="835"/>
    </row>
    <row r="1231" spans="1:8" ht="15.75">
      <c r="A1231" s="835"/>
      <c r="B1231" s="1280" t="s">
        <v>13950</v>
      </c>
      <c r="C1231" s="1281"/>
      <c r="D1231" s="1281"/>
      <c r="E1231" s="1281"/>
      <c r="F1231" s="903" t="s">
        <v>13465</v>
      </c>
      <c r="G1231" s="904" t="s">
        <v>13948</v>
      </c>
      <c r="H1231" s="835"/>
    </row>
    <row r="1232" spans="1:8" ht="15">
      <c r="A1232" s="835"/>
      <c r="B1232" s="837">
        <v>88264</v>
      </c>
      <c r="C1232" s="710" t="s">
        <v>771</v>
      </c>
      <c r="D1232" s="711" t="s">
        <v>753</v>
      </c>
      <c r="E1232" s="905">
        <v>0.01</v>
      </c>
      <c r="F1232" s="905">
        <v>4</v>
      </c>
      <c r="G1232" s="906">
        <f>E1232*F1232</f>
        <v>0.04</v>
      </c>
      <c r="H1232" s="835"/>
    </row>
    <row r="1233" spans="1:15" ht="15">
      <c r="A1233" s="835"/>
      <c r="B1233" s="837">
        <v>88247</v>
      </c>
      <c r="C1233" s="710" t="s">
        <v>924</v>
      </c>
      <c r="D1233" s="711" t="s">
        <v>753</v>
      </c>
      <c r="E1233" s="905">
        <v>0.01</v>
      </c>
      <c r="F1233" s="905">
        <v>4</v>
      </c>
      <c r="G1233" s="906">
        <f>E1233*F1233</f>
        <v>0.04</v>
      </c>
      <c r="H1233" s="835"/>
    </row>
    <row r="1234" spans="1:15" ht="15.75">
      <c r="A1234" s="835"/>
      <c r="B1234" s="1280" t="s">
        <v>13951</v>
      </c>
      <c r="C1234" s="1281"/>
      <c r="D1234" s="1281"/>
      <c r="E1234" s="1281"/>
      <c r="F1234" s="1281"/>
      <c r="G1234" s="1282"/>
      <c r="H1234" s="835"/>
    </row>
    <row r="1235" spans="1:15" ht="15">
      <c r="A1235" s="835"/>
      <c r="B1235" s="837">
        <v>88264</v>
      </c>
      <c r="C1235" s="710" t="s">
        <v>771</v>
      </c>
      <c r="D1235" s="711" t="s">
        <v>753</v>
      </c>
      <c r="E1235" s="1321">
        <f>E1223+G1226+G1229+G1232</f>
        <v>0.32</v>
      </c>
      <c r="F1235" s="1323"/>
      <c r="G1235" s="1324"/>
      <c r="H1235" s="835"/>
    </row>
    <row r="1236" spans="1:15" ht="15.75" thickBot="1">
      <c r="A1236" s="835"/>
      <c r="B1236" s="840">
        <v>88247</v>
      </c>
      <c r="C1236" s="717" t="s">
        <v>924</v>
      </c>
      <c r="D1236" s="718" t="s">
        <v>753</v>
      </c>
      <c r="E1236" s="1325">
        <f>E1224+G1227+G1230+G1233</f>
        <v>0.32</v>
      </c>
      <c r="F1236" s="1326"/>
      <c r="G1236" s="1327"/>
      <c r="H1236" s="835"/>
    </row>
    <row r="1237" spans="1:15" ht="15.75" thickBot="1">
      <c r="A1237" s="464"/>
      <c r="B1237" s="850"/>
      <c r="C1237" s="464"/>
      <c r="D1237" s="464"/>
      <c r="E1237" s="464"/>
      <c r="F1237" s="464"/>
      <c r="G1237" s="765"/>
      <c r="H1237" s="464"/>
    </row>
    <row r="1238" spans="1:15" ht="31.5">
      <c r="A1238" s="489"/>
      <c r="B1238" s="572"/>
      <c r="C1238" s="574" t="s">
        <v>13973</v>
      </c>
      <c r="D1238" s="574"/>
      <c r="E1238" s="575"/>
      <c r="F1238" s="608"/>
      <c r="G1238" s="891" t="s">
        <v>28</v>
      </c>
      <c r="H1238" s="916" t="s">
        <v>13934</v>
      </c>
    </row>
    <row r="1239" spans="1:15" ht="31.5">
      <c r="A1239" s="489"/>
      <c r="B1239" s="578" t="s">
        <v>13502</v>
      </c>
      <c r="C1239" s="579" t="s">
        <v>13503</v>
      </c>
      <c r="D1239" s="580" t="s">
        <v>13504</v>
      </c>
      <c r="E1239" s="581" t="s">
        <v>13505</v>
      </c>
      <c r="F1239" s="610" t="s">
        <v>13506</v>
      </c>
      <c r="G1239" s="583" t="s">
        <v>13507</v>
      </c>
      <c r="H1239" s="489"/>
    </row>
    <row r="1240" spans="1:15" ht="15">
      <c r="A1240" s="489"/>
      <c r="B1240" s="648">
        <v>43566</v>
      </c>
      <c r="C1240" s="612" t="s">
        <v>13930</v>
      </c>
      <c r="D1240" s="894">
        <v>2.25</v>
      </c>
      <c r="E1240" s="652" t="s">
        <v>13831</v>
      </c>
      <c r="F1240" s="814" t="s">
        <v>13931</v>
      </c>
      <c r="G1240" s="878" t="s">
        <v>13833</v>
      </c>
      <c r="H1240"/>
    </row>
    <row r="1241" spans="1:15" ht="15">
      <c r="A1241" s="489"/>
      <c r="B1241" s="902">
        <v>43567</v>
      </c>
      <c r="C1241" s="630" t="s">
        <v>13763</v>
      </c>
      <c r="D1241" s="617">
        <v>2.72</v>
      </c>
      <c r="E1241" s="789" t="s">
        <v>13764</v>
      </c>
      <c r="F1241" s="595" t="s">
        <v>13765</v>
      </c>
      <c r="G1241" s="878" t="s">
        <v>13943</v>
      </c>
      <c r="H1241"/>
    </row>
    <row r="1242" spans="1:15" ht="15">
      <c r="A1242" s="489"/>
      <c r="B1242" s="648">
        <v>43572</v>
      </c>
      <c r="C1242" s="592" t="s">
        <v>13974</v>
      </c>
      <c r="D1242" s="617">
        <v>4</v>
      </c>
      <c r="E1242" s="652" t="s">
        <v>13975</v>
      </c>
      <c r="F1242" s="814" t="s">
        <v>13976</v>
      </c>
      <c r="G1242" s="878" t="s">
        <v>13977</v>
      </c>
      <c r="H1242"/>
    </row>
    <row r="1243" spans="1:15" ht="16.5" thickBot="1">
      <c r="A1243" s="489"/>
      <c r="B1243" s="598"/>
      <c r="C1243" s="599" t="s">
        <v>13523</v>
      </c>
      <c r="D1243" s="538">
        <f>IF(COUNT(D1239:D1242)=3,MEDIAN(D1239:D1242),SMALL(D1240:D1242,1))</f>
        <v>2.72</v>
      </c>
      <c r="E1243" s="600"/>
      <c r="F1243" s="620"/>
      <c r="G1243" s="602"/>
      <c r="H1243" s="489"/>
    </row>
    <row r="1244" spans="1:15" ht="35.25" hidden="1" customHeight="1">
      <c r="A1244" s="464"/>
      <c r="B1244" s="704" t="str">
        <f>IF(COUNT($H$8:H1244)&lt;10,CONCATENATE("COMP ELE 00",COUNT($H$8:H1244)),CONCATENATE("COMP ELE 0",COUNT($H$8:H1244)))</f>
        <v>COMP ELE 094</v>
      </c>
      <c r="C1244" s="1257" t="str">
        <f>CONCATENATE("FORNECIMENTO E INSTALAÇÃO DE ",C1247)</f>
        <v>FORNECIMENTO E INSTALAÇÃO DE CURVA HORIZONTAL 90º PARA ELETROCALHA PERFURADA 100 X 50MM</v>
      </c>
      <c r="D1244" s="1225"/>
      <c r="E1244" s="1225"/>
      <c r="F1244" s="1225"/>
      <c r="G1244" s="705" t="s">
        <v>28</v>
      </c>
      <c r="H1244" s="570">
        <f>G1254</f>
        <v>35.019999999999996</v>
      </c>
    </row>
    <row r="1245" spans="1:15" ht="31.5" hidden="1">
      <c r="A1245" s="464"/>
      <c r="B1245" s="469" t="s">
        <v>13463</v>
      </c>
      <c r="C1245" s="707" t="s">
        <v>13464</v>
      </c>
      <c r="D1245" s="470" t="s">
        <v>28</v>
      </c>
      <c r="E1245" s="707" t="s">
        <v>13465</v>
      </c>
      <c r="F1245" s="293" t="s">
        <v>13466</v>
      </c>
      <c r="G1245" s="708" t="s">
        <v>13467</v>
      </c>
      <c r="H1245" s="464"/>
    </row>
    <row r="1246" spans="1:15" ht="15.75" hidden="1">
      <c r="A1246" s="464"/>
      <c r="B1246" s="1283" t="s">
        <v>13468</v>
      </c>
      <c r="C1246" s="1284"/>
      <c r="D1246" s="1284"/>
      <c r="E1246" s="1284"/>
      <c r="F1246" s="1284"/>
      <c r="G1246" s="1285"/>
      <c r="H1246" s="464"/>
    </row>
    <row r="1247" spans="1:15" ht="30" hidden="1">
      <c r="A1247" s="464"/>
      <c r="B1247" s="862" t="s">
        <v>13497</v>
      </c>
      <c r="C1247" s="863" t="str">
        <f>C1273</f>
        <v>CURVA HORIZONTAL 90º PARA ELETROCALHA PERFURADA 100 X 50MM</v>
      </c>
      <c r="D1247" s="872" t="str">
        <f>G1273</f>
        <v>UN</v>
      </c>
      <c r="E1247" s="815">
        <v>1</v>
      </c>
      <c r="F1247" s="815">
        <f>D1278</f>
        <v>9</v>
      </c>
      <c r="G1247" s="845">
        <f>TRUNC(F1247*E1247,2)</f>
        <v>9</v>
      </c>
      <c r="H1247" s="464"/>
    </row>
    <row r="1248" spans="1:15" ht="30" hidden="1">
      <c r="A1248" s="473" t="s">
        <v>13458</v>
      </c>
      <c r="B1248" s="799">
        <v>11962</v>
      </c>
      <c r="C1248" s="710" t="s">
        <v>957</v>
      </c>
      <c r="D1248" s="711" t="s">
        <v>6636</v>
      </c>
      <c r="E1248" s="749">
        <v>8</v>
      </c>
      <c r="F1248" s="713">
        <v>0.15</v>
      </c>
      <c r="G1248" s="750">
        <f t="shared" ref="G1248:G1250" si="9">TRUNC(F1248*E1248,2)</f>
        <v>1.2</v>
      </c>
      <c r="H1248" s="464"/>
      <c r="N1248" s="799">
        <v>11962</v>
      </c>
      <c r="O1248" s="749">
        <v>8</v>
      </c>
    </row>
    <row r="1249" spans="1:15" ht="30" hidden="1">
      <c r="A1249" s="473" t="s">
        <v>13458</v>
      </c>
      <c r="B1249" s="799">
        <v>39211</v>
      </c>
      <c r="C1249" s="710" t="s">
        <v>6961</v>
      </c>
      <c r="D1249" s="711" t="s">
        <v>6636</v>
      </c>
      <c r="E1249" s="749">
        <v>8</v>
      </c>
      <c r="F1249" s="713">
        <v>0.89</v>
      </c>
      <c r="G1249" s="750">
        <f t="shared" si="9"/>
        <v>7.12</v>
      </c>
      <c r="H1249" s="464"/>
      <c r="N1249" s="799">
        <v>39211</v>
      </c>
      <c r="O1249" s="749">
        <v>8</v>
      </c>
    </row>
    <row r="1250" spans="1:15" ht="15.75" hidden="1">
      <c r="A1250" s="473" t="s">
        <v>13458</v>
      </c>
      <c r="B1250" s="799">
        <v>39997</v>
      </c>
      <c r="C1250" s="710" t="s">
        <v>10140</v>
      </c>
      <c r="D1250" s="711" t="s">
        <v>6636</v>
      </c>
      <c r="E1250" s="749">
        <v>8</v>
      </c>
      <c r="F1250" s="713">
        <v>0.21</v>
      </c>
      <c r="G1250" s="750">
        <f t="shared" si="9"/>
        <v>1.68</v>
      </c>
      <c r="H1250" s="464"/>
      <c r="N1250" s="799">
        <v>39997</v>
      </c>
      <c r="O1250" s="749">
        <v>8</v>
      </c>
    </row>
    <row r="1251" spans="1:15" ht="15.75" hidden="1">
      <c r="A1251" s="464"/>
      <c r="B1251" s="1283" t="s">
        <v>13469</v>
      </c>
      <c r="C1251" s="1284"/>
      <c r="D1251" s="1284"/>
      <c r="E1251" s="1284"/>
      <c r="F1251" s="1284"/>
      <c r="G1251" s="1285"/>
      <c r="H1251" s="464"/>
    </row>
    <row r="1252" spans="1:15" ht="15.75" hidden="1">
      <c r="A1252" s="473" t="s">
        <v>13459</v>
      </c>
      <c r="B1252" s="751">
        <v>88264</v>
      </c>
      <c r="C1252" s="710" t="s">
        <v>771</v>
      </c>
      <c r="D1252" s="711" t="s">
        <v>753</v>
      </c>
      <c r="E1252" s="752">
        <v>0.44</v>
      </c>
      <c r="F1252" s="713">
        <v>20.52</v>
      </c>
      <c r="G1252" s="750">
        <f>TRUNC(F1252*E1252,2)</f>
        <v>9.02</v>
      </c>
      <c r="H1252" s="464"/>
    </row>
    <row r="1253" spans="1:15" ht="16.5" hidden="1" thickBot="1">
      <c r="A1253" s="473" t="s">
        <v>13459</v>
      </c>
      <c r="B1253" s="753">
        <v>88316</v>
      </c>
      <c r="C1253" s="717" t="s">
        <v>761</v>
      </c>
      <c r="D1253" s="718" t="s">
        <v>753</v>
      </c>
      <c r="E1253" s="754">
        <v>0.44</v>
      </c>
      <c r="F1253" s="720">
        <v>15.91</v>
      </c>
      <c r="G1253" s="755">
        <f>TRUNC(F1253*E1253,2)</f>
        <v>7</v>
      </c>
      <c r="H1253" s="464"/>
    </row>
    <row r="1254" spans="1:15" ht="16.5" hidden="1" thickBot="1">
      <c r="A1254" s="464"/>
      <c r="B1254" s="1265" t="s">
        <v>13978</v>
      </c>
      <c r="C1254" s="1265"/>
      <c r="D1254" s="1265"/>
      <c r="E1254" s="1265"/>
      <c r="F1254" s="756" t="s">
        <v>22</v>
      </c>
      <c r="G1254" s="757">
        <f>SUM(G1246:G1253)</f>
        <v>35.019999999999996</v>
      </c>
      <c r="H1254" s="464"/>
    </row>
    <row r="1255" spans="1:15" ht="15" hidden="1">
      <c r="A1255" s="464"/>
      <c r="B1255" s="1265"/>
      <c r="C1255" s="1265"/>
      <c r="D1255" s="1265"/>
      <c r="E1255" s="1265"/>
      <c r="F1255" s="465"/>
      <c r="G1255" s="465"/>
      <c r="H1255" s="464"/>
    </row>
    <row r="1256" spans="1:15" ht="16.5" hidden="1" thickBot="1">
      <c r="A1256" s="832"/>
      <c r="B1256" s="1275" t="s">
        <v>13945</v>
      </c>
      <c r="C1256" s="1276"/>
      <c r="D1256" s="833"/>
      <c r="E1256" s="833"/>
      <c r="F1256" s="833"/>
      <c r="G1256" s="834"/>
      <c r="H1256" s="832"/>
    </row>
    <row r="1257" spans="1:15" ht="15.75" hidden="1">
      <c r="A1257" s="835"/>
      <c r="B1257" s="1277" t="s">
        <v>13979</v>
      </c>
      <c r="C1257" s="1278"/>
      <c r="D1257" s="1278"/>
      <c r="E1257" s="1278"/>
      <c r="F1257" s="1278"/>
      <c r="G1257" s="1279"/>
      <c r="H1257" s="835"/>
    </row>
    <row r="1258" spans="1:15" ht="15" hidden="1">
      <c r="A1258" s="835"/>
      <c r="B1258" s="837">
        <v>88264</v>
      </c>
      <c r="C1258" s="710" t="s">
        <v>771</v>
      </c>
      <c r="D1258" s="711" t="s">
        <v>753</v>
      </c>
      <c r="E1258" s="1321">
        <v>0.2</v>
      </c>
      <c r="F1258" s="1321"/>
      <c r="G1258" s="1322"/>
      <c r="H1258" s="835"/>
    </row>
    <row r="1259" spans="1:15" ht="15" hidden="1">
      <c r="A1259" s="835"/>
      <c r="B1259" s="837">
        <v>88247</v>
      </c>
      <c r="C1259" s="710" t="s">
        <v>924</v>
      </c>
      <c r="D1259" s="711" t="s">
        <v>753</v>
      </c>
      <c r="E1259" s="1321">
        <v>0.2</v>
      </c>
      <c r="F1259" s="1321"/>
      <c r="G1259" s="1322"/>
      <c r="H1259" s="835"/>
    </row>
    <row r="1260" spans="1:15" ht="15.75" hidden="1">
      <c r="A1260" s="835"/>
      <c r="B1260" s="1280" t="s">
        <v>13947</v>
      </c>
      <c r="C1260" s="1281"/>
      <c r="D1260" s="1281"/>
      <c r="E1260" s="1281"/>
      <c r="F1260" s="903" t="s">
        <v>13465</v>
      </c>
      <c r="G1260" s="904" t="s">
        <v>13948</v>
      </c>
      <c r="H1260" s="835"/>
    </row>
    <row r="1261" spans="1:15" ht="15" hidden="1">
      <c r="A1261" s="835"/>
      <c r="B1261" s="837">
        <v>88264</v>
      </c>
      <c r="C1261" s="710" t="s">
        <v>771</v>
      </c>
      <c r="D1261" s="711" t="s">
        <v>753</v>
      </c>
      <c r="E1261" s="905">
        <v>0.01</v>
      </c>
      <c r="F1261" s="905">
        <v>8</v>
      </c>
      <c r="G1261" s="906">
        <f>E1261*F1261</f>
        <v>0.08</v>
      </c>
      <c r="H1261" s="835"/>
    </row>
    <row r="1262" spans="1:15" ht="15" hidden="1">
      <c r="A1262" s="835"/>
      <c r="B1262" s="837">
        <v>88247</v>
      </c>
      <c r="C1262" s="710" t="s">
        <v>924</v>
      </c>
      <c r="D1262" s="711" t="s">
        <v>753</v>
      </c>
      <c r="E1262" s="905">
        <v>0.01</v>
      </c>
      <c r="F1262" s="905">
        <v>8</v>
      </c>
      <c r="G1262" s="906">
        <f>E1262*F1262</f>
        <v>0.08</v>
      </c>
      <c r="H1262" s="835"/>
    </row>
    <row r="1263" spans="1:15" ht="15.75" hidden="1">
      <c r="A1263" s="835"/>
      <c r="B1263" s="1280" t="s">
        <v>13949</v>
      </c>
      <c r="C1263" s="1281"/>
      <c r="D1263" s="1281"/>
      <c r="E1263" s="1281"/>
      <c r="F1263" s="903" t="s">
        <v>13465</v>
      </c>
      <c r="G1263" s="904" t="s">
        <v>13948</v>
      </c>
      <c r="H1263" s="835"/>
    </row>
    <row r="1264" spans="1:15" ht="15" hidden="1">
      <c r="A1264" s="835"/>
      <c r="B1264" s="837">
        <v>88264</v>
      </c>
      <c r="C1264" s="710" t="s">
        <v>771</v>
      </c>
      <c r="D1264" s="711" t="s">
        <v>753</v>
      </c>
      <c r="E1264" s="905">
        <v>0.01</v>
      </c>
      <c r="F1264" s="905">
        <v>8</v>
      </c>
      <c r="G1264" s="906">
        <f>E1264*F1264</f>
        <v>0.08</v>
      </c>
      <c r="H1264" s="835"/>
    </row>
    <row r="1265" spans="1:8" ht="15" hidden="1">
      <c r="A1265" s="835"/>
      <c r="B1265" s="837">
        <v>88247</v>
      </c>
      <c r="C1265" s="710" t="s">
        <v>924</v>
      </c>
      <c r="D1265" s="711" t="s">
        <v>753</v>
      </c>
      <c r="E1265" s="905">
        <v>0.01</v>
      </c>
      <c r="F1265" s="905">
        <v>8</v>
      </c>
      <c r="G1265" s="906">
        <f>E1265*F1265</f>
        <v>0.08</v>
      </c>
      <c r="H1265" s="835"/>
    </row>
    <row r="1266" spans="1:8" ht="15.75" hidden="1">
      <c r="A1266" s="835"/>
      <c r="B1266" s="1280" t="s">
        <v>13950</v>
      </c>
      <c r="C1266" s="1281"/>
      <c r="D1266" s="1281"/>
      <c r="E1266" s="1281"/>
      <c r="F1266" s="903" t="s">
        <v>13465</v>
      </c>
      <c r="G1266" s="904" t="s">
        <v>13948</v>
      </c>
      <c r="H1266" s="835"/>
    </row>
    <row r="1267" spans="1:8" ht="15" hidden="1">
      <c r="A1267" s="835"/>
      <c r="B1267" s="837">
        <v>88264</v>
      </c>
      <c r="C1267" s="710" t="s">
        <v>771</v>
      </c>
      <c r="D1267" s="711" t="s">
        <v>753</v>
      </c>
      <c r="E1267" s="905">
        <v>0.01</v>
      </c>
      <c r="F1267" s="905">
        <v>8</v>
      </c>
      <c r="G1267" s="906">
        <f>E1267*F1267</f>
        <v>0.08</v>
      </c>
      <c r="H1267" s="835"/>
    </row>
    <row r="1268" spans="1:8" ht="15" hidden="1">
      <c r="A1268" s="835"/>
      <c r="B1268" s="837">
        <v>88247</v>
      </c>
      <c r="C1268" s="710" t="s">
        <v>924</v>
      </c>
      <c r="D1268" s="711" t="s">
        <v>753</v>
      </c>
      <c r="E1268" s="905">
        <v>0.01</v>
      </c>
      <c r="F1268" s="905">
        <v>8</v>
      </c>
      <c r="G1268" s="906">
        <f>E1268*F1268</f>
        <v>0.08</v>
      </c>
      <c r="H1268" s="835"/>
    </row>
    <row r="1269" spans="1:8" ht="15.75" hidden="1">
      <c r="A1269" s="835"/>
      <c r="B1269" s="1280" t="s">
        <v>13951</v>
      </c>
      <c r="C1269" s="1281"/>
      <c r="D1269" s="1281"/>
      <c r="E1269" s="1281"/>
      <c r="F1269" s="1281"/>
      <c r="G1269" s="1282"/>
      <c r="H1269" s="835"/>
    </row>
    <row r="1270" spans="1:8" ht="15" hidden="1">
      <c r="A1270" s="835"/>
      <c r="B1270" s="837">
        <v>88264</v>
      </c>
      <c r="C1270" s="710" t="s">
        <v>771</v>
      </c>
      <c r="D1270" s="711" t="s">
        <v>753</v>
      </c>
      <c r="E1270" s="1321">
        <f>E1258+G1261+G1264+G1267</f>
        <v>0.44000000000000006</v>
      </c>
      <c r="F1270" s="1323"/>
      <c r="G1270" s="1324"/>
      <c r="H1270" s="835"/>
    </row>
    <row r="1271" spans="1:8" ht="15.75" hidden="1" thickBot="1">
      <c r="A1271" s="835"/>
      <c r="B1271" s="840">
        <v>88247</v>
      </c>
      <c r="C1271" s="717" t="s">
        <v>924</v>
      </c>
      <c r="D1271" s="718" t="s">
        <v>753</v>
      </c>
      <c r="E1271" s="1325">
        <f>E1259+G1262+G1265+G1268</f>
        <v>0.44000000000000006</v>
      </c>
      <c r="F1271" s="1326"/>
      <c r="G1271" s="1327"/>
      <c r="H1271" s="835"/>
    </row>
    <row r="1272" spans="1:8" ht="15.75" hidden="1" thickBot="1">
      <c r="A1272" s="464"/>
      <c r="B1272" s="850"/>
      <c r="C1272" s="464"/>
      <c r="D1272" s="464"/>
      <c r="E1272" s="464"/>
      <c r="F1272" s="464"/>
      <c r="G1272" s="765"/>
      <c r="H1272" s="464"/>
    </row>
    <row r="1273" spans="1:8" ht="31.5" hidden="1">
      <c r="A1273" s="489"/>
      <c r="B1273" s="572"/>
      <c r="C1273" s="574" t="s">
        <v>13980</v>
      </c>
      <c r="D1273" s="574"/>
      <c r="E1273" s="575"/>
      <c r="F1273" s="608"/>
      <c r="G1273" s="577" t="s">
        <v>28</v>
      </c>
      <c r="H1273" s="823" t="s">
        <v>13934</v>
      </c>
    </row>
    <row r="1274" spans="1:8" ht="31.5" hidden="1">
      <c r="A1274" s="489"/>
      <c r="B1274" s="578" t="s">
        <v>13502</v>
      </c>
      <c r="C1274" s="579" t="s">
        <v>13503</v>
      </c>
      <c r="D1274" s="580" t="s">
        <v>13504</v>
      </c>
      <c r="E1274" s="581" t="s">
        <v>13505</v>
      </c>
      <c r="F1274" s="610" t="s">
        <v>13506</v>
      </c>
      <c r="G1274" s="583" t="s">
        <v>13507</v>
      </c>
      <c r="H1274" s="489"/>
    </row>
    <row r="1275" spans="1:8" ht="15" hidden="1">
      <c r="A1275" s="489"/>
      <c r="B1275" s="648">
        <v>43566</v>
      </c>
      <c r="C1275" s="612" t="s">
        <v>13930</v>
      </c>
      <c r="D1275" s="894">
        <v>9</v>
      </c>
      <c r="E1275" s="652" t="s">
        <v>13831</v>
      </c>
      <c r="F1275" s="814" t="s">
        <v>13931</v>
      </c>
      <c r="G1275" s="878" t="s">
        <v>13833</v>
      </c>
      <c r="H1275"/>
    </row>
    <row r="1276" spans="1:8" ht="15" hidden="1">
      <c r="A1276" s="489"/>
      <c r="B1276" s="902">
        <v>43445</v>
      </c>
      <c r="C1276" s="630" t="s">
        <v>13861</v>
      </c>
      <c r="D1276" s="617">
        <v>12.66</v>
      </c>
      <c r="E1276" s="789" t="s">
        <v>13824</v>
      </c>
      <c r="F1276" s="595" t="s">
        <v>13864</v>
      </c>
      <c r="G1276" s="878" t="s">
        <v>13825</v>
      </c>
      <c r="H1276"/>
    </row>
    <row r="1277" spans="1:8" ht="15" hidden="1">
      <c r="A1277" s="489"/>
      <c r="B1277" s="902">
        <v>43572</v>
      </c>
      <c r="C1277" s="630" t="s">
        <v>13781</v>
      </c>
      <c r="D1277" s="593">
        <v>8.3000000000000007</v>
      </c>
      <c r="E1277" s="789" t="s">
        <v>13782</v>
      </c>
      <c r="F1277" s="595" t="s">
        <v>13761</v>
      </c>
      <c r="G1277" s="878" t="s">
        <v>13762</v>
      </c>
      <c r="H1277"/>
    </row>
    <row r="1278" spans="1:8" ht="16.5" hidden="1" thickBot="1">
      <c r="A1278" s="489"/>
      <c r="B1278" s="598"/>
      <c r="C1278" s="599" t="s">
        <v>13523</v>
      </c>
      <c r="D1278" s="538">
        <f>IF(COUNT(D1274:D1277)=3,MEDIAN(D1274:D1277),SMALL(D1275:D1277,1))</f>
        <v>9</v>
      </c>
      <c r="E1278" s="600"/>
      <c r="F1278" s="620"/>
      <c r="G1278" s="602"/>
      <c r="H1278" s="489"/>
    </row>
    <row r="1279" spans="1:8" ht="15.75" thickBot="1">
      <c r="A1279" s="464"/>
      <c r="B1279" s="850"/>
      <c r="C1279" s="464"/>
      <c r="D1279" s="464"/>
      <c r="E1279" s="464"/>
      <c r="F1279" s="464"/>
      <c r="G1279" s="765"/>
      <c r="H1279" s="464"/>
    </row>
    <row r="1280" spans="1:8" ht="15.75">
      <c r="A1280" s="464"/>
      <c r="B1280" s="704" t="str">
        <f>IF(COUNT($H$8:H1280)&lt;10,CONCATENATE("COMP ELE 00",COUNT($H$8:H1280)),CONCATENATE("COMP ELE 0",COUNT($H$8:H1280)))</f>
        <v>COMP ELE 095</v>
      </c>
      <c r="C1280" s="1257" t="s">
        <v>12969</v>
      </c>
      <c r="D1280" s="1225"/>
      <c r="E1280" s="1225"/>
      <c r="F1280" s="1225"/>
      <c r="G1280" s="705" t="s">
        <v>28</v>
      </c>
      <c r="H1280" s="570">
        <f>G1287</f>
        <v>122.04</v>
      </c>
    </row>
    <row r="1281" spans="1:13" ht="31.5">
      <c r="A1281" s="464"/>
      <c r="B1281" s="469" t="s">
        <v>13463</v>
      </c>
      <c r="C1281" s="707" t="s">
        <v>13464</v>
      </c>
      <c r="D1281" s="470" t="s">
        <v>28</v>
      </c>
      <c r="E1281" s="707" t="s">
        <v>13465</v>
      </c>
      <c r="F1281" s="293" t="s">
        <v>13466</v>
      </c>
      <c r="G1281" s="708" t="s">
        <v>13467</v>
      </c>
      <c r="H1281" s="464"/>
    </row>
    <row r="1282" spans="1:13" ht="15.75">
      <c r="A1282" s="464"/>
      <c r="B1282" s="1314" t="s">
        <v>13468</v>
      </c>
      <c r="C1282" s="1315"/>
      <c r="D1282" s="1315"/>
      <c r="E1282" s="1315"/>
      <c r="F1282" s="1315"/>
      <c r="G1282" s="1316"/>
      <c r="H1282" s="464"/>
    </row>
    <row r="1283" spans="1:13" ht="15">
      <c r="A1283" s="464"/>
      <c r="B1283" s="862" t="s">
        <v>13497</v>
      </c>
      <c r="C1283" s="863" t="str">
        <f>C1294</f>
        <v>ELETROCALHA PERFURADA 200X50MMX3000MM</v>
      </c>
      <c r="D1283" s="872" t="s">
        <v>28</v>
      </c>
      <c r="E1283" s="815">
        <v>1</v>
      </c>
      <c r="F1283" s="815">
        <f>D1299</f>
        <v>78.33</v>
      </c>
      <c r="G1283" s="845">
        <f>TRUNC(F1283*E1283,2)</f>
        <v>78.33</v>
      </c>
      <c r="H1283" s="464"/>
    </row>
    <row r="1284" spans="1:13" ht="15.75">
      <c r="A1284" s="464"/>
      <c r="B1284" s="1314" t="s">
        <v>13469</v>
      </c>
      <c r="C1284" s="1315"/>
      <c r="D1284" s="1315"/>
      <c r="E1284" s="1315"/>
      <c r="F1284" s="1315"/>
      <c r="G1284" s="1316"/>
      <c r="H1284" s="464"/>
    </row>
    <row r="1285" spans="1:13" ht="15.75">
      <c r="A1285" s="473" t="s">
        <v>13459</v>
      </c>
      <c r="B1285" s="751">
        <v>88264</v>
      </c>
      <c r="C1285" s="710" t="s">
        <v>771</v>
      </c>
      <c r="D1285" s="711" t="s">
        <v>753</v>
      </c>
      <c r="E1285" s="752">
        <v>1.2</v>
      </c>
      <c r="F1285" s="713">
        <v>20.52</v>
      </c>
      <c r="G1285" s="750">
        <f>TRUNC(F1285*E1285,2)</f>
        <v>24.62</v>
      </c>
      <c r="H1285" s="464"/>
    </row>
    <row r="1286" spans="1:13" ht="16.5" thickBot="1">
      <c r="A1286" s="473" t="s">
        <v>13459</v>
      </c>
      <c r="B1286" s="753">
        <v>88316</v>
      </c>
      <c r="C1286" s="717" t="s">
        <v>761</v>
      </c>
      <c r="D1286" s="718" t="s">
        <v>753</v>
      </c>
      <c r="E1286" s="754">
        <v>1.2</v>
      </c>
      <c r="F1286" s="720">
        <v>15.91</v>
      </c>
      <c r="G1286" s="755">
        <f>TRUNC(F1286*E1286,2)</f>
        <v>19.09</v>
      </c>
      <c r="H1286" s="464"/>
    </row>
    <row r="1287" spans="1:13" ht="16.5" thickBot="1">
      <c r="A1287" s="464"/>
      <c r="B1287" s="1309" t="s">
        <v>13981</v>
      </c>
      <c r="C1287" s="1310"/>
      <c r="D1287" s="1310"/>
      <c r="E1287" s="1310"/>
      <c r="F1287" s="908" t="s">
        <v>22</v>
      </c>
      <c r="G1287" s="788">
        <f>SUM(G1283:G1286)</f>
        <v>122.04</v>
      </c>
      <c r="H1287" s="464"/>
    </row>
    <row r="1288" spans="1:13" ht="15">
      <c r="A1288" s="464"/>
      <c r="B1288" s="1264"/>
      <c r="C1288" s="1265"/>
      <c r="D1288" s="1265"/>
      <c r="E1288" s="1265"/>
      <c r="F1288" s="464"/>
      <c r="G1288" s="765"/>
      <c r="H1288" s="464"/>
    </row>
    <row r="1289" spans="1:13" ht="15.75" thickBot="1">
      <c r="A1289" s="464"/>
      <c r="B1289" s="1343"/>
      <c r="C1289" s="1344"/>
      <c r="D1289" s="1344"/>
      <c r="E1289" s="1344"/>
      <c r="F1289" s="917"/>
      <c r="G1289" s="918"/>
      <c r="H1289" s="464"/>
      <c r="M1289" s="840">
        <v>88247</v>
      </c>
    </row>
    <row r="1290" spans="1:13" ht="15.75">
      <c r="A1290" s="835"/>
      <c r="B1290" s="1340" t="s">
        <v>13969</v>
      </c>
      <c r="C1290" s="1341"/>
      <c r="D1290" s="1341"/>
      <c r="E1290" s="1342"/>
      <c r="F1290" s="919" t="s">
        <v>13465</v>
      </c>
      <c r="G1290" s="920" t="s">
        <v>13738</v>
      </c>
      <c r="H1290" s="835"/>
    </row>
    <row r="1291" spans="1:13" ht="15.75">
      <c r="A1291" s="473" t="s">
        <v>13459</v>
      </c>
      <c r="B1291" s="751">
        <v>88264</v>
      </c>
      <c r="C1291" s="710" t="s">
        <v>771</v>
      </c>
      <c r="D1291" s="711" t="s">
        <v>753</v>
      </c>
      <c r="E1291" s="752">
        <v>0.4</v>
      </c>
      <c r="F1291" s="713">
        <v>20.52</v>
      </c>
      <c r="G1291" s="750">
        <f>TRUNC(F1291*E1291,2)</f>
        <v>8.1999999999999993</v>
      </c>
      <c r="H1291" s="835"/>
    </row>
    <row r="1292" spans="1:13" ht="16.5" thickBot="1">
      <c r="A1292" s="473" t="s">
        <v>13459</v>
      </c>
      <c r="B1292" s="840">
        <v>88247</v>
      </c>
      <c r="C1292" s="710" t="s">
        <v>924</v>
      </c>
      <c r="D1292" s="711" t="s">
        <v>753</v>
      </c>
      <c r="E1292" s="752">
        <v>1.4</v>
      </c>
      <c r="F1292" s="713">
        <v>15.84</v>
      </c>
      <c r="G1292" s="750">
        <f>TRUNC(F1292*E1292,2)</f>
        <v>22.17</v>
      </c>
      <c r="H1292" s="835"/>
    </row>
    <row r="1293" spans="1:13" ht="15">
      <c r="A1293" s="464"/>
      <c r="B1293" s="850"/>
      <c r="C1293" s="464"/>
      <c r="D1293" s="464"/>
      <c r="E1293" s="464"/>
      <c r="F1293" s="464"/>
      <c r="G1293" s="765"/>
      <c r="H1293" s="464"/>
    </row>
    <row r="1294" spans="1:13" ht="35.25">
      <c r="A1294" s="489"/>
      <c r="B1294" s="921"/>
      <c r="C1294" s="922" t="s">
        <v>13982</v>
      </c>
      <c r="D1294" s="923"/>
      <c r="E1294" s="924"/>
      <c r="F1294" s="925"/>
      <c r="G1294" s="924"/>
      <c r="H1294" s="915" t="s">
        <v>13934</v>
      </c>
    </row>
    <row r="1295" spans="1:13" ht="31.5">
      <c r="A1295" s="489"/>
      <c r="B1295" s="669" t="s">
        <v>13502</v>
      </c>
      <c r="C1295" s="669" t="s">
        <v>13503</v>
      </c>
      <c r="D1295" s="670" t="s">
        <v>13504</v>
      </c>
      <c r="E1295" s="671" t="s">
        <v>13505</v>
      </c>
      <c r="F1295" s="647" t="s">
        <v>13506</v>
      </c>
      <c r="G1295" s="926" t="s">
        <v>13507</v>
      </c>
      <c r="H1295" s="489"/>
    </row>
    <row r="1296" spans="1:13" ht="15">
      <c r="A1296" s="489"/>
      <c r="B1296" s="895">
        <v>43383</v>
      </c>
      <c r="C1296" s="630" t="s">
        <v>13983</v>
      </c>
      <c r="D1296" s="593">
        <v>55.45</v>
      </c>
      <c r="E1296" s="789" t="s">
        <v>13929</v>
      </c>
      <c r="F1296" s="595" t="s">
        <v>13852</v>
      </c>
      <c r="G1296" s="878" t="s">
        <v>13984</v>
      </c>
      <c r="H1296" s="489"/>
    </row>
    <row r="1297" spans="1:8" ht="15">
      <c r="A1297" s="489"/>
      <c r="B1297" s="895">
        <v>43383</v>
      </c>
      <c r="C1297" s="630" t="s">
        <v>13985</v>
      </c>
      <c r="D1297" s="613">
        <v>101.21</v>
      </c>
      <c r="E1297" s="789" t="s">
        <v>13965</v>
      </c>
      <c r="F1297" s="595" t="s">
        <v>13966</v>
      </c>
      <c r="G1297" s="878" t="s">
        <v>13986</v>
      </c>
      <c r="H1297" s="489"/>
    </row>
    <row r="1298" spans="1:8" ht="15">
      <c r="A1298" s="489"/>
      <c r="B1298" s="895"/>
      <c r="C1298" s="630"/>
      <c r="D1298" s="593"/>
      <c r="E1298" s="789"/>
      <c r="F1298" s="927"/>
      <c r="G1298" s="928"/>
      <c r="H1298" s="489"/>
    </row>
    <row r="1299" spans="1:8" ht="16.5" thickBot="1">
      <c r="A1299" s="489"/>
      <c r="B1299" s="929"/>
      <c r="C1299" s="921"/>
      <c r="D1299" s="793">
        <f>MEDIAN(D1296:D1298)</f>
        <v>78.33</v>
      </c>
      <c r="E1299" s="930"/>
      <c r="F1299" s="931"/>
      <c r="G1299" s="932"/>
      <c r="H1299" s="489"/>
    </row>
    <row r="1300" spans="1:8" ht="15.75">
      <c r="A1300" s="464"/>
      <c r="B1300" s="704" t="str">
        <f>IF(COUNT($H$8:H1300)&lt;10,CONCATENATE("COMP ELE 00",COUNT($H$8:H1300)),CONCATENATE("COMP ELE 0",COUNT($H$8:H1300)))</f>
        <v>COMP ELE 096</v>
      </c>
      <c r="C1300" s="1257" t="s">
        <v>12971</v>
      </c>
      <c r="D1300" s="1225"/>
      <c r="E1300" s="1225"/>
      <c r="F1300" s="1225"/>
      <c r="G1300" s="705" t="s">
        <v>28</v>
      </c>
      <c r="H1300" s="570">
        <f>G1310</f>
        <v>70.45</v>
      </c>
    </row>
    <row r="1301" spans="1:8" ht="31.5">
      <c r="A1301" s="464"/>
      <c r="B1301" s="469" t="s">
        <v>13463</v>
      </c>
      <c r="C1301" s="707" t="s">
        <v>13464</v>
      </c>
      <c r="D1301" s="470" t="s">
        <v>28</v>
      </c>
      <c r="E1301" s="707" t="s">
        <v>13465</v>
      </c>
      <c r="F1301" s="293" t="s">
        <v>13466</v>
      </c>
      <c r="G1301" s="708" t="s">
        <v>13467</v>
      </c>
      <c r="H1301" s="464"/>
    </row>
    <row r="1302" spans="1:8" ht="15.75">
      <c r="A1302" s="464"/>
      <c r="B1302" s="1314" t="s">
        <v>13468</v>
      </c>
      <c r="C1302" s="1315"/>
      <c r="D1302" s="1315"/>
      <c r="E1302" s="1315"/>
      <c r="F1302" s="1315"/>
      <c r="G1302" s="1316"/>
      <c r="H1302" s="464"/>
    </row>
    <row r="1303" spans="1:8" ht="15">
      <c r="A1303" s="464"/>
      <c r="B1303" s="862" t="s">
        <v>13497</v>
      </c>
      <c r="C1303" s="863" t="str">
        <f>C1330</f>
        <v>CURVA VERTICAL 90º 200X50MM</v>
      </c>
      <c r="D1303" s="872">
        <f>G1330</f>
        <v>0</v>
      </c>
      <c r="E1303" s="815">
        <v>1</v>
      </c>
      <c r="F1303" s="815">
        <f>D1335</f>
        <v>39.435000000000002</v>
      </c>
      <c r="G1303" s="845">
        <f>TRUNC(F1303*E1303,2)</f>
        <v>39.43</v>
      </c>
      <c r="H1303" s="464"/>
    </row>
    <row r="1304" spans="1:8" ht="30">
      <c r="A1304" s="473" t="s">
        <v>13458</v>
      </c>
      <c r="B1304" s="799">
        <v>11962</v>
      </c>
      <c r="C1304" s="710" t="s">
        <v>957</v>
      </c>
      <c r="D1304" s="711" t="s">
        <v>6636</v>
      </c>
      <c r="E1304" s="749">
        <v>12</v>
      </c>
      <c r="F1304" s="713">
        <v>0.15</v>
      </c>
      <c r="G1304" s="750">
        <f t="shared" ref="G1304:G1306" si="10">TRUNC(F1304*E1304,2)</f>
        <v>1.8</v>
      </c>
      <c r="H1304" s="464"/>
    </row>
    <row r="1305" spans="1:8" ht="30">
      <c r="A1305" s="473" t="s">
        <v>13458</v>
      </c>
      <c r="B1305" s="799">
        <v>39211</v>
      </c>
      <c r="C1305" s="710" t="s">
        <v>6961</v>
      </c>
      <c r="D1305" s="711" t="s">
        <v>6636</v>
      </c>
      <c r="E1305" s="749">
        <v>12</v>
      </c>
      <c r="F1305" s="713">
        <v>0.89</v>
      </c>
      <c r="G1305" s="750">
        <f t="shared" si="10"/>
        <v>10.68</v>
      </c>
      <c r="H1305" s="464"/>
    </row>
    <row r="1306" spans="1:8" ht="15.75">
      <c r="A1306" s="473" t="s">
        <v>13458</v>
      </c>
      <c r="B1306" s="799">
        <v>39997</v>
      </c>
      <c r="C1306" s="710" t="s">
        <v>10140</v>
      </c>
      <c r="D1306" s="711" t="s">
        <v>6636</v>
      </c>
      <c r="E1306" s="749">
        <v>12</v>
      </c>
      <c r="F1306" s="713">
        <v>0.21</v>
      </c>
      <c r="G1306" s="750">
        <f t="shared" si="10"/>
        <v>2.52</v>
      </c>
      <c r="H1306" s="464"/>
    </row>
    <row r="1307" spans="1:8" ht="15.75">
      <c r="A1307" s="464"/>
      <c r="B1307" s="1314" t="s">
        <v>13469</v>
      </c>
      <c r="C1307" s="1315"/>
      <c r="D1307" s="1315"/>
      <c r="E1307" s="1315"/>
      <c r="F1307" s="1315"/>
      <c r="G1307" s="1316"/>
      <c r="H1307" s="464"/>
    </row>
    <row r="1308" spans="1:8" ht="15.75">
      <c r="A1308" s="473" t="s">
        <v>13459</v>
      </c>
      <c r="B1308" s="751">
        <v>88264</v>
      </c>
      <c r="C1308" s="710" t="s">
        <v>771</v>
      </c>
      <c r="D1308" s="711" t="s">
        <v>753</v>
      </c>
      <c r="E1308" s="752">
        <v>0.44</v>
      </c>
      <c r="F1308" s="713">
        <v>20.52</v>
      </c>
      <c r="G1308" s="750">
        <f>TRUNC(F1308*E1308,2)</f>
        <v>9.02</v>
      </c>
      <c r="H1308" s="464"/>
    </row>
    <row r="1309" spans="1:8" ht="16.5" thickBot="1">
      <c r="A1309" s="473" t="s">
        <v>13459</v>
      </c>
      <c r="B1309" s="753">
        <v>88316</v>
      </c>
      <c r="C1309" s="717" t="s">
        <v>761</v>
      </c>
      <c r="D1309" s="718" t="s">
        <v>753</v>
      </c>
      <c r="E1309" s="754">
        <v>0.44</v>
      </c>
      <c r="F1309" s="720">
        <v>15.91</v>
      </c>
      <c r="G1309" s="755">
        <f>TRUNC(F1309*E1309,2)</f>
        <v>7</v>
      </c>
      <c r="H1309" s="464"/>
    </row>
    <row r="1310" spans="1:8" ht="16.5" thickBot="1">
      <c r="A1310" s="464"/>
      <c r="B1310" s="1310" t="s">
        <v>13987</v>
      </c>
      <c r="C1310" s="1310"/>
      <c r="D1310" s="1310"/>
      <c r="E1310" s="1310"/>
      <c r="F1310" s="908" t="s">
        <v>22</v>
      </c>
      <c r="G1310" s="788">
        <f>SUM(G1303:G1309)</f>
        <v>70.45</v>
      </c>
      <c r="H1310" s="464"/>
    </row>
    <row r="1311" spans="1:8" ht="15">
      <c r="A1311" s="464"/>
      <c r="B1311" s="1265"/>
      <c r="C1311" s="1265"/>
      <c r="D1311" s="1265"/>
      <c r="E1311" s="1265"/>
      <c r="F1311" s="465"/>
      <c r="G1311" s="465"/>
      <c r="H1311" s="464"/>
    </row>
    <row r="1312" spans="1:8" ht="15">
      <c r="A1312" s="464"/>
      <c r="B1312" s="933"/>
      <c r="C1312" s="465"/>
      <c r="D1312" s="465"/>
      <c r="E1312" s="465"/>
      <c r="F1312" s="465"/>
      <c r="G1312" s="465"/>
      <c r="H1312" s="464"/>
    </row>
    <row r="1313" spans="1:8" ht="16.5" thickBot="1">
      <c r="A1313" s="832"/>
      <c r="B1313" s="1328" t="s">
        <v>13945</v>
      </c>
      <c r="C1313" s="1329"/>
      <c r="D1313" s="909"/>
      <c r="E1313" s="909"/>
      <c r="F1313" s="909"/>
      <c r="G1313" s="910"/>
      <c r="H1313" s="832"/>
    </row>
    <row r="1314" spans="1:8" ht="15.75">
      <c r="A1314" s="835"/>
      <c r="B1314" s="1330" t="s">
        <v>13988</v>
      </c>
      <c r="C1314" s="1331"/>
      <c r="D1314" s="1331"/>
      <c r="E1314" s="1331"/>
      <c r="F1314" s="1331"/>
      <c r="G1314" s="1332"/>
      <c r="H1314" s="835"/>
    </row>
    <row r="1315" spans="1:8" ht="15">
      <c r="A1315" s="835"/>
      <c r="B1315" s="837">
        <v>88264</v>
      </c>
      <c r="C1315" s="710" t="s">
        <v>771</v>
      </c>
      <c r="D1315" s="711" t="s">
        <v>753</v>
      </c>
      <c r="E1315" s="1333">
        <v>0.2</v>
      </c>
      <c r="F1315" s="1334"/>
      <c r="G1315" s="1335"/>
      <c r="H1315" s="835"/>
    </row>
    <row r="1316" spans="1:8" ht="15.75" thickBot="1">
      <c r="A1316" s="835"/>
      <c r="B1316" s="840">
        <v>88247</v>
      </c>
      <c r="C1316" s="710" t="s">
        <v>924</v>
      </c>
      <c r="D1316" s="711" t="s">
        <v>753</v>
      </c>
      <c r="E1316" s="1336">
        <v>0.2</v>
      </c>
      <c r="F1316" s="1337"/>
      <c r="G1316" s="1338"/>
      <c r="H1316" s="835"/>
    </row>
    <row r="1317" spans="1:8" ht="15.75">
      <c r="A1317" s="835"/>
      <c r="B1317" s="1330" t="s">
        <v>13947</v>
      </c>
      <c r="C1317" s="1331"/>
      <c r="D1317" s="1331"/>
      <c r="E1317" s="1339"/>
      <c r="F1317" s="911" t="s">
        <v>13465</v>
      </c>
      <c r="G1317" s="912" t="s">
        <v>13948</v>
      </c>
      <c r="H1317" s="835"/>
    </row>
    <row r="1318" spans="1:8" ht="15">
      <c r="A1318" s="835"/>
      <c r="B1318" s="837">
        <v>88264</v>
      </c>
      <c r="C1318" s="710" t="s">
        <v>771</v>
      </c>
      <c r="D1318" s="711" t="s">
        <v>753</v>
      </c>
      <c r="E1318" s="905">
        <v>0.01</v>
      </c>
      <c r="F1318" s="905">
        <v>8</v>
      </c>
      <c r="G1318" s="906">
        <f>E1318*F1318</f>
        <v>0.08</v>
      </c>
      <c r="H1318" s="835"/>
    </row>
    <row r="1319" spans="1:8" ht="15.75" thickBot="1">
      <c r="A1319" s="835"/>
      <c r="B1319" s="840">
        <v>88247</v>
      </c>
      <c r="C1319" s="717" t="s">
        <v>924</v>
      </c>
      <c r="D1319" s="718" t="s">
        <v>753</v>
      </c>
      <c r="E1319" s="913">
        <v>0.01</v>
      </c>
      <c r="F1319" s="913">
        <v>8</v>
      </c>
      <c r="G1319" s="914">
        <f>E1319*F1319</f>
        <v>0.08</v>
      </c>
      <c r="H1319" s="835"/>
    </row>
    <row r="1320" spans="1:8" ht="15.75">
      <c r="A1320" s="835"/>
      <c r="B1320" s="1330" t="s">
        <v>13949</v>
      </c>
      <c r="C1320" s="1331"/>
      <c r="D1320" s="1331"/>
      <c r="E1320" s="1339"/>
      <c r="F1320" s="911" t="s">
        <v>13465</v>
      </c>
      <c r="G1320" s="912" t="s">
        <v>13948</v>
      </c>
      <c r="H1320" s="835"/>
    </row>
    <row r="1321" spans="1:8" ht="15">
      <c r="A1321" s="835"/>
      <c r="B1321" s="837">
        <v>88264</v>
      </c>
      <c r="C1321" s="710" t="s">
        <v>771</v>
      </c>
      <c r="D1321" s="711" t="s">
        <v>753</v>
      </c>
      <c r="E1321" s="905">
        <v>0.01</v>
      </c>
      <c r="F1321" s="905">
        <v>8</v>
      </c>
      <c r="G1321" s="906">
        <f>E1321*F1321</f>
        <v>0.08</v>
      </c>
      <c r="H1321" s="835"/>
    </row>
    <row r="1322" spans="1:8" ht="15.75" thickBot="1">
      <c r="A1322" s="835"/>
      <c r="B1322" s="840">
        <v>88247</v>
      </c>
      <c r="C1322" s="717" t="s">
        <v>924</v>
      </c>
      <c r="D1322" s="718" t="s">
        <v>753</v>
      </c>
      <c r="E1322" s="913">
        <v>0.01</v>
      </c>
      <c r="F1322" s="913">
        <v>8</v>
      </c>
      <c r="G1322" s="914">
        <f>E1322*F1322</f>
        <v>0.08</v>
      </c>
      <c r="H1322" s="835"/>
    </row>
    <row r="1323" spans="1:8" ht="15.75">
      <c r="A1323" s="835"/>
      <c r="B1323" s="1340" t="s">
        <v>13950</v>
      </c>
      <c r="C1323" s="1341"/>
      <c r="D1323" s="1341"/>
      <c r="E1323" s="1342"/>
      <c r="F1323" s="911" t="s">
        <v>13465</v>
      </c>
      <c r="G1323" s="912" t="s">
        <v>13948</v>
      </c>
      <c r="H1323" s="835"/>
    </row>
    <row r="1324" spans="1:8" ht="15">
      <c r="A1324" s="835"/>
      <c r="B1324" s="837">
        <v>88264</v>
      </c>
      <c r="C1324" s="710" t="s">
        <v>771</v>
      </c>
      <c r="D1324" s="711" t="s">
        <v>753</v>
      </c>
      <c r="E1324" s="905">
        <v>0.01</v>
      </c>
      <c r="F1324" s="905">
        <v>8</v>
      </c>
      <c r="G1324" s="906">
        <f>E1324*F1324</f>
        <v>0.08</v>
      </c>
      <c r="H1324" s="835"/>
    </row>
    <row r="1325" spans="1:8" ht="15.75" thickBot="1">
      <c r="A1325" s="835"/>
      <c r="B1325" s="840">
        <v>88247</v>
      </c>
      <c r="C1325" s="717" t="s">
        <v>924</v>
      </c>
      <c r="D1325" s="718" t="s">
        <v>753</v>
      </c>
      <c r="E1325" s="913">
        <v>0.01</v>
      </c>
      <c r="F1325" s="913">
        <v>8</v>
      </c>
      <c r="G1325" s="914">
        <f>E1325*F1325</f>
        <v>0.08</v>
      </c>
      <c r="H1325" s="835"/>
    </row>
    <row r="1326" spans="1:8" ht="15.75">
      <c r="A1326" s="835"/>
      <c r="B1326" s="1330" t="s">
        <v>13951</v>
      </c>
      <c r="C1326" s="1331"/>
      <c r="D1326" s="1331"/>
      <c r="E1326" s="1331"/>
      <c r="F1326" s="1331"/>
      <c r="G1326" s="1332"/>
      <c r="H1326" s="835"/>
    </row>
    <row r="1327" spans="1:8" ht="15">
      <c r="A1327" s="835"/>
      <c r="B1327" s="837">
        <v>88264</v>
      </c>
      <c r="C1327" s="710" t="s">
        <v>771</v>
      </c>
      <c r="D1327" s="711" t="s">
        <v>753</v>
      </c>
      <c r="E1327" s="1333">
        <f>E1315+G1318+G1321+G1324</f>
        <v>0.44000000000000006</v>
      </c>
      <c r="F1327" s="1334"/>
      <c r="G1327" s="1335"/>
      <c r="H1327" s="835"/>
    </row>
    <row r="1328" spans="1:8" ht="15.75" thickBot="1">
      <c r="A1328" s="835"/>
      <c r="B1328" s="840">
        <v>88247</v>
      </c>
      <c r="C1328" s="717" t="s">
        <v>924</v>
      </c>
      <c r="D1328" s="718" t="s">
        <v>753</v>
      </c>
      <c r="E1328" s="1336">
        <f>E1316+G1319+G1322+G1325</f>
        <v>0.44000000000000006</v>
      </c>
      <c r="F1328" s="1337"/>
      <c r="G1328" s="1338"/>
      <c r="H1328" s="835"/>
    </row>
    <row r="1329" spans="1:8" ht="15">
      <c r="A1329" s="464"/>
      <c r="B1329" s="850"/>
      <c r="C1329" s="464"/>
      <c r="D1329" s="464"/>
      <c r="E1329" s="464"/>
      <c r="F1329" s="464"/>
      <c r="G1329" s="765"/>
      <c r="H1329" s="464"/>
    </row>
    <row r="1330" spans="1:8" ht="35.25">
      <c r="A1330" s="489"/>
      <c r="B1330" s="921"/>
      <c r="C1330" s="923" t="s">
        <v>13989</v>
      </c>
      <c r="D1330" s="923"/>
      <c r="E1330" s="924"/>
      <c r="F1330" s="925"/>
      <c r="G1330" s="924"/>
      <c r="H1330" s="915" t="s">
        <v>13934</v>
      </c>
    </row>
    <row r="1331" spans="1:8" ht="31.5">
      <c r="A1331" s="489"/>
      <c r="B1331" s="669" t="s">
        <v>13502</v>
      </c>
      <c r="C1331" s="669" t="s">
        <v>13503</v>
      </c>
      <c r="D1331" s="670" t="s">
        <v>13504</v>
      </c>
      <c r="E1331" s="671" t="s">
        <v>13505</v>
      </c>
      <c r="F1331" s="647" t="s">
        <v>13506</v>
      </c>
      <c r="G1331" s="926" t="s">
        <v>13507</v>
      </c>
      <c r="H1331" s="489"/>
    </row>
    <row r="1332" spans="1:8" ht="15">
      <c r="A1332" s="489"/>
      <c r="B1332" s="895">
        <v>43383</v>
      </c>
      <c r="C1332" s="630" t="s">
        <v>13983</v>
      </c>
      <c r="D1332" s="593">
        <v>26.92</v>
      </c>
      <c r="E1332" s="789" t="s">
        <v>13929</v>
      </c>
      <c r="F1332" s="595" t="s">
        <v>13852</v>
      </c>
      <c r="G1332" s="878" t="s">
        <v>13984</v>
      </c>
      <c r="H1332" s="489"/>
    </row>
    <row r="1333" spans="1:8" ht="15">
      <c r="A1333" s="489"/>
      <c r="B1333" s="895">
        <v>43383</v>
      </c>
      <c r="C1333" s="630" t="s">
        <v>13985</v>
      </c>
      <c r="D1333" s="613">
        <v>51.95</v>
      </c>
      <c r="E1333" s="789" t="s">
        <v>13965</v>
      </c>
      <c r="F1333" s="595" t="s">
        <v>13966</v>
      </c>
      <c r="G1333" s="878" t="s">
        <v>13986</v>
      </c>
      <c r="H1333" s="489"/>
    </row>
    <row r="1334" spans="1:8" ht="15">
      <c r="A1334" s="489"/>
      <c r="B1334" s="895"/>
      <c r="C1334" s="630"/>
      <c r="D1334" s="593"/>
      <c r="E1334" s="789"/>
      <c r="F1334" s="927"/>
      <c r="G1334" s="928"/>
      <c r="H1334" s="489"/>
    </row>
    <row r="1335" spans="1:8" ht="15.75">
      <c r="A1335" s="489"/>
      <c r="B1335" s="929"/>
      <c r="C1335" s="921"/>
      <c r="D1335" s="793">
        <f>MEDIAN(D1332:D1334)</f>
        <v>39.435000000000002</v>
      </c>
      <c r="E1335" s="930"/>
      <c r="F1335" s="931"/>
      <c r="G1335" s="932"/>
      <c r="H1335" s="489"/>
    </row>
    <row r="1336" spans="1:8" ht="13.5" thickBot="1"/>
    <row r="1337" spans="1:8" ht="26.25" customHeight="1">
      <c r="A1337" s="464"/>
      <c r="B1337" s="704" t="str">
        <f>IF(COUNT($H$8:H1337)&lt;10,CONCATENATE("COMP ELE 00",COUNT($H$8:H1337)),CONCATENATE("COMP ELE 0",COUNT($H$8:H1337)))</f>
        <v>COMP ELE 097</v>
      </c>
      <c r="C1337" s="1257" t="s">
        <v>12973</v>
      </c>
      <c r="D1337" s="1225"/>
      <c r="E1337" s="1225"/>
      <c r="F1337" s="1225"/>
      <c r="G1337" s="705" t="s">
        <v>28</v>
      </c>
      <c r="H1337" s="570">
        <f>G1347</f>
        <v>64.91</v>
      </c>
    </row>
    <row r="1338" spans="1:8" ht="31.5">
      <c r="A1338" s="464"/>
      <c r="B1338" s="469" t="s">
        <v>13463</v>
      </c>
      <c r="C1338" s="707" t="s">
        <v>13464</v>
      </c>
      <c r="D1338" s="470" t="s">
        <v>28</v>
      </c>
      <c r="E1338" s="707" t="s">
        <v>13465</v>
      </c>
      <c r="F1338" s="293" t="s">
        <v>13466</v>
      </c>
      <c r="G1338" s="708" t="s">
        <v>13467</v>
      </c>
      <c r="H1338" s="464"/>
    </row>
    <row r="1339" spans="1:8" ht="15.75">
      <c r="A1339" s="464"/>
      <c r="B1339" s="1314" t="s">
        <v>13468</v>
      </c>
      <c r="C1339" s="1315"/>
      <c r="D1339" s="1315"/>
      <c r="E1339" s="1315"/>
      <c r="F1339" s="1315"/>
      <c r="G1339" s="1316"/>
      <c r="H1339" s="464"/>
    </row>
    <row r="1340" spans="1:8" ht="15">
      <c r="A1340" s="464"/>
      <c r="B1340" s="862" t="s">
        <v>13497</v>
      </c>
      <c r="C1340" s="863" t="str">
        <f>C1367</f>
        <v>TE HORIZONTAL 200X50MM</v>
      </c>
      <c r="D1340" s="872">
        <f>G1367</f>
        <v>0</v>
      </c>
      <c r="E1340" s="815">
        <v>1</v>
      </c>
      <c r="F1340" s="815">
        <f>D1372</f>
        <v>33.89</v>
      </c>
      <c r="G1340" s="845">
        <f>TRUNC(F1340*E1340,2)</f>
        <v>33.89</v>
      </c>
      <c r="H1340" s="464"/>
    </row>
    <row r="1341" spans="1:8" ht="30">
      <c r="A1341" s="473" t="s">
        <v>13458</v>
      </c>
      <c r="B1341" s="799">
        <v>11962</v>
      </c>
      <c r="C1341" s="710" t="s">
        <v>957</v>
      </c>
      <c r="D1341" s="711" t="s">
        <v>6636</v>
      </c>
      <c r="E1341" s="749">
        <v>12</v>
      </c>
      <c r="F1341" s="713">
        <v>0.15</v>
      </c>
      <c r="G1341" s="750">
        <f t="shared" ref="G1341:G1343" si="11">TRUNC(F1341*E1341,2)</f>
        <v>1.8</v>
      </c>
      <c r="H1341" s="464"/>
    </row>
    <row r="1342" spans="1:8" ht="30">
      <c r="A1342" s="473" t="s">
        <v>13458</v>
      </c>
      <c r="B1342" s="799">
        <v>39211</v>
      </c>
      <c r="C1342" s="710" t="s">
        <v>6961</v>
      </c>
      <c r="D1342" s="711" t="s">
        <v>6636</v>
      </c>
      <c r="E1342" s="749">
        <v>12</v>
      </c>
      <c r="F1342" s="713">
        <v>0.89</v>
      </c>
      <c r="G1342" s="750">
        <f t="shared" si="11"/>
        <v>10.68</v>
      </c>
      <c r="H1342" s="464"/>
    </row>
    <row r="1343" spans="1:8" ht="15.75">
      <c r="A1343" s="473" t="s">
        <v>13458</v>
      </c>
      <c r="B1343" s="799">
        <v>39997</v>
      </c>
      <c r="C1343" s="710" t="s">
        <v>10140</v>
      </c>
      <c r="D1343" s="711" t="s">
        <v>6636</v>
      </c>
      <c r="E1343" s="749">
        <v>12</v>
      </c>
      <c r="F1343" s="713">
        <v>0.21</v>
      </c>
      <c r="G1343" s="750">
        <f t="shared" si="11"/>
        <v>2.52</v>
      </c>
      <c r="H1343" s="464"/>
    </row>
    <row r="1344" spans="1:8" ht="15.75">
      <c r="A1344" s="464"/>
      <c r="B1344" s="1314" t="s">
        <v>13469</v>
      </c>
      <c r="C1344" s="1315"/>
      <c r="D1344" s="1315"/>
      <c r="E1344" s="1315"/>
      <c r="F1344" s="1315"/>
      <c r="G1344" s="1316"/>
      <c r="H1344" s="464"/>
    </row>
    <row r="1345" spans="1:8" ht="15.75">
      <c r="A1345" s="473" t="s">
        <v>13459</v>
      </c>
      <c r="B1345" s="751">
        <v>88264</v>
      </c>
      <c r="C1345" s="710" t="s">
        <v>771</v>
      </c>
      <c r="D1345" s="711" t="s">
        <v>753</v>
      </c>
      <c r="E1345" s="752">
        <v>0.44</v>
      </c>
      <c r="F1345" s="713">
        <v>20.52</v>
      </c>
      <c r="G1345" s="750">
        <f>TRUNC(F1345*E1345,2)</f>
        <v>9.02</v>
      </c>
      <c r="H1345" s="464"/>
    </row>
    <row r="1346" spans="1:8" ht="16.5" thickBot="1">
      <c r="A1346" s="473" t="s">
        <v>13459</v>
      </c>
      <c r="B1346" s="753">
        <v>88316</v>
      </c>
      <c r="C1346" s="717" t="s">
        <v>761</v>
      </c>
      <c r="D1346" s="718" t="s">
        <v>753</v>
      </c>
      <c r="E1346" s="754">
        <v>0.44</v>
      </c>
      <c r="F1346" s="720">
        <v>15.91</v>
      </c>
      <c r="G1346" s="755">
        <f>TRUNC(F1346*E1346,2)</f>
        <v>7</v>
      </c>
      <c r="H1346" s="464"/>
    </row>
    <row r="1347" spans="1:8" ht="16.5" thickBot="1">
      <c r="A1347" s="464"/>
      <c r="B1347" s="1310" t="s">
        <v>13990</v>
      </c>
      <c r="C1347" s="1310"/>
      <c r="D1347" s="1310"/>
      <c r="E1347" s="1310"/>
      <c r="F1347" s="908" t="s">
        <v>22</v>
      </c>
      <c r="G1347" s="788">
        <f>SUM(G1340:G1346)</f>
        <v>64.91</v>
      </c>
      <c r="H1347" s="464"/>
    </row>
    <row r="1348" spans="1:8" ht="15">
      <c r="A1348" s="464"/>
      <c r="B1348" s="1265"/>
      <c r="C1348" s="1265"/>
      <c r="D1348" s="1265"/>
      <c r="E1348" s="1265"/>
      <c r="F1348" s="465"/>
      <c r="G1348" s="465"/>
      <c r="H1348" s="464"/>
    </row>
    <row r="1349" spans="1:8" ht="15">
      <c r="A1349" s="464"/>
      <c r="B1349" s="465"/>
      <c r="C1349" s="465"/>
      <c r="D1349" s="465"/>
      <c r="E1349" s="465"/>
      <c r="F1349" s="465"/>
      <c r="G1349" s="465"/>
      <c r="H1349" s="464"/>
    </row>
    <row r="1350" spans="1:8" ht="16.5" thickBot="1">
      <c r="A1350" s="832"/>
      <c r="B1350" s="1328" t="s">
        <v>13945</v>
      </c>
      <c r="C1350" s="1329"/>
      <c r="D1350" s="909"/>
      <c r="E1350" s="909"/>
      <c r="F1350" s="909"/>
      <c r="G1350" s="910"/>
      <c r="H1350" s="832"/>
    </row>
    <row r="1351" spans="1:8" ht="15.75">
      <c r="A1351" s="835"/>
      <c r="B1351" s="1330" t="s">
        <v>13991</v>
      </c>
      <c r="C1351" s="1331"/>
      <c r="D1351" s="1331"/>
      <c r="E1351" s="1331"/>
      <c r="F1351" s="1331"/>
      <c r="G1351" s="1332"/>
      <c r="H1351" s="835"/>
    </row>
    <row r="1352" spans="1:8" ht="15">
      <c r="A1352" s="835"/>
      <c r="B1352" s="837">
        <v>88264</v>
      </c>
      <c r="C1352" s="710" t="s">
        <v>771</v>
      </c>
      <c r="D1352" s="711" t="s">
        <v>753</v>
      </c>
      <c r="E1352" s="1333">
        <v>0.2</v>
      </c>
      <c r="F1352" s="1334"/>
      <c r="G1352" s="1335"/>
      <c r="H1352" s="835"/>
    </row>
    <row r="1353" spans="1:8" ht="15.75" thickBot="1">
      <c r="A1353" s="835"/>
      <c r="B1353" s="840">
        <v>88247</v>
      </c>
      <c r="C1353" s="710" t="s">
        <v>924</v>
      </c>
      <c r="D1353" s="711" t="s">
        <v>753</v>
      </c>
      <c r="E1353" s="1336">
        <v>0.2</v>
      </c>
      <c r="F1353" s="1337"/>
      <c r="G1353" s="1338"/>
      <c r="H1353" s="835"/>
    </row>
    <row r="1354" spans="1:8" ht="15.75">
      <c r="A1354" s="835"/>
      <c r="B1354" s="1330" t="s">
        <v>13947</v>
      </c>
      <c r="C1354" s="1331"/>
      <c r="D1354" s="1331"/>
      <c r="E1354" s="1339"/>
      <c r="F1354" s="911" t="s">
        <v>13465</v>
      </c>
      <c r="G1354" s="912" t="s">
        <v>13948</v>
      </c>
      <c r="H1354" s="835"/>
    </row>
    <row r="1355" spans="1:8" ht="15">
      <c r="A1355" s="835"/>
      <c r="B1355" s="837">
        <v>88264</v>
      </c>
      <c r="C1355" s="710" t="s">
        <v>771</v>
      </c>
      <c r="D1355" s="711" t="s">
        <v>753</v>
      </c>
      <c r="E1355" s="905">
        <v>0.01</v>
      </c>
      <c r="F1355" s="905">
        <v>12</v>
      </c>
      <c r="G1355" s="906">
        <f>E1355*F1355</f>
        <v>0.12</v>
      </c>
      <c r="H1355" s="835"/>
    </row>
    <row r="1356" spans="1:8" ht="15.75" thickBot="1">
      <c r="A1356" s="835"/>
      <c r="B1356" s="840">
        <v>88247</v>
      </c>
      <c r="C1356" s="717" t="s">
        <v>924</v>
      </c>
      <c r="D1356" s="718" t="s">
        <v>753</v>
      </c>
      <c r="E1356" s="913">
        <v>0.01</v>
      </c>
      <c r="F1356" s="913">
        <v>12</v>
      </c>
      <c r="G1356" s="914">
        <f>E1356*F1356</f>
        <v>0.12</v>
      </c>
      <c r="H1356" s="835"/>
    </row>
    <row r="1357" spans="1:8" ht="15.75">
      <c r="A1357" s="835"/>
      <c r="B1357" s="1330" t="s">
        <v>13949</v>
      </c>
      <c r="C1357" s="1331"/>
      <c r="D1357" s="1331"/>
      <c r="E1357" s="1339"/>
      <c r="F1357" s="911" t="s">
        <v>13465</v>
      </c>
      <c r="G1357" s="912" t="s">
        <v>13948</v>
      </c>
      <c r="H1357" s="835"/>
    </row>
    <row r="1358" spans="1:8" ht="15">
      <c r="A1358" s="835"/>
      <c r="B1358" s="837">
        <v>88264</v>
      </c>
      <c r="C1358" s="710" t="s">
        <v>771</v>
      </c>
      <c r="D1358" s="711" t="s">
        <v>753</v>
      </c>
      <c r="E1358" s="905">
        <v>0.01</v>
      </c>
      <c r="F1358" s="905">
        <v>12</v>
      </c>
      <c r="G1358" s="906">
        <f>E1358*F1358</f>
        <v>0.12</v>
      </c>
      <c r="H1358" s="835"/>
    </row>
    <row r="1359" spans="1:8" ht="15.75" thickBot="1">
      <c r="A1359" s="835"/>
      <c r="B1359" s="840">
        <v>88247</v>
      </c>
      <c r="C1359" s="717" t="s">
        <v>924</v>
      </c>
      <c r="D1359" s="718" t="s">
        <v>753</v>
      </c>
      <c r="E1359" s="913">
        <v>0.01</v>
      </c>
      <c r="F1359" s="913">
        <v>12</v>
      </c>
      <c r="G1359" s="914">
        <f>E1359*F1359</f>
        <v>0.12</v>
      </c>
      <c r="H1359" s="835"/>
    </row>
    <row r="1360" spans="1:8" ht="15.75">
      <c r="A1360" s="835"/>
      <c r="B1360" s="1340" t="s">
        <v>13950</v>
      </c>
      <c r="C1360" s="1341"/>
      <c r="D1360" s="1341"/>
      <c r="E1360" s="1342"/>
      <c r="F1360" s="911" t="s">
        <v>13465</v>
      </c>
      <c r="G1360" s="912" t="s">
        <v>13948</v>
      </c>
      <c r="H1360" s="835"/>
    </row>
    <row r="1361" spans="1:8" ht="15">
      <c r="A1361" s="835"/>
      <c r="B1361" s="837">
        <v>88264</v>
      </c>
      <c r="C1361" s="710" t="s">
        <v>771</v>
      </c>
      <c r="D1361" s="711" t="s">
        <v>753</v>
      </c>
      <c r="E1361" s="905">
        <v>0.01</v>
      </c>
      <c r="F1361" s="905">
        <v>12</v>
      </c>
      <c r="G1361" s="906">
        <f>E1361*F1361</f>
        <v>0.12</v>
      </c>
      <c r="H1361" s="835"/>
    </row>
    <row r="1362" spans="1:8" ht="15.75" thickBot="1">
      <c r="A1362" s="835"/>
      <c r="B1362" s="840">
        <v>88247</v>
      </c>
      <c r="C1362" s="717" t="s">
        <v>924</v>
      </c>
      <c r="D1362" s="718" t="s">
        <v>753</v>
      </c>
      <c r="E1362" s="913">
        <v>0.01</v>
      </c>
      <c r="F1362" s="913">
        <v>12</v>
      </c>
      <c r="G1362" s="914">
        <f>E1362*F1362</f>
        <v>0.12</v>
      </c>
      <c r="H1362" s="835"/>
    </row>
    <row r="1363" spans="1:8" ht="15.75">
      <c r="A1363" s="835"/>
      <c r="B1363" s="1330" t="s">
        <v>13951</v>
      </c>
      <c r="C1363" s="1331"/>
      <c r="D1363" s="1331"/>
      <c r="E1363" s="1331"/>
      <c r="F1363" s="1331"/>
      <c r="G1363" s="1332"/>
      <c r="H1363" s="835"/>
    </row>
    <row r="1364" spans="1:8" ht="15">
      <c r="A1364" s="835"/>
      <c r="B1364" s="837">
        <v>88264</v>
      </c>
      <c r="C1364" s="710" t="s">
        <v>771</v>
      </c>
      <c r="D1364" s="711" t="s">
        <v>753</v>
      </c>
      <c r="E1364" s="1333">
        <f>E1352+G1355+G1358+G1361</f>
        <v>0.56000000000000005</v>
      </c>
      <c r="F1364" s="1334"/>
      <c r="G1364" s="1335"/>
      <c r="H1364" s="835"/>
    </row>
    <row r="1365" spans="1:8" ht="15.75" thickBot="1">
      <c r="A1365" s="835"/>
      <c r="B1365" s="840">
        <v>88247</v>
      </c>
      <c r="C1365" s="717" t="s">
        <v>924</v>
      </c>
      <c r="D1365" s="718" t="s">
        <v>753</v>
      </c>
      <c r="E1365" s="1336">
        <f>E1353+G1356+G1359+G1362</f>
        <v>0.56000000000000005</v>
      </c>
      <c r="F1365" s="1337"/>
      <c r="G1365" s="1338"/>
      <c r="H1365" s="835"/>
    </row>
    <row r="1366" spans="1:8" ht="15">
      <c r="A1366" s="464"/>
      <c r="B1366" s="850"/>
      <c r="C1366" s="464"/>
      <c r="D1366" s="464"/>
      <c r="E1366" s="464"/>
      <c r="F1366" s="464"/>
      <c r="G1366" s="765"/>
      <c r="H1366" s="464"/>
    </row>
    <row r="1367" spans="1:8" ht="35.25">
      <c r="A1367" s="489"/>
      <c r="B1367" s="921"/>
      <c r="C1367" s="923" t="s">
        <v>13992</v>
      </c>
      <c r="D1367" s="923"/>
      <c r="E1367" s="924"/>
      <c r="F1367" s="925"/>
      <c r="G1367" s="924"/>
      <c r="H1367" s="915" t="s">
        <v>13934</v>
      </c>
    </row>
    <row r="1368" spans="1:8" ht="31.5">
      <c r="A1368" s="489"/>
      <c r="B1368" s="669" t="s">
        <v>13502</v>
      </c>
      <c r="C1368" s="669" t="s">
        <v>13503</v>
      </c>
      <c r="D1368" s="670" t="s">
        <v>13504</v>
      </c>
      <c r="E1368" s="671" t="s">
        <v>13505</v>
      </c>
      <c r="F1368" s="647" t="s">
        <v>13506</v>
      </c>
      <c r="G1368" s="926" t="s">
        <v>13507</v>
      </c>
      <c r="H1368" s="489"/>
    </row>
    <row r="1369" spans="1:8" ht="15">
      <c r="A1369" s="489"/>
      <c r="B1369" s="895">
        <v>43383</v>
      </c>
      <c r="C1369" s="630" t="s">
        <v>13983</v>
      </c>
      <c r="D1369" s="593">
        <v>36.54</v>
      </c>
      <c r="E1369" s="789" t="s">
        <v>13929</v>
      </c>
      <c r="F1369" s="595" t="s">
        <v>13852</v>
      </c>
      <c r="G1369" s="878" t="s">
        <v>13984</v>
      </c>
      <c r="H1369" s="489"/>
    </row>
    <row r="1370" spans="1:8" ht="15">
      <c r="A1370" s="489"/>
      <c r="B1370" s="895">
        <v>43383</v>
      </c>
      <c r="C1370" s="630" t="s">
        <v>13985</v>
      </c>
      <c r="D1370" s="613">
        <v>31.24</v>
      </c>
      <c r="E1370" s="789" t="s">
        <v>13965</v>
      </c>
      <c r="F1370" s="595" t="s">
        <v>13966</v>
      </c>
      <c r="G1370" s="878" t="s">
        <v>13986</v>
      </c>
      <c r="H1370" s="489"/>
    </row>
    <row r="1371" spans="1:8" ht="15">
      <c r="A1371" s="489"/>
      <c r="B1371" s="895"/>
      <c r="C1371" s="630"/>
      <c r="D1371" s="593"/>
      <c r="E1371" s="789"/>
      <c r="F1371" s="927"/>
      <c r="G1371" s="928"/>
      <c r="H1371" s="489"/>
    </row>
    <row r="1372" spans="1:8" ht="16.5" thickBot="1">
      <c r="A1372" s="489"/>
      <c r="B1372" s="929"/>
      <c r="C1372" s="921"/>
      <c r="D1372" s="793">
        <f>MEDIAN(D1369:D1371)</f>
        <v>33.89</v>
      </c>
      <c r="E1372" s="930"/>
      <c r="F1372" s="931"/>
      <c r="G1372" s="932"/>
      <c r="H1372" s="489"/>
    </row>
    <row r="1373" spans="1:8" ht="15.75">
      <c r="A1373" s="464"/>
      <c r="B1373" s="704" t="str">
        <f>IF(COUNT($H$8:H1373)&lt;10,CONCATENATE("COMP ELE 00",COUNT($H$8:H1373)),CONCATENATE("COMP ELE 0",COUNT($H$8:H1373)))</f>
        <v>COMP ELE 098</v>
      </c>
      <c r="C1373" s="1257" t="s">
        <v>12975</v>
      </c>
      <c r="D1373" s="1225"/>
      <c r="E1373" s="1225"/>
      <c r="F1373" s="1225"/>
      <c r="G1373" s="705" t="s">
        <v>28</v>
      </c>
      <c r="H1373" s="570">
        <f>G1383</f>
        <v>39.17</v>
      </c>
    </row>
    <row r="1374" spans="1:8" ht="31.5">
      <c r="A1374" s="464"/>
      <c r="B1374" s="469" t="s">
        <v>13463</v>
      </c>
      <c r="C1374" s="707" t="s">
        <v>13464</v>
      </c>
      <c r="D1374" s="470" t="s">
        <v>28</v>
      </c>
      <c r="E1374" s="707" t="s">
        <v>13465</v>
      </c>
      <c r="F1374" s="293" t="s">
        <v>13466</v>
      </c>
      <c r="G1374" s="708" t="s">
        <v>13467</v>
      </c>
      <c r="H1374" s="464"/>
    </row>
    <row r="1375" spans="1:8" ht="15.75">
      <c r="A1375" s="464"/>
      <c r="B1375" s="1314" t="s">
        <v>13468</v>
      </c>
      <c r="C1375" s="1315"/>
      <c r="D1375" s="1315"/>
      <c r="E1375" s="1315"/>
      <c r="F1375" s="1315"/>
      <c r="G1375" s="1316"/>
      <c r="H1375" s="464"/>
    </row>
    <row r="1376" spans="1:8" ht="15">
      <c r="A1376" s="464"/>
      <c r="B1376" s="862" t="s">
        <v>13497</v>
      </c>
      <c r="C1376" s="863" t="str">
        <f>C1402</f>
        <v>REDUÇÃO CONCÊNTRICA 200X50MM PARA 100X50MM</v>
      </c>
      <c r="D1376" s="872" t="str">
        <f>D1374</f>
        <v>UN</v>
      </c>
      <c r="E1376" s="815">
        <v>1</v>
      </c>
      <c r="F1376" s="815">
        <f>D1407</f>
        <v>24.344999999999999</v>
      </c>
      <c r="G1376" s="845">
        <f>TRUNC(F1376*E1376,2)</f>
        <v>24.34</v>
      </c>
      <c r="H1376" s="464"/>
    </row>
    <row r="1377" spans="1:12" ht="30">
      <c r="A1377" s="473" t="s">
        <v>13458</v>
      </c>
      <c r="B1377" s="799">
        <v>11962</v>
      </c>
      <c r="C1377" s="710" t="s">
        <v>957</v>
      </c>
      <c r="D1377" s="711" t="s">
        <v>6636</v>
      </c>
      <c r="E1377" s="749">
        <v>4</v>
      </c>
      <c r="F1377" s="713">
        <v>0.15</v>
      </c>
      <c r="G1377" s="750">
        <f t="shared" ref="G1377:G1379" si="12">TRUNC(F1377*E1377,2)</f>
        <v>0.6</v>
      </c>
      <c r="H1377" s="464"/>
    </row>
    <row r="1378" spans="1:12" ht="30">
      <c r="A1378" s="473" t="s">
        <v>13458</v>
      </c>
      <c r="B1378" s="799">
        <v>39211</v>
      </c>
      <c r="C1378" s="710" t="s">
        <v>6961</v>
      </c>
      <c r="D1378" s="711" t="s">
        <v>6636</v>
      </c>
      <c r="E1378" s="749">
        <v>4</v>
      </c>
      <c r="F1378" s="713">
        <v>0.89</v>
      </c>
      <c r="G1378" s="750">
        <f t="shared" si="12"/>
        <v>3.56</v>
      </c>
      <c r="H1378" s="464"/>
      <c r="K1378" s="799">
        <v>11962</v>
      </c>
      <c r="L1378" s="749">
        <v>4</v>
      </c>
    </row>
    <row r="1379" spans="1:12" ht="15.75">
      <c r="A1379" s="473" t="s">
        <v>13458</v>
      </c>
      <c r="B1379" s="799">
        <v>39997</v>
      </c>
      <c r="C1379" s="710" t="s">
        <v>10140</v>
      </c>
      <c r="D1379" s="711" t="s">
        <v>6636</v>
      </c>
      <c r="E1379" s="749">
        <v>4</v>
      </c>
      <c r="F1379" s="713">
        <v>0.21</v>
      </c>
      <c r="G1379" s="750">
        <f t="shared" si="12"/>
        <v>0.84</v>
      </c>
      <c r="H1379" s="464"/>
      <c r="K1379" s="799">
        <v>39211</v>
      </c>
      <c r="L1379" s="749">
        <v>4</v>
      </c>
    </row>
    <row r="1380" spans="1:12" ht="15.75">
      <c r="A1380" s="464"/>
      <c r="B1380" s="1314" t="s">
        <v>13469</v>
      </c>
      <c r="C1380" s="1315"/>
      <c r="D1380" s="1315"/>
      <c r="E1380" s="1315"/>
      <c r="F1380" s="1315"/>
      <c r="G1380" s="1316"/>
      <c r="H1380" s="464"/>
      <c r="K1380" s="799">
        <v>39997</v>
      </c>
      <c r="L1380" s="749">
        <v>4</v>
      </c>
    </row>
    <row r="1381" spans="1:12" ht="15.75">
      <c r="A1381" s="473" t="s">
        <v>13459</v>
      </c>
      <c r="B1381" s="751">
        <v>88264</v>
      </c>
      <c r="C1381" s="710" t="s">
        <v>771</v>
      </c>
      <c r="D1381" s="711" t="s">
        <v>753</v>
      </c>
      <c r="E1381" s="752">
        <v>0.27</v>
      </c>
      <c r="F1381" s="713">
        <v>20.52</v>
      </c>
      <c r="G1381" s="750">
        <f>TRUNC(F1381*E1381,2)</f>
        <v>5.54</v>
      </c>
      <c r="H1381" s="464"/>
    </row>
    <row r="1382" spans="1:12" ht="16.5" thickBot="1">
      <c r="A1382" s="473" t="s">
        <v>13459</v>
      </c>
      <c r="B1382" s="753">
        <v>88316</v>
      </c>
      <c r="C1382" s="717" t="s">
        <v>761</v>
      </c>
      <c r="D1382" s="718" t="s">
        <v>753</v>
      </c>
      <c r="E1382" s="754">
        <v>0.27</v>
      </c>
      <c r="F1382" s="720">
        <v>15.91</v>
      </c>
      <c r="G1382" s="755">
        <f>TRUNC(F1382*E1382,2)</f>
        <v>4.29</v>
      </c>
      <c r="H1382" s="464"/>
    </row>
    <row r="1383" spans="1:12" ht="16.5" thickBot="1">
      <c r="A1383" s="464"/>
      <c r="B1383" s="1310" t="s">
        <v>13993</v>
      </c>
      <c r="C1383" s="1310"/>
      <c r="D1383" s="1310"/>
      <c r="E1383" s="1310"/>
      <c r="F1383" s="908" t="s">
        <v>22</v>
      </c>
      <c r="G1383" s="788">
        <f>SUM(G1376:G1382)</f>
        <v>39.17</v>
      </c>
      <c r="H1383" s="464"/>
    </row>
    <row r="1384" spans="1:12">
      <c r="B1384" s="1265"/>
      <c r="C1384" s="1265"/>
      <c r="D1384" s="1265"/>
      <c r="E1384" s="1265"/>
    </row>
    <row r="1386" spans="1:12" ht="16.5" thickBot="1">
      <c r="A1386" s="832"/>
      <c r="B1386" s="1328" t="s">
        <v>13945</v>
      </c>
      <c r="C1386" s="1329"/>
      <c r="D1386" s="909"/>
      <c r="E1386" s="909"/>
      <c r="F1386" s="909"/>
      <c r="G1386" s="910"/>
      <c r="H1386" s="832"/>
    </row>
    <row r="1387" spans="1:12" ht="15.75">
      <c r="A1387" s="835"/>
      <c r="B1387" s="1330" t="s">
        <v>13994</v>
      </c>
      <c r="C1387" s="1331"/>
      <c r="D1387" s="1331"/>
      <c r="E1387" s="1331"/>
      <c r="F1387" s="1331"/>
      <c r="G1387" s="1332"/>
      <c r="H1387" s="835"/>
    </row>
    <row r="1388" spans="1:12" ht="15">
      <c r="A1388" s="835"/>
      <c r="B1388" s="837">
        <v>88264</v>
      </c>
      <c r="C1388" s="710" t="s">
        <v>771</v>
      </c>
      <c r="D1388" s="711" t="s">
        <v>753</v>
      </c>
      <c r="E1388" s="1333">
        <v>0.15</v>
      </c>
      <c r="F1388" s="1334"/>
      <c r="G1388" s="1335"/>
      <c r="H1388" s="835"/>
    </row>
    <row r="1389" spans="1:12" ht="15.75" thickBot="1">
      <c r="A1389" s="835"/>
      <c r="B1389" s="840">
        <v>88247</v>
      </c>
      <c r="C1389" s="710" t="s">
        <v>924</v>
      </c>
      <c r="D1389" s="711" t="s">
        <v>753</v>
      </c>
      <c r="E1389" s="1336">
        <v>0.15</v>
      </c>
      <c r="F1389" s="1337"/>
      <c r="G1389" s="1338"/>
      <c r="H1389" s="835"/>
    </row>
    <row r="1390" spans="1:12" ht="15.75">
      <c r="A1390" s="835"/>
      <c r="B1390" s="1330" t="s">
        <v>13947</v>
      </c>
      <c r="C1390" s="1331"/>
      <c r="D1390" s="1331"/>
      <c r="E1390" s="1339"/>
      <c r="F1390" s="911" t="s">
        <v>13465</v>
      </c>
      <c r="G1390" s="912" t="s">
        <v>13948</v>
      </c>
      <c r="H1390" s="835"/>
    </row>
    <row r="1391" spans="1:12" ht="15">
      <c r="A1391" s="835"/>
      <c r="B1391" s="837">
        <v>88264</v>
      </c>
      <c r="C1391" s="710" t="s">
        <v>771</v>
      </c>
      <c r="D1391" s="711" t="s">
        <v>753</v>
      </c>
      <c r="E1391" s="905">
        <v>0.01</v>
      </c>
      <c r="F1391" s="905">
        <v>4</v>
      </c>
      <c r="G1391" s="906">
        <f>E1391*F1391</f>
        <v>0.04</v>
      </c>
      <c r="H1391" s="835"/>
    </row>
    <row r="1392" spans="1:12" ht="15.75" thickBot="1">
      <c r="A1392" s="835"/>
      <c r="B1392" s="840">
        <v>88247</v>
      </c>
      <c r="C1392" s="717" t="s">
        <v>924</v>
      </c>
      <c r="D1392" s="718" t="s">
        <v>753</v>
      </c>
      <c r="E1392" s="913">
        <v>0.01</v>
      </c>
      <c r="F1392" s="913">
        <v>4</v>
      </c>
      <c r="G1392" s="914">
        <f>E1392*F1392</f>
        <v>0.04</v>
      </c>
      <c r="H1392" s="835"/>
    </row>
    <row r="1393" spans="1:8" ht="15.75">
      <c r="A1393" s="835"/>
      <c r="B1393" s="1330" t="s">
        <v>13949</v>
      </c>
      <c r="C1393" s="1331"/>
      <c r="D1393" s="1331"/>
      <c r="E1393" s="1339"/>
      <c r="F1393" s="911" t="s">
        <v>13465</v>
      </c>
      <c r="G1393" s="912" t="s">
        <v>13948</v>
      </c>
      <c r="H1393" s="835"/>
    </row>
    <row r="1394" spans="1:8" ht="15">
      <c r="A1394" s="835"/>
      <c r="B1394" s="837">
        <v>88264</v>
      </c>
      <c r="C1394" s="710" t="s">
        <v>771</v>
      </c>
      <c r="D1394" s="711" t="s">
        <v>753</v>
      </c>
      <c r="E1394" s="905">
        <v>0.01</v>
      </c>
      <c r="F1394" s="905">
        <v>4</v>
      </c>
      <c r="G1394" s="906">
        <f>E1394*F1394</f>
        <v>0.04</v>
      </c>
      <c r="H1394" s="835"/>
    </row>
    <row r="1395" spans="1:8" ht="15.75" thickBot="1">
      <c r="A1395" s="835"/>
      <c r="B1395" s="840">
        <v>88247</v>
      </c>
      <c r="C1395" s="717" t="s">
        <v>924</v>
      </c>
      <c r="D1395" s="718" t="s">
        <v>753</v>
      </c>
      <c r="E1395" s="913">
        <v>0.01</v>
      </c>
      <c r="F1395" s="913">
        <v>4</v>
      </c>
      <c r="G1395" s="914">
        <f>E1395*F1395</f>
        <v>0.04</v>
      </c>
      <c r="H1395" s="835"/>
    </row>
    <row r="1396" spans="1:8" ht="15.75">
      <c r="A1396" s="835"/>
      <c r="B1396" s="1340" t="s">
        <v>13950</v>
      </c>
      <c r="C1396" s="1341"/>
      <c r="D1396" s="1341"/>
      <c r="E1396" s="1342"/>
      <c r="F1396" s="911" t="s">
        <v>13465</v>
      </c>
      <c r="G1396" s="912" t="s">
        <v>13948</v>
      </c>
      <c r="H1396" s="835"/>
    </row>
    <row r="1397" spans="1:8" ht="15">
      <c r="A1397" s="835"/>
      <c r="B1397" s="837">
        <v>88264</v>
      </c>
      <c r="C1397" s="710" t="s">
        <v>771</v>
      </c>
      <c r="D1397" s="711" t="s">
        <v>753</v>
      </c>
      <c r="E1397" s="905">
        <v>0.01</v>
      </c>
      <c r="F1397" s="905">
        <v>4</v>
      </c>
      <c r="G1397" s="906">
        <f>E1397*F1397</f>
        <v>0.04</v>
      </c>
      <c r="H1397" s="835"/>
    </row>
    <row r="1398" spans="1:8" ht="15.75" thickBot="1">
      <c r="A1398" s="835"/>
      <c r="B1398" s="840">
        <v>88247</v>
      </c>
      <c r="C1398" s="717" t="s">
        <v>924</v>
      </c>
      <c r="D1398" s="718" t="s">
        <v>753</v>
      </c>
      <c r="E1398" s="913">
        <v>0.01</v>
      </c>
      <c r="F1398" s="913">
        <v>4</v>
      </c>
      <c r="G1398" s="914">
        <f>E1398*F1398</f>
        <v>0.04</v>
      </c>
      <c r="H1398" s="835"/>
    </row>
    <row r="1399" spans="1:8" ht="15.75">
      <c r="A1399" s="835"/>
      <c r="B1399" s="1330" t="s">
        <v>13951</v>
      </c>
      <c r="C1399" s="1331"/>
      <c r="D1399" s="1331"/>
      <c r="E1399" s="1331"/>
      <c r="F1399" s="1331"/>
      <c r="G1399" s="1332"/>
      <c r="H1399" s="835"/>
    </row>
    <row r="1400" spans="1:8" ht="15">
      <c r="A1400" s="835"/>
      <c r="B1400" s="837">
        <v>88264</v>
      </c>
      <c r="C1400" s="710" t="s">
        <v>771</v>
      </c>
      <c r="D1400" s="711" t="s">
        <v>753</v>
      </c>
      <c r="E1400" s="1333">
        <f>E1388+G1391+G1394+G1397</f>
        <v>0.27</v>
      </c>
      <c r="F1400" s="1334"/>
      <c r="G1400" s="1335"/>
      <c r="H1400" s="835"/>
    </row>
    <row r="1401" spans="1:8" ht="15.75" thickBot="1">
      <c r="A1401" s="835"/>
      <c r="B1401" s="840">
        <v>88247</v>
      </c>
      <c r="C1401" s="717" t="s">
        <v>924</v>
      </c>
      <c r="D1401" s="718" t="s">
        <v>753</v>
      </c>
      <c r="E1401" s="1336">
        <f>E1389+G1392+G1395+G1398</f>
        <v>0.27</v>
      </c>
      <c r="F1401" s="1337"/>
      <c r="G1401" s="1338"/>
      <c r="H1401" s="835"/>
    </row>
    <row r="1402" spans="1:8" ht="15.75">
      <c r="A1402" s="464"/>
      <c r="B1402" s="921"/>
      <c r="C1402" s="922" t="s">
        <v>13995</v>
      </c>
      <c r="D1402" s="923"/>
      <c r="E1402" s="924"/>
      <c r="F1402" s="925"/>
      <c r="G1402" s="924"/>
      <c r="H1402" s="464"/>
    </row>
    <row r="1403" spans="1:8" ht="31.5">
      <c r="B1403" s="669" t="s">
        <v>13502</v>
      </c>
      <c r="C1403" s="669" t="s">
        <v>13503</v>
      </c>
      <c r="D1403" s="670" t="s">
        <v>13504</v>
      </c>
      <c r="E1403" s="671" t="s">
        <v>13505</v>
      </c>
      <c r="F1403" s="647" t="s">
        <v>13506</v>
      </c>
      <c r="G1403" s="926" t="s">
        <v>13507</v>
      </c>
    </row>
    <row r="1404" spans="1:8" ht="15">
      <c r="B1404" s="895">
        <v>43383</v>
      </c>
      <c r="C1404" s="630" t="s">
        <v>13983</v>
      </c>
      <c r="D1404" s="593">
        <v>24.52</v>
      </c>
      <c r="E1404" s="789" t="s">
        <v>13929</v>
      </c>
      <c r="F1404" s="595" t="s">
        <v>13852</v>
      </c>
      <c r="G1404" s="878" t="s">
        <v>13984</v>
      </c>
    </row>
    <row r="1405" spans="1:8" ht="15">
      <c r="B1405" s="895">
        <v>43383</v>
      </c>
      <c r="C1405" s="630" t="s">
        <v>13985</v>
      </c>
      <c r="D1405" s="613">
        <v>24.17</v>
      </c>
      <c r="E1405" s="789" t="s">
        <v>13965</v>
      </c>
      <c r="F1405" s="595" t="s">
        <v>13966</v>
      </c>
      <c r="G1405" s="878" t="s">
        <v>13986</v>
      </c>
    </row>
    <row r="1406" spans="1:8" ht="15">
      <c r="B1406" s="895"/>
      <c r="C1406" s="630"/>
      <c r="D1406" s="593"/>
      <c r="E1406" s="789"/>
      <c r="F1406" s="927"/>
      <c r="G1406" s="928"/>
    </row>
    <row r="1407" spans="1:8" ht="16.5" thickBot="1">
      <c r="B1407" s="929"/>
      <c r="C1407" s="921"/>
      <c r="D1407" s="793">
        <f>MEDIAN(D1404:D1406)</f>
        <v>24.344999999999999</v>
      </c>
      <c r="E1407" s="930"/>
      <c r="F1407" s="931"/>
      <c r="G1407" s="932"/>
    </row>
    <row r="1408" spans="1:8" ht="24" customHeight="1">
      <c r="A1408" s="464"/>
      <c r="B1408" s="704" t="str">
        <f>IF(COUNT($H$8:H1408)&lt;10,CONCATENATE("COMP ELE 00",COUNT($H$8:H1408)),CONCATENATE("COMP ELE 0",COUNT($H$8:H1408)))</f>
        <v>COMP ELE 099</v>
      </c>
      <c r="C1408" s="1257" t="str">
        <f>CONCATENATE("FORNECIMENTO E INSTALAÇÃO DE ",C1411)</f>
        <v>FORNECIMENTO E INSTALAÇÃO DE EMENDA PARA ELETROCALHA 200X50MM</v>
      </c>
      <c r="D1408" s="1225"/>
      <c r="E1408" s="1225"/>
      <c r="F1408" s="1225"/>
      <c r="G1408" s="705" t="s">
        <v>28</v>
      </c>
      <c r="H1408" s="570">
        <f>G1418</f>
        <v>24.27</v>
      </c>
    </row>
    <row r="1409" spans="1:8" ht="31.5">
      <c r="A1409" s="464"/>
      <c r="B1409" s="469" t="s">
        <v>13463</v>
      </c>
      <c r="C1409" s="707" t="s">
        <v>13464</v>
      </c>
      <c r="D1409" s="470" t="s">
        <v>28</v>
      </c>
      <c r="E1409" s="707" t="s">
        <v>13465</v>
      </c>
      <c r="F1409" s="293" t="s">
        <v>13466</v>
      </c>
      <c r="G1409" s="708" t="s">
        <v>13467</v>
      </c>
      <c r="H1409" s="464"/>
    </row>
    <row r="1410" spans="1:8" ht="15.75">
      <c r="A1410" s="464"/>
      <c r="B1410" s="1314" t="s">
        <v>13468</v>
      </c>
      <c r="C1410" s="1315"/>
      <c r="D1410" s="1315"/>
      <c r="E1410" s="1315"/>
      <c r="F1410" s="1315"/>
      <c r="G1410" s="1316"/>
      <c r="H1410" s="464"/>
    </row>
    <row r="1411" spans="1:8" ht="15">
      <c r="A1411" s="464"/>
      <c r="B1411" s="862" t="s">
        <v>13497</v>
      </c>
      <c r="C1411" s="863" t="str">
        <f>C1438</f>
        <v>EMENDA PARA ELETROCALHA 200X50MM</v>
      </c>
      <c r="D1411" s="872">
        <f>G1438</f>
        <v>0</v>
      </c>
      <c r="E1411" s="815">
        <v>1</v>
      </c>
      <c r="F1411" s="815">
        <f>D1443</f>
        <v>7.62</v>
      </c>
      <c r="G1411" s="845">
        <f>TRUNC(F1411*E1411,2)</f>
        <v>7.62</v>
      </c>
      <c r="H1411" s="464"/>
    </row>
    <row r="1412" spans="1:8" ht="30">
      <c r="A1412" s="473" t="s">
        <v>13458</v>
      </c>
      <c r="B1412" s="799">
        <v>11962</v>
      </c>
      <c r="C1412" s="710" t="s">
        <v>957</v>
      </c>
      <c r="D1412" s="711" t="s">
        <v>6636</v>
      </c>
      <c r="E1412" s="749">
        <v>4</v>
      </c>
      <c r="F1412" s="713">
        <v>0.15</v>
      </c>
      <c r="G1412" s="750">
        <f t="shared" ref="G1412:G1414" si="13">TRUNC(F1412*E1412,2)</f>
        <v>0.6</v>
      </c>
      <c r="H1412" s="464"/>
    </row>
    <row r="1413" spans="1:8" ht="30">
      <c r="A1413" s="473" t="s">
        <v>13458</v>
      </c>
      <c r="B1413" s="799">
        <v>39211</v>
      </c>
      <c r="C1413" s="710" t="s">
        <v>6961</v>
      </c>
      <c r="D1413" s="711" t="s">
        <v>6636</v>
      </c>
      <c r="E1413" s="749">
        <v>4</v>
      </c>
      <c r="F1413" s="713">
        <v>0.89</v>
      </c>
      <c r="G1413" s="750">
        <f t="shared" si="13"/>
        <v>3.56</v>
      </c>
      <c r="H1413" s="464"/>
    </row>
    <row r="1414" spans="1:8" ht="15.75">
      <c r="A1414" s="473" t="s">
        <v>13458</v>
      </c>
      <c r="B1414" s="799">
        <v>39997</v>
      </c>
      <c r="C1414" s="710" t="s">
        <v>10140</v>
      </c>
      <c r="D1414" s="711" t="s">
        <v>6636</v>
      </c>
      <c r="E1414" s="749">
        <v>4</v>
      </c>
      <c r="F1414" s="713">
        <v>0.21</v>
      </c>
      <c r="G1414" s="750">
        <f t="shared" si="13"/>
        <v>0.84</v>
      </c>
      <c r="H1414" s="464"/>
    </row>
    <row r="1415" spans="1:8" ht="15.75">
      <c r="A1415" s="464"/>
      <c r="B1415" s="1314" t="s">
        <v>13469</v>
      </c>
      <c r="C1415" s="1315"/>
      <c r="D1415" s="1315"/>
      <c r="E1415" s="1315"/>
      <c r="F1415" s="1315"/>
      <c r="G1415" s="1316"/>
      <c r="H1415" s="464"/>
    </row>
    <row r="1416" spans="1:8" ht="15.75">
      <c r="A1416" s="473" t="s">
        <v>13459</v>
      </c>
      <c r="B1416" s="751">
        <v>88264</v>
      </c>
      <c r="C1416" s="710" t="s">
        <v>771</v>
      </c>
      <c r="D1416" s="711" t="s">
        <v>753</v>
      </c>
      <c r="E1416" s="752">
        <v>0.32</v>
      </c>
      <c r="F1416" s="713">
        <v>20.52</v>
      </c>
      <c r="G1416" s="750">
        <f>TRUNC(F1416*E1416,2)</f>
        <v>6.56</v>
      </c>
      <c r="H1416" s="464"/>
    </row>
    <row r="1417" spans="1:8" ht="16.5" thickBot="1">
      <c r="A1417" s="473" t="s">
        <v>13459</v>
      </c>
      <c r="B1417" s="753">
        <v>88316</v>
      </c>
      <c r="C1417" s="717" t="s">
        <v>761</v>
      </c>
      <c r="D1417" s="718" t="s">
        <v>753</v>
      </c>
      <c r="E1417" s="754">
        <v>0.32</v>
      </c>
      <c r="F1417" s="720">
        <v>15.91</v>
      </c>
      <c r="G1417" s="755">
        <f>TRUNC(F1417*E1417,2)</f>
        <v>5.09</v>
      </c>
      <c r="H1417" s="464"/>
    </row>
    <row r="1418" spans="1:8" ht="16.5" thickBot="1">
      <c r="A1418" s="464"/>
      <c r="B1418" s="1310" t="s">
        <v>13971</v>
      </c>
      <c r="C1418" s="1310"/>
      <c r="D1418" s="1310"/>
      <c r="E1418" s="1310"/>
      <c r="F1418" s="787" t="s">
        <v>22</v>
      </c>
      <c r="G1418" s="788">
        <f>SUM(G1410:G1417)</f>
        <v>24.27</v>
      </c>
      <c r="H1418" s="464"/>
    </row>
    <row r="1419" spans="1:8" ht="15">
      <c r="A1419" s="464"/>
      <c r="B1419" s="1265"/>
      <c r="C1419" s="1265"/>
      <c r="D1419" s="1265"/>
      <c r="E1419" s="1265"/>
      <c r="F1419" s="465"/>
      <c r="G1419" s="465"/>
      <c r="H1419" s="464"/>
    </row>
    <row r="1420" spans="1:8" ht="15">
      <c r="A1420" s="464"/>
      <c r="B1420" s="465"/>
      <c r="C1420" s="465"/>
      <c r="D1420" s="465"/>
      <c r="E1420" s="465"/>
      <c r="F1420" s="465"/>
      <c r="G1420" s="465"/>
      <c r="H1420" s="464"/>
    </row>
    <row r="1421" spans="1:8" ht="16.5" thickBot="1">
      <c r="A1421" s="832"/>
      <c r="B1421" s="1328" t="s">
        <v>13945</v>
      </c>
      <c r="C1421" s="1329"/>
      <c r="D1421" s="909"/>
      <c r="E1421" s="909"/>
      <c r="F1421" s="909"/>
      <c r="G1421" s="910"/>
      <c r="H1421" s="832"/>
    </row>
    <row r="1422" spans="1:8" ht="15.75">
      <c r="A1422" s="835"/>
      <c r="B1422" s="1330" t="s">
        <v>13972</v>
      </c>
      <c r="C1422" s="1331"/>
      <c r="D1422" s="1331"/>
      <c r="E1422" s="1331"/>
      <c r="F1422" s="1331"/>
      <c r="G1422" s="1332"/>
      <c r="H1422" s="835"/>
    </row>
    <row r="1423" spans="1:8" ht="15">
      <c r="A1423" s="835"/>
      <c r="B1423" s="837">
        <v>88264</v>
      </c>
      <c r="C1423" s="710" t="s">
        <v>771</v>
      </c>
      <c r="D1423" s="711" t="s">
        <v>753</v>
      </c>
      <c r="E1423" s="1333">
        <v>0.2</v>
      </c>
      <c r="F1423" s="1334"/>
      <c r="G1423" s="1335"/>
      <c r="H1423" s="835"/>
    </row>
    <row r="1424" spans="1:8" ht="15.75" thickBot="1">
      <c r="A1424" s="835"/>
      <c r="B1424" s="840">
        <v>88247</v>
      </c>
      <c r="C1424" s="710" t="s">
        <v>924</v>
      </c>
      <c r="D1424" s="711" t="s">
        <v>753</v>
      </c>
      <c r="E1424" s="1336">
        <v>0.2</v>
      </c>
      <c r="F1424" s="1337"/>
      <c r="G1424" s="1338"/>
      <c r="H1424" s="835"/>
    </row>
    <row r="1425" spans="1:8" ht="15.75">
      <c r="A1425" s="835"/>
      <c r="B1425" s="1330" t="s">
        <v>13947</v>
      </c>
      <c r="C1425" s="1331"/>
      <c r="D1425" s="1331"/>
      <c r="E1425" s="1339"/>
      <c r="F1425" s="911" t="s">
        <v>13465</v>
      </c>
      <c r="G1425" s="912" t="s">
        <v>13948</v>
      </c>
      <c r="H1425" s="835"/>
    </row>
    <row r="1426" spans="1:8" ht="15">
      <c r="A1426" s="835"/>
      <c r="B1426" s="837">
        <v>88264</v>
      </c>
      <c r="C1426" s="710" t="s">
        <v>771</v>
      </c>
      <c r="D1426" s="711" t="s">
        <v>753</v>
      </c>
      <c r="E1426" s="905">
        <v>0.01</v>
      </c>
      <c r="F1426" s="905">
        <v>4</v>
      </c>
      <c r="G1426" s="906">
        <f>E1426*F1426</f>
        <v>0.04</v>
      </c>
      <c r="H1426" s="835"/>
    </row>
    <row r="1427" spans="1:8" ht="15.75" thickBot="1">
      <c r="A1427" s="835"/>
      <c r="B1427" s="840">
        <v>88247</v>
      </c>
      <c r="C1427" s="717" t="s">
        <v>924</v>
      </c>
      <c r="D1427" s="718" t="s">
        <v>753</v>
      </c>
      <c r="E1427" s="913">
        <v>0.01</v>
      </c>
      <c r="F1427" s="913">
        <v>4</v>
      </c>
      <c r="G1427" s="914">
        <f>E1427*F1427</f>
        <v>0.04</v>
      </c>
      <c r="H1427" s="835"/>
    </row>
    <row r="1428" spans="1:8" ht="15.75">
      <c r="A1428" s="835"/>
      <c r="B1428" s="1330" t="s">
        <v>13949</v>
      </c>
      <c r="C1428" s="1331"/>
      <c r="D1428" s="1331"/>
      <c r="E1428" s="1339"/>
      <c r="F1428" s="911" t="s">
        <v>13465</v>
      </c>
      <c r="G1428" s="912" t="s">
        <v>13948</v>
      </c>
      <c r="H1428" s="835"/>
    </row>
    <row r="1429" spans="1:8" ht="15">
      <c r="A1429" s="835"/>
      <c r="B1429" s="837">
        <v>88264</v>
      </c>
      <c r="C1429" s="710" t="s">
        <v>771</v>
      </c>
      <c r="D1429" s="711" t="s">
        <v>753</v>
      </c>
      <c r="E1429" s="905">
        <v>0.01</v>
      </c>
      <c r="F1429" s="905">
        <v>4</v>
      </c>
      <c r="G1429" s="906">
        <f>E1429*F1429</f>
        <v>0.04</v>
      </c>
      <c r="H1429" s="835"/>
    </row>
    <row r="1430" spans="1:8" ht="15.75" thickBot="1">
      <c r="A1430" s="835"/>
      <c r="B1430" s="840">
        <v>88247</v>
      </c>
      <c r="C1430" s="717" t="s">
        <v>924</v>
      </c>
      <c r="D1430" s="718" t="s">
        <v>753</v>
      </c>
      <c r="E1430" s="913">
        <v>0.01</v>
      </c>
      <c r="F1430" s="913">
        <v>4</v>
      </c>
      <c r="G1430" s="914">
        <f>E1430*F1430</f>
        <v>0.04</v>
      </c>
      <c r="H1430" s="835"/>
    </row>
    <row r="1431" spans="1:8" ht="15.75">
      <c r="A1431" s="835"/>
      <c r="B1431" s="1340" t="s">
        <v>13950</v>
      </c>
      <c r="C1431" s="1341"/>
      <c r="D1431" s="1341"/>
      <c r="E1431" s="1342"/>
      <c r="F1431" s="911" t="s">
        <v>13465</v>
      </c>
      <c r="G1431" s="912" t="s">
        <v>13948</v>
      </c>
      <c r="H1431" s="835"/>
    </row>
    <row r="1432" spans="1:8" ht="15">
      <c r="A1432" s="835"/>
      <c r="B1432" s="837">
        <v>88264</v>
      </c>
      <c r="C1432" s="710" t="s">
        <v>771</v>
      </c>
      <c r="D1432" s="711" t="s">
        <v>753</v>
      </c>
      <c r="E1432" s="905">
        <v>0.01</v>
      </c>
      <c r="F1432" s="905">
        <v>4</v>
      </c>
      <c r="G1432" s="906">
        <f>E1432*F1432</f>
        <v>0.04</v>
      </c>
      <c r="H1432" s="835"/>
    </row>
    <row r="1433" spans="1:8" ht="15.75" thickBot="1">
      <c r="A1433" s="835"/>
      <c r="B1433" s="840">
        <v>88247</v>
      </c>
      <c r="C1433" s="717" t="s">
        <v>924</v>
      </c>
      <c r="D1433" s="718" t="s">
        <v>753</v>
      </c>
      <c r="E1433" s="913">
        <v>0.01</v>
      </c>
      <c r="F1433" s="913">
        <v>4</v>
      </c>
      <c r="G1433" s="914">
        <f>E1433*F1433</f>
        <v>0.04</v>
      </c>
      <c r="H1433" s="835"/>
    </row>
    <row r="1434" spans="1:8" ht="15.75">
      <c r="A1434" s="835"/>
      <c r="B1434" s="1330" t="s">
        <v>13951</v>
      </c>
      <c r="C1434" s="1331"/>
      <c r="D1434" s="1331"/>
      <c r="E1434" s="1331"/>
      <c r="F1434" s="1331"/>
      <c r="G1434" s="1332"/>
      <c r="H1434" s="835"/>
    </row>
    <row r="1435" spans="1:8" ht="15">
      <c r="A1435" s="835"/>
      <c r="B1435" s="837">
        <v>88264</v>
      </c>
      <c r="C1435" s="710" t="s">
        <v>771</v>
      </c>
      <c r="D1435" s="711" t="s">
        <v>753</v>
      </c>
      <c r="E1435" s="1333">
        <f>E1423+G1426+G1429+G1432</f>
        <v>0.32</v>
      </c>
      <c r="F1435" s="1334"/>
      <c r="G1435" s="1335"/>
      <c r="H1435" s="835"/>
    </row>
    <row r="1436" spans="1:8" ht="15.75" thickBot="1">
      <c r="A1436" s="835"/>
      <c r="B1436" s="840">
        <v>88247</v>
      </c>
      <c r="C1436" s="717" t="s">
        <v>924</v>
      </c>
      <c r="D1436" s="718" t="s">
        <v>753</v>
      </c>
      <c r="E1436" s="1336">
        <f>E1424+G1427+G1430+G1433</f>
        <v>0.32</v>
      </c>
      <c r="F1436" s="1337"/>
      <c r="G1436" s="1338"/>
      <c r="H1436" s="835"/>
    </row>
    <row r="1437" spans="1:8" ht="15">
      <c r="A1437" s="464"/>
      <c r="B1437" s="850"/>
      <c r="C1437" s="464"/>
      <c r="D1437" s="464"/>
      <c r="E1437" s="464"/>
      <c r="F1437" s="464"/>
      <c r="G1437" s="765"/>
      <c r="H1437" s="464"/>
    </row>
    <row r="1438" spans="1:8" ht="15.75">
      <c r="A1438" s="489"/>
      <c r="B1438" s="921"/>
      <c r="C1438" s="922" t="s">
        <v>13996</v>
      </c>
      <c r="D1438" s="923"/>
      <c r="E1438" s="924"/>
      <c r="F1438" s="925"/>
      <c r="G1438" s="924"/>
      <c r="H1438" s="916" t="s">
        <v>13934</v>
      </c>
    </row>
    <row r="1439" spans="1:8" ht="31.5">
      <c r="A1439" s="489"/>
      <c r="B1439" s="669" t="s">
        <v>13502</v>
      </c>
      <c r="C1439" s="669" t="s">
        <v>13503</v>
      </c>
      <c r="D1439" s="670" t="s">
        <v>13504</v>
      </c>
      <c r="E1439" s="671" t="s">
        <v>13505</v>
      </c>
      <c r="F1439" s="647" t="s">
        <v>13506</v>
      </c>
      <c r="G1439" s="926" t="s">
        <v>13507</v>
      </c>
      <c r="H1439" s="489"/>
    </row>
    <row r="1440" spans="1:8" ht="15">
      <c r="A1440" s="489"/>
      <c r="B1440" s="895">
        <v>43383</v>
      </c>
      <c r="C1440" s="630" t="s">
        <v>13983</v>
      </c>
      <c r="D1440" s="593">
        <v>4.16</v>
      </c>
      <c r="E1440" s="789" t="s">
        <v>13929</v>
      </c>
      <c r="F1440" s="595" t="s">
        <v>13852</v>
      </c>
      <c r="G1440" s="878" t="s">
        <v>13984</v>
      </c>
      <c r="H1440" s="489"/>
    </row>
    <row r="1441" spans="1:8" ht="15">
      <c r="A1441" s="489"/>
      <c r="B1441" s="895">
        <v>43383</v>
      </c>
      <c r="C1441" s="630" t="s">
        <v>13985</v>
      </c>
      <c r="D1441" s="613">
        <v>11.08</v>
      </c>
      <c r="E1441" s="789" t="s">
        <v>13965</v>
      </c>
      <c r="F1441" s="595" t="s">
        <v>13966</v>
      </c>
      <c r="G1441" s="878" t="s">
        <v>13986</v>
      </c>
      <c r="H1441" s="489"/>
    </row>
    <row r="1442" spans="1:8" ht="15">
      <c r="A1442" s="489"/>
      <c r="B1442" s="895"/>
      <c r="C1442" s="630"/>
      <c r="D1442" s="593"/>
      <c r="E1442" s="789"/>
      <c r="F1442" s="927"/>
      <c r="G1442" s="928"/>
      <c r="H1442" s="489"/>
    </row>
    <row r="1443" spans="1:8" ht="16.5" thickBot="1">
      <c r="A1443" s="489"/>
      <c r="B1443" s="929"/>
      <c r="C1443" s="921"/>
      <c r="D1443" s="793">
        <f>MEDIAN(D1440:D1442)</f>
        <v>7.62</v>
      </c>
      <c r="E1443" s="930"/>
      <c r="F1443" s="931"/>
      <c r="G1443" s="932"/>
      <c r="H1443" s="489"/>
    </row>
    <row r="1444" spans="1:8" ht="22.5" customHeight="1">
      <c r="A1444" s="464"/>
      <c r="B1444" s="704" t="str">
        <f>IF(COUNT($H$8:H1444)&lt;10,CONCATENATE("COMP ELE 00",COUNT($H$8:H1444)),CONCATENATE("COMP ELE 0",COUNT($H$8:H1444)))</f>
        <v>COMP ELE 0100</v>
      </c>
      <c r="C1444" s="1257" t="s">
        <v>13997</v>
      </c>
      <c r="D1444" s="1225"/>
      <c r="E1444" s="1225"/>
      <c r="F1444" s="1225"/>
      <c r="G1444" s="705" t="s">
        <v>28</v>
      </c>
      <c r="H1444" s="570">
        <f>G1454</f>
        <v>56.019999999999996</v>
      </c>
    </row>
    <row r="1445" spans="1:8" ht="31.5">
      <c r="A1445" s="464"/>
      <c r="B1445" s="469" t="s">
        <v>13463</v>
      </c>
      <c r="C1445" s="707" t="s">
        <v>13464</v>
      </c>
      <c r="D1445" s="470" t="s">
        <v>28</v>
      </c>
      <c r="E1445" s="707" t="s">
        <v>13465</v>
      </c>
      <c r="F1445" s="293" t="s">
        <v>13466</v>
      </c>
      <c r="G1445" s="708" t="s">
        <v>13467</v>
      </c>
      <c r="H1445" s="464"/>
    </row>
    <row r="1446" spans="1:8" ht="15.75">
      <c r="A1446" s="464"/>
      <c r="B1446" s="1314" t="s">
        <v>13468</v>
      </c>
      <c r="C1446" s="1315"/>
      <c r="D1446" s="1315"/>
      <c r="E1446" s="1315"/>
      <c r="F1446" s="1315"/>
      <c r="G1446" s="1316"/>
      <c r="H1446" s="464"/>
    </row>
    <row r="1447" spans="1:8" ht="15">
      <c r="A1447" s="464"/>
      <c r="B1447" s="862" t="s">
        <v>13497</v>
      </c>
      <c r="C1447" s="863" t="str">
        <f>C1474</f>
        <v>CURVA HORIZONTAL 90º 200X50MM</v>
      </c>
      <c r="D1447" s="872">
        <f>G1474</f>
        <v>0</v>
      </c>
      <c r="E1447" s="815">
        <v>1</v>
      </c>
      <c r="F1447" s="815">
        <f>D1479</f>
        <v>30</v>
      </c>
      <c r="G1447" s="845">
        <f>TRUNC(F1447*E1447,2)</f>
        <v>30</v>
      </c>
      <c r="H1447" s="464"/>
    </row>
    <row r="1448" spans="1:8" ht="30">
      <c r="A1448" s="473" t="s">
        <v>13458</v>
      </c>
      <c r="B1448" s="799">
        <v>11962</v>
      </c>
      <c r="C1448" s="710" t="s">
        <v>957</v>
      </c>
      <c r="D1448" s="711" t="s">
        <v>6636</v>
      </c>
      <c r="E1448" s="749">
        <v>8</v>
      </c>
      <c r="F1448" s="713">
        <v>0.15</v>
      </c>
      <c r="G1448" s="750">
        <f t="shared" ref="G1448:G1450" si="14">TRUNC(F1448*E1448,2)</f>
        <v>1.2</v>
      </c>
      <c r="H1448" s="464"/>
    </row>
    <row r="1449" spans="1:8" ht="30">
      <c r="A1449" s="473" t="s">
        <v>13458</v>
      </c>
      <c r="B1449" s="799">
        <v>39211</v>
      </c>
      <c r="C1449" s="710" t="s">
        <v>6961</v>
      </c>
      <c r="D1449" s="711" t="s">
        <v>6636</v>
      </c>
      <c r="E1449" s="749">
        <v>8</v>
      </c>
      <c r="F1449" s="713">
        <v>0.89</v>
      </c>
      <c r="G1449" s="750">
        <f t="shared" si="14"/>
        <v>7.12</v>
      </c>
      <c r="H1449" s="464"/>
    </row>
    <row r="1450" spans="1:8" ht="15.75">
      <c r="A1450" s="473" t="s">
        <v>13458</v>
      </c>
      <c r="B1450" s="799">
        <v>39997</v>
      </c>
      <c r="C1450" s="710" t="s">
        <v>10140</v>
      </c>
      <c r="D1450" s="711" t="s">
        <v>6636</v>
      </c>
      <c r="E1450" s="749">
        <v>8</v>
      </c>
      <c r="F1450" s="713">
        <v>0.21</v>
      </c>
      <c r="G1450" s="750">
        <f t="shared" si="14"/>
        <v>1.68</v>
      </c>
      <c r="H1450" s="464"/>
    </row>
    <row r="1451" spans="1:8" ht="15.75">
      <c r="A1451" s="464"/>
      <c r="B1451" s="1314" t="s">
        <v>13469</v>
      </c>
      <c r="C1451" s="1315"/>
      <c r="D1451" s="1315"/>
      <c r="E1451" s="1315"/>
      <c r="F1451" s="1315"/>
      <c r="G1451" s="1316"/>
      <c r="H1451" s="464"/>
    </row>
    <row r="1452" spans="1:8" ht="15.75">
      <c r="A1452" s="473" t="s">
        <v>13459</v>
      </c>
      <c r="B1452" s="751">
        <v>88264</v>
      </c>
      <c r="C1452" s="710" t="s">
        <v>771</v>
      </c>
      <c r="D1452" s="711" t="s">
        <v>753</v>
      </c>
      <c r="E1452" s="752">
        <v>0.44</v>
      </c>
      <c r="F1452" s="713">
        <v>20.52</v>
      </c>
      <c r="G1452" s="750">
        <f>TRUNC(F1452*E1452,2)</f>
        <v>9.02</v>
      </c>
      <c r="H1452" s="464"/>
    </row>
    <row r="1453" spans="1:8" ht="16.5" thickBot="1">
      <c r="A1453" s="473" t="s">
        <v>13459</v>
      </c>
      <c r="B1453" s="753">
        <v>88316</v>
      </c>
      <c r="C1453" s="717" t="s">
        <v>761</v>
      </c>
      <c r="D1453" s="718" t="s">
        <v>753</v>
      </c>
      <c r="E1453" s="754">
        <v>0.44</v>
      </c>
      <c r="F1453" s="720">
        <v>15.91</v>
      </c>
      <c r="G1453" s="755">
        <f>TRUNC(F1453*E1453,2)</f>
        <v>7</v>
      </c>
      <c r="H1453" s="464"/>
    </row>
    <row r="1454" spans="1:8" ht="16.5" thickBot="1">
      <c r="A1454" s="464"/>
      <c r="B1454" s="1310" t="s">
        <v>13987</v>
      </c>
      <c r="C1454" s="1310"/>
      <c r="D1454" s="1310"/>
      <c r="E1454" s="1310"/>
      <c r="F1454" s="908" t="s">
        <v>22</v>
      </c>
      <c r="G1454" s="788">
        <f>SUM(G1447:G1453)</f>
        <v>56.019999999999996</v>
      </c>
      <c r="H1454" s="464"/>
    </row>
    <row r="1455" spans="1:8" ht="15">
      <c r="A1455" s="464"/>
      <c r="B1455" s="1265"/>
      <c r="C1455" s="1265"/>
      <c r="D1455" s="1265"/>
      <c r="E1455" s="1265"/>
      <c r="F1455" s="465"/>
      <c r="G1455" s="465"/>
      <c r="H1455" s="464"/>
    </row>
    <row r="1456" spans="1:8" ht="15">
      <c r="A1456" s="464"/>
      <c r="B1456" s="933"/>
      <c r="C1456" s="465"/>
      <c r="D1456" s="465"/>
      <c r="E1456" s="465"/>
      <c r="F1456" s="465"/>
      <c r="G1456" s="465"/>
      <c r="H1456" s="464"/>
    </row>
    <row r="1457" spans="1:8" ht="16.5" thickBot="1">
      <c r="A1457" s="832"/>
      <c r="B1457" s="1328" t="s">
        <v>13945</v>
      </c>
      <c r="C1457" s="1329"/>
      <c r="D1457" s="909"/>
      <c r="E1457" s="909"/>
      <c r="F1457" s="909"/>
      <c r="G1457" s="910"/>
      <c r="H1457" s="832"/>
    </row>
    <row r="1458" spans="1:8" ht="15.75">
      <c r="A1458" s="835"/>
      <c r="B1458" s="1330" t="s">
        <v>13988</v>
      </c>
      <c r="C1458" s="1331"/>
      <c r="D1458" s="1331"/>
      <c r="E1458" s="1331"/>
      <c r="F1458" s="1331"/>
      <c r="G1458" s="1332"/>
      <c r="H1458" s="835"/>
    </row>
    <row r="1459" spans="1:8" ht="15">
      <c r="A1459" s="835"/>
      <c r="B1459" s="837">
        <v>88264</v>
      </c>
      <c r="C1459" s="710" t="s">
        <v>771</v>
      </c>
      <c r="D1459" s="711" t="s">
        <v>753</v>
      </c>
      <c r="E1459" s="1333">
        <v>0.2</v>
      </c>
      <c r="F1459" s="1334"/>
      <c r="G1459" s="1335"/>
      <c r="H1459" s="835"/>
    </row>
    <row r="1460" spans="1:8" ht="15.75" thickBot="1">
      <c r="A1460" s="835"/>
      <c r="B1460" s="840">
        <v>88247</v>
      </c>
      <c r="C1460" s="710" t="s">
        <v>924</v>
      </c>
      <c r="D1460" s="711" t="s">
        <v>753</v>
      </c>
      <c r="E1460" s="1336">
        <v>0.2</v>
      </c>
      <c r="F1460" s="1337"/>
      <c r="G1460" s="1338"/>
      <c r="H1460" s="835"/>
    </row>
    <row r="1461" spans="1:8" ht="15.75">
      <c r="A1461" s="835"/>
      <c r="B1461" s="1330" t="s">
        <v>13947</v>
      </c>
      <c r="C1461" s="1331"/>
      <c r="D1461" s="1331"/>
      <c r="E1461" s="1339"/>
      <c r="F1461" s="911" t="s">
        <v>13465</v>
      </c>
      <c r="G1461" s="912" t="s">
        <v>13948</v>
      </c>
      <c r="H1461" s="835"/>
    </row>
    <row r="1462" spans="1:8" ht="15">
      <c r="A1462" s="835"/>
      <c r="B1462" s="837">
        <v>88264</v>
      </c>
      <c r="C1462" s="710" t="s">
        <v>771</v>
      </c>
      <c r="D1462" s="711" t="s">
        <v>753</v>
      </c>
      <c r="E1462" s="905">
        <v>0.01</v>
      </c>
      <c r="F1462" s="905">
        <v>8</v>
      </c>
      <c r="G1462" s="906">
        <f>E1462*F1462</f>
        <v>0.08</v>
      </c>
      <c r="H1462" s="835"/>
    </row>
    <row r="1463" spans="1:8" ht="15.75" thickBot="1">
      <c r="A1463" s="835"/>
      <c r="B1463" s="840">
        <v>88247</v>
      </c>
      <c r="C1463" s="717" t="s">
        <v>924</v>
      </c>
      <c r="D1463" s="718" t="s">
        <v>753</v>
      </c>
      <c r="E1463" s="913">
        <v>0.01</v>
      </c>
      <c r="F1463" s="913">
        <v>8</v>
      </c>
      <c r="G1463" s="914">
        <f>E1463*F1463</f>
        <v>0.08</v>
      </c>
      <c r="H1463" s="835"/>
    </row>
    <row r="1464" spans="1:8" ht="15.75">
      <c r="A1464" s="835"/>
      <c r="B1464" s="1330" t="s">
        <v>13949</v>
      </c>
      <c r="C1464" s="1331"/>
      <c r="D1464" s="1331"/>
      <c r="E1464" s="1339"/>
      <c r="F1464" s="911" t="s">
        <v>13465</v>
      </c>
      <c r="G1464" s="912" t="s">
        <v>13948</v>
      </c>
      <c r="H1464" s="835"/>
    </row>
    <row r="1465" spans="1:8" ht="15">
      <c r="A1465" s="835"/>
      <c r="B1465" s="837">
        <v>88264</v>
      </c>
      <c r="C1465" s="710" t="s">
        <v>771</v>
      </c>
      <c r="D1465" s="711" t="s">
        <v>753</v>
      </c>
      <c r="E1465" s="905">
        <v>0.01</v>
      </c>
      <c r="F1465" s="905">
        <v>8</v>
      </c>
      <c r="G1465" s="906">
        <f>E1465*F1465</f>
        <v>0.08</v>
      </c>
      <c r="H1465" s="835"/>
    </row>
    <row r="1466" spans="1:8" ht="15.75" thickBot="1">
      <c r="A1466" s="835"/>
      <c r="B1466" s="840">
        <v>88247</v>
      </c>
      <c r="C1466" s="717" t="s">
        <v>924</v>
      </c>
      <c r="D1466" s="718" t="s">
        <v>753</v>
      </c>
      <c r="E1466" s="913">
        <v>0.01</v>
      </c>
      <c r="F1466" s="913">
        <v>8</v>
      </c>
      <c r="G1466" s="914">
        <f>E1466*F1466</f>
        <v>0.08</v>
      </c>
      <c r="H1466" s="835"/>
    </row>
    <row r="1467" spans="1:8" ht="15.75">
      <c r="A1467" s="835"/>
      <c r="B1467" s="1340" t="s">
        <v>13950</v>
      </c>
      <c r="C1467" s="1341"/>
      <c r="D1467" s="1341"/>
      <c r="E1467" s="1342"/>
      <c r="F1467" s="911" t="s">
        <v>13465</v>
      </c>
      <c r="G1467" s="912" t="s">
        <v>13948</v>
      </c>
      <c r="H1467" s="835"/>
    </row>
    <row r="1468" spans="1:8" ht="15">
      <c r="A1468" s="835"/>
      <c r="B1468" s="837">
        <v>88264</v>
      </c>
      <c r="C1468" s="710" t="s">
        <v>771</v>
      </c>
      <c r="D1468" s="711" t="s">
        <v>753</v>
      </c>
      <c r="E1468" s="905">
        <v>0.01</v>
      </c>
      <c r="F1468" s="905">
        <v>8</v>
      </c>
      <c r="G1468" s="906">
        <f>E1468*F1468</f>
        <v>0.08</v>
      </c>
      <c r="H1468" s="835"/>
    </row>
    <row r="1469" spans="1:8" ht="15.75" thickBot="1">
      <c r="A1469" s="835"/>
      <c r="B1469" s="840">
        <v>88247</v>
      </c>
      <c r="C1469" s="717" t="s">
        <v>924</v>
      </c>
      <c r="D1469" s="718" t="s">
        <v>753</v>
      </c>
      <c r="E1469" s="913">
        <v>0.01</v>
      </c>
      <c r="F1469" s="913">
        <v>8</v>
      </c>
      <c r="G1469" s="914">
        <f>E1469*F1469</f>
        <v>0.08</v>
      </c>
      <c r="H1469" s="835"/>
    </row>
    <row r="1470" spans="1:8" ht="15.75">
      <c r="A1470" s="835"/>
      <c r="B1470" s="1330" t="s">
        <v>13951</v>
      </c>
      <c r="C1470" s="1331"/>
      <c r="D1470" s="1331"/>
      <c r="E1470" s="1331"/>
      <c r="F1470" s="1331"/>
      <c r="G1470" s="1332"/>
      <c r="H1470" s="835"/>
    </row>
    <row r="1471" spans="1:8" ht="15">
      <c r="A1471" s="835"/>
      <c r="B1471" s="837">
        <v>88264</v>
      </c>
      <c r="C1471" s="710" t="s">
        <v>771</v>
      </c>
      <c r="D1471" s="711" t="s">
        <v>753</v>
      </c>
      <c r="E1471" s="1333">
        <f>E1459+G1462+G1465+G1468</f>
        <v>0.44000000000000006</v>
      </c>
      <c r="F1471" s="1334"/>
      <c r="G1471" s="1335"/>
      <c r="H1471" s="835"/>
    </row>
    <row r="1472" spans="1:8" ht="15.75" thickBot="1">
      <c r="A1472" s="835"/>
      <c r="B1472" s="840">
        <v>88247</v>
      </c>
      <c r="C1472" s="717" t="s">
        <v>924</v>
      </c>
      <c r="D1472" s="718" t="s">
        <v>753</v>
      </c>
      <c r="E1472" s="1336">
        <f>E1460+G1463+G1466+G1469</f>
        <v>0.44000000000000006</v>
      </c>
      <c r="F1472" s="1337"/>
      <c r="G1472" s="1338"/>
      <c r="H1472" s="835"/>
    </row>
    <row r="1473" spans="1:8" ht="15">
      <c r="A1473" s="464"/>
      <c r="B1473" s="850"/>
      <c r="C1473" s="464"/>
      <c r="D1473" s="464"/>
      <c r="E1473" s="464"/>
      <c r="F1473" s="464"/>
      <c r="G1473" s="765"/>
      <c r="H1473" s="464"/>
    </row>
    <row r="1474" spans="1:8" ht="35.25">
      <c r="A1474" s="489"/>
      <c r="B1474" s="934"/>
      <c r="C1474" s="935" t="s">
        <v>13998</v>
      </c>
      <c r="D1474" s="935"/>
      <c r="E1474" s="936"/>
      <c r="F1474" s="937"/>
      <c r="G1474" s="936"/>
      <c r="H1474" s="915" t="s">
        <v>13934</v>
      </c>
    </row>
    <row r="1475" spans="1:8" ht="31.5">
      <c r="A1475" s="489"/>
      <c r="B1475" s="669" t="s">
        <v>13502</v>
      </c>
      <c r="C1475" s="669" t="s">
        <v>13503</v>
      </c>
      <c r="D1475" s="670" t="s">
        <v>13504</v>
      </c>
      <c r="E1475" s="671" t="s">
        <v>13505</v>
      </c>
      <c r="F1475" s="647" t="s">
        <v>13506</v>
      </c>
      <c r="G1475" s="926" t="s">
        <v>13507</v>
      </c>
      <c r="H1475" s="489"/>
    </row>
    <row r="1476" spans="1:8" ht="15">
      <c r="A1476" s="489"/>
      <c r="B1476" s="895">
        <v>43383</v>
      </c>
      <c r="C1476" s="630" t="s">
        <v>13983</v>
      </c>
      <c r="D1476" s="593">
        <v>24.12</v>
      </c>
      <c r="E1476" s="789" t="s">
        <v>13929</v>
      </c>
      <c r="F1476" s="595" t="s">
        <v>13852</v>
      </c>
      <c r="G1476" s="878" t="s">
        <v>13984</v>
      </c>
      <c r="H1476" s="489"/>
    </row>
    <row r="1477" spans="1:8" ht="15">
      <c r="A1477" s="489"/>
      <c r="B1477" s="895">
        <v>43383</v>
      </c>
      <c r="C1477" s="630" t="s">
        <v>13985</v>
      </c>
      <c r="D1477" s="613">
        <v>35.47</v>
      </c>
      <c r="E1477" s="789" t="s">
        <v>13965</v>
      </c>
      <c r="F1477" s="595" t="s">
        <v>13966</v>
      </c>
      <c r="G1477" s="878" t="s">
        <v>13986</v>
      </c>
      <c r="H1477" s="489"/>
    </row>
    <row r="1478" spans="1:8" ht="15">
      <c r="A1478" s="489"/>
      <c r="B1478" s="895">
        <v>43418</v>
      </c>
      <c r="C1478" s="630" t="s">
        <v>13755</v>
      </c>
      <c r="D1478" s="593">
        <v>30.52</v>
      </c>
      <c r="E1478" s="789" t="s">
        <v>13756</v>
      </c>
      <c r="F1478" s="595" t="s">
        <v>13757</v>
      </c>
      <c r="G1478" s="878" t="s">
        <v>13999</v>
      </c>
      <c r="H1478" s="489"/>
    </row>
    <row r="1479" spans="1:8" ht="15">
      <c r="A1479" s="489"/>
      <c r="B1479" s="893">
        <v>43418</v>
      </c>
      <c r="C1479" s="592" t="s">
        <v>13974</v>
      </c>
      <c r="D1479" s="613">
        <v>30</v>
      </c>
      <c r="E1479" s="652" t="s">
        <v>13975</v>
      </c>
      <c r="F1479" s="814" t="s">
        <v>13976</v>
      </c>
      <c r="G1479" s="878" t="s">
        <v>14000</v>
      </c>
      <c r="H1479" s="489"/>
    </row>
    <row r="1480" spans="1:8" ht="16.5" thickBot="1">
      <c r="B1480" s="929"/>
      <c r="C1480" s="921"/>
      <c r="D1480" s="793">
        <f>IF(COUNT(D1476:D1479)=3,MEDIAN(D1476:D1479),SMALL(D1477:D1479,1))</f>
        <v>30</v>
      </c>
      <c r="E1480" s="930"/>
      <c r="F1480" s="931"/>
      <c r="G1480" s="932"/>
    </row>
    <row r="1481" spans="1:8" ht="35.25" customHeight="1">
      <c r="A1481" s="464"/>
      <c r="B1481" s="704" t="str">
        <f>IF(COUNT($H$8:H1481)&lt;10,CONCATENATE("COMP ELE 00",COUNT($H$8:H1481)),CONCATENATE("COMP ELE 0",COUNT($H$8:H1481)))</f>
        <v>COMP ELE 0101</v>
      </c>
      <c r="C1481" s="1257" t="str">
        <f>CONCATENATE("FORNECIMENTO E INSTALAÇÃO DE ",C1484)</f>
        <v>FORNECIMENTO E INSTALAÇÃO DE DISPOSITIVO DR, 4 POLOS, SENSIBILIDADE DE 30 MA, CORRENTE DE 100 A, TIPO AC</v>
      </c>
      <c r="D1481" s="1257"/>
      <c r="E1481" s="1257"/>
      <c r="F1481" s="1257"/>
      <c r="G1481" s="705" t="s">
        <v>28</v>
      </c>
      <c r="H1481" s="570">
        <f>G1488</f>
        <v>280.53000000000003</v>
      </c>
    </row>
    <row r="1482" spans="1:8" ht="31.5">
      <c r="A1482" s="464"/>
      <c r="B1482" s="469" t="s">
        <v>13463</v>
      </c>
      <c r="C1482" s="470" t="s">
        <v>13464</v>
      </c>
      <c r="D1482" s="470" t="s">
        <v>28</v>
      </c>
      <c r="E1482" s="470" t="s">
        <v>13465</v>
      </c>
      <c r="F1482" s="471" t="s">
        <v>13466</v>
      </c>
      <c r="G1482" s="472" t="s">
        <v>13467</v>
      </c>
      <c r="H1482" s="464"/>
    </row>
    <row r="1483" spans="1:8" ht="15.75">
      <c r="A1483" s="464"/>
      <c r="B1483" s="1246" t="s">
        <v>13468</v>
      </c>
      <c r="C1483" s="1247"/>
      <c r="D1483" s="1247"/>
      <c r="E1483" s="1247"/>
      <c r="F1483" s="1247"/>
      <c r="G1483" s="1248"/>
      <c r="H1483" s="464"/>
    </row>
    <row r="1484" spans="1:8" ht="30">
      <c r="A1484" s="473" t="s">
        <v>13458</v>
      </c>
      <c r="B1484" s="722">
        <v>39449</v>
      </c>
      <c r="C1484" s="710" t="s">
        <v>8362</v>
      </c>
      <c r="D1484" s="711" t="s">
        <v>6636</v>
      </c>
      <c r="E1484" s="766">
        <v>1</v>
      </c>
      <c r="F1484" s="713">
        <v>258.68</v>
      </c>
      <c r="G1484" s="750">
        <f>TRUNC(F1484*E1484,2)</f>
        <v>258.68</v>
      </c>
      <c r="H1484" s="464"/>
    </row>
    <row r="1485" spans="1:8" ht="15.75">
      <c r="A1485" s="464"/>
      <c r="B1485" s="1246" t="s">
        <v>13469</v>
      </c>
      <c r="C1485" s="1247"/>
      <c r="D1485" s="1247"/>
      <c r="E1485" s="1247"/>
      <c r="F1485" s="1247"/>
      <c r="G1485" s="1248"/>
      <c r="H1485" s="464"/>
    </row>
    <row r="1486" spans="1:8" ht="15.75">
      <c r="A1486" s="473" t="s">
        <v>13459</v>
      </c>
      <c r="B1486" s="751">
        <v>88264</v>
      </c>
      <c r="C1486" s="710" t="s">
        <v>771</v>
      </c>
      <c r="D1486" s="711" t="s">
        <v>753</v>
      </c>
      <c r="E1486" s="752">
        <v>0.6</v>
      </c>
      <c r="F1486" s="713">
        <v>20.52</v>
      </c>
      <c r="G1486" s="750">
        <f>TRUNC(F1486*E1486,2)</f>
        <v>12.31</v>
      </c>
      <c r="H1486" s="763"/>
    </row>
    <row r="1487" spans="1:8" ht="16.5" thickBot="1">
      <c r="A1487" s="473" t="s">
        <v>13459</v>
      </c>
      <c r="B1487" s="753">
        <v>88316</v>
      </c>
      <c r="C1487" s="717" t="s">
        <v>761</v>
      </c>
      <c r="D1487" s="718" t="s">
        <v>753</v>
      </c>
      <c r="E1487" s="754">
        <v>0.6</v>
      </c>
      <c r="F1487" s="720">
        <v>15.91</v>
      </c>
      <c r="G1487" s="755">
        <f>TRUNC(F1487*E1487,2)</f>
        <v>9.5399999999999991</v>
      </c>
      <c r="H1487" s="763"/>
    </row>
    <row r="1488" spans="1:8" ht="16.5" thickBot="1">
      <c r="A1488" s="464"/>
      <c r="B1488" s="1262" t="s">
        <v>13749</v>
      </c>
      <c r="C1488" s="1263"/>
      <c r="D1488" s="1263"/>
      <c r="E1488" s="1263"/>
      <c r="F1488" s="756" t="s">
        <v>22</v>
      </c>
      <c r="G1488" s="757">
        <f>SUM(G1484:G1487)</f>
        <v>280.53000000000003</v>
      </c>
      <c r="H1488" s="464"/>
    </row>
    <row r="1490" spans="1:8" ht="13.5" thickBot="1"/>
    <row r="1491" spans="1:8" ht="35.25" customHeight="1">
      <c r="A1491" s="464"/>
      <c r="B1491" s="704" t="str">
        <f>IF(COUNT($H$8:H1491)&lt;10,CONCATENATE("COMP ELE 00",COUNT($H$8:H1491)),CONCATENATE("COMP ELE 0",COUNT($H$8:H1491)))</f>
        <v>COMP ELE 0102</v>
      </c>
      <c r="C1491" s="1257" t="str">
        <f>CONCATENATE("FORNECIMENTO E INSTALAÇÃO DE ",C1494)</f>
        <v>FORNECIMENTO E INSTALAÇÃO DE DISPOSITIVO DR, 4 POLOS, SENSIBILIDADE DE 30 MA, CORRENTE DE 63 A, TIPO AC</v>
      </c>
      <c r="D1491" s="1257"/>
      <c r="E1491" s="1257"/>
      <c r="F1491" s="1257"/>
      <c r="G1491" s="705" t="s">
        <v>28</v>
      </c>
      <c r="H1491" s="570">
        <f>G1498</f>
        <v>161.5</v>
      </c>
    </row>
    <row r="1492" spans="1:8" ht="31.5">
      <c r="A1492" s="464"/>
      <c r="B1492" s="469" t="s">
        <v>13463</v>
      </c>
      <c r="C1492" s="470" t="s">
        <v>13464</v>
      </c>
      <c r="D1492" s="470" t="s">
        <v>28</v>
      </c>
      <c r="E1492" s="470" t="s">
        <v>13465</v>
      </c>
      <c r="F1492" s="471" t="s">
        <v>13466</v>
      </c>
      <c r="G1492" s="472" t="s">
        <v>13467</v>
      </c>
      <c r="H1492" s="464"/>
    </row>
    <row r="1493" spans="1:8" ht="15.75">
      <c r="A1493" s="464"/>
      <c r="B1493" s="1246" t="s">
        <v>13468</v>
      </c>
      <c r="C1493" s="1247"/>
      <c r="D1493" s="1247"/>
      <c r="E1493" s="1247"/>
      <c r="F1493" s="1247"/>
      <c r="G1493" s="1248"/>
      <c r="H1493" s="464"/>
    </row>
    <row r="1494" spans="1:8" ht="30">
      <c r="A1494" s="473" t="s">
        <v>13458</v>
      </c>
      <c r="B1494" s="722">
        <v>39457</v>
      </c>
      <c r="C1494" s="710" t="s">
        <v>8365</v>
      </c>
      <c r="D1494" s="711" t="s">
        <v>6636</v>
      </c>
      <c r="E1494" s="766">
        <v>1</v>
      </c>
      <c r="F1494" s="713">
        <v>139.65</v>
      </c>
      <c r="G1494" s="750">
        <f>TRUNC(F1494*E1494,2)</f>
        <v>139.65</v>
      </c>
      <c r="H1494" s="464"/>
    </row>
    <row r="1495" spans="1:8" ht="15.75">
      <c r="A1495" s="464"/>
      <c r="B1495" s="1246" t="s">
        <v>13469</v>
      </c>
      <c r="C1495" s="1247"/>
      <c r="D1495" s="1247"/>
      <c r="E1495" s="1247"/>
      <c r="F1495" s="1247"/>
      <c r="G1495" s="1248"/>
      <c r="H1495" s="464"/>
    </row>
    <row r="1496" spans="1:8" ht="15.75">
      <c r="A1496" s="473" t="s">
        <v>13459</v>
      </c>
      <c r="B1496" s="751">
        <v>88264</v>
      </c>
      <c r="C1496" s="710" t="s">
        <v>771</v>
      </c>
      <c r="D1496" s="711" t="s">
        <v>753</v>
      </c>
      <c r="E1496" s="752">
        <v>0.6</v>
      </c>
      <c r="F1496" s="713">
        <v>20.52</v>
      </c>
      <c r="G1496" s="750">
        <f>TRUNC(F1496*E1496,2)</f>
        <v>12.31</v>
      </c>
      <c r="H1496" s="763"/>
    </row>
    <row r="1497" spans="1:8" ht="16.5" thickBot="1">
      <c r="A1497" s="473" t="s">
        <v>13459</v>
      </c>
      <c r="B1497" s="753">
        <v>88316</v>
      </c>
      <c r="C1497" s="717" t="s">
        <v>761</v>
      </c>
      <c r="D1497" s="718" t="s">
        <v>753</v>
      </c>
      <c r="E1497" s="754">
        <v>0.6</v>
      </c>
      <c r="F1497" s="720">
        <v>15.91</v>
      </c>
      <c r="G1497" s="755">
        <f>TRUNC(F1497*E1497,2)</f>
        <v>9.5399999999999991</v>
      </c>
      <c r="H1497" s="763"/>
    </row>
    <row r="1498" spans="1:8" ht="16.5" thickBot="1">
      <c r="A1498" s="464"/>
      <c r="B1498" s="1262" t="s">
        <v>13749</v>
      </c>
      <c r="C1498" s="1263"/>
      <c r="D1498" s="1263"/>
      <c r="E1498" s="1263"/>
      <c r="F1498" s="756" t="s">
        <v>22</v>
      </c>
      <c r="G1498" s="757">
        <f>SUM(G1494:G1497)</f>
        <v>161.5</v>
      </c>
      <c r="H1498" s="464"/>
    </row>
    <row r="1500" spans="1:8" ht="13.5" thickBot="1"/>
    <row r="1501" spans="1:8" ht="37.5" customHeight="1">
      <c r="A1501" s="464"/>
      <c r="B1501" s="704" t="str">
        <f>IF(COUNT($H$8:H1501)&lt;10,CONCATENATE("COMP ELE 00",COUNT($H$8:H1501)),CONCATENATE("COMP ELE 0",COUNT($H$8:H1501)))</f>
        <v>COMP ELE 0103</v>
      </c>
      <c r="C1501" s="1257" t="str">
        <f>CONCATENATE("FORNECIMENTO E INSTALAÇÃO DE ",C1504)</f>
        <v>FORNECIMENTO E INSTALAÇÃO DE QUADRO DE DISTRIBUIÇÃO COM BARRAMENTO PRINCIPAL DE 225A, E BARRAMENTO SECUNDARIO DE 60A - TIPO SOBREPOR PARA 70 POSIÇÕES TRILHOS DIN</v>
      </c>
      <c r="D1501" s="1257"/>
      <c r="E1501" s="1257"/>
      <c r="F1501" s="1257"/>
      <c r="G1501" s="705" t="s">
        <v>28</v>
      </c>
      <c r="H1501" s="698">
        <f>G1508</f>
        <v>887.16</v>
      </c>
    </row>
    <row r="1502" spans="1:8" ht="31.5">
      <c r="A1502" s="464"/>
      <c r="B1502" s="469" t="s">
        <v>13463</v>
      </c>
      <c r="C1502" s="470" t="s">
        <v>13464</v>
      </c>
      <c r="D1502" s="470" t="s">
        <v>28</v>
      </c>
      <c r="E1502" s="470" t="s">
        <v>13465</v>
      </c>
      <c r="F1502" s="471" t="s">
        <v>13466</v>
      </c>
      <c r="G1502" s="472" t="s">
        <v>13467</v>
      </c>
    </row>
    <row r="1503" spans="1:8" ht="15.75">
      <c r="A1503" s="464"/>
      <c r="B1503" s="1226" t="s">
        <v>13468</v>
      </c>
      <c r="C1503" s="1227"/>
      <c r="D1503" s="1227"/>
      <c r="E1503" s="1227"/>
      <c r="F1503" s="1227"/>
      <c r="G1503" s="1228"/>
    </row>
    <row r="1504" spans="1:8" ht="47.25" customHeight="1">
      <c r="A1504" s="473" t="s">
        <v>13458</v>
      </c>
      <c r="B1504" s="799" t="s">
        <v>13497</v>
      </c>
      <c r="C1504" s="710" t="str">
        <f>C1510</f>
        <v>QUADRO DE DISTRIBUIÇÃO COM BARRAMENTO PRINCIPAL DE 225A, E BARRAMENTO SECUNDARIO DE 60A - TIPO SOBREPOR PARA 70 POSIÇÕES TRILHOS DIN</v>
      </c>
      <c r="D1504" s="711" t="str">
        <f>G1501</f>
        <v>UN</v>
      </c>
      <c r="E1504" s="766">
        <v>1</v>
      </c>
      <c r="F1504" s="713">
        <f>D1516</f>
        <v>669</v>
      </c>
      <c r="G1504" s="750">
        <f>TRUNC(F1504*E1504,2)</f>
        <v>669</v>
      </c>
    </row>
    <row r="1505" spans="1:8" ht="15.75">
      <c r="A1505" s="464"/>
      <c r="B1505" s="1226" t="s">
        <v>13469</v>
      </c>
      <c r="C1505" s="1227"/>
      <c r="D1505" s="1227"/>
      <c r="E1505" s="1227"/>
      <c r="F1505" s="1227"/>
      <c r="G1505" s="1228"/>
    </row>
    <row r="1506" spans="1:8" ht="15.75">
      <c r="A1506" s="473" t="s">
        <v>13459</v>
      </c>
      <c r="B1506" s="751">
        <v>88247</v>
      </c>
      <c r="C1506" s="710" t="s">
        <v>924</v>
      </c>
      <c r="D1506" s="711" t="s">
        <v>753</v>
      </c>
      <c r="E1506" s="752">
        <v>6</v>
      </c>
      <c r="F1506" s="713">
        <v>15.84</v>
      </c>
      <c r="G1506" s="750">
        <f>TRUNC(F1506*E1506,2)</f>
        <v>95.04</v>
      </c>
    </row>
    <row r="1507" spans="1:8" ht="16.5" thickBot="1">
      <c r="A1507" s="473" t="s">
        <v>13459</v>
      </c>
      <c r="B1507" s="753">
        <v>88264</v>
      </c>
      <c r="C1507" s="717" t="s">
        <v>771</v>
      </c>
      <c r="D1507" s="718" t="s">
        <v>753</v>
      </c>
      <c r="E1507" s="754">
        <v>6</v>
      </c>
      <c r="F1507" s="720">
        <v>20.52</v>
      </c>
      <c r="G1507" s="755">
        <f>TRUNC(F1507*E1507,2)</f>
        <v>123.12</v>
      </c>
    </row>
    <row r="1508" spans="1:8" ht="16.5" thickBot="1">
      <c r="A1508" s="464"/>
      <c r="B1508" s="1317" t="s">
        <v>13920</v>
      </c>
      <c r="C1508" s="1317"/>
      <c r="D1508" s="1317"/>
      <c r="E1508" s="1318"/>
      <c r="F1508" s="787" t="s">
        <v>22</v>
      </c>
      <c r="G1508" s="788">
        <f>SUM(G1503:G1507)</f>
        <v>887.16</v>
      </c>
    </row>
    <row r="1510" spans="1:8" ht="57" customHeight="1">
      <c r="B1510" s="921"/>
      <c r="C1510" s="923" t="s">
        <v>14001</v>
      </c>
      <c r="D1510" s="416"/>
      <c r="E1510" s="938"/>
      <c r="F1510" s="939"/>
      <c r="G1510" s="938"/>
    </row>
    <row r="1511" spans="1:8" ht="31.5">
      <c r="B1511" s="669" t="s">
        <v>13502</v>
      </c>
      <c r="C1511" s="669" t="s">
        <v>13503</v>
      </c>
      <c r="D1511" s="670" t="s">
        <v>13504</v>
      </c>
      <c r="E1511" s="671" t="s">
        <v>13505</v>
      </c>
      <c r="F1511" s="647" t="s">
        <v>13506</v>
      </c>
      <c r="G1511" s="926" t="s">
        <v>13507</v>
      </c>
    </row>
    <row r="1512" spans="1:8" ht="15">
      <c r="B1512" s="902">
        <v>43783</v>
      </c>
      <c r="C1512" s="630" t="s">
        <v>13755</v>
      </c>
      <c r="D1512" s="593">
        <v>1229.9000000000001</v>
      </c>
      <c r="E1512" s="789" t="s">
        <v>13756</v>
      </c>
      <c r="F1512" s="595" t="s">
        <v>13757</v>
      </c>
      <c r="G1512" s="878" t="s">
        <v>13999</v>
      </c>
    </row>
    <row r="1513" spans="1:8" ht="15">
      <c r="B1513" s="648">
        <v>43785</v>
      </c>
      <c r="C1513" s="630" t="s">
        <v>13772</v>
      </c>
      <c r="D1513" s="613">
        <v>658.36</v>
      </c>
      <c r="E1513" s="789" t="s">
        <v>13773</v>
      </c>
      <c r="F1513" s="595" t="s">
        <v>13774</v>
      </c>
      <c r="G1513" s="878" t="s">
        <v>14002</v>
      </c>
    </row>
    <row r="1514" spans="1:8" ht="15">
      <c r="B1514" s="648">
        <v>43783</v>
      </c>
      <c r="C1514" s="592" t="s">
        <v>13974</v>
      </c>
      <c r="D1514" s="613">
        <v>669</v>
      </c>
      <c r="E1514" s="652" t="s">
        <v>13975</v>
      </c>
      <c r="F1514" s="814" t="s">
        <v>13976</v>
      </c>
      <c r="G1514" s="878" t="s">
        <v>14000</v>
      </c>
    </row>
    <row r="1515" spans="1:8" ht="15">
      <c r="B1515" s="902">
        <v>43791</v>
      </c>
      <c r="C1515" s="630" t="s">
        <v>13763</v>
      </c>
      <c r="D1515" s="613">
        <v>725.3</v>
      </c>
      <c r="E1515" s="789" t="s">
        <v>13764</v>
      </c>
      <c r="F1515" s="595" t="s">
        <v>13765</v>
      </c>
      <c r="G1515" s="878" t="s">
        <v>14003</v>
      </c>
    </row>
    <row r="1516" spans="1:8" ht="15.75">
      <c r="B1516" s="929"/>
      <c r="C1516" s="921"/>
      <c r="D1516" s="793">
        <f>IF(COUNT(D1513:D1515)=3,MEDIAN(D1513:D1515),SMALL(D1513:D1515,1))</f>
        <v>669</v>
      </c>
      <c r="E1516" s="930"/>
      <c r="F1516" s="931"/>
      <c r="G1516" s="932"/>
    </row>
    <row r="1517" spans="1:8" ht="13.5" thickBot="1"/>
    <row r="1518" spans="1:8" ht="31.5" customHeight="1">
      <c r="A1518" s="464"/>
      <c r="B1518" s="704" t="str">
        <f>IF(COUNT($H$8:H1518)&lt;10,CONCATENATE("COMP ELE 00",COUNT($H$8:H1518)),CONCATENATE("COMP ELE 0",COUNT($H$8:H1518)))</f>
        <v>COMP ELE 0104</v>
      </c>
      <c r="C1518" s="1257" t="str">
        <f>CONCATENATE("FORNECIMENTO E INSTALAÇÃO DE ",C1521)</f>
        <v>FORNECIMENTO E INSTALAÇÃO DE CRUZETA X 90º COM TAMPA PARA ELETROCALHA 200X50MM</v>
      </c>
      <c r="D1518" s="1257"/>
      <c r="E1518" s="1257"/>
      <c r="F1518" s="1257"/>
      <c r="G1518" s="705" t="s">
        <v>28</v>
      </c>
      <c r="H1518" s="570">
        <f>G1528</f>
        <v>71.73</v>
      </c>
    </row>
    <row r="1519" spans="1:8" ht="31.5">
      <c r="A1519" s="464"/>
      <c r="B1519" s="469" t="s">
        <v>13463</v>
      </c>
      <c r="C1519" s="707" t="s">
        <v>13464</v>
      </c>
      <c r="D1519" s="470" t="s">
        <v>28</v>
      </c>
      <c r="E1519" s="707" t="s">
        <v>13465</v>
      </c>
      <c r="F1519" s="293" t="s">
        <v>13466</v>
      </c>
      <c r="G1519" s="708" t="s">
        <v>13467</v>
      </c>
      <c r="H1519" s="464"/>
    </row>
    <row r="1520" spans="1:8" ht="15.75">
      <c r="A1520" s="464"/>
      <c r="B1520" s="1314" t="s">
        <v>13468</v>
      </c>
      <c r="C1520" s="1315"/>
      <c r="D1520" s="1315"/>
      <c r="E1520" s="1315"/>
      <c r="F1520" s="1315"/>
      <c r="G1520" s="1316"/>
      <c r="H1520" s="464"/>
    </row>
    <row r="1521" spans="1:8" ht="15">
      <c r="A1521" s="464"/>
      <c r="B1521" s="862" t="s">
        <v>13497</v>
      </c>
      <c r="C1521" s="863" t="str">
        <f>C1547</f>
        <v>CRUZETA X 90º COM TAMPA PARA ELETROCALHA 200X50MM</v>
      </c>
      <c r="D1521" s="872" t="str">
        <f>G1547</f>
        <v>UN</v>
      </c>
      <c r="E1521" s="815">
        <v>1</v>
      </c>
      <c r="F1521" s="815">
        <f>D1552</f>
        <v>43</v>
      </c>
      <c r="G1521" s="845">
        <f>TRUNC(F1521*E1521,2)</f>
        <v>43</v>
      </c>
      <c r="H1521" s="464"/>
    </row>
    <row r="1522" spans="1:8" ht="30">
      <c r="A1522" s="473" t="s">
        <v>13458</v>
      </c>
      <c r="B1522" s="799">
        <v>11962</v>
      </c>
      <c r="C1522" s="710" t="s">
        <v>957</v>
      </c>
      <c r="D1522" s="711" t="s">
        <v>6636</v>
      </c>
      <c r="E1522" s="749">
        <v>16</v>
      </c>
      <c r="F1522" s="713">
        <v>0.15</v>
      </c>
      <c r="G1522" s="750">
        <f t="shared" ref="G1522:G1524" si="15">TRUNC(F1522*E1522,2)</f>
        <v>2.4</v>
      </c>
      <c r="H1522" s="464"/>
    </row>
    <row r="1523" spans="1:8" ht="30">
      <c r="A1523" s="473" t="s">
        <v>13458</v>
      </c>
      <c r="B1523" s="799">
        <v>39211</v>
      </c>
      <c r="C1523" s="710" t="s">
        <v>6961</v>
      </c>
      <c r="D1523" s="711" t="s">
        <v>6636</v>
      </c>
      <c r="E1523" s="749">
        <v>16</v>
      </c>
      <c r="F1523" s="713">
        <v>0.89</v>
      </c>
      <c r="G1523" s="750">
        <f t="shared" si="15"/>
        <v>14.24</v>
      </c>
      <c r="H1523" s="464"/>
    </row>
    <row r="1524" spans="1:8" ht="15.75">
      <c r="A1524" s="473" t="s">
        <v>13458</v>
      </c>
      <c r="B1524" s="799">
        <v>39997</v>
      </c>
      <c r="C1524" s="710" t="s">
        <v>10140</v>
      </c>
      <c r="D1524" s="711" t="s">
        <v>6636</v>
      </c>
      <c r="E1524" s="749">
        <v>16</v>
      </c>
      <c r="F1524" s="713">
        <v>0.21</v>
      </c>
      <c r="G1524" s="750">
        <f t="shared" si="15"/>
        <v>3.36</v>
      </c>
      <c r="H1524" s="464"/>
    </row>
    <row r="1525" spans="1:8" ht="15.75">
      <c r="A1525" s="464"/>
      <c r="B1525" s="1314" t="s">
        <v>13469</v>
      </c>
      <c r="C1525" s="1315"/>
      <c r="D1525" s="1315"/>
      <c r="E1525" s="1315"/>
      <c r="F1525" s="1315"/>
      <c r="G1525" s="1316"/>
      <c r="H1525" s="464"/>
    </row>
    <row r="1526" spans="1:8" ht="15.75">
      <c r="A1526" s="473" t="s">
        <v>13459</v>
      </c>
      <c r="B1526" s="751">
        <v>88264</v>
      </c>
      <c r="C1526" s="710" t="s">
        <v>771</v>
      </c>
      <c r="D1526" s="711" t="s">
        <v>753</v>
      </c>
      <c r="E1526" s="752">
        <v>0.24</v>
      </c>
      <c r="F1526" s="713">
        <v>20.52</v>
      </c>
      <c r="G1526" s="750">
        <f>TRUNC(F1526*E1526,2)</f>
        <v>4.92</v>
      </c>
      <c r="H1526" s="464"/>
    </row>
    <row r="1527" spans="1:8" ht="16.5" thickBot="1">
      <c r="A1527" s="473" t="s">
        <v>13459</v>
      </c>
      <c r="B1527" s="753">
        <v>88316</v>
      </c>
      <c r="C1527" s="717" t="s">
        <v>761</v>
      </c>
      <c r="D1527" s="718" t="s">
        <v>753</v>
      </c>
      <c r="E1527" s="754">
        <v>0.24</v>
      </c>
      <c r="F1527" s="720">
        <v>15.91</v>
      </c>
      <c r="G1527" s="755">
        <f>TRUNC(F1527*E1527,2)</f>
        <v>3.81</v>
      </c>
      <c r="H1527" s="464"/>
    </row>
    <row r="1528" spans="1:8" ht="16.5" thickBot="1">
      <c r="A1528" s="464"/>
      <c r="B1528" s="1310" t="s">
        <v>13959</v>
      </c>
      <c r="C1528" s="1310"/>
      <c r="D1528" s="1310"/>
      <c r="E1528" s="1310"/>
      <c r="F1528" s="908" t="s">
        <v>22</v>
      </c>
      <c r="G1528" s="788">
        <f>SUM(G1521:G1527)</f>
        <v>71.73</v>
      </c>
      <c r="H1528" s="464"/>
    </row>
    <row r="1529" spans="1:8">
      <c r="B1529" s="1265"/>
      <c r="C1529" s="1265"/>
      <c r="D1529" s="1265"/>
      <c r="E1529" s="1265"/>
    </row>
    <row r="1531" spans="1:8" ht="16.5" thickBot="1">
      <c r="A1531" s="832"/>
      <c r="B1531" s="1328" t="s">
        <v>13945</v>
      </c>
      <c r="C1531" s="1329"/>
      <c r="D1531" s="909"/>
      <c r="E1531" s="909"/>
      <c r="F1531" s="909"/>
      <c r="G1531" s="910"/>
      <c r="H1531" s="832"/>
    </row>
    <row r="1532" spans="1:8" ht="15.75">
      <c r="A1532" s="835"/>
      <c r="B1532" s="1330" t="s">
        <v>14004</v>
      </c>
      <c r="C1532" s="1331"/>
      <c r="D1532" s="1331"/>
      <c r="E1532" s="1331"/>
      <c r="F1532" s="1331"/>
      <c r="G1532" s="1332"/>
      <c r="H1532" s="835"/>
    </row>
    <row r="1533" spans="1:8" ht="15">
      <c r="A1533" s="835"/>
      <c r="B1533" s="837">
        <v>88264</v>
      </c>
      <c r="C1533" s="710" t="s">
        <v>771</v>
      </c>
      <c r="D1533" s="711" t="s">
        <v>753</v>
      </c>
      <c r="E1533" s="1333">
        <v>0.2</v>
      </c>
      <c r="F1533" s="1334"/>
      <c r="G1533" s="1335"/>
      <c r="H1533" s="835"/>
    </row>
    <row r="1534" spans="1:8" ht="15.75" thickBot="1">
      <c r="A1534" s="835"/>
      <c r="B1534" s="840">
        <v>88247</v>
      </c>
      <c r="C1534" s="710" t="s">
        <v>924</v>
      </c>
      <c r="D1534" s="711" t="s">
        <v>753</v>
      </c>
      <c r="E1534" s="1336">
        <v>0.2</v>
      </c>
      <c r="F1534" s="1337"/>
      <c r="G1534" s="1338"/>
      <c r="H1534" s="835"/>
    </row>
    <row r="1535" spans="1:8" ht="15.75">
      <c r="A1535" s="835"/>
      <c r="B1535" s="1330" t="s">
        <v>13947</v>
      </c>
      <c r="C1535" s="1331"/>
      <c r="D1535" s="1331"/>
      <c r="E1535" s="1339"/>
      <c r="F1535" s="911" t="s">
        <v>13465</v>
      </c>
      <c r="G1535" s="912" t="s">
        <v>13948</v>
      </c>
      <c r="H1535" s="835"/>
    </row>
    <row r="1536" spans="1:8" ht="15">
      <c r="A1536" s="835"/>
      <c r="B1536" s="837">
        <v>88264</v>
      </c>
      <c r="C1536" s="710" t="s">
        <v>771</v>
      </c>
      <c r="D1536" s="711" t="s">
        <v>753</v>
      </c>
      <c r="E1536" s="905">
        <v>0.01</v>
      </c>
      <c r="F1536" s="905">
        <v>16</v>
      </c>
      <c r="G1536" s="906">
        <f>E1536*F1536</f>
        <v>0.16</v>
      </c>
      <c r="H1536" s="835"/>
    </row>
    <row r="1537" spans="1:8" ht="15.75" thickBot="1">
      <c r="A1537" s="835"/>
      <c r="B1537" s="840">
        <v>88247</v>
      </c>
      <c r="C1537" s="717" t="s">
        <v>924</v>
      </c>
      <c r="D1537" s="718" t="s">
        <v>753</v>
      </c>
      <c r="E1537" s="913">
        <v>0.01</v>
      </c>
      <c r="F1537" s="913">
        <v>16</v>
      </c>
      <c r="G1537" s="914">
        <f>E1537*F1537</f>
        <v>0.16</v>
      </c>
      <c r="H1537" s="835"/>
    </row>
    <row r="1538" spans="1:8" ht="15.75">
      <c r="A1538" s="835"/>
      <c r="B1538" s="1330" t="s">
        <v>13949</v>
      </c>
      <c r="C1538" s="1331"/>
      <c r="D1538" s="1331"/>
      <c r="E1538" s="1339"/>
      <c r="F1538" s="911" t="s">
        <v>13465</v>
      </c>
      <c r="G1538" s="912" t="s">
        <v>13948</v>
      </c>
      <c r="H1538" s="835"/>
    </row>
    <row r="1539" spans="1:8" ht="15">
      <c r="A1539" s="835"/>
      <c r="B1539" s="837">
        <v>88264</v>
      </c>
      <c r="C1539" s="710" t="s">
        <v>771</v>
      </c>
      <c r="D1539" s="711" t="s">
        <v>753</v>
      </c>
      <c r="E1539" s="905">
        <v>0.01</v>
      </c>
      <c r="F1539" s="905">
        <v>16</v>
      </c>
      <c r="G1539" s="906">
        <f>E1539*F1539</f>
        <v>0.16</v>
      </c>
      <c r="H1539" s="835"/>
    </row>
    <row r="1540" spans="1:8" ht="15.75" thickBot="1">
      <c r="A1540" s="835"/>
      <c r="B1540" s="840">
        <v>88247</v>
      </c>
      <c r="C1540" s="717" t="s">
        <v>924</v>
      </c>
      <c r="D1540" s="718" t="s">
        <v>753</v>
      </c>
      <c r="E1540" s="913">
        <v>0.01</v>
      </c>
      <c r="F1540" s="913">
        <v>16</v>
      </c>
      <c r="G1540" s="914">
        <f>E1540*F1540</f>
        <v>0.16</v>
      </c>
      <c r="H1540" s="835"/>
    </row>
    <row r="1541" spans="1:8" ht="15.75">
      <c r="A1541" s="835"/>
      <c r="B1541" s="1340" t="s">
        <v>13950</v>
      </c>
      <c r="C1541" s="1341"/>
      <c r="D1541" s="1341"/>
      <c r="E1541" s="1342"/>
      <c r="F1541" s="911" t="s">
        <v>13465</v>
      </c>
      <c r="G1541" s="912" t="s">
        <v>13948</v>
      </c>
      <c r="H1541" s="835"/>
    </row>
    <row r="1542" spans="1:8" ht="15">
      <c r="A1542" s="835"/>
      <c r="B1542" s="837">
        <v>88264</v>
      </c>
      <c r="C1542" s="710" t="s">
        <v>771</v>
      </c>
      <c r="D1542" s="711" t="s">
        <v>753</v>
      </c>
      <c r="E1542" s="905">
        <v>0.01</v>
      </c>
      <c r="F1542" s="905">
        <v>16</v>
      </c>
      <c r="G1542" s="906">
        <f>E1542*F1542</f>
        <v>0.16</v>
      </c>
      <c r="H1542" s="835"/>
    </row>
    <row r="1543" spans="1:8" ht="15.75" thickBot="1">
      <c r="A1543" s="835"/>
      <c r="B1543" s="840">
        <v>88247</v>
      </c>
      <c r="C1543" s="717" t="s">
        <v>924</v>
      </c>
      <c r="D1543" s="718" t="s">
        <v>753</v>
      </c>
      <c r="E1543" s="913">
        <v>0.01</v>
      </c>
      <c r="F1543" s="913">
        <v>16</v>
      </c>
      <c r="G1543" s="914">
        <f>E1543*F1543</f>
        <v>0.16</v>
      </c>
      <c r="H1543" s="835"/>
    </row>
    <row r="1544" spans="1:8" ht="15.75">
      <c r="A1544" s="835"/>
      <c r="B1544" s="1330" t="s">
        <v>13951</v>
      </c>
      <c r="C1544" s="1331"/>
      <c r="D1544" s="1331"/>
      <c r="E1544" s="1331"/>
      <c r="F1544" s="1331"/>
      <c r="G1544" s="1332"/>
      <c r="H1544" s="835"/>
    </row>
    <row r="1545" spans="1:8" ht="15">
      <c r="A1545" s="835"/>
      <c r="B1545" s="837">
        <v>88264</v>
      </c>
      <c r="C1545" s="710" t="s">
        <v>771</v>
      </c>
      <c r="D1545" s="711" t="s">
        <v>753</v>
      </c>
      <c r="E1545" s="1321">
        <f>E1533+G1536+G1539+G1542</f>
        <v>0.68</v>
      </c>
      <c r="F1545" s="1323"/>
      <c r="G1545" s="1324"/>
      <c r="H1545" s="835"/>
    </row>
    <row r="1546" spans="1:8" ht="15.75" thickBot="1">
      <c r="A1546" s="835"/>
      <c r="B1546" s="840">
        <v>88247</v>
      </c>
      <c r="C1546" s="717" t="s">
        <v>924</v>
      </c>
      <c r="D1546" s="718" t="s">
        <v>753</v>
      </c>
      <c r="E1546" s="1325">
        <f>E1534+G1537+G1540+G1543</f>
        <v>0.68</v>
      </c>
      <c r="F1546" s="1326"/>
      <c r="G1546" s="1327"/>
      <c r="H1546" s="835"/>
    </row>
    <row r="1547" spans="1:8" ht="35.25">
      <c r="B1547" s="921"/>
      <c r="C1547" s="940" t="s">
        <v>14005</v>
      </c>
      <c r="D1547" s="416"/>
      <c r="E1547" s="938"/>
      <c r="F1547" s="939"/>
      <c r="G1547" s="938" t="s">
        <v>28</v>
      </c>
      <c r="H1547" s="915"/>
    </row>
    <row r="1548" spans="1:8" ht="31.5">
      <c r="B1548" s="941" t="s">
        <v>13502</v>
      </c>
      <c r="C1548" s="941" t="s">
        <v>13503</v>
      </c>
      <c r="D1548" s="942" t="s">
        <v>13504</v>
      </c>
      <c r="E1548" s="943" t="s">
        <v>13505</v>
      </c>
      <c r="F1548" s="944" t="s">
        <v>13506</v>
      </c>
      <c r="G1548" s="943" t="s">
        <v>13507</v>
      </c>
    </row>
    <row r="1549" spans="1:8" ht="15">
      <c r="B1549" s="893">
        <v>43817</v>
      </c>
      <c r="C1549" s="592" t="s">
        <v>14006</v>
      </c>
      <c r="D1549" s="593">
        <v>43</v>
      </c>
      <c r="E1549" s="652" t="s">
        <v>13773</v>
      </c>
      <c r="F1549" s="814" t="s">
        <v>13774</v>
      </c>
      <c r="G1549" s="878" t="s">
        <v>13943</v>
      </c>
    </row>
    <row r="1550" spans="1:8" ht="15">
      <c r="B1550" s="893"/>
      <c r="C1550" s="630"/>
      <c r="D1550" s="593"/>
      <c r="E1550" s="875"/>
      <c r="F1550" s="595"/>
      <c r="G1550" s="945"/>
    </row>
    <row r="1551" spans="1:8" ht="15">
      <c r="B1551" s="893"/>
      <c r="C1551" s="630"/>
      <c r="D1551" s="593"/>
      <c r="E1551" s="652"/>
      <c r="F1551" s="814"/>
      <c r="G1551" s="878"/>
    </row>
    <row r="1552" spans="1:8" ht="15.75">
      <c r="B1552" s="946"/>
      <c r="C1552" s="946"/>
      <c r="D1552" s="793">
        <f>MEDIAN(D1549:D1551)</f>
        <v>43</v>
      </c>
      <c r="E1552" s="946"/>
      <c r="F1552" s="946"/>
      <c r="G1552" s="946"/>
    </row>
    <row r="1553" spans="1:17" ht="13.5" thickBot="1"/>
    <row r="1554" spans="1:17" ht="46.5" customHeight="1">
      <c r="A1554" s="464"/>
      <c r="B1554" s="704" t="str">
        <f>IF(COUNT($H$8:H1554)&lt;10,CONCATENATE("COMP ELE 00",COUNT($H$8:H1554)),CONCATENATE("COMP ELE 0",COUNT($H$8:H1554)))</f>
        <v>COMP ELE 0105</v>
      </c>
      <c r="C1554" s="1257" t="s">
        <v>12979</v>
      </c>
      <c r="D1554" s="1274"/>
      <c r="E1554" s="1274"/>
      <c r="F1554" s="1274"/>
      <c r="G1554" s="705" t="s">
        <v>28</v>
      </c>
      <c r="H1554" s="698">
        <f>G1563</f>
        <v>66.58</v>
      </c>
    </row>
    <row r="1555" spans="1:17" ht="31.5">
      <c r="A1555" s="464"/>
      <c r="B1555" s="469" t="s">
        <v>13463</v>
      </c>
      <c r="C1555" s="470" t="s">
        <v>13464</v>
      </c>
      <c r="D1555" s="470" t="s">
        <v>35</v>
      </c>
      <c r="E1555" s="470" t="s">
        <v>13465</v>
      </c>
      <c r="F1555" s="471" t="s">
        <v>13466</v>
      </c>
      <c r="G1555" s="472" t="s">
        <v>13467</v>
      </c>
      <c r="P1555" s="799">
        <v>2557</v>
      </c>
      <c r="Q1555" s="749">
        <v>1</v>
      </c>
    </row>
    <row r="1556" spans="1:17" ht="15.75">
      <c r="A1556" s="464"/>
      <c r="B1556" s="1246" t="s">
        <v>13468</v>
      </c>
      <c r="C1556" s="1247"/>
      <c r="D1556" s="1247"/>
      <c r="E1556" s="1247"/>
      <c r="F1556" s="1247"/>
      <c r="G1556" s="1248"/>
      <c r="P1556" s="799">
        <v>38101</v>
      </c>
      <c r="Q1556" s="749">
        <v>2</v>
      </c>
    </row>
    <row r="1557" spans="1:17" ht="15.75">
      <c r="A1557" s="473" t="s">
        <v>13458</v>
      </c>
      <c r="B1557" s="799">
        <v>2557</v>
      </c>
      <c r="C1557" s="710" t="s">
        <v>7482</v>
      </c>
      <c r="D1557" s="711" t="s">
        <v>6636</v>
      </c>
      <c r="E1557" s="749">
        <v>1</v>
      </c>
      <c r="F1557" s="713">
        <v>2.2599999999999998</v>
      </c>
      <c r="G1557" s="750">
        <f t="shared" ref="G1557:G1558" si="16">TRUNC(F1557*E1557,2)</f>
        <v>2.2599999999999998</v>
      </c>
    </row>
    <row r="1558" spans="1:17" ht="15.75">
      <c r="A1558" s="473" t="s">
        <v>13458</v>
      </c>
      <c r="B1558" s="799">
        <v>38101</v>
      </c>
      <c r="C1558" s="710" t="s">
        <v>10957</v>
      </c>
      <c r="D1558" s="711" t="s">
        <v>6636</v>
      </c>
      <c r="E1558" s="749">
        <v>2</v>
      </c>
      <c r="F1558" s="713">
        <v>5.0999999999999996</v>
      </c>
      <c r="G1558" s="750">
        <f t="shared" si="16"/>
        <v>10.199999999999999</v>
      </c>
    </row>
    <row r="1559" spans="1:17" ht="30">
      <c r="A1559" s="473" t="s">
        <v>13458</v>
      </c>
      <c r="B1559" s="799" t="s">
        <v>13497</v>
      </c>
      <c r="C1559" s="710" t="str">
        <f>C1565</f>
        <v>ESPELHO DE INOX ALTO BRILHO PARA TOMADAS DE PISO 4 X 4",  PARA  2 TOMADAS  BR14136</v>
      </c>
      <c r="D1559" s="711" t="s">
        <v>6636</v>
      </c>
      <c r="E1559" s="824">
        <v>1</v>
      </c>
      <c r="F1559" s="713">
        <f>D1570</f>
        <v>28.63</v>
      </c>
      <c r="G1559" s="825">
        <f>TRUNC(F1559*E1559,2)</f>
        <v>28.63</v>
      </c>
    </row>
    <row r="1560" spans="1:17" ht="15.75">
      <c r="A1560" s="464"/>
      <c r="B1560" s="1246" t="s">
        <v>13469</v>
      </c>
      <c r="C1560" s="1247"/>
      <c r="D1560" s="1247"/>
      <c r="E1560" s="1247"/>
      <c r="F1560" s="1247"/>
      <c r="G1560" s="1248"/>
    </row>
    <row r="1561" spans="1:17" ht="15.75">
      <c r="A1561" s="473" t="s">
        <v>13459</v>
      </c>
      <c r="B1561" s="751">
        <v>88264</v>
      </c>
      <c r="C1561" s="710" t="s">
        <v>771</v>
      </c>
      <c r="D1561" s="711" t="s">
        <v>753</v>
      </c>
      <c r="E1561" s="752">
        <v>0.7</v>
      </c>
      <c r="F1561" s="713">
        <v>20.52</v>
      </c>
      <c r="G1561" s="750">
        <f>TRUNC(F1561*E1561,2)</f>
        <v>14.36</v>
      </c>
    </row>
    <row r="1562" spans="1:17" ht="16.5" thickBot="1">
      <c r="A1562" s="473" t="s">
        <v>13459</v>
      </c>
      <c r="B1562" s="753">
        <v>88316</v>
      </c>
      <c r="C1562" s="717" t="s">
        <v>761</v>
      </c>
      <c r="D1562" s="718" t="s">
        <v>753</v>
      </c>
      <c r="E1562" s="754">
        <v>0.7</v>
      </c>
      <c r="F1562" s="720">
        <v>15.91</v>
      </c>
      <c r="G1562" s="755">
        <f>TRUNC(F1562*E1562,2)</f>
        <v>11.13</v>
      </c>
    </row>
    <row r="1563" spans="1:17" ht="16.5" thickBot="1">
      <c r="A1563" s="464"/>
      <c r="B1563" s="1272" t="s">
        <v>14007</v>
      </c>
      <c r="C1563" s="1272"/>
      <c r="D1563" s="1272"/>
      <c r="E1563" s="1273"/>
      <c r="F1563" s="756" t="s">
        <v>22</v>
      </c>
      <c r="G1563" s="757">
        <f>SUM(G1556:G1562)</f>
        <v>66.58</v>
      </c>
    </row>
    <row r="1564" spans="1:17" ht="13.5" thickBot="1"/>
    <row r="1565" spans="1:17" ht="31.5">
      <c r="B1565" s="572"/>
      <c r="C1565" s="947" t="s">
        <v>14008</v>
      </c>
      <c r="D1565" s="574"/>
      <c r="E1565" s="575"/>
      <c r="F1565" s="608"/>
      <c r="G1565" s="577"/>
    </row>
    <row r="1566" spans="1:17" ht="31.5">
      <c r="B1566" s="668" t="s">
        <v>13502</v>
      </c>
      <c r="C1566" s="669" t="s">
        <v>13503</v>
      </c>
      <c r="D1566" s="670" t="s">
        <v>13504</v>
      </c>
      <c r="E1566" s="671" t="s">
        <v>13505</v>
      </c>
      <c r="F1566" s="647" t="s">
        <v>13506</v>
      </c>
      <c r="G1566" s="672" t="s">
        <v>13507</v>
      </c>
    </row>
    <row r="1567" spans="1:17" ht="15">
      <c r="B1567" s="885">
        <v>43861</v>
      </c>
      <c r="C1567" s="592" t="s">
        <v>14009</v>
      </c>
      <c r="D1567" s="617">
        <v>28.63</v>
      </c>
      <c r="E1567" s="948" t="s">
        <v>13937</v>
      </c>
      <c r="F1567" s="814" t="s">
        <v>13938</v>
      </c>
      <c r="G1567" s="618" t="s">
        <v>13939</v>
      </c>
    </row>
    <row r="1568" spans="1:17" ht="15">
      <c r="B1568" s="611"/>
      <c r="C1568" s="592"/>
      <c r="D1568" s="617"/>
      <c r="E1568" s="948"/>
      <c r="F1568" s="814"/>
      <c r="G1568" s="618"/>
    </row>
    <row r="1569" spans="2:7" ht="15">
      <c r="B1569" s="611"/>
      <c r="C1569" s="592"/>
      <c r="D1569" s="617"/>
      <c r="E1569" s="948"/>
      <c r="F1569" s="814"/>
      <c r="G1569" s="618"/>
    </row>
    <row r="1570" spans="2:7" ht="16.5" thickBot="1">
      <c r="B1570" s="598"/>
      <c r="C1570" s="599"/>
      <c r="D1570" s="538">
        <f>MEDIAN(D1567:D1569)</f>
        <v>28.63</v>
      </c>
      <c r="E1570" s="600"/>
      <c r="F1570" s="620"/>
      <c r="G1570" s="602"/>
    </row>
    <row r="1577" spans="2:7" ht="15">
      <c r="C1577" s="348"/>
    </row>
    <row r="1578" spans="2:7" ht="15">
      <c r="C1578" s="349" t="s">
        <v>12862</v>
      </c>
    </row>
    <row r="1579" spans="2:7" ht="15">
      <c r="C1579" s="351" t="s">
        <v>12863</v>
      </c>
    </row>
    <row r="1580" spans="2:7" ht="15">
      <c r="C1580" s="351" t="s">
        <v>12864</v>
      </c>
    </row>
  </sheetData>
  <mergeCells count="543">
    <mergeCell ref="B1556:G1556"/>
    <mergeCell ref="B1560:G1560"/>
    <mergeCell ref="B1563:E1563"/>
    <mergeCell ref="B1538:E1538"/>
    <mergeCell ref="B1541:E1541"/>
    <mergeCell ref="B1544:G1544"/>
    <mergeCell ref="E1545:G1545"/>
    <mergeCell ref="E1546:G1546"/>
    <mergeCell ref="C1554:F1554"/>
    <mergeCell ref="B1528:E1529"/>
    <mergeCell ref="B1531:C1531"/>
    <mergeCell ref="B1532:G1532"/>
    <mergeCell ref="E1533:G1533"/>
    <mergeCell ref="E1534:G1534"/>
    <mergeCell ref="B1535:E1535"/>
    <mergeCell ref="B1503:G1503"/>
    <mergeCell ref="B1505:G1505"/>
    <mergeCell ref="B1508:E1508"/>
    <mergeCell ref="C1518:F1518"/>
    <mergeCell ref="B1520:G1520"/>
    <mergeCell ref="B1525:G1525"/>
    <mergeCell ref="B1488:E1488"/>
    <mergeCell ref="C1491:F1491"/>
    <mergeCell ref="B1493:G1493"/>
    <mergeCell ref="B1495:G1495"/>
    <mergeCell ref="B1498:E1498"/>
    <mergeCell ref="C1501:F1501"/>
    <mergeCell ref="B1470:G1470"/>
    <mergeCell ref="E1471:G1471"/>
    <mergeCell ref="E1472:G1472"/>
    <mergeCell ref="C1481:F1481"/>
    <mergeCell ref="B1483:G1483"/>
    <mergeCell ref="B1485:G1485"/>
    <mergeCell ref="B1458:G1458"/>
    <mergeCell ref="E1459:G1459"/>
    <mergeCell ref="E1460:G1460"/>
    <mergeCell ref="B1461:E1461"/>
    <mergeCell ref="B1464:E1464"/>
    <mergeCell ref="B1467:E1467"/>
    <mergeCell ref="E1436:G1436"/>
    <mergeCell ref="C1444:F1444"/>
    <mergeCell ref="B1446:G1446"/>
    <mergeCell ref="B1451:G1451"/>
    <mergeCell ref="B1454:E1455"/>
    <mergeCell ref="B1457:C1457"/>
    <mergeCell ref="E1424:G1424"/>
    <mergeCell ref="B1425:E1425"/>
    <mergeCell ref="B1428:E1428"/>
    <mergeCell ref="B1431:E1431"/>
    <mergeCell ref="B1434:G1434"/>
    <mergeCell ref="E1435:G1435"/>
    <mergeCell ref="B1410:G1410"/>
    <mergeCell ref="B1415:G1415"/>
    <mergeCell ref="B1418:E1419"/>
    <mergeCell ref="B1421:C1421"/>
    <mergeCell ref="B1422:G1422"/>
    <mergeCell ref="E1423:G1423"/>
    <mergeCell ref="B1393:E1393"/>
    <mergeCell ref="B1396:E1396"/>
    <mergeCell ref="B1399:G1399"/>
    <mergeCell ref="E1400:G1400"/>
    <mergeCell ref="E1401:G1401"/>
    <mergeCell ref="C1408:F1408"/>
    <mergeCell ref="B1383:E1384"/>
    <mergeCell ref="B1386:C1386"/>
    <mergeCell ref="B1387:G1387"/>
    <mergeCell ref="E1388:G1388"/>
    <mergeCell ref="E1389:G1389"/>
    <mergeCell ref="B1390:E1390"/>
    <mergeCell ref="B1363:G1363"/>
    <mergeCell ref="E1364:G1364"/>
    <mergeCell ref="E1365:G1365"/>
    <mergeCell ref="C1373:F1373"/>
    <mergeCell ref="B1375:G1375"/>
    <mergeCell ref="B1380:G1380"/>
    <mergeCell ref="B1351:G1351"/>
    <mergeCell ref="E1352:G1352"/>
    <mergeCell ref="E1353:G1353"/>
    <mergeCell ref="B1354:E1354"/>
    <mergeCell ref="B1357:E1357"/>
    <mergeCell ref="B1360:E1360"/>
    <mergeCell ref="E1328:G1328"/>
    <mergeCell ref="C1337:F1337"/>
    <mergeCell ref="B1339:G1339"/>
    <mergeCell ref="B1344:G1344"/>
    <mergeCell ref="B1347:E1348"/>
    <mergeCell ref="B1350:C1350"/>
    <mergeCell ref="E1316:G1316"/>
    <mergeCell ref="B1317:E1317"/>
    <mergeCell ref="B1320:E1320"/>
    <mergeCell ref="B1323:E1323"/>
    <mergeCell ref="B1326:G1326"/>
    <mergeCell ref="E1327:G1327"/>
    <mergeCell ref="B1302:G1302"/>
    <mergeCell ref="B1307:G1307"/>
    <mergeCell ref="B1310:E1311"/>
    <mergeCell ref="B1313:C1313"/>
    <mergeCell ref="B1314:G1314"/>
    <mergeCell ref="E1315:G1315"/>
    <mergeCell ref="C1280:F1280"/>
    <mergeCell ref="B1282:G1282"/>
    <mergeCell ref="B1284:G1284"/>
    <mergeCell ref="B1287:E1289"/>
    <mergeCell ref="B1290:E1290"/>
    <mergeCell ref="C1300:F1300"/>
    <mergeCell ref="B1260:E1260"/>
    <mergeCell ref="B1263:E1263"/>
    <mergeCell ref="B1266:E1266"/>
    <mergeCell ref="B1269:G1269"/>
    <mergeCell ref="E1270:G1270"/>
    <mergeCell ref="E1271:G1271"/>
    <mergeCell ref="B1251:G1251"/>
    <mergeCell ref="B1254:E1255"/>
    <mergeCell ref="B1256:C1256"/>
    <mergeCell ref="B1257:G1257"/>
    <mergeCell ref="E1258:G1258"/>
    <mergeCell ref="E1259:G1259"/>
    <mergeCell ref="B1231:E1231"/>
    <mergeCell ref="B1234:G1234"/>
    <mergeCell ref="E1235:G1235"/>
    <mergeCell ref="E1236:G1236"/>
    <mergeCell ref="C1244:F1244"/>
    <mergeCell ref="B1246:G1246"/>
    <mergeCell ref="B1221:C1221"/>
    <mergeCell ref="B1222:G1222"/>
    <mergeCell ref="E1223:G1223"/>
    <mergeCell ref="E1224:G1224"/>
    <mergeCell ref="B1225:E1225"/>
    <mergeCell ref="B1228:E1228"/>
    <mergeCell ref="B1196:E1197"/>
    <mergeCell ref="B1198:E1198"/>
    <mergeCell ref="C1208:F1208"/>
    <mergeCell ref="B1210:G1210"/>
    <mergeCell ref="B1215:G1215"/>
    <mergeCell ref="B1218:E1219"/>
    <mergeCell ref="B1179:G1179"/>
    <mergeCell ref="E1180:G1180"/>
    <mergeCell ref="E1181:G1181"/>
    <mergeCell ref="C1189:F1189"/>
    <mergeCell ref="B1191:G1191"/>
    <mergeCell ref="B1193:G1193"/>
    <mergeCell ref="B1169:C1169"/>
    <mergeCell ref="B1170:G1170"/>
    <mergeCell ref="E1171:G1171"/>
    <mergeCell ref="E1172:G1172"/>
    <mergeCell ref="B1173:E1173"/>
    <mergeCell ref="B1176:E1176"/>
    <mergeCell ref="E1148:G1148"/>
    <mergeCell ref="E1149:G1149"/>
    <mergeCell ref="C1157:F1157"/>
    <mergeCell ref="B1159:G1159"/>
    <mergeCell ref="B1163:G1163"/>
    <mergeCell ref="B1166:E1167"/>
    <mergeCell ref="B1138:G1138"/>
    <mergeCell ref="E1139:G1139"/>
    <mergeCell ref="E1140:G1140"/>
    <mergeCell ref="B1141:E1141"/>
    <mergeCell ref="B1144:E1144"/>
    <mergeCell ref="B1147:G1147"/>
    <mergeCell ref="E1117:G1117"/>
    <mergeCell ref="C1125:F1125"/>
    <mergeCell ref="B1127:G1127"/>
    <mergeCell ref="B1131:G1131"/>
    <mergeCell ref="B1134:E1135"/>
    <mergeCell ref="B1137:C1137"/>
    <mergeCell ref="E1105:G1105"/>
    <mergeCell ref="B1106:E1106"/>
    <mergeCell ref="B1109:E1109"/>
    <mergeCell ref="B1112:E1112"/>
    <mergeCell ref="B1115:G1115"/>
    <mergeCell ref="E1116:G1116"/>
    <mergeCell ref="B1091:G1091"/>
    <mergeCell ref="B1096:G1096"/>
    <mergeCell ref="B1099:E1100"/>
    <mergeCell ref="B1102:C1102"/>
    <mergeCell ref="B1103:G1103"/>
    <mergeCell ref="E1104:G1104"/>
    <mergeCell ref="B1065:E1065"/>
    <mergeCell ref="C1073:F1073"/>
    <mergeCell ref="B1075:G1075"/>
    <mergeCell ref="B1077:G1077"/>
    <mergeCell ref="B1080:E1080"/>
    <mergeCell ref="C1089:F1089"/>
    <mergeCell ref="B1043:G1043"/>
    <mergeCell ref="B1046:G1046"/>
    <mergeCell ref="B1049:E1049"/>
    <mergeCell ref="C1057:F1057"/>
    <mergeCell ref="B1059:G1059"/>
    <mergeCell ref="B1062:G1062"/>
    <mergeCell ref="B1018:E1019"/>
    <mergeCell ref="C1026:F1026"/>
    <mergeCell ref="B1028:G1028"/>
    <mergeCell ref="B1030:G1030"/>
    <mergeCell ref="B1033:E1034"/>
    <mergeCell ref="C1041:F1041"/>
    <mergeCell ref="B1004:G1004"/>
    <mergeCell ref="B1006:G1006"/>
    <mergeCell ref="B1009:E1009"/>
    <mergeCell ref="C1011:F1011"/>
    <mergeCell ref="B1013:G1013"/>
    <mergeCell ref="B1015:G1015"/>
    <mergeCell ref="B994:E994"/>
    <mergeCell ref="C995:F995"/>
    <mergeCell ref="B997:G997"/>
    <mergeCell ref="B999:G999"/>
    <mergeCell ref="B1001:E1001"/>
    <mergeCell ref="C1002:F1002"/>
    <mergeCell ref="B980:G980"/>
    <mergeCell ref="B982:G982"/>
    <mergeCell ref="B985:E985"/>
    <mergeCell ref="C987:F987"/>
    <mergeCell ref="B989:G989"/>
    <mergeCell ref="B991:G991"/>
    <mergeCell ref="B967:E967"/>
    <mergeCell ref="C969:F969"/>
    <mergeCell ref="B971:G971"/>
    <mergeCell ref="B973:G973"/>
    <mergeCell ref="B976:E976"/>
    <mergeCell ref="C978:F978"/>
    <mergeCell ref="B953:G953"/>
    <mergeCell ref="B955:G955"/>
    <mergeCell ref="B958:E958"/>
    <mergeCell ref="C960:F960"/>
    <mergeCell ref="B962:G962"/>
    <mergeCell ref="B964:G964"/>
    <mergeCell ref="B940:E940"/>
    <mergeCell ref="C942:F942"/>
    <mergeCell ref="B944:G944"/>
    <mergeCell ref="B946:G946"/>
    <mergeCell ref="B949:E949"/>
    <mergeCell ref="C951:F951"/>
    <mergeCell ref="B926:G926"/>
    <mergeCell ref="B928:G928"/>
    <mergeCell ref="B931:E931"/>
    <mergeCell ref="C933:F933"/>
    <mergeCell ref="B935:G935"/>
    <mergeCell ref="B937:G937"/>
    <mergeCell ref="B913:E913"/>
    <mergeCell ref="C915:F915"/>
    <mergeCell ref="B917:G917"/>
    <mergeCell ref="B919:G919"/>
    <mergeCell ref="B922:E922"/>
    <mergeCell ref="C924:F924"/>
    <mergeCell ref="B899:G899"/>
    <mergeCell ref="B901:G901"/>
    <mergeCell ref="B904:E904"/>
    <mergeCell ref="C906:F906"/>
    <mergeCell ref="B908:G908"/>
    <mergeCell ref="B910:G910"/>
    <mergeCell ref="B886:E886"/>
    <mergeCell ref="C888:F888"/>
    <mergeCell ref="B890:G890"/>
    <mergeCell ref="B892:G892"/>
    <mergeCell ref="B895:E895"/>
    <mergeCell ref="C897:F897"/>
    <mergeCell ref="B872:G872"/>
    <mergeCell ref="B874:G874"/>
    <mergeCell ref="B877:E877"/>
    <mergeCell ref="C879:F879"/>
    <mergeCell ref="B881:G881"/>
    <mergeCell ref="B883:G883"/>
    <mergeCell ref="B859:E859"/>
    <mergeCell ref="C861:F861"/>
    <mergeCell ref="B863:G863"/>
    <mergeCell ref="B865:G865"/>
    <mergeCell ref="B868:E868"/>
    <mergeCell ref="C870:F870"/>
    <mergeCell ref="B845:G845"/>
    <mergeCell ref="B847:G847"/>
    <mergeCell ref="B850:E850"/>
    <mergeCell ref="C852:F852"/>
    <mergeCell ref="B854:G854"/>
    <mergeCell ref="B856:G856"/>
    <mergeCell ref="B832:E832"/>
    <mergeCell ref="C834:F834"/>
    <mergeCell ref="B836:G836"/>
    <mergeCell ref="B838:G838"/>
    <mergeCell ref="B841:E841"/>
    <mergeCell ref="C843:F843"/>
    <mergeCell ref="B818:G818"/>
    <mergeCell ref="B820:G820"/>
    <mergeCell ref="B823:E823"/>
    <mergeCell ref="C825:F825"/>
    <mergeCell ref="B827:G827"/>
    <mergeCell ref="B829:G829"/>
    <mergeCell ref="B795:E795"/>
    <mergeCell ref="C797:F797"/>
    <mergeCell ref="B799:G799"/>
    <mergeCell ref="B811:G811"/>
    <mergeCell ref="B813:E814"/>
    <mergeCell ref="C816:F816"/>
    <mergeCell ref="B749:G749"/>
    <mergeCell ref="B759:G759"/>
    <mergeCell ref="B762:E762"/>
    <mergeCell ref="C764:F764"/>
    <mergeCell ref="B766:G766"/>
    <mergeCell ref="B787:G787"/>
    <mergeCell ref="B728:E728"/>
    <mergeCell ref="C730:F730"/>
    <mergeCell ref="B732:G732"/>
    <mergeCell ref="B742:G742"/>
    <mergeCell ref="B745:E745"/>
    <mergeCell ref="C747:F747"/>
    <mergeCell ref="B708:G708"/>
    <mergeCell ref="B710:G710"/>
    <mergeCell ref="B713:E713"/>
    <mergeCell ref="C722:F722"/>
    <mergeCell ref="B724:G724"/>
    <mergeCell ref="B726:G726"/>
    <mergeCell ref="B689:G689"/>
    <mergeCell ref="B691:G691"/>
    <mergeCell ref="B693:G693"/>
    <mergeCell ref="B696:E696"/>
    <mergeCell ref="C705:F705"/>
    <mergeCell ref="B706:G706"/>
    <mergeCell ref="B677:E677"/>
    <mergeCell ref="C679:F679"/>
    <mergeCell ref="B681:G681"/>
    <mergeCell ref="B683:G683"/>
    <mergeCell ref="B686:E686"/>
    <mergeCell ref="C688:F688"/>
    <mergeCell ref="B659:G659"/>
    <mergeCell ref="B663:G663"/>
    <mergeCell ref="B666:E666"/>
    <mergeCell ref="C668:F668"/>
    <mergeCell ref="B670:G670"/>
    <mergeCell ref="B674:G674"/>
    <mergeCell ref="B645:E645"/>
    <mergeCell ref="C647:F647"/>
    <mergeCell ref="B649:G649"/>
    <mergeCell ref="B652:G652"/>
    <mergeCell ref="B655:E655"/>
    <mergeCell ref="C657:F657"/>
    <mergeCell ref="B629:G629"/>
    <mergeCell ref="B632:G632"/>
    <mergeCell ref="B635:E635"/>
    <mergeCell ref="C637:F637"/>
    <mergeCell ref="B639:G639"/>
    <mergeCell ref="B642:G642"/>
    <mergeCell ref="B608:E609"/>
    <mergeCell ref="C617:F617"/>
    <mergeCell ref="B619:G619"/>
    <mergeCell ref="B622:G622"/>
    <mergeCell ref="B625:E625"/>
    <mergeCell ref="C627:F627"/>
    <mergeCell ref="B585:G585"/>
    <mergeCell ref="B587:G587"/>
    <mergeCell ref="B591:E592"/>
    <mergeCell ref="C600:F600"/>
    <mergeCell ref="B602:G602"/>
    <mergeCell ref="B604:G604"/>
    <mergeCell ref="B557:E558"/>
    <mergeCell ref="C566:F566"/>
    <mergeCell ref="B568:G568"/>
    <mergeCell ref="B570:G570"/>
    <mergeCell ref="B574:E575"/>
    <mergeCell ref="C583:F583"/>
    <mergeCell ref="B534:G534"/>
    <mergeCell ref="B536:G536"/>
    <mergeCell ref="B540:E541"/>
    <mergeCell ref="C549:F549"/>
    <mergeCell ref="B551:G551"/>
    <mergeCell ref="B553:G553"/>
    <mergeCell ref="B506:E507"/>
    <mergeCell ref="C515:F515"/>
    <mergeCell ref="B517:G517"/>
    <mergeCell ref="B519:G519"/>
    <mergeCell ref="B523:E524"/>
    <mergeCell ref="C532:F532"/>
    <mergeCell ref="B483:G483"/>
    <mergeCell ref="B485:G485"/>
    <mergeCell ref="B489:E490"/>
    <mergeCell ref="C498:F498"/>
    <mergeCell ref="B500:G500"/>
    <mergeCell ref="B502:G502"/>
    <mergeCell ref="B454:E455"/>
    <mergeCell ref="C463:F463"/>
    <mergeCell ref="B465:G465"/>
    <mergeCell ref="B467:G467"/>
    <mergeCell ref="B471:E472"/>
    <mergeCell ref="C481:F481"/>
    <mergeCell ref="B431:G431"/>
    <mergeCell ref="B434:G434"/>
    <mergeCell ref="B437:E438"/>
    <mergeCell ref="C446:F446"/>
    <mergeCell ref="B448:G448"/>
    <mergeCell ref="B451:G451"/>
    <mergeCell ref="B395:E396"/>
    <mergeCell ref="C397:F397"/>
    <mergeCell ref="B399:G399"/>
    <mergeCell ref="B403:G403"/>
    <mergeCell ref="B406:E407"/>
    <mergeCell ref="C429:F429"/>
    <mergeCell ref="B380:G380"/>
    <mergeCell ref="B382:G382"/>
    <mergeCell ref="B385:E386"/>
    <mergeCell ref="C388:F388"/>
    <mergeCell ref="B390:G390"/>
    <mergeCell ref="B392:G392"/>
    <mergeCell ref="B367:E367"/>
    <mergeCell ref="C369:F369"/>
    <mergeCell ref="B371:G371"/>
    <mergeCell ref="B373:G373"/>
    <mergeCell ref="B376:E376"/>
    <mergeCell ref="C378:F378"/>
    <mergeCell ref="B353:G353"/>
    <mergeCell ref="B355:G355"/>
    <mergeCell ref="B358:E359"/>
    <mergeCell ref="C361:F361"/>
    <mergeCell ref="B363:G363"/>
    <mergeCell ref="B365:G365"/>
    <mergeCell ref="B340:G340"/>
    <mergeCell ref="B343:E345"/>
    <mergeCell ref="B346:C346"/>
    <mergeCell ref="E346:F346"/>
    <mergeCell ref="B347:G349"/>
    <mergeCell ref="C351:F351"/>
    <mergeCell ref="B325:E325"/>
    <mergeCell ref="C327:F327"/>
    <mergeCell ref="B329:G329"/>
    <mergeCell ref="B331:G331"/>
    <mergeCell ref="C336:F336"/>
    <mergeCell ref="B338:G338"/>
    <mergeCell ref="B304:G304"/>
    <mergeCell ref="B306:G306"/>
    <mergeCell ref="B309:E309"/>
    <mergeCell ref="C318:F318"/>
    <mergeCell ref="B320:G320"/>
    <mergeCell ref="B322:G322"/>
    <mergeCell ref="B291:E291"/>
    <mergeCell ref="C293:F293"/>
    <mergeCell ref="B295:G295"/>
    <mergeCell ref="B297:G297"/>
    <mergeCell ref="B300:E300"/>
    <mergeCell ref="C302:F302"/>
    <mergeCell ref="B277:G277"/>
    <mergeCell ref="B279:G279"/>
    <mergeCell ref="B282:E282"/>
    <mergeCell ref="C284:F284"/>
    <mergeCell ref="B286:G286"/>
    <mergeCell ref="B288:G288"/>
    <mergeCell ref="B262:G262"/>
    <mergeCell ref="C266:F266"/>
    <mergeCell ref="B268:G268"/>
    <mergeCell ref="B270:G270"/>
    <mergeCell ref="B273:E273"/>
    <mergeCell ref="C275:F275"/>
    <mergeCell ref="B248:G248"/>
    <mergeCell ref="B250:G250"/>
    <mergeCell ref="B253:E254"/>
    <mergeCell ref="B255:C255"/>
    <mergeCell ref="B256:G256"/>
    <mergeCell ref="B259:G259"/>
    <mergeCell ref="B234:E235"/>
    <mergeCell ref="B236:C236"/>
    <mergeCell ref="B237:G237"/>
    <mergeCell ref="B240:G240"/>
    <mergeCell ref="B242:G242"/>
    <mergeCell ref="C246:F246"/>
    <mergeCell ref="B221:G221"/>
    <mergeCell ref="B223:G223"/>
    <mergeCell ref="B225:E225"/>
    <mergeCell ref="C227:F227"/>
    <mergeCell ref="B229:G229"/>
    <mergeCell ref="B231:G231"/>
    <mergeCell ref="B209:E209"/>
    <mergeCell ref="C211:F211"/>
    <mergeCell ref="B213:G213"/>
    <mergeCell ref="B215:G215"/>
    <mergeCell ref="B217:E217"/>
    <mergeCell ref="C219:F219"/>
    <mergeCell ref="B197:G197"/>
    <mergeCell ref="B199:G199"/>
    <mergeCell ref="B201:E201"/>
    <mergeCell ref="C203:F203"/>
    <mergeCell ref="B205:G205"/>
    <mergeCell ref="B207:G207"/>
    <mergeCell ref="B180:E181"/>
    <mergeCell ref="C182:F182"/>
    <mergeCell ref="B184:G184"/>
    <mergeCell ref="B189:G189"/>
    <mergeCell ref="B193:E193"/>
    <mergeCell ref="C195:F195"/>
    <mergeCell ref="B159:G159"/>
    <mergeCell ref="B161:G161"/>
    <mergeCell ref="B164:E165"/>
    <mergeCell ref="C173:F173"/>
    <mergeCell ref="B175:G175"/>
    <mergeCell ref="B177:G177"/>
    <mergeCell ref="B145:E145"/>
    <mergeCell ref="C147:F147"/>
    <mergeCell ref="B149:G149"/>
    <mergeCell ref="B151:G151"/>
    <mergeCell ref="B154:E155"/>
    <mergeCell ref="C157:F157"/>
    <mergeCell ref="B124:G124"/>
    <mergeCell ref="B126:G126"/>
    <mergeCell ref="B129:E130"/>
    <mergeCell ref="C138:F138"/>
    <mergeCell ref="B140:G140"/>
    <mergeCell ref="B142:G142"/>
    <mergeCell ref="B98:E98"/>
    <mergeCell ref="C107:F107"/>
    <mergeCell ref="B109:G109"/>
    <mergeCell ref="B111:G111"/>
    <mergeCell ref="B113:E113"/>
    <mergeCell ref="C122:F122"/>
    <mergeCell ref="B85:G85"/>
    <mergeCell ref="B87:G87"/>
    <mergeCell ref="B89:E89"/>
    <mergeCell ref="C91:F91"/>
    <mergeCell ref="B93:G93"/>
    <mergeCell ref="B95:G95"/>
    <mergeCell ref="B58:E59"/>
    <mergeCell ref="C67:F67"/>
    <mergeCell ref="B69:G69"/>
    <mergeCell ref="B71:G71"/>
    <mergeCell ref="B74:E75"/>
    <mergeCell ref="C83:F83"/>
    <mergeCell ref="B45:G45"/>
    <mergeCell ref="B47:G47"/>
    <mergeCell ref="B49:E50"/>
    <mergeCell ref="C51:F51"/>
    <mergeCell ref="B53:G53"/>
    <mergeCell ref="B55:G55"/>
    <mergeCell ref="B39:G39"/>
    <mergeCell ref="B41:E42"/>
    <mergeCell ref="C43:F43"/>
    <mergeCell ref="B19:G19"/>
    <mergeCell ref="B22:G22"/>
    <mergeCell ref="B24:E25"/>
    <mergeCell ref="C26:F26"/>
    <mergeCell ref="B28:G28"/>
    <mergeCell ref="B30:G30"/>
    <mergeCell ref="B6:G6"/>
    <mergeCell ref="C8:F8"/>
    <mergeCell ref="B10:G10"/>
    <mergeCell ref="B12:G12"/>
    <mergeCell ref="B15:E15"/>
    <mergeCell ref="C17:F17"/>
    <mergeCell ref="B33:E33"/>
    <mergeCell ref="C35:F35"/>
    <mergeCell ref="B37:G37"/>
  </mergeCells>
  <dataValidations count="1">
    <dataValidation type="list" allowBlank="1" showInputMessage="1" showErrorMessage="1" sqref="A13:A14 A1557:A1559 A1561:A1562 A1522:A1524 A1526:A1527 A1504 A1506:A1507 A1496:A1497 A1494 A1486:A1487 A1484 A1448:A1450 A1416:A1417 A1412:A1414 A1452:A1453 A1304:A1306 A1345:A1346 A1308:A1309 A1285:A1286 A1291:A1292 A1381:A1382 A1377:A1379 A1341:A1343 A1212:A1214 A1216:A1217 A1248:A1250 A1194:A1195 A1252:A1253 A1129:A1130 A1164:A1165 A1161:A1162 A1132:A1133 A1093:A1095 A1078:A1079 A1097:A1098 A1061 A1045 A1063:A1064 A1047:A1048 A1031:A1032 A1016:A1017 A1005 A1007:A1008 A1000 A998 A992:A993 A990 A981 A983:A984 A972 A974:A975 A963 A965:A966 A954 A956:A957 A945 A947:A948 A936 A938:A939 A927 A929:A930 A918 A920:A921 A909 A911:A912 A900 A902:A903 A891 A893:A894 A882 A884:A885 A873 A875:A876 A864 A866:A867 A855 A857:A858 A828 A830:A831 A846 A848:A849 A837 A839:A840 A819 A821:A822 A800:A810 A812 A767:A786 A788:A794 A760:A761 A750:A758 A743:A744 A733:A741 A190:A192 A727 A20:A21 A684:A685 A224 A222 A216 A214 A671:A673 A675:A676 A660:A662 A664:A665 A46 A48 A38 A653:A654 A650:A651 A643:A644 A640:A641 A537:A539 A520:A522 A503:A505 A486:A488 A468:A470 A150 A141 A143:A144 A86 A40 A633:A634 A620:A621 A623:A624 A356:A357 A354 A605:A607 A588:A590 A450 A433 A298:A299 A296 A289:A290 A287 A280:A281 A278 A554:A556 A571:A573 A332:A333 A330 A208 A206 A29 A682 A11 A452:A453 A435:A436 A404:A405 A393:A394 A383:A384 A374:A375 A366 A341:A342 A323:A324 A307:A308 A271:A272 A251:A252 A232:A233 A200 A725 A178:A179 A162:A163 A152:A153 A127:A128 A112 A96:A97 A88 A72:A73 A56:A57 A31:A32 A23 A630:A631 A391 A381 A372 A364 A339 A321 A269 A249 A230 A198 A185:A188 A176">
      <formula1>#REF!</formula1>
    </dataValidation>
  </dataValidations>
  <hyperlinks>
    <hyperlink ref="C439" r:id="rId1"/>
    <hyperlink ref="C456" r:id="rId2"/>
    <hyperlink ref="C60" r:id="rId3" display="LAMPADA E REATOR DE VAPOR METALICO 70 W"/>
  </hyperlinks>
  <printOptions horizontalCentered="1"/>
  <pageMargins left="0.59055118110236227" right="0.59055118110236227" top="1.7716535433070868" bottom="0.78740157480314965" header="0.19685039370078741" footer="0.19685039370078741"/>
  <pageSetup paperSize="9" scale="50" fitToHeight="100" orientation="portrait" r:id="rId4"/>
  <headerFooter scaleWithDoc="0">
    <oddFooter>Página &amp;P de &amp;N</oddFooter>
  </headerFooter>
  <rowBreaks count="4" manualBreakCount="4">
    <brk id="1090" min="1" max="6" man="1"/>
    <brk id="1156" min="1" max="6" man="1"/>
    <brk id="1392" min="1" max="6" man="1"/>
    <brk id="1517" min="1" max="6" man="1"/>
  </rowBreaks>
</worksheet>
</file>

<file path=xl/worksheets/sheet9.xml><?xml version="1.0" encoding="utf-8"?>
<worksheet xmlns="http://schemas.openxmlformats.org/spreadsheetml/2006/main" xmlns:r="http://schemas.openxmlformats.org/officeDocument/2006/relationships">
  <sheetPr codeName="Planilha14">
    <tabColor theme="5" tint="0.39997558519241921"/>
  </sheetPr>
  <dimension ref="A1:L872"/>
  <sheetViews>
    <sheetView view="pageBreakPreview" topLeftCell="B1" zoomScale="70" zoomScaleSheetLayoutView="70" workbookViewId="0">
      <selection activeCell="B25" sqref="B25:G25"/>
    </sheetView>
  </sheetViews>
  <sheetFormatPr defaultRowHeight="12.75"/>
  <cols>
    <col min="1" max="1" width="19.5703125" style="457" hidden="1" customWidth="1"/>
    <col min="2" max="2" width="24.5703125" style="458" customWidth="1"/>
    <col min="3" max="3" width="78.5703125" style="458" customWidth="1"/>
    <col min="4" max="4" width="19.28515625" style="458" bestFit="1" customWidth="1"/>
    <col min="5" max="5" width="22.7109375" style="458" bestFit="1" customWidth="1"/>
    <col min="6" max="6" width="20.140625" style="458" bestFit="1" customWidth="1"/>
    <col min="7" max="7" width="20.7109375" style="458" bestFit="1" customWidth="1"/>
    <col min="8" max="8" width="14.140625" style="457" hidden="1" customWidth="1"/>
    <col min="9" max="9" width="16.5703125" style="458" hidden="1" customWidth="1"/>
    <col min="10" max="257" width="9.140625" style="458"/>
    <col min="258" max="258" width="24.5703125" style="458" customWidth="1"/>
    <col min="259" max="259" width="71.7109375" style="458" customWidth="1"/>
    <col min="260" max="260" width="17.140625" style="458" bestFit="1" customWidth="1"/>
    <col min="261" max="261" width="16.7109375" style="458" bestFit="1" customWidth="1"/>
    <col min="262" max="262" width="16.85546875" style="458" bestFit="1" customWidth="1"/>
    <col min="263" max="263" width="21.42578125" style="458" customWidth="1"/>
    <col min="264" max="264" width="9.140625" style="458"/>
    <col min="265" max="265" width="16.5703125" style="458" bestFit="1" customWidth="1"/>
    <col min="266" max="513" width="9.140625" style="458"/>
    <col min="514" max="514" width="24.5703125" style="458" customWidth="1"/>
    <col min="515" max="515" width="71.7109375" style="458" customWidth="1"/>
    <col min="516" max="516" width="17.140625" style="458" bestFit="1" customWidth="1"/>
    <col min="517" max="517" width="16.7109375" style="458" bestFit="1" customWidth="1"/>
    <col min="518" max="518" width="16.85546875" style="458" bestFit="1" customWidth="1"/>
    <col min="519" max="519" width="21.42578125" style="458" customWidth="1"/>
    <col min="520" max="520" width="9.140625" style="458"/>
    <col min="521" max="521" width="16.5703125" style="458" bestFit="1" customWidth="1"/>
    <col min="522" max="769" width="9.140625" style="458"/>
    <col min="770" max="770" width="24.5703125" style="458" customWidth="1"/>
    <col min="771" max="771" width="71.7109375" style="458" customWidth="1"/>
    <col min="772" max="772" width="17.140625" style="458" bestFit="1" customWidth="1"/>
    <col min="773" max="773" width="16.7109375" style="458" bestFit="1" customWidth="1"/>
    <col min="774" max="774" width="16.85546875" style="458" bestFit="1" customWidth="1"/>
    <col min="775" max="775" width="21.42578125" style="458" customWidth="1"/>
    <col min="776" max="776" width="9.140625" style="458"/>
    <col min="777" max="777" width="16.5703125" style="458" bestFit="1" customWidth="1"/>
    <col min="778" max="1025" width="9.140625" style="458"/>
    <col min="1026" max="1026" width="24.5703125" style="458" customWidth="1"/>
    <col min="1027" max="1027" width="71.7109375" style="458" customWidth="1"/>
    <col min="1028" max="1028" width="17.140625" style="458" bestFit="1" customWidth="1"/>
    <col min="1029" max="1029" width="16.7109375" style="458" bestFit="1" customWidth="1"/>
    <col min="1030" max="1030" width="16.85546875" style="458" bestFit="1" customWidth="1"/>
    <col min="1031" max="1031" width="21.42578125" style="458" customWidth="1"/>
    <col min="1032" max="1032" width="9.140625" style="458"/>
    <col min="1033" max="1033" width="16.5703125" style="458" bestFit="1" customWidth="1"/>
    <col min="1034" max="1281" width="9.140625" style="458"/>
    <col min="1282" max="1282" width="24.5703125" style="458" customWidth="1"/>
    <col min="1283" max="1283" width="71.7109375" style="458" customWidth="1"/>
    <col min="1284" max="1284" width="17.140625" style="458" bestFit="1" customWidth="1"/>
    <col min="1285" max="1285" width="16.7109375" style="458" bestFit="1" customWidth="1"/>
    <col min="1286" max="1286" width="16.85546875" style="458" bestFit="1" customWidth="1"/>
    <col min="1287" max="1287" width="21.42578125" style="458" customWidth="1"/>
    <col min="1288" max="1288" width="9.140625" style="458"/>
    <col min="1289" max="1289" width="16.5703125" style="458" bestFit="1" customWidth="1"/>
    <col min="1290" max="1537" width="9.140625" style="458"/>
    <col min="1538" max="1538" width="24.5703125" style="458" customWidth="1"/>
    <col min="1539" max="1539" width="71.7109375" style="458" customWidth="1"/>
    <col min="1540" max="1540" width="17.140625" style="458" bestFit="1" customWidth="1"/>
    <col min="1541" max="1541" width="16.7109375" style="458" bestFit="1" customWidth="1"/>
    <col min="1542" max="1542" width="16.85546875" style="458" bestFit="1" customWidth="1"/>
    <col min="1543" max="1543" width="21.42578125" style="458" customWidth="1"/>
    <col min="1544" max="1544" width="9.140625" style="458"/>
    <col min="1545" max="1545" width="16.5703125" style="458" bestFit="1" customWidth="1"/>
    <col min="1546" max="1793" width="9.140625" style="458"/>
    <col min="1794" max="1794" width="24.5703125" style="458" customWidth="1"/>
    <col min="1795" max="1795" width="71.7109375" style="458" customWidth="1"/>
    <col min="1796" max="1796" width="17.140625" style="458" bestFit="1" customWidth="1"/>
    <col min="1797" max="1797" width="16.7109375" style="458" bestFit="1" customWidth="1"/>
    <col min="1798" max="1798" width="16.85546875" style="458" bestFit="1" customWidth="1"/>
    <col min="1799" max="1799" width="21.42578125" style="458" customWidth="1"/>
    <col min="1800" max="1800" width="9.140625" style="458"/>
    <col min="1801" max="1801" width="16.5703125" style="458" bestFit="1" customWidth="1"/>
    <col min="1802" max="2049" width="9.140625" style="458"/>
    <col min="2050" max="2050" width="24.5703125" style="458" customWidth="1"/>
    <col min="2051" max="2051" width="71.7109375" style="458" customWidth="1"/>
    <col min="2052" max="2052" width="17.140625" style="458" bestFit="1" customWidth="1"/>
    <col min="2053" max="2053" width="16.7109375" style="458" bestFit="1" customWidth="1"/>
    <col min="2054" max="2054" width="16.85546875" style="458" bestFit="1" customWidth="1"/>
    <col min="2055" max="2055" width="21.42578125" style="458" customWidth="1"/>
    <col min="2056" max="2056" width="9.140625" style="458"/>
    <col min="2057" max="2057" width="16.5703125" style="458" bestFit="1" customWidth="1"/>
    <col min="2058" max="2305" width="9.140625" style="458"/>
    <col min="2306" max="2306" width="24.5703125" style="458" customWidth="1"/>
    <col min="2307" max="2307" width="71.7109375" style="458" customWidth="1"/>
    <col min="2308" max="2308" width="17.140625" style="458" bestFit="1" customWidth="1"/>
    <col min="2309" max="2309" width="16.7109375" style="458" bestFit="1" customWidth="1"/>
    <col min="2310" max="2310" width="16.85546875" style="458" bestFit="1" customWidth="1"/>
    <col min="2311" max="2311" width="21.42578125" style="458" customWidth="1"/>
    <col min="2312" max="2312" width="9.140625" style="458"/>
    <col min="2313" max="2313" width="16.5703125" style="458" bestFit="1" customWidth="1"/>
    <col min="2314" max="2561" width="9.140625" style="458"/>
    <col min="2562" max="2562" width="24.5703125" style="458" customWidth="1"/>
    <col min="2563" max="2563" width="71.7109375" style="458" customWidth="1"/>
    <col min="2564" max="2564" width="17.140625" style="458" bestFit="1" customWidth="1"/>
    <col min="2565" max="2565" width="16.7109375" style="458" bestFit="1" customWidth="1"/>
    <col min="2566" max="2566" width="16.85546875" style="458" bestFit="1" customWidth="1"/>
    <col min="2567" max="2567" width="21.42578125" style="458" customWidth="1"/>
    <col min="2568" max="2568" width="9.140625" style="458"/>
    <col min="2569" max="2569" width="16.5703125" style="458" bestFit="1" customWidth="1"/>
    <col min="2570" max="2817" width="9.140625" style="458"/>
    <col min="2818" max="2818" width="24.5703125" style="458" customWidth="1"/>
    <col min="2819" max="2819" width="71.7109375" style="458" customWidth="1"/>
    <col min="2820" max="2820" width="17.140625" style="458" bestFit="1" customWidth="1"/>
    <col min="2821" max="2821" width="16.7109375" style="458" bestFit="1" customWidth="1"/>
    <col min="2822" max="2822" width="16.85546875" style="458" bestFit="1" customWidth="1"/>
    <col min="2823" max="2823" width="21.42578125" style="458" customWidth="1"/>
    <col min="2824" max="2824" width="9.140625" style="458"/>
    <col min="2825" max="2825" width="16.5703125" style="458" bestFit="1" customWidth="1"/>
    <col min="2826" max="3073" width="9.140625" style="458"/>
    <col min="3074" max="3074" width="24.5703125" style="458" customWidth="1"/>
    <col min="3075" max="3075" width="71.7109375" style="458" customWidth="1"/>
    <col min="3076" max="3076" width="17.140625" style="458" bestFit="1" customWidth="1"/>
    <col min="3077" max="3077" width="16.7109375" style="458" bestFit="1" customWidth="1"/>
    <col min="3078" max="3078" width="16.85546875" style="458" bestFit="1" customWidth="1"/>
    <col min="3079" max="3079" width="21.42578125" style="458" customWidth="1"/>
    <col min="3080" max="3080" width="9.140625" style="458"/>
    <col min="3081" max="3081" width="16.5703125" style="458" bestFit="1" customWidth="1"/>
    <col min="3082" max="3329" width="9.140625" style="458"/>
    <col min="3330" max="3330" width="24.5703125" style="458" customWidth="1"/>
    <col min="3331" max="3331" width="71.7109375" style="458" customWidth="1"/>
    <col min="3332" max="3332" width="17.140625" style="458" bestFit="1" customWidth="1"/>
    <col min="3333" max="3333" width="16.7109375" style="458" bestFit="1" customWidth="1"/>
    <col min="3334" max="3334" width="16.85546875" style="458" bestFit="1" customWidth="1"/>
    <col min="3335" max="3335" width="21.42578125" style="458" customWidth="1"/>
    <col min="3336" max="3336" width="9.140625" style="458"/>
    <col min="3337" max="3337" width="16.5703125" style="458" bestFit="1" customWidth="1"/>
    <col min="3338" max="3585" width="9.140625" style="458"/>
    <col min="3586" max="3586" width="24.5703125" style="458" customWidth="1"/>
    <col min="3587" max="3587" width="71.7109375" style="458" customWidth="1"/>
    <col min="3588" max="3588" width="17.140625" style="458" bestFit="1" customWidth="1"/>
    <col min="3589" max="3589" width="16.7109375" style="458" bestFit="1" customWidth="1"/>
    <col min="3590" max="3590" width="16.85546875" style="458" bestFit="1" customWidth="1"/>
    <col min="3591" max="3591" width="21.42578125" style="458" customWidth="1"/>
    <col min="3592" max="3592" width="9.140625" style="458"/>
    <col min="3593" max="3593" width="16.5703125" style="458" bestFit="1" customWidth="1"/>
    <col min="3594" max="3841" width="9.140625" style="458"/>
    <col min="3842" max="3842" width="24.5703125" style="458" customWidth="1"/>
    <col min="3843" max="3843" width="71.7109375" style="458" customWidth="1"/>
    <col min="3844" max="3844" width="17.140625" style="458" bestFit="1" customWidth="1"/>
    <col min="3845" max="3845" width="16.7109375" style="458" bestFit="1" customWidth="1"/>
    <col min="3846" max="3846" width="16.85546875" style="458" bestFit="1" customWidth="1"/>
    <col min="3847" max="3847" width="21.42578125" style="458" customWidth="1"/>
    <col min="3848" max="3848" width="9.140625" style="458"/>
    <col min="3849" max="3849" width="16.5703125" style="458" bestFit="1" customWidth="1"/>
    <col min="3850" max="4097" width="9.140625" style="458"/>
    <col min="4098" max="4098" width="24.5703125" style="458" customWidth="1"/>
    <col min="4099" max="4099" width="71.7109375" style="458" customWidth="1"/>
    <col min="4100" max="4100" width="17.140625" style="458" bestFit="1" customWidth="1"/>
    <col min="4101" max="4101" width="16.7109375" style="458" bestFit="1" customWidth="1"/>
    <col min="4102" max="4102" width="16.85546875" style="458" bestFit="1" customWidth="1"/>
    <col min="4103" max="4103" width="21.42578125" style="458" customWidth="1"/>
    <col min="4104" max="4104" width="9.140625" style="458"/>
    <col min="4105" max="4105" width="16.5703125" style="458" bestFit="1" customWidth="1"/>
    <col min="4106" max="4353" width="9.140625" style="458"/>
    <col min="4354" max="4354" width="24.5703125" style="458" customWidth="1"/>
    <col min="4355" max="4355" width="71.7109375" style="458" customWidth="1"/>
    <col min="4356" max="4356" width="17.140625" style="458" bestFit="1" customWidth="1"/>
    <col min="4357" max="4357" width="16.7109375" style="458" bestFit="1" customWidth="1"/>
    <col min="4358" max="4358" width="16.85546875" style="458" bestFit="1" customWidth="1"/>
    <col min="4359" max="4359" width="21.42578125" style="458" customWidth="1"/>
    <col min="4360" max="4360" width="9.140625" style="458"/>
    <col min="4361" max="4361" width="16.5703125" style="458" bestFit="1" customWidth="1"/>
    <col min="4362" max="4609" width="9.140625" style="458"/>
    <col min="4610" max="4610" width="24.5703125" style="458" customWidth="1"/>
    <col min="4611" max="4611" width="71.7109375" style="458" customWidth="1"/>
    <col min="4612" max="4612" width="17.140625" style="458" bestFit="1" customWidth="1"/>
    <col min="4613" max="4613" width="16.7109375" style="458" bestFit="1" customWidth="1"/>
    <col min="4614" max="4614" width="16.85546875" style="458" bestFit="1" customWidth="1"/>
    <col min="4615" max="4615" width="21.42578125" style="458" customWidth="1"/>
    <col min="4616" max="4616" width="9.140625" style="458"/>
    <col min="4617" max="4617" width="16.5703125" style="458" bestFit="1" customWidth="1"/>
    <col min="4618" max="4865" width="9.140625" style="458"/>
    <col min="4866" max="4866" width="24.5703125" style="458" customWidth="1"/>
    <col min="4867" max="4867" width="71.7109375" style="458" customWidth="1"/>
    <col min="4868" max="4868" width="17.140625" style="458" bestFit="1" customWidth="1"/>
    <col min="4869" max="4869" width="16.7109375" style="458" bestFit="1" customWidth="1"/>
    <col min="4870" max="4870" width="16.85546875" style="458" bestFit="1" customWidth="1"/>
    <col min="4871" max="4871" width="21.42578125" style="458" customWidth="1"/>
    <col min="4872" max="4872" width="9.140625" style="458"/>
    <col min="4873" max="4873" width="16.5703125" style="458" bestFit="1" customWidth="1"/>
    <col min="4874" max="5121" width="9.140625" style="458"/>
    <col min="5122" max="5122" width="24.5703125" style="458" customWidth="1"/>
    <col min="5123" max="5123" width="71.7109375" style="458" customWidth="1"/>
    <col min="5124" max="5124" width="17.140625" style="458" bestFit="1" customWidth="1"/>
    <col min="5125" max="5125" width="16.7109375" style="458" bestFit="1" customWidth="1"/>
    <col min="5126" max="5126" width="16.85546875" style="458" bestFit="1" customWidth="1"/>
    <col min="5127" max="5127" width="21.42578125" style="458" customWidth="1"/>
    <col min="5128" max="5128" width="9.140625" style="458"/>
    <col min="5129" max="5129" width="16.5703125" style="458" bestFit="1" customWidth="1"/>
    <col min="5130" max="5377" width="9.140625" style="458"/>
    <col min="5378" max="5378" width="24.5703125" style="458" customWidth="1"/>
    <col min="5379" max="5379" width="71.7109375" style="458" customWidth="1"/>
    <col min="5380" max="5380" width="17.140625" style="458" bestFit="1" customWidth="1"/>
    <col min="5381" max="5381" width="16.7109375" style="458" bestFit="1" customWidth="1"/>
    <col min="5382" max="5382" width="16.85546875" style="458" bestFit="1" customWidth="1"/>
    <col min="5383" max="5383" width="21.42578125" style="458" customWidth="1"/>
    <col min="5384" max="5384" width="9.140625" style="458"/>
    <col min="5385" max="5385" width="16.5703125" style="458" bestFit="1" customWidth="1"/>
    <col min="5386" max="5633" width="9.140625" style="458"/>
    <col min="5634" max="5634" width="24.5703125" style="458" customWidth="1"/>
    <col min="5635" max="5635" width="71.7109375" style="458" customWidth="1"/>
    <col min="5636" max="5636" width="17.140625" style="458" bestFit="1" customWidth="1"/>
    <col min="5637" max="5637" width="16.7109375" style="458" bestFit="1" customWidth="1"/>
    <col min="5638" max="5638" width="16.85546875" style="458" bestFit="1" customWidth="1"/>
    <col min="5639" max="5639" width="21.42578125" style="458" customWidth="1"/>
    <col min="5640" max="5640" width="9.140625" style="458"/>
    <col min="5641" max="5641" width="16.5703125" style="458" bestFit="1" customWidth="1"/>
    <col min="5642" max="5889" width="9.140625" style="458"/>
    <col min="5890" max="5890" width="24.5703125" style="458" customWidth="1"/>
    <col min="5891" max="5891" width="71.7109375" style="458" customWidth="1"/>
    <col min="5892" max="5892" width="17.140625" style="458" bestFit="1" customWidth="1"/>
    <col min="5893" max="5893" width="16.7109375" style="458" bestFit="1" customWidth="1"/>
    <col min="5894" max="5894" width="16.85546875" style="458" bestFit="1" customWidth="1"/>
    <col min="5895" max="5895" width="21.42578125" style="458" customWidth="1"/>
    <col min="5896" max="5896" width="9.140625" style="458"/>
    <col min="5897" max="5897" width="16.5703125" style="458" bestFit="1" customWidth="1"/>
    <col min="5898" max="6145" width="9.140625" style="458"/>
    <col min="6146" max="6146" width="24.5703125" style="458" customWidth="1"/>
    <col min="6147" max="6147" width="71.7109375" style="458" customWidth="1"/>
    <col min="6148" max="6148" width="17.140625" style="458" bestFit="1" customWidth="1"/>
    <col min="6149" max="6149" width="16.7109375" style="458" bestFit="1" customWidth="1"/>
    <col min="6150" max="6150" width="16.85546875" style="458" bestFit="1" customWidth="1"/>
    <col min="6151" max="6151" width="21.42578125" style="458" customWidth="1"/>
    <col min="6152" max="6152" width="9.140625" style="458"/>
    <col min="6153" max="6153" width="16.5703125" style="458" bestFit="1" customWidth="1"/>
    <col min="6154" max="6401" width="9.140625" style="458"/>
    <col min="6402" max="6402" width="24.5703125" style="458" customWidth="1"/>
    <col min="6403" max="6403" width="71.7109375" style="458" customWidth="1"/>
    <col min="6404" max="6404" width="17.140625" style="458" bestFit="1" customWidth="1"/>
    <col min="6405" max="6405" width="16.7109375" style="458" bestFit="1" customWidth="1"/>
    <col min="6406" max="6406" width="16.85546875" style="458" bestFit="1" customWidth="1"/>
    <col min="6407" max="6407" width="21.42578125" style="458" customWidth="1"/>
    <col min="6408" max="6408" width="9.140625" style="458"/>
    <col min="6409" max="6409" width="16.5703125" style="458" bestFit="1" customWidth="1"/>
    <col min="6410" max="6657" width="9.140625" style="458"/>
    <col min="6658" max="6658" width="24.5703125" style="458" customWidth="1"/>
    <col min="6659" max="6659" width="71.7109375" style="458" customWidth="1"/>
    <col min="6660" max="6660" width="17.140625" style="458" bestFit="1" customWidth="1"/>
    <col min="6661" max="6661" width="16.7109375" style="458" bestFit="1" customWidth="1"/>
    <col min="6662" max="6662" width="16.85546875" style="458" bestFit="1" customWidth="1"/>
    <col min="6663" max="6663" width="21.42578125" style="458" customWidth="1"/>
    <col min="6664" max="6664" width="9.140625" style="458"/>
    <col min="6665" max="6665" width="16.5703125" style="458" bestFit="1" customWidth="1"/>
    <col min="6666" max="6913" width="9.140625" style="458"/>
    <col min="6914" max="6914" width="24.5703125" style="458" customWidth="1"/>
    <col min="6915" max="6915" width="71.7109375" style="458" customWidth="1"/>
    <col min="6916" max="6916" width="17.140625" style="458" bestFit="1" customWidth="1"/>
    <col min="6917" max="6917" width="16.7109375" style="458" bestFit="1" customWidth="1"/>
    <col min="6918" max="6918" width="16.85546875" style="458" bestFit="1" customWidth="1"/>
    <col min="6919" max="6919" width="21.42578125" style="458" customWidth="1"/>
    <col min="6920" max="6920" width="9.140625" style="458"/>
    <col min="6921" max="6921" width="16.5703125" style="458" bestFit="1" customWidth="1"/>
    <col min="6922" max="7169" width="9.140625" style="458"/>
    <col min="7170" max="7170" width="24.5703125" style="458" customWidth="1"/>
    <col min="7171" max="7171" width="71.7109375" style="458" customWidth="1"/>
    <col min="7172" max="7172" width="17.140625" style="458" bestFit="1" customWidth="1"/>
    <col min="7173" max="7173" width="16.7109375" style="458" bestFit="1" customWidth="1"/>
    <col min="7174" max="7174" width="16.85546875" style="458" bestFit="1" customWidth="1"/>
    <col min="7175" max="7175" width="21.42578125" style="458" customWidth="1"/>
    <col min="7176" max="7176" width="9.140625" style="458"/>
    <col min="7177" max="7177" width="16.5703125" style="458" bestFit="1" customWidth="1"/>
    <col min="7178" max="7425" width="9.140625" style="458"/>
    <col min="7426" max="7426" width="24.5703125" style="458" customWidth="1"/>
    <col min="7427" max="7427" width="71.7109375" style="458" customWidth="1"/>
    <col min="7428" max="7428" width="17.140625" style="458" bestFit="1" customWidth="1"/>
    <col min="7429" max="7429" width="16.7109375" style="458" bestFit="1" customWidth="1"/>
    <col min="7430" max="7430" width="16.85546875" style="458" bestFit="1" customWidth="1"/>
    <col min="7431" max="7431" width="21.42578125" style="458" customWidth="1"/>
    <col min="7432" max="7432" width="9.140625" style="458"/>
    <col min="7433" max="7433" width="16.5703125" style="458" bestFit="1" customWidth="1"/>
    <col min="7434" max="7681" width="9.140625" style="458"/>
    <col min="7682" max="7682" width="24.5703125" style="458" customWidth="1"/>
    <col min="7683" max="7683" width="71.7109375" style="458" customWidth="1"/>
    <col min="7684" max="7684" width="17.140625" style="458" bestFit="1" customWidth="1"/>
    <col min="7685" max="7685" width="16.7109375" style="458" bestFit="1" customWidth="1"/>
    <col min="7686" max="7686" width="16.85546875" style="458" bestFit="1" customWidth="1"/>
    <col min="7687" max="7687" width="21.42578125" style="458" customWidth="1"/>
    <col min="7688" max="7688" width="9.140625" style="458"/>
    <col min="7689" max="7689" width="16.5703125" style="458" bestFit="1" customWidth="1"/>
    <col min="7690" max="7937" width="9.140625" style="458"/>
    <col min="7938" max="7938" width="24.5703125" style="458" customWidth="1"/>
    <col min="7939" max="7939" width="71.7109375" style="458" customWidth="1"/>
    <col min="7940" max="7940" width="17.140625" style="458" bestFit="1" customWidth="1"/>
    <col min="7941" max="7941" width="16.7109375" style="458" bestFit="1" customWidth="1"/>
    <col min="7942" max="7942" width="16.85546875" style="458" bestFit="1" customWidth="1"/>
    <col min="7943" max="7943" width="21.42578125" style="458" customWidth="1"/>
    <col min="7944" max="7944" width="9.140625" style="458"/>
    <col min="7945" max="7945" width="16.5703125" style="458" bestFit="1" customWidth="1"/>
    <col min="7946" max="8193" width="9.140625" style="458"/>
    <col min="8194" max="8194" width="24.5703125" style="458" customWidth="1"/>
    <col min="8195" max="8195" width="71.7109375" style="458" customWidth="1"/>
    <col min="8196" max="8196" width="17.140625" style="458" bestFit="1" customWidth="1"/>
    <col min="8197" max="8197" width="16.7109375" style="458" bestFit="1" customWidth="1"/>
    <col min="8198" max="8198" width="16.85546875" style="458" bestFit="1" customWidth="1"/>
    <col min="8199" max="8199" width="21.42578125" style="458" customWidth="1"/>
    <col min="8200" max="8200" width="9.140625" style="458"/>
    <col min="8201" max="8201" width="16.5703125" style="458" bestFit="1" customWidth="1"/>
    <col min="8202" max="8449" width="9.140625" style="458"/>
    <col min="8450" max="8450" width="24.5703125" style="458" customWidth="1"/>
    <col min="8451" max="8451" width="71.7109375" style="458" customWidth="1"/>
    <col min="8452" max="8452" width="17.140625" style="458" bestFit="1" customWidth="1"/>
    <col min="8453" max="8453" width="16.7109375" style="458" bestFit="1" customWidth="1"/>
    <col min="8454" max="8454" width="16.85546875" style="458" bestFit="1" customWidth="1"/>
    <col min="8455" max="8455" width="21.42578125" style="458" customWidth="1"/>
    <col min="8456" max="8456" width="9.140625" style="458"/>
    <col min="8457" max="8457" width="16.5703125" style="458" bestFit="1" customWidth="1"/>
    <col min="8458" max="8705" width="9.140625" style="458"/>
    <col min="8706" max="8706" width="24.5703125" style="458" customWidth="1"/>
    <col min="8707" max="8707" width="71.7109375" style="458" customWidth="1"/>
    <col min="8708" max="8708" width="17.140625" style="458" bestFit="1" customWidth="1"/>
    <col min="8709" max="8709" width="16.7109375" style="458" bestFit="1" customWidth="1"/>
    <col min="8710" max="8710" width="16.85546875" style="458" bestFit="1" customWidth="1"/>
    <col min="8711" max="8711" width="21.42578125" style="458" customWidth="1"/>
    <col min="8712" max="8712" width="9.140625" style="458"/>
    <col min="8713" max="8713" width="16.5703125" style="458" bestFit="1" customWidth="1"/>
    <col min="8714" max="8961" width="9.140625" style="458"/>
    <col min="8962" max="8962" width="24.5703125" style="458" customWidth="1"/>
    <col min="8963" max="8963" width="71.7109375" style="458" customWidth="1"/>
    <col min="8964" max="8964" width="17.140625" style="458" bestFit="1" customWidth="1"/>
    <col min="8965" max="8965" width="16.7109375" style="458" bestFit="1" customWidth="1"/>
    <col min="8966" max="8966" width="16.85546875" style="458" bestFit="1" customWidth="1"/>
    <col min="8967" max="8967" width="21.42578125" style="458" customWidth="1"/>
    <col min="8968" max="8968" width="9.140625" style="458"/>
    <col min="8969" max="8969" width="16.5703125" style="458" bestFit="1" customWidth="1"/>
    <col min="8970" max="9217" width="9.140625" style="458"/>
    <col min="9218" max="9218" width="24.5703125" style="458" customWidth="1"/>
    <col min="9219" max="9219" width="71.7109375" style="458" customWidth="1"/>
    <col min="9220" max="9220" width="17.140625" style="458" bestFit="1" customWidth="1"/>
    <col min="9221" max="9221" width="16.7109375" style="458" bestFit="1" customWidth="1"/>
    <col min="9222" max="9222" width="16.85546875" style="458" bestFit="1" customWidth="1"/>
    <col min="9223" max="9223" width="21.42578125" style="458" customWidth="1"/>
    <col min="9224" max="9224" width="9.140625" style="458"/>
    <col min="9225" max="9225" width="16.5703125" style="458" bestFit="1" customWidth="1"/>
    <col min="9226" max="9473" width="9.140625" style="458"/>
    <col min="9474" max="9474" width="24.5703125" style="458" customWidth="1"/>
    <col min="9475" max="9475" width="71.7109375" style="458" customWidth="1"/>
    <col min="9476" max="9476" width="17.140625" style="458" bestFit="1" customWidth="1"/>
    <col min="9477" max="9477" width="16.7109375" style="458" bestFit="1" customWidth="1"/>
    <col min="9478" max="9478" width="16.85546875" style="458" bestFit="1" customWidth="1"/>
    <col min="9479" max="9479" width="21.42578125" style="458" customWidth="1"/>
    <col min="9480" max="9480" width="9.140625" style="458"/>
    <col min="9481" max="9481" width="16.5703125" style="458" bestFit="1" customWidth="1"/>
    <col min="9482" max="9729" width="9.140625" style="458"/>
    <col min="9730" max="9730" width="24.5703125" style="458" customWidth="1"/>
    <col min="9731" max="9731" width="71.7109375" style="458" customWidth="1"/>
    <col min="9732" max="9732" width="17.140625" style="458" bestFit="1" customWidth="1"/>
    <col min="9733" max="9733" width="16.7109375" style="458" bestFit="1" customWidth="1"/>
    <col min="9734" max="9734" width="16.85546875" style="458" bestFit="1" customWidth="1"/>
    <col min="9735" max="9735" width="21.42578125" style="458" customWidth="1"/>
    <col min="9736" max="9736" width="9.140625" style="458"/>
    <col min="9737" max="9737" width="16.5703125" style="458" bestFit="1" customWidth="1"/>
    <col min="9738" max="9985" width="9.140625" style="458"/>
    <col min="9986" max="9986" width="24.5703125" style="458" customWidth="1"/>
    <col min="9987" max="9987" width="71.7109375" style="458" customWidth="1"/>
    <col min="9988" max="9988" width="17.140625" style="458" bestFit="1" customWidth="1"/>
    <col min="9989" max="9989" width="16.7109375" style="458" bestFit="1" customWidth="1"/>
    <col min="9990" max="9990" width="16.85546875" style="458" bestFit="1" customWidth="1"/>
    <col min="9991" max="9991" width="21.42578125" style="458" customWidth="1"/>
    <col min="9992" max="9992" width="9.140625" style="458"/>
    <col min="9993" max="9993" width="16.5703125" style="458" bestFit="1" customWidth="1"/>
    <col min="9994" max="10241" width="9.140625" style="458"/>
    <col min="10242" max="10242" width="24.5703125" style="458" customWidth="1"/>
    <col min="10243" max="10243" width="71.7109375" style="458" customWidth="1"/>
    <col min="10244" max="10244" width="17.140625" style="458" bestFit="1" customWidth="1"/>
    <col min="10245" max="10245" width="16.7109375" style="458" bestFit="1" customWidth="1"/>
    <col min="10246" max="10246" width="16.85546875" style="458" bestFit="1" customWidth="1"/>
    <col min="10247" max="10247" width="21.42578125" style="458" customWidth="1"/>
    <col min="10248" max="10248" width="9.140625" style="458"/>
    <col min="10249" max="10249" width="16.5703125" style="458" bestFit="1" customWidth="1"/>
    <col min="10250" max="10497" width="9.140625" style="458"/>
    <col min="10498" max="10498" width="24.5703125" style="458" customWidth="1"/>
    <col min="10499" max="10499" width="71.7109375" style="458" customWidth="1"/>
    <col min="10500" max="10500" width="17.140625" style="458" bestFit="1" customWidth="1"/>
    <col min="10501" max="10501" width="16.7109375" style="458" bestFit="1" customWidth="1"/>
    <col min="10502" max="10502" width="16.85546875" style="458" bestFit="1" customWidth="1"/>
    <col min="10503" max="10503" width="21.42578125" style="458" customWidth="1"/>
    <col min="10504" max="10504" width="9.140625" style="458"/>
    <col min="10505" max="10505" width="16.5703125" style="458" bestFit="1" customWidth="1"/>
    <col min="10506" max="10753" width="9.140625" style="458"/>
    <col min="10754" max="10754" width="24.5703125" style="458" customWidth="1"/>
    <col min="10755" max="10755" width="71.7109375" style="458" customWidth="1"/>
    <col min="10756" max="10756" width="17.140625" style="458" bestFit="1" customWidth="1"/>
    <col min="10757" max="10757" width="16.7109375" style="458" bestFit="1" customWidth="1"/>
    <col min="10758" max="10758" width="16.85546875" style="458" bestFit="1" customWidth="1"/>
    <col min="10759" max="10759" width="21.42578125" style="458" customWidth="1"/>
    <col min="10760" max="10760" width="9.140625" style="458"/>
    <col min="10761" max="10761" width="16.5703125" style="458" bestFit="1" customWidth="1"/>
    <col min="10762" max="11009" width="9.140625" style="458"/>
    <col min="11010" max="11010" width="24.5703125" style="458" customWidth="1"/>
    <col min="11011" max="11011" width="71.7109375" style="458" customWidth="1"/>
    <col min="11012" max="11012" width="17.140625" style="458" bestFit="1" customWidth="1"/>
    <col min="11013" max="11013" width="16.7109375" style="458" bestFit="1" customWidth="1"/>
    <col min="11014" max="11014" width="16.85546875" style="458" bestFit="1" customWidth="1"/>
    <col min="11015" max="11015" width="21.42578125" style="458" customWidth="1"/>
    <col min="11016" max="11016" width="9.140625" style="458"/>
    <col min="11017" max="11017" width="16.5703125" style="458" bestFit="1" customWidth="1"/>
    <col min="11018" max="11265" width="9.140625" style="458"/>
    <col min="11266" max="11266" width="24.5703125" style="458" customWidth="1"/>
    <col min="11267" max="11267" width="71.7109375" style="458" customWidth="1"/>
    <col min="11268" max="11268" width="17.140625" style="458" bestFit="1" customWidth="1"/>
    <col min="11269" max="11269" width="16.7109375" style="458" bestFit="1" customWidth="1"/>
    <col min="11270" max="11270" width="16.85546875" style="458" bestFit="1" customWidth="1"/>
    <col min="11271" max="11271" width="21.42578125" style="458" customWidth="1"/>
    <col min="11272" max="11272" width="9.140625" style="458"/>
    <col min="11273" max="11273" width="16.5703125" style="458" bestFit="1" customWidth="1"/>
    <col min="11274" max="11521" width="9.140625" style="458"/>
    <col min="11522" max="11522" width="24.5703125" style="458" customWidth="1"/>
    <col min="11523" max="11523" width="71.7109375" style="458" customWidth="1"/>
    <col min="11524" max="11524" width="17.140625" style="458" bestFit="1" customWidth="1"/>
    <col min="11525" max="11525" width="16.7109375" style="458" bestFit="1" customWidth="1"/>
    <col min="11526" max="11526" width="16.85546875" style="458" bestFit="1" customWidth="1"/>
    <col min="11527" max="11527" width="21.42578125" style="458" customWidth="1"/>
    <col min="11528" max="11528" width="9.140625" style="458"/>
    <col min="11529" max="11529" width="16.5703125" style="458" bestFit="1" customWidth="1"/>
    <col min="11530" max="11777" width="9.140625" style="458"/>
    <col min="11778" max="11778" width="24.5703125" style="458" customWidth="1"/>
    <col min="11779" max="11779" width="71.7109375" style="458" customWidth="1"/>
    <col min="11780" max="11780" width="17.140625" style="458" bestFit="1" customWidth="1"/>
    <col min="11781" max="11781" width="16.7109375" style="458" bestFit="1" customWidth="1"/>
    <col min="11782" max="11782" width="16.85546875" style="458" bestFit="1" customWidth="1"/>
    <col min="11783" max="11783" width="21.42578125" style="458" customWidth="1"/>
    <col min="11784" max="11784" width="9.140625" style="458"/>
    <col min="11785" max="11785" width="16.5703125" style="458" bestFit="1" customWidth="1"/>
    <col min="11786" max="12033" width="9.140625" style="458"/>
    <col min="12034" max="12034" width="24.5703125" style="458" customWidth="1"/>
    <col min="12035" max="12035" width="71.7109375" style="458" customWidth="1"/>
    <col min="12036" max="12036" width="17.140625" style="458" bestFit="1" customWidth="1"/>
    <col min="12037" max="12037" width="16.7109375" style="458" bestFit="1" customWidth="1"/>
    <col min="12038" max="12038" width="16.85546875" style="458" bestFit="1" customWidth="1"/>
    <col min="12039" max="12039" width="21.42578125" style="458" customWidth="1"/>
    <col min="12040" max="12040" width="9.140625" style="458"/>
    <col min="12041" max="12041" width="16.5703125" style="458" bestFit="1" customWidth="1"/>
    <col min="12042" max="12289" width="9.140625" style="458"/>
    <col min="12290" max="12290" width="24.5703125" style="458" customWidth="1"/>
    <col min="12291" max="12291" width="71.7109375" style="458" customWidth="1"/>
    <col min="12292" max="12292" width="17.140625" style="458" bestFit="1" customWidth="1"/>
    <col min="12293" max="12293" width="16.7109375" style="458" bestFit="1" customWidth="1"/>
    <col min="12294" max="12294" width="16.85546875" style="458" bestFit="1" customWidth="1"/>
    <col min="12295" max="12295" width="21.42578125" style="458" customWidth="1"/>
    <col min="12296" max="12296" width="9.140625" style="458"/>
    <col min="12297" max="12297" width="16.5703125" style="458" bestFit="1" customWidth="1"/>
    <col min="12298" max="12545" width="9.140625" style="458"/>
    <col min="12546" max="12546" width="24.5703125" style="458" customWidth="1"/>
    <col min="12547" max="12547" width="71.7109375" style="458" customWidth="1"/>
    <col min="12548" max="12548" width="17.140625" style="458" bestFit="1" customWidth="1"/>
    <col min="12549" max="12549" width="16.7109375" style="458" bestFit="1" customWidth="1"/>
    <col min="12550" max="12550" width="16.85546875" style="458" bestFit="1" customWidth="1"/>
    <col min="12551" max="12551" width="21.42578125" style="458" customWidth="1"/>
    <col min="12552" max="12552" width="9.140625" style="458"/>
    <col min="12553" max="12553" width="16.5703125" style="458" bestFit="1" customWidth="1"/>
    <col min="12554" max="12801" width="9.140625" style="458"/>
    <col min="12802" max="12802" width="24.5703125" style="458" customWidth="1"/>
    <col min="12803" max="12803" width="71.7109375" style="458" customWidth="1"/>
    <col min="12804" max="12804" width="17.140625" style="458" bestFit="1" customWidth="1"/>
    <col min="12805" max="12805" width="16.7109375" style="458" bestFit="1" customWidth="1"/>
    <col min="12806" max="12806" width="16.85546875" style="458" bestFit="1" customWidth="1"/>
    <col min="12807" max="12807" width="21.42578125" style="458" customWidth="1"/>
    <col min="12808" max="12808" width="9.140625" style="458"/>
    <col min="12809" max="12809" width="16.5703125" style="458" bestFit="1" customWidth="1"/>
    <col min="12810" max="13057" width="9.140625" style="458"/>
    <col min="13058" max="13058" width="24.5703125" style="458" customWidth="1"/>
    <col min="13059" max="13059" width="71.7109375" style="458" customWidth="1"/>
    <col min="13060" max="13060" width="17.140625" style="458" bestFit="1" customWidth="1"/>
    <col min="13061" max="13061" width="16.7109375" style="458" bestFit="1" customWidth="1"/>
    <col min="13062" max="13062" width="16.85546875" style="458" bestFit="1" customWidth="1"/>
    <col min="13063" max="13063" width="21.42578125" style="458" customWidth="1"/>
    <col min="13064" max="13064" width="9.140625" style="458"/>
    <col min="13065" max="13065" width="16.5703125" style="458" bestFit="1" customWidth="1"/>
    <col min="13066" max="13313" width="9.140625" style="458"/>
    <col min="13314" max="13314" width="24.5703125" style="458" customWidth="1"/>
    <col min="13315" max="13315" width="71.7109375" style="458" customWidth="1"/>
    <col min="13316" max="13316" width="17.140625" style="458" bestFit="1" customWidth="1"/>
    <col min="13317" max="13317" width="16.7109375" style="458" bestFit="1" customWidth="1"/>
    <col min="13318" max="13318" width="16.85546875" style="458" bestFit="1" customWidth="1"/>
    <col min="13319" max="13319" width="21.42578125" style="458" customWidth="1"/>
    <col min="13320" max="13320" width="9.140625" style="458"/>
    <col min="13321" max="13321" width="16.5703125" style="458" bestFit="1" customWidth="1"/>
    <col min="13322" max="13569" width="9.140625" style="458"/>
    <col min="13570" max="13570" width="24.5703125" style="458" customWidth="1"/>
    <col min="13571" max="13571" width="71.7109375" style="458" customWidth="1"/>
    <col min="13572" max="13572" width="17.140625" style="458" bestFit="1" customWidth="1"/>
    <col min="13573" max="13573" width="16.7109375" style="458" bestFit="1" customWidth="1"/>
    <col min="13574" max="13574" width="16.85546875" style="458" bestFit="1" customWidth="1"/>
    <col min="13575" max="13575" width="21.42578125" style="458" customWidth="1"/>
    <col min="13576" max="13576" width="9.140625" style="458"/>
    <col min="13577" max="13577" width="16.5703125" style="458" bestFit="1" customWidth="1"/>
    <col min="13578" max="13825" width="9.140625" style="458"/>
    <col min="13826" max="13826" width="24.5703125" style="458" customWidth="1"/>
    <col min="13827" max="13827" width="71.7109375" style="458" customWidth="1"/>
    <col min="13828" max="13828" width="17.140625" style="458" bestFit="1" customWidth="1"/>
    <col min="13829" max="13829" width="16.7109375" style="458" bestFit="1" customWidth="1"/>
    <col min="13830" max="13830" width="16.85546875" style="458" bestFit="1" customWidth="1"/>
    <col min="13831" max="13831" width="21.42578125" style="458" customWidth="1"/>
    <col min="13832" max="13832" width="9.140625" style="458"/>
    <col min="13833" max="13833" width="16.5703125" style="458" bestFit="1" customWidth="1"/>
    <col min="13834" max="14081" width="9.140625" style="458"/>
    <col min="14082" max="14082" width="24.5703125" style="458" customWidth="1"/>
    <col min="14083" max="14083" width="71.7109375" style="458" customWidth="1"/>
    <col min="14084" max="14084" width="17.140625" style="458" bestFit="1" customWidth="1"/>
    <col min="14085" max="14085" width="16.7109375" style="458" bestFit="1" customWidth="1"/>
    <col min="14086" max="14086" width="16.85546875" style="458" bestFit="1" customWidth="1"/>
    <col min="14087" max="14087" width="21.42578125" style="458" customWidth="1"/>
    <col min="14088" max="14088" width="9.140625" style="458"/>
    <col min="14089" max="14089" width="16.5703125" style="458" bestFit="1" customWidth="1"/>
    <col min="14090" max="14337" width="9.140625" style="458"/>
    <col min="14338" max="14338" width="24.5703125" style="458" customWidth="1"/>
    <col min="14339" max="14339" width="71.7109375" style="458" customWidth="1"/>
    <col min="14340" max="14340" width="17.140625" style="458" bestFit="1" customWidth="1"/>
    <col min="14341" max="14341" width="16.7109375" style="458" bestFit="1" customWidth="1"/>
    <col min="14342" max="14342" width="16.85546875" style="458" bestFit="1" customWidth="1"/>
    <col min="14343" max="14343" width="21.42578125" style="458" customWidth="1"/>
    <col min="14344" max="14344" width="9.140625" style="458"/>
    <col min="14345" max="14345" width="16.5703125" style="458" bestFit="1" customWidth="1"/>
    <col min="14346" max="14593" width="9.140625" style="458"/>
    <col min="14594" max="14594" width="24.5703125" style="458" customWidth="1"/>
    <col min="14595" max="14595" width="71.7109375" style="458" customWidth="1"/>
    <col min="14596" max="14596" width="17.140625" style="458" bestFit="1" customWidth="1"/>
    <col min="14597" max="14597" width="16.7109375" style="458" bestFit="1" customWidth="1"/>
    <col min="14598" max="14598" width="16.85546875" style="458" bestFit="1" customWidth="1"/>
    <col min="14599" max="14599" width="21.42578125" style="458" customWidth="1"/>
    <col min="14600" max="14600" width="9.140625" style="458"/>
    <col min="14601" max="14601" width="16.5703125" style="458" bestFit="1" customWidth="1"/>
    <col min="14602" max="14849" width="9.140625" style="458"/>
    <col min="14850" max="14850" width="24.5703125" style="458" customWidth="1"/>
    <col min="14851" max="14851" width="71.7109375" style="458" customWidth="1"/>
    <col min="14852" max="14852" width="17.140625" style="458" bestFit="1" customWidth="1"/>
    <col min="14853" max="14853" width="16.7109375" style="458" bestFit="1" customWidth="1"/>
    <col min="14854" max="14854" width="16.85546875" style="458" bestFit="1" customWidth="1"/>
    <col min="14855" max="14855" width="21.42578125" style="458" customWidth="1"/>
    <col min="14856" max="14856" width="9.140625" style="458"/>
    <col min="14857" max="14857" width="16.5703125" style="458" bestFit="1" customWidth="1"/>
    <col min="14858" max="15105" width="9.140625" style="458"/>
    <col min="15106" max="15106" width="24.5703125" style="458" customWidth="1"/>
    <col min="15107" max="15107" width="71.7109375" style="458" customWidth="1"/>
    <col min="15108" max="15108" width="17.140625" style="458" bestFit="1" customWidth="1"/>
    <col min="15109" max="15109" width="16.7109375" style="458" bestFit="1" customWidth="1"/>
    <col min="15110" max="15110" width="16.85546875" style="458" bestFit="1" customWidth="1"/>
    <col min="15111" max="15111" width="21.42578125" style="458" customWidth="1"/>
    <col min="15112" max="15112" width="9.140625" style="458"/>
    <col min="15113" max="15113" width="16.5703125" style="458" bestFit="1" customWidth="1"/>
    <col min="15114" max="15361" width="9.140625" style="458"/>
    <col min="15362" max="15362" width="24.5703125" style="458" customWidth="1"/>
    <col min="15363" max="15363" width="71.7109375" style="458" customWidth="1"/>
    <col min="15364" max="15364" width="17.140625" style="458" bestFit="1" customWidth="1"/>
    <col min="15365" max="15365" width="16.7109375" style="458" bestFit="1" customWidth="1"/>
    <col min="15366" max="15366" width="16.85546875" style="458" bestFit="1" customWidth="1"/>
    <col min="15367" max="15367" width="21.42578125" style="458" customWidth="1"/>
    <col min="15368" max="15368" width="9.140625" style="458"/>
    <col min="15369" max="15369" width="16.5703125" style="458" bestFit="1" customWidth="1"/>
    <col min="15370" max="15617" width="9.140625" style="458"/>
    <col min="15618" max="15618" width="24.5703125" style="458" customWidth="1"/>
    <col min="15619" max="15619" width="71.7109375" style="458" customWidth="1"/>
    <col min="15620" max="15620" width="17.140625" style="458" bestFit="1" customWidth="1"/>
    <col min="15621" max="15621" width="16.7109375" style="458" bestFit="1" customWidth="1"/>
    <col min="15622" max="15622" width="16.85546875" style="458" bestFit="1" customWidth="1"/>
    <col min="15623" max="15623" width="21.42578125" style="458" customWidth="1"/>
    <col min="15624" max="15624" width="9.140625" style="458"/>
    <col min="15625" max="15625" width="16.5703125" style="458" bestFit="1" customWidth="1"/>
    <col min="15626" max="15873" width="9.140625" style="458"/>
    <col min="15874" max="15874" width="24.5703125" style="458" customWidth="1"/>
    <col min="15875" max="15875" width="71.7109375" style="458" customWidth="1"/>
    <col min="15876" max="15876" width="17.140625" style="458" bestFit="1" customWidth="1"/>
    <col min="15877" max="15877" width="16.7109375" style="458" bestFit="1" customWidth="1"/>
    <col min="15878" max="15878" width="16.85546875" style="458" bestFit="1" customWidth="1"/>
    <col min="15879" max="15879" width="21.42578125" style="458" customWidth="1"/>
    <col min="15880" max="15880" width="9.140625" style="458"/>
    <col min="15881" max="15881" width="16.5703125" style="458" bestFit="1" customWidth="1"/>
    <col min="15882" max="16129" width="9.140625" style="458"/>
    <col min="16130" max="16130" width="24.5703125" style="458" customWidth="1"/>
    <col min="16131" max="16131" width="71.7109375" style="458" customWidth="1"/>
    <col min="16132" max="16132" width="17.140625" style="458" bestFit="1" customWidth="1"/>
    <col min="16133" max="16133" width="16.7109375" style="458" bestFit="1" customWidth="1"/>
    <col min="16134" max="16134" width="16.85546875" style="458" bestFit="1" customWidth="1"/>
    <col min="16135" max="16135" width="21.42578125" style="458" customWidth="1"/>
    <col min="16136" max="16136" width="9.140625" style="458"/>
    <col min="16137" max="16137" width="16.5703125" style="458" bestFit="1" customWidth="1"/>
    <col min="16138" max="16384" width="9.140625" style="458"/>
  </cols>
  <sheetData>
    <row r="1" spans="1:10" ht="15.75">
      <c r="B1" s="725" t="str">
        <f>'PLANILHA ORÇAMENTARIA'!A1</f>
        <v>OBRA:</v>
      </c>
      <c r="C1" s="724" t="str">
        <f>'PLANILHA ORÇAMENTARIA'!B1</f>
        <v>Construção da Lavanderia e Predio Sede da Secretaria Municipal de Saúde de Barra do Bugres - MT</v>
      </c>
    </row>
    <row r="2" spans="1:10" ht="15.75">
      <c r="B2" s="725" t="str">
        <f>'PLANILHA ORÇAMENTARIA'!A2</f>
        <v>Endereço:</v>
      </c>
      <c r="C2" s="724" t="str">
        <f>'PLANILHA ORÇAMENTARIA'!B2</f>
        <v>Rua Voluntários da Pátria, 861 - Bairro Maracanã</v>
      </c>
      <c r="D2" s="725"/>
      <c r="E2" s="724"/>
    </row>
    <row r="3" spans="1:10" ht="15.75">
      <c r="B3" s="725" t="str">
        <f>'PLANILHA ORÇAMENTARIA'!A3</f>
        <v>Município:</v>
      </c>
      <c r="C3" s="724" t="str">
        <f>'PLANILHA ORÇAMENTARIA'!B3</f>
        <v>Barra do Bugres - MT</v>
      </c>
      <c r="D3" s="725"/>
      <c r="E3" s="724"/>
    </row>
    <row r="4" spans="1:10" ht="15.75">
      <c r="B4" s="725" t="str">
        <f>'PLANILHA ORÇAMENTARIA'!A4</f>
        <v>Data:</v>
      </c>
      <c r="C4" s="414">
        <f>'PLANILHA ORÇAMENTARIA'!B4</f>
        <v>43952</v>
      </c>
      <c r="E4" s="1172" t="str">
        <f>'PLANILHA ORÇAMENTARIA'!E3</f>
        <v>Referência:</v>
      </c>
      <c r="F4" s="1173" t="str">
        <f>'PLANILHA ORÇAMENTARIA'!G3</f>
        <v>SINAPI -01/2020 não deson.</v>
      </c>
    </row>
    <row r="5" spans="1:10" ht="13.5" thickBot="1"/>
    <row r="6" spans="1:10" s="462" customFormat="1" ht="18.75" thickBot="1">
      <c r="B6" s="1345" t="s">
        <v>14010</v>
      </c>
      <c r="C6" s="1215"/>
      <c r="D6" s="1215"/>
      <c r="E6" s="1215"/>
      <c r="F6" s="1215"/>
      <c r="G6" s="1346"/>
    </row>
    <row r="7" spans="1:10" s="745" customFormat="1" ht="9.9499999999999993" customHeight="1" thickBot="1">
      <c r="B7" s="949"/>
      <c r="C7" s="747"/>
      <c r="D7" s="747"/>
      <c r="E7" s="747"/>
      <c r="F7" s="747"/>
      <c r="G7" s="950"/>
    </row>
    <row r="8" spans="1:10" s="464" customFormat="1" ht="36" hidden="1" customHeight="1">
      <c r="B8" s="704" t="s">
        <v>14011</v>
      </c>
      <c r="C8" s="1257" t="str">
        <f>CONCATENATE("FORNECIMENTO E INSTALAÇÃO DE ",C11)</f>
        <v>FORNECIMENTO E INSTALAÇÃO DE CAIXA DE EQUALIZAÇÃO DE EMBUTIR, COM BARRAMENTO E 9 TERMINAIS, APROX. 26X26X10 CM</v>
      </c>
      <c r="D8" s="1225"/>
      <c r="E8" s="1225"/>
      <c r="F8" s="1225"/>
      <c r="G8" s="705" t="s">
        <v>28</v>
      </c>
      <c r="H8" s="570">
        <f>G14</f>
        <v>318.77999999999997</v>
      </c>
      <c r="I8" s="465"/>
    </row>
    <row r="9" spans="1:10" s="464" customFormat="1" ht="32.25" hidden="1" thickBot="1">
      <c r="B9" s="469" t="s">
        <v>13463</v>
      </c>
      <c r="C9" s="707" t="s">
        <v>13464</v>
      </c>
      <c r="D9" s="470" t="s">
        <v>28</v>
      </c>
      <c r="E9" s="707" t="s">
        <v>13465</v>
      </c>
      <c r="F9" s="293" t="s">
        <v>13466</v>
      </c>
      <c r="G9" s="708" t="s">
        <v>13467</v>
      </c>
      <c r="I9" s="465"/>
    </row>
    <row r="10" spans="1:10" s="464" customFormat="1" ht="16.5" hidden="1" thickBot="1">
      <c r="B10" s="1283" t="s">
        <v>13468</v>
      </c>
      <c r="C10" s="1284"/>
      <c r="D10" s="1284"/>
      <c r="E10" s="1284"/>
      <c r="F10" s="1284"/>
      <c r="G10" s="1285"/>
      <c r="I10" s="465"/>
      <c r="J10" s="464" t="s">
        <v>14012</v>
      </c>
    </row>
    <row r="11" spans="1:10" s="464" customFormat="1" ht="30.75" hidden="1" thickBot="1">
      <c r="B11" s="951" t="s">
        <v>13497</v>
      </c>
      <c r="C11" s="863" t="s">
        <v>14013</v>
      </c>
      <c r="D11" s="864" t="s">
        <v>28</v>
      </c>
      <c r="E11" s="815">
        <v>1</v>
      </c>
      <c r="F11" s="815">
        <f>D21</f>
        <v>288</v>
      </c>
      <c r="G11" s="845">
        <f>TRUNC(F11*E11,2)</f>
        <v>288</v>
      </c>
      <c r="I11" s="465"/>
    </row>
    <row r="12" spans="1:10" s="464" customFormat="1" ht="16.5" hidden="1" thickBot="1">
      <c r="B12" s="1283" t="s">
        <v>13469</v>
      </c>
      <c r="C12" s="1284"/>
      <c r="D12" s="1284"/>
      <c r="E12" s="1284"/>
      <c r="F12" s="1284"/>
      <c r="G12" s="1285"/>
      <c r="I12" s="465"/>
    </row>
    <row r="13" spans="1:10" s="464" customFormat="1" ht="16.5" hidden="1" thickBot="1">
      <c r="A13" s="473" t="s">
        <v>13459</v>
      </c>
      <c r="B13" s="753">
        <v>88264</v>
      </c>
      <c r="C13" s="717" t="s">
        <v>771</v>
      </c>
      <c r="D13" s="718" t="s">
        <v>753</v>
      </c>
      <c r="E13" s="754">
        <v>1.5</v>
      </c>
      <c r="F13" s="720">
        <v>20.52</v>
      </c>
      <c r="G13" s="755">
        <f>TRUNC(F13*E13,2)</f>
        <v>30.78</v>
      </c>
      <c r="I13" s="465"/>
    </row>
    <row r="14" spans="1:10" s="464" customFormat="1" ht="16.5" hidden="1" thickBot="1">
      <c r="B14" s="1265" t="s">
        <v>14014</v>
      </c>
      <c r="C14" s="1265"/>
      <c r="D14" s="1265"/>
      <c r="E14" s="1265"/>
      <c r="F14" s="756" t="s">
        <v>22</v>
      </c>
      <c r="G14" s="757">
        <f>SUM(G10:G13)</f>
        <v>318.77999999999997</v>
      </c>
      <c r="I14" s="465"/>
    </row>
    <row r="15" spans="1:10" s="489" customFormat="1" ht="16.5" hidden="1" thickBot="1">
      <c r="B15" s="1265"/>
      <c r="C15" s="1265"/>
      <c r="D15" s="1265"/>
      <c r="E15" s="1265"/>
      <c r="F15" s="865"/>
      <c r="G15" s="952"/>
    </row>
    <row r="16" spans="1:10" s="489" customFormat="1" ht="32.25" hidden="1" thickBot="1">
      <c r="B16" s="953"/>
      <c r="C16" s="607" t="s">
        <v>14013</v>
      </c>
      <c r="D16" s="607"/>
      <c r="E16" s="954"/>
      <c r="F16" s="955"/>
      <c r="G16" s="956" t="s">
        <v>28</v>
      </c>
      <c r="H16" s="916" t="s">
        <v>13934</v>
      </c>
    </row>
    <row r="17" spans="1:9" s="489" customFormat="1" ht="32.25" hidden="1" thickBot="1">
      <c r="B17" s="668" t="s">
        <v>13502</v>
      </c>
      <c r="C17" s="669" t="s">
        <v>13503</v>
      </c>
      <c r="D17" s="670" t="s">
        <v>13504</v>
      </c>
      <c r="E17" s="671" t="s">
        <v>13505</v>
      </c>
      <c r="F17" s="647" t="s">
        <v>13506</v>
      </c>
      <c r="G17" s="672" t="s">
        <v>13507</v>
      </c>
    </row>
    <row r="18" spans="1:9" s="489" customFormat="1" ht="15.75" hidden="1" thickBot="1">
      <c r="B18" s="648">
        <v>43741</v>
      </c>
      <c r="C18" s="630" t="s">
        <v>13924</v>
      </c>
      <c r="D18" s="593">
        <v>147.91999999999999</v>
      </c>
      <c r="E18" s="789" t="s">
        <v>13824</v>
      </c>
      <c r="F18" s="595" t="s">
        <v>14015</v>
      </c>
      <c r="G18" s="878" t="s">
        <v>13865</v>
      </c>
      <c r="H18"/>
      <c r="I18" s="791">
        <f>B18+180</f>
        <v>43921</v>
      </c>
    </row>
    <row r="19" spans="1:9" s="489" customFormat="1" ht="15.75" hidden="1" thickBot="1">
      <c r="B19" s="648">
        <v>43754</v>
      </c>
      <c r="C19" s="592" t="s">
        <v>14016</v>
      </c>
      <c r="D19" s="593">
        <v>318.47000000000003</v>
      </c>
      <c r="E19" s="652" t="s">
        <v>14017</v>
      </c>
      <c r="F19" s="814" t="s">
        <v>14018</v>
      </c>
      <c r="G19" s="878" t="s">
        <v>14019</v>
      </c>
      <c r="H19"/>
      <c r="I19" s="791">
        <f>B19+180</f>
        <v>43934</v>
      </c>
    </row>
    <row r="20" spans="1:9" s="489" customFormat="1" ht="15.75" hidden="1" thickBot="1">
      <c r="B20" s="902">
        <v>43747</v>
      </c>
      <c r="C20" s="630" t="s">
        <v>13781</v>
      </c>
      <c r="D20" s="593">
        <v>288</v>
      </c>
      <c r="E20" s="789" t="s">
        <v>13782</v>
      </c>
      <c r="F20" s="595" t="s">
        <v>13761</v>
      </c>
      <c r="G20" s="878" t="s">
        <v>14020</v>
      </c>
      <c r="H20"/>
      <c r="I20" s="792">
        <f>B20+180</f>
        <v>43927</v>
      </c>
    </row>
    <row r="21" spans="1:9" s="489" customFormat="1" ht="16.5" hidden="1" thickBot="1">
      <c r="B21" s="598"/>
      <c r="C21" s="599" t="s">
        <v>13523</v>
      </c>
      <c r="D21" s="793">
        <f>IF(COUNT(D17:D20)=3,MEDIAN(D17:D20),SMALL(D18:D20,1))</f>
        <v>288</v>
      </c>
      <c r="E21" s="600"/>
      <c r="F21" s="620"/>
      <c r="G21" s="602"/>
    </row>
    <row r="22" spans="1:9" s="494" customFormat="1" ht="16.5" hidden="1" thickBot="1">
      <c r="B22" s="957"/>
      <c r="C22" s="795"/>
      <c r="D22" s="795"/>
      <c r="E22" s="795"/>
      <c r="F22" s="795"/>
      <c r="G22" s="795"/>
    </row>
    <row r="23" spans="1:9" s="464" customFormat="1" ht="15.75">
      <c r="B23" s="704" t="str">
        <f>IF(COUNT($H$8:H23)&lt;10,CONCATENATE("COMP SPDA 00",COUNT($H$8:H23)),CONCATENATE("COMP SPDA 0",COUNT($H$8:H23)))</f>
        <v>COMP SPDA 002</v>
      </c>
      <c r="C23" s="1257" t="str">
        <f>CONCATENATE("FORNECIMENTO E INSTALAÇÃO DE ",C26)</f>
        <v>FORNECIMENTO E INSTALAÇÃO DE CONECTOR DE MEDIÇÃO C/ 2 PARAFUSOS</v>
      </c>
      <c r="D23" s="1225"/>
      <c r="E23" s="1225"/>
      <c r="F23" s="1225"/>
      <c r="G23" s="705" t="s">
        <v>28</v>
      </c>
      <c r="H23" s="570">
        <f>G30</f>
        <v>22.14</v>
      </c>
      <c r="I23" s="465"/>
    </row>
    <row r="24" spans="1:9" s="464" customFormat="1" ht="31.5">
      <c r="B24" s="469" t="s">
        <v>13463</v>
      </c>
      <c r="C24" s="707" t="s">
        <v>13464</v>
      </c>
      <c r="D24" s="470" t="s">
        <v>28</v>
      </c>
      <c r="E24" s="707" t="s">
        <v>13465</v>
      </c>
      <c r="F24" s="293" t="s">
        <v>13466</v>
      </c>
      <c r="G24" s="708" t="s">
        <v>13467</v>
      </c>
      <c r="I24" s="465"/>
    </row>
    <row r="25" spans="1:9" s="464" customFormat="1" ht="15.75">
      <c r="B25" s="1283" t="s">
        <v>13468</v>
      </c>
      <c r="C25" s="1284"/>
      <c r="D25" s="1284"/>
      <c r="E25" s="1284"/>
      <c r="F25" s="1284"/>
      <c r="G25" s="1285"/>
      <c r="I25" s="465"/>
    </row>
    <row r="26" spans="1:9" s="464" customFormat="1" ht="15">
      <c r="B26" s="951" t="s">
        <v>13497</v>
      </c>
      <c r="C26" s="863" t="s">
        <v>14021</v>
      </c>
      <c r="D26" s="864" t="s">
        <v>28</v>
      </c>
      <c r="E26" s="815">
        <v>1</v>
      </c>
      <c r="F26" s="815">
        <f>D37</f>
        <v>16.690000000000001</v>
      </c>
      <c r="G26" s="845">
        <f>TRUNC(F26*E26,2)</f>
        <v>16.690000000000001</v>
      </c>
      <c r="I26" s="465"/>
    </row>
    <row r="27" spans="1:9" s="464" customFormat="1" ht="15.75">
      <c r="B27" s="1283" t="s">
        <v>13469</v>
      </c>
      <c r="C27" s="1284"/>
      <c r="D27" s="1284"/>
      <c r="E27" s="1284"/>
      <c r="F27" s="1284"/>
      <c r="G27" s="1285"/>
      <c r="I27" s="465"/>
    </row>
    <row r="28" spans="1:9" s="464" customFormat="1" ht="15.75">
      <c r="A28" s="473" t="s">
        <v>13459</v>
      </c>
      <c r="B28" s="751">
        <v>88264</v>
      </c>
      <c r="C28" s="710" t="s">
        <v>771</v>
      </c>
      <c r="D28" s="711" t="s">
        <v>753</v>
      </c>
      <c r="E28" s="752">
        <v>0.15</v>
      </c>
      <c r="F28" s="713">
        <v>20.52</v>
      </c>
      <c r="G28" s="750">
        <f>TRUNC(F28*E28,2)</f>
        <v>3.07</v>
      </c>
      <c r="I28" s="465"/>
    </row>
    <row r="29" spans="1:9" s="489" customFormat="1" ht="16.5" thickBot="1">
      <c r="A29" s="473" t="s">
        <v>13459</v>
      </c>
      <c r="B29" s="753">
        <v>88316</v>
      </c>
      <c r="C29" s="717" t="s">
        <v>761</v>
      </c>
      <c r="D29" s="718" t="s">
        <v>753</v>
      </c>
      <c r="E29" s="754">
        <v>0.15</v>
      </c>
      <c r="F29" s="720">
        <v>15.91</v>
      </c>
      <c r="G29" s="755">
        <f>TRUNC(F29*E29,2)</f>
        <v>2.38</v>
      </c>
    </row>
    <row r="30" spans="1:9" s="489" customFormat="1" ht="16.5" thickBot="1">
      <c r="B30" s="1292" t="s">
        <v>14022</v>
      </c>
      <c r="C30" s="1292"/>
      <c r="D30" s="1292"/>
      <c r="E30" s="1293"/>
      <c r="F30" s="756" t="s">
        <v>22</v>
      </c>
      <c r="G30" s="757">
        <f>SUM(G25:G29)</f>
        <v>22.14</v>
      </c>
    </row>
    <row r="31" spans="1:9" s="489" customFormat="1" ht="15.75" thickBot="1">
      <c r="B31" s="958"/>
      <c r="C31" s="959"/>
      <c r="D31" s="959"/>
      <c r="E31" s="959"/>
      <c r="F31" s="959"/>
      <c r="G31" s="959"/>
    </row>
    <row r="32" spans="1:9" s="489" customFormat="1" ht="15.75">
      <c r="B32" s="572"/>
      <c r="C32" s="607" t="s">
        <v>14021</v>
      </c>
      <c r="D32" s="574"/>
      <c r="E32" s="575"/>
      <c r="F32" s="608"/>
      <c r="G32" s="577" t="s">
        <v>28</v>
      </c>
      <c r="H32" s="916" t="s">
        <v>13934</v>
      </c>
    </row>
    <row r="33" spans="1:9" s="489" customFormat="1" ht="31.5">
      <c r="B33" s="668" t="s">
        <v>13502</v>
      </c>
      <c r="C33" s="669" t="s">
        <v>13503</v>
      </c>
      <c r="D33" s="670" t="s">
        <v>13504</v>
      </c>
      <c r="E33" s="671" t="s">
        <v>13505</v>
      </c>
      <c r="F33" s="647" t="s">
        <v>13506</v>
      </c>
      <c r="G33" s="672" t="s">
        <v>13507</v>
      </c>
    </row>
    <row r="34" spans="1:9" s="489" customFormat="1" ht="15">
      <c r="B34" s="648">
        <v>43802</v>
      </c>
      <c r="C34" s="630" t="s">
        <v>13772</v>
      </c>
      <c r="D34" s="593">
        <v>18.510000000000002</v>
      </c>
      <c r="E34" s="789" t="s">
        <v>13773</v>
      </c>
      <c r="F34" s="595" t="s">
        <v>14023</v>
      </c>
      <c r="G34" s="878" t="s">
        <v>14024</v>
      </c>
      <c r="H34"/>
      <c r="I34" s="791">
        <f>B34+180</f>
        <v>43982</v>
      </c>
    </row>
    <row r="35" spans="1:9" s="489" customFormat="1" ht="15">
      <c r="B35" s="902">
        <v>43803</v>
      </c>
      <c r="C35" s="630" t="s">
        <v>13763</v>
      </c>
      <c r="D35" s="593">
        <v>14.99</v>
      </c>
      <c r="E35" s="789" t="s">
        <v>13764</v>
      </c>
      <c r="F35" s="595" t="s">
        <v>14025</v>
      </c>
      <c r="G35" s="878" t="s">
        <v>14026</v>
      </c>
      <c r="H35"/>
      <c r="I35" s="791">
        <f>B35+180</f>
        <v>43983</v>
      </c>
    </row>
    <row r="36" spans="1:9" s="489" customFormat="1" ht="15.75" thickBot="1">
      <c r="B36" s="960">
        <v>43808</v>
      </c>
      <c r="C36" s="612" t="s">
        <v>13830</v>
      </c>
      <c r="D36" s="894">
        <v>16.690000000000001</v>
      </c>
      <c r="E36" s="652" t="s">
        <v>13831</v>
      </c>
      <c r="F36" s="814" t="s">
        <v>13832</v>
      </c>
      <c r="G36" s="878" t="s">
        <v>14027</v>
      </c>
      <c r="H36"/>
      <c r="I36" s="792">
        <f>B36+180</f>
        <v>43988</v>
      </c>
    </row>
    <row r="37" spans="1:9" s="489" customFormat="1" ht="16.5" thickBot="1">
      <c r="B37" s="598"/>
      <c r="C37" s="599" t="s">
        <v>13523</v>
      </c>
      <c r="D37" s="793">
        <f>IF(COUNT(D33:D36)=3,MEDIAN(D33:D36),SMALL(D34:D36,1))</f>
        <v>16.690000000000001</v>
      </c>
      <c r="E37" s="600"/>
      <c r="F37" s="620"/>
      <c r="G37" s="602"/>
      <c r="H37"/>
    </row>
    <row r="38" spans="1:9" s="494" customFormat="1" ht="16.5" thickBot="1">
      <c r="B38" s="957"/>
      <c r="C38" s="795"/>
      <c r="D38" s="795"/>
      <c r="E38" s="795"/>
      <c r="F38" s="795"/>
      <c r="G38" s="795"/>
    </row>
    <row r="39" spans="1:9" s="465" customFormat="1" ht="41.25" customHeight="1">
      <c r="A39" s="464"/>
      <c r="B39" s="704" t="str">
        <f>IF(COUNT($H$8:H39)&lt;10,CONCATENATE("COMP SPDA 00",COUNT($H$8:H39)),CONCATENATE("COMP SPDA 0",COUNT($H$8:H39)))</f>
        <v>COMP SPDA 003</v>
      </c>
      <c r="C39" s="1257" t="s">
        <v>12984</v>
      </c>
      <c r="D39" s="1225"/>
      <c r="E39" s="1225"/>
      <c r="F39" s="1225"/>
      <c r="G39" s="705" t="s">
        <v>28</v>
      </c>
      <c r="H39" s="570">
        <f>G48</f>
        <v>14.450000000000001</v>
      </c>
    </row>
    <row r="40" spans="1:9" s="465" customFormat="1" ht="31.5">
      <c r="A40" s="464"/>
      <c r="B40" s="469" t="s">
        <v>13463</v>
      </c>
      <c r="C40" s="707" t="s">
        <v>13464</v>
      </c>
      <c r="D40" s="470" t="s">
        <v>28</v>
      </c>
      <c r="E40" s="707" t="s">
        <v>13465</v>
      </c>
      <c r="F40" s="293" t="s">
        <v>13466</v>
      </c>
      <c r="G40" s="708" t="s">
        <v>13467</v>
      </c>
      <c r="H40" s="464"/>
    </row>
    <row r="41" spans="1:9" s="464" customFormat="1" ht="15.75">
      <c r="B41" s="1283" t="s">
        <v>13468</v>
      </c>
      <c r="C41" s="1284"/>
      <c r="D41" s="1284"/>
      <c r="E41" s="1284"/>
      <c r="F41" s="1284"/>
      <c r="G41" s="1285"/>
      <c r="I41" s="465"/>
    </row>
    <row r="42" spans="1:9" s="465" customFormat="1" ht="15">
      <c r="A42" s="464"/>
      <c r="B42" s="951" t="s">
        <v>13497</v>
      </c>
      <c r="C42" s="863" t="str">
        <f>C50</f>
        <v>CARTUCHO PARA SOLDA EXOTÉRMICA N° 90</v>
      </c>
      <c r="D42" s="864" t="s">
        <v>28</v>
      </c>
      <c r="E42" s="815">
        <v>1</v>
      </c>
      <c r="F42" s="815">
        <f>D55</f>
        <v>8.3000000000000007</v>
      </c>
      <c r="G42" s="845">
        <f>TRUNC(F42*E42,2)</f>
        <v>8.3000000000000007</v>
      </c>
      <c r="H42" s="464"/>
    </row>
    <row r="43" spans="1:9" s="465" customFormat="1" ht="15">
      <c r="A43" s="464"/>
      <c r="B43" s="951" t="s">
        <v>13497</v>
      </c>
      <c r="C43" s="863" t="str">
        <f>C57</f>
        <v>MOLDE PARA SOLDA EXOTÉRMICA, CABO-HASTE, 35mm²</v>
      </c>
      <c r="D43" s="864" t="s">
        <v>28</v>
      </c>
      <c r="E43" s="855">
        <v>0.04</v>
      </c>
      <c r="F43" s="815">
        <f>D62</f>
        <v>72.7</v>
      </c>
      <c r="G43" s="845">
        <f>TRUNC(F43*E43,2)</f>
        <v>2.9</v>
      </c>
      <c r="H43" s="464"/>
    </row>
    <row r="44" spans="1:9" s="465" customFormat="1" ht="15">
      <c r="A44" s="464"/>
      <c r="B44" s="951" t="s">
        <v>13497</v>
      </c>
      <c r="C44" s="863" t="str">
        <f>C64</f>
        <v>PALITO IGNITOR PRA SOLDA EXOTERMICA</v>
      </c>
      <c r="D44" s="864" t="s">
        <v>28</v>
      </c>
      <c r="E44" s="855">
        <v>1</v>
      </c>
      <c r="F44" s="815">
        <f>D69</f>
        <v>0.34</v>
      </c>
      <c r="G44" s="845">
        <f>TRUNC(F44*E44,2)</f>
        <v>0.34</v>
      </c>
      <c r="H44" s="763"/>
    </row>
    <row r="45" spans="1:9" s="464" customFormat="1" ht="15.75">
      <c r="B45" s="1283" t="s">
        <v>13469</v>
      </c>
      <c r="C45" s="1284"/>
      <c r="D45" s="1284"/>
      <c r="E45" s="1284"/>
      <c r="F45" s="1284"/>
      <c r="G45" s="1285"/>
      <c r="I45" s="465"/>
    </row>
    <row r="46" spans="1:9" s="464" customFormat="1" ht="15.75">
      <c r="A46" s="473" t="s">
        <v>13459</v>
      </c>
      <c r="B46" s="751">
        <v>88264</v>
      </c>
      <c r="C46" s="710" t="s">
        <v>771</v>
      </c>
      <c r="D46" s="711" t="s">
        <v>753</v>
      </c>
      <c r="E46" s="752">
        <v>0.08</v>
      </c>
      <c r="F46" s="713">
        <v>20.52</v>
      </c>
      <c r="G46" s="750">
        <f>TRUNC(F46*E46,2)</f>
        <v>1.64</v>
      </c>
    </row>
    <row r="47" spans="1:9" s="464" customFormat="1" ht="16.5" thickBot="1">
      <c r="A47" s="473" t="s">
        <v>13459</v>
      </c>
      <c r="B47" s="753">
        <v>88316</v>
      </c>
      <c r="C47" s="717" t="s">
        <v>761</v>
      </c>
      <c r="D47" s="718" t="s">
        <v>753</v>
      </c>
      <c r="E47" s="754">
        <v>0.08</v>
      </c>
      <c r="F47" s="720">
        <v>15.91</v>
      </c>
      <c r="G47" s="755">
        <f>TRUNC(F47*E47,2)</f>
        <v>1.27</v>
      </c>
    </row>
    <row r="48" spans="1:9" s="464" customFormat="1" ht="16.5" thickBot="1">
      <c r="B48" s="1292" t="s">
        <v>14028</v>
      </c>
      <c r="C48" s="1292"/>
      <c r="D48" s="1292"/>
      <c r="E48" s="1293"/>
      <c r="F48" s="756" t="s">
        <v>22</v>
      </c>
      <c r="G48" s="757">
        <f>SUM(G41:G47)</f>
        <v>14.450000000000001</v>
      </c>
    </row>
    <row r="49" spans="2:9" s="464" customFormat="1" ht="15.75" thickBot="1">
      <c r="B49" s="961"/>
      <c r="C49" s="556"/>
      <c r="D49" s="556"/>
      <c r="E49" s="556"/>
    </row>
    <row r="50" spans="2:9" s="464" customFormat="1" ht="15.75">
      <c r="B50" s="962"/>
      <c r="C50" s="607" t="s">
        <v>14029</v>
      </c>
      <c r="D50" s="963"/>
      <c r="E50" s="964"/>
      <c r="F50" s="965"/>
      <c r="G50" s="577" t="s">
        <v>28</v>
      </c>
      <c r="H50" s="916" t="s">
        <v>13934</v>
      </c>
    </row>
    <row r="51" spans="2:9" s="464" customFormat="1" ht="31.5">
      <c r="B51" s="668" t="s">
        <v>13502</v>
      </c>
      <c r="C51" s="669" t="s">
        <v>13503</v>
      </c>
      <c r="D51" s="670" t="s">
        <v>13504</v>
      </c>
      <c r="E51" s="671" t="s">
        <v>13505</v>
      </c>
      <c r="F51" s="647" t="s">
        <v>13506</v>
      </c>
      <c r="G51" s="672" t="s">
        <v>13507</v>
      </c>
    </row>
    <row r="52" spans="2:9" s="464" customFormat="1" ht="15.75">
      <c r="B52" s="597">
        <v>43802</v>
      </c>
      <c r="C52" s="630" t="s">
        <v>13924</v>
      </c>
      <c r="D52" s="593">
        <v>8.3000000000000007</v>
      </c>
      <c r="E52" s="789" t="s">
        <v>13824</v>
      </c>
      <c r="F52" s="595" t="s">
        <v>14015</v>
      </c>
      <c r="G52" s="790" t="s">
        <v>13865</v>
      </c>
      <c r="H52"/>
      <c r="I52" s="791">
        <f>B52+180</f>
        <v>43982</v>
      </c>
    </row>
    <row r="53" spans="2:9" s="464" customFormat="1" ht="15.75">
      <c r="B53" s="597">
        <v>43802</v>
      </c>
      <c r="C53" s="630" t="s">
        <v>13772</v>
      </c>
      <c r="D53" s="593">
        <v>9.43</v>
      </c>
      <c r="E53" s="789" t="s">
        <v>13773</v>
      </c>
      <c r="F53" s="595" t="s">
        <v>14023</v>
      </c>
      <c r="G53" s="790" t="s">
        <v>14024</v>
      </c>
      <c r="H53"/>
      <c r="I53" s="791">
        <f>B53+180</f>
        <v>43982</v>
      </c>
    </row>
    <row r="54" spans="2:9" s="464" customFormat="1" ht="16.5" thickBot="1">
      <c r="B54" s="591">
        <v>43803</v>
      </c>
      <c r="C54" s="630" t="s">
        <v>13763</v>
      </c>
      <c r="D54" s="593">
        <v>7.56</v>
      </c>
      <c r="E54" s="789" t="s">
        <v>13764</v>
      </c>
      <c r="F54" s="595" t="s">
        <v>14025</v>
      </c>
      <c r="G54" s="790" t="s">
        <v>14026</v>
      </c>
      <c r="H54"/>
      <c r="I54" s="792">
        <f>B54+180</f>
        <v>43983</v>
      </c>
    </row>
    <row r="55" spans="2:9" s="464" customFormat="1" ht="16.5" thickBot="1">
      <c r="B55" s="598"/>
      <c r="C55" s="599" t="s">
        <v>13523</v>
      </c>
      <c r="D55" s="538">
        <f>IF(COUNT(D51:D54)=3,MEDIAN(D51:D54),SMALL(D52:D54,1))</f>
        <v>8.3000000000000007</v>
      </c>
      <c r="E55" s="600"/>
      <c r="F55" s="620"/>
      <c r="G55" s="966"/>
    </row>
    <row r="56" spans="2:9" s="498" customFormat="1" ht="16.5" thickBot="1">
      <c r="B56" s="967"/>
      <c r="C56" s="968"/>
      <c r="D56" s="969"/>
      <c r="E56" s="970"/>
      <c r="F56" s="971"/>
      <c r="G56" s="972"/>
    </row>
    <row r="57" spans="2:9" s="464" customFormat="1" ht="15.75">
      <c r="B57" s="572"/>
      <c r="C57" s="607" t="s">
        <v>14030</v>
      </c>
      <c r="D57" s="963"/>
      <c r="E57" s="964"/>
      <c r="F57" s="965"/>
      <c r="G57" s="577" t="s">
        <v>28</v>
      </c>
      <c r="H57" s="916" t="s">
        <v>13934</v>
      </c>
    </row>
    <row r="58" spans="2:9" s="464" customFormat="1" ht="31.5">
      <c r="B58" s="668" t="s">
        <v>13502</v>
      </c>
      <c r="C58" s="669" t="s">
        <v>13503</v>
      </c>
      <c r="D58" s="670" t="s">
        <v>13504</v>
      </c>
      <c r="E58" s="671" t="s">
        <v>13505</v>
      </c>
      <c r="F58" s="647" t="s">
        <v>13506</v>
      </c>
      <c r="G58" s="672" t="s">
        <v>13507</v>
      </c>
    </row>
    <row r="59" spans="2:9" s="464" customFormat="1" ht="15.75">
      <c r="B59" s="597">
        <v>43802</v>
      </c>
      <c r="C59" s="630" t="s">
        <v>13772</v>
      </c>
      <c r="D59" s="593">
        <v>72.7</v>
      </c>
      <c r="E59" s="789" t="s">
        <v>13773</v>
      </c>
      <c r="F59" s="595" t="s">
        <v>14023</v>
      </c>
      <c r="G59" s="790" t="s">
        <v>14024</v>
      </c>
      <c r="H59"/>
      <c r="I59" s="791">
        <f>B59+180</f>
        <v>43982</v>
      </c>
    </row>
    <row r="60" spans="2:9" s="464" customFormat="1" ht="15.75">
      <c r="B60" s="597">
        <v>43802</v>
      </c>
      <c r="C60" s="630" t="s">
        <v>13924</v>
      </c>
      <c r="D60" s="593">
        <v>102.41</v>
      </c>
      <c r="E60" s="789" t="s">
        <v>13824</v>
      </c>
      <c r="F60" s="595" t="s">
        <v>14015</v>
      </c>
      <c r="G60" s="790" t="s">
        <v>13865</v>
      </c>
      <c r="H60"/>
      <c r="I60" s="791">
        <f>B60+180</f>
        <v>43982</v>
      </c>
    </row>
    <row r="61" spans="2:9" s="464" customFormat="1" ht="16.5" thickBot="1">
      <c r="B61" s="591">
        <v>43803</v>
      </c>
      <c r="C61" s="630" t="s">
        <v>13763</v>
      </c>
      <c r="D61" s="593">
        <v>55.63</v>
      </c>
      <c r="E61" s="789" t="s">
        <v>13764</v>
      </c>
      <c r="F61" s="595" t="s">
        <v>14025</v>
      </c>
      <c r="G61" s="790" t="s">
        <v>14026</v>
      </c>
      <c r="H61"/>
      <c r="I61" s="792">
        <f>B61+180</f>
        <v>43983</v>
      </c>
    </row>
    <row r="62" spans="2:9" s="464" customFormat="1" ht="16.5" thickBot="1">
      <c r="B62" s="598"/>
      <c r="C62" s="599" t="s">
        <v>13523</v>
      </c>
      <c r="D62" s="538">
        <f>IF(COUNT(D58:D61)=3,MEDIAN(D58:D61),SMALL(D59:D61,1))</f>
        <v>72.7</v>
      </c>
      <c r="E62" s="600"/>
      <c r="F62" s="620"/>
      <c r="G62" s="602"/>
      <c r="H62"/>
    </row>
    <row r="63" spans="2:9" s="498" customFormat="1" ht="16.5" thickBot="1">
      <c r="B63" s="973"/>
      <c r="C63" s="974"/>
      <c r="D63" s="975"/>
      <c r="E63" s="976"/>
      <c r="F63" s="977"/>
      <c r="G63" s="978"/>
    </row>
    <row r="64" spans="2:9" s="464" customFormat="1" ht="15.75">
      <c r="B64" s="572">
        <v>1</v>
      </c>
      <c r="C64" s="979" t="s">
        <v>14031</v>
      </c>
      <c r="D64" s="574"/>
      <c r="E64" s="575"/>
      <c r="F64" s="608"/>
      <c r="G64" s="577" t="s">
        <v>28</v>
      </c>
      <c r="H64" s="916" t="s">
        <v>13934</v>
      </c>
    </row>
    <row r="65" spans="1:10" s="464" customFormat="1" ht="31.5">
      <c r="B65" s="668" t="s">
        <v>13502</v>
      </c>
      <c r="C65" s="669" t="s">
        <v>13503</v>
      </c>
      <c r="D65" s="670" t="s">
        <v>13504</v>
      </c>
      <c r="E65" s="671" t="s">
        <v>13505</v>
      </c>
      <c r="F65" s="647" t="s">
        <v>13506</v>
      </c>
      <c r="G65" s="672" t="s">
        <v>13507</v>
      </c>
    </row>
    <row r="66" spans="1:10" s="464" customFormat="1" ht="15.75">
      <c r="B66" s="597">
        <v>43802</v>
      </c>
      <c r="C66" s="630" t="s">
        <v>13772</v>
      </c>
      <c r="D66" s="593">
        <v>0.34</v>
      </c>
      <c r="E66" s="789" t="s">
        <v>13773</v>
      </c>
      <c r="F66" s="595" t="s">
        <v>14023</v>
      </c>
      <c r="G66" s="790" t="s">
        <v>14024</v>
      </c>
      <c r="H66"/>
    </row>
    <row r="67" spans="1:10" s="464" customFormat="1" ht="15.75">
      <c r="B67" s="980">
        <v>43808</v>
      </c>
      <c r="C67" s="612" t="s">
        <v>13830</v>
      </c>
      <c r="D67" s="894">
        <v>0.75</v>
      </c>
      <c r="E67" s="948" t="s">
        <v>13831</v>
      </c>
      <c r="F67" s="814" t="s">
        <v>13832</v>
      </c>
      <c r="G67" s="790" t="s">
        <v>14027</v>
      </c>
      <c r="H67"/>
    </row>
    <row r="68" spans="1:10" s="464" customFormat="1" ht="15.75">
      <c r="B68" s="597">
        <v>43802</v>
      </c>
      <c r="C68" s="630" t="s">
        <v>13924</v>
      </c>
      <c r="D68" s="593">
        <v>0.34</v>
      </c>
      <c r="E68" s="789" t="s">
        <v>13824</v>
      </c>
      <c r="F68" s="595" t="s">
        <v>14015</v>
      </c>
      <c r="G68" s="790" t="s">
        <v>13865</v>
      </c>
      <c r="H68"/>
    </row>
    <row r="69" spans="1:10" s="464" customFormat="1" ht="16.5" thickBot="1">
      <c r="B69" s="598"/>
      <c r="C69" s="599" t="s">
        <v>13523</v>
      </c>
      <c r="D69" s="538">
        <f>IF(COUNT(D65:D68)=3,MEDIAN(D65:D68),SMALL(D66:D68,1))</f>
        <v>0.34</v>
      </c>
      <c r="E69" s="600"/>
      <c r="F69" s="620"/>
      <c r="G69" s="602"/>
      <c r="H69"/>
    </row>
    <row r="70" spans="1:10" s="494" customFormat="1" ht="16.5" thickBot="1">
      <c r="B70" s="957"/>
      <c r="C70" s="795"/>
      <c r="D70" s="795"/>
      <c r="E70" s="795"/>
      <c r="F70" s="795"/>
      <c r="G70" s="795"/>
    </row>
    <row r="71" spans="1:10" s="464" customFormat="1" ht="39.75" customHeight="1">
      <c r="B71" s="704" t="str">
        <f>IF(COUNT($H$8:H71)&lt;10,CONCATENATE("COMP SPDA 00",COUNT($H$8:H71)),CONCATENATE("COMP SPDA 0",COUNT($H$8:H71)))</f>
        <v>COMP SPDA 004</v>
      </c>
      <c r="C71" s="1257" t="s">
        <v>12986</v>
      </c>
      <c r="D71" s="1225"/>
      <c r="E71" s="1225"/>
      <c r="F71" s="1225"/>
      <c r="G71" s="705" t="s">
        <v>28</v>
      </c>
      <c r="H71" s="570">
        <f>G80</f>
        <v>17.66</v>
      </c>
      <c r="I71" s="465"/>
      <c r="J71" s="465"/>
    </row>
    <row r="72" spans="1:10" s="464" customFormat="1" ht="31.5">
      <c r="B72" s="469" t="s">
        <v>13463</v>
      </c>
      <c r="C72" s="707" t="s">
        <v>13464</v>
      </c>
      <c r="D72" s="470" t="s">
        <v>28</v>
      </c>
      <c r="E72" s="707" t="s">
        <v>13465</v>
      </c>
      <c r="F72" s="293" t="s">
        <v>13466</v>
      </c>
      <c r="G72" s="708" t="s">
        <v>13467</v>
      </c>
      <c r="I72" s="465"/>
      <c r="J72" s="465"/>
    </row>
    <row r="73" spans="1:10" s="464" customFormat="1" ht="15.75">
      <c r="B73" s="1283" t="s">
        <v>13468</v>
      </c>
      <c r="C73" s="1284"/>
      <c r="D73" s="1284"/>
      <c r="E73" s="1284"/>
      <c r="F73" s="1284"/>
      <c r="G73" s="1285"/>
      <c r="I73" s="465"/>
    </row>
    <row r="74" spans="1:10" s="464" customFormat="1" ht="15">
      <c r="B74" s="951" t="s">
        <v>13497</v>
      </c>
      <c r="C74" s="863" t="str">
        <f>C82</f>
        <v>CARTUCHO PARA SOLDA EXOTÉRMICA N° 115</v>
      </c>
      <c r="D74" s="864" t="s">
        <v>28</v>
      </c>
      <c r="E74" s="815">
        <v>1</v>
      </c>
      <c r="F74" s="815">
        <f>D87</f>
        <v>10.119999999999999</v>
      </c>
      <c r="G74" s="845">
        <f>TRUNC(F74*E74,2)</f>
        <v>10.119999999999999</v>
      </c>
      <c r="I74" s="465"/>
      <c r="J74" s="465"/>
    </row>
    <row r="75" spans="1:10" s="464" customFormat="1" ht="15">
      <c r="B75" s="951" t="s">
        <v>13497</v>
      </c>
      <c r="C75" s="863" t="str">
        <f>C89</f>
        <v>MOLDE PARA SOLDA EXOTÉRMICA, CABO-HASTE, 50mm²-58</v>
      </c>
      <c r="D75" s="864" t="s">
        <v>28</v>
      </c>
      <c r="E75" s="855">
        <v>0.04</v>
      </c>
      <c r="F75" s="815">
        <f>D94</f>
        <v>107.44</v>
      </c>
      <c r="G75" s="845">
        <f>TRUNC(F75*E75,2)</f>
        <v>4.29</v>
      </c>
      <c r="I75" s="465"/>
      <c r="J75" s="465"/>
    </row>
    <row r="76" spans="1:10" s="464" customFormat="1" ht="15">
      <c r="B76" s="951" t="s">
        <v>13497</v>
      </c>
      <c r="C76" s="863" t="str">
        <f>C96</f>
        <v>PALITO IGNITOR PRA SOLDA EXOTERMICA</v>
      </c>
      <c r="D76" s="864" t="s">
        <v>28</v>
      </c>
      <c r="E76" s="855">
        <v>1</v>
      </c>
      <c r="F76" s="815">
        <f>D101</f>
        <v>0.34</v>
      </c>
      <c r="G76" s="845">
        <f>TRUNC(F76*E76,2)</f>
        <v>0.34</v>
      </c>
      <c r="I76" s="465"/>
      <c r="J76" s="465"/>
    </row>
    <row r="77" spans="1:10" s="464" customFormat="1" ht="15.75">
      <c r="B77" s="1283" t="s">
        <v>13469</v>
      </c>
      <c r="C77" s="1284"/>
      <c r="D77" s="1284"/>
      <c r="E77" s="1284"/>
      <c r="F77" s="1284"/>
      <c r="G77" s="1285"/>
      <c r="I77" s="465"/>
    </row>
    <row r="78" spans="1:10" s="465" customFormat="1" ht="15.75">
      <c r="A78" s="473" t="s">
        <v>13459</v>
      </c>
      <c r="B78" s="751">
        <v>88264</v>
      </c>
      <c r="C78" s="710" t="s">
        <v>771</v>
      </c>
      <c r="D78" s="711" t="s">
        <v>753</v>
      </c>
      <c r="E78" s="752">
        <v>0.08</v>
      </c>
      <c r="F78" s="713">
        <v>20.52</v>
      </c>
      <c r="G78" s="750">
        <f>TRUNC(F78*E78,2)</f>
        <v>1.64</v>
      </c>
      <c r="H78" s="464"/>
    </row>
    <row r="79" spans="1:10" s="465" customFormat="1" ht="16.5" thickBot="1">
      <c r="A79" s="473" t="s">
        <v>13459</v>
      </c>
      <c r="B79" s="753">
        <v>88316</v>
      </c>
      <c r="C79" s="717" t="s">
        <v>761</v>
      </c>
      <c r="D79" s="718" t="s">
        <v>753</v>
      </c>
      <c r="E79" s="754">
        <v>0.08</v>
      </c>
      <c r="F79" s="720">
        <v>15.91</v>
      </c>
      <c r="G79" s="755">
        <f>TRUNC(F79*E79,2)</f>
        <v>1.27</v>
      </c>
      <c r="H79" s="464"/>
    </row>
    <row r="80" spans="1:10" s="465" customFormat="1" ht="16.5" thickBot="1">
      <c r="A80" s="464"/>
      <c r="B80" s="1292" t="s">
        <v>14028</v>
      </c>
      <c r="C80" s="1292"/>
      <c r="D80" s="1292"/>
      <c r="E80" s="1293"/>
      <c r="F80" s="756" t="s">
        <v>22</v>
      </c>
      <c r="G80" s="757">
        <f>SUM(G73:G79)</f>
        <v>17.66</v>
      </c>
      <c r="H80" s="464"/>
    </row>
    <row r="81" spans="1:9" s="465" customFormat="1" ht="15.75" thickBot="1">
      <c r="A81" s="464"/>
      <c r="B81" s="767"/>
      <c r="C81" s="767"/>
      <c r="D81" s="767"/>
      <c r="E81" s="767"/>
      <c r="F81" s="767"/>
      <c r="G81" s="767"/>
      <c r="H81" s="464"/>
    </row>
    <row r="82" spans="1:9" s="465" customFormat="1" ht="15.75">
      <c r="A82" s="464"/>
      <c r="B82" s="572"/>
      <c r="C82" s="607" t="s">
        <v>14032</v>
      </c>
      <c r="D82" s="574"/>
      <c r="E82" s="575"/>
      <c r="F82" s="608"/>
      <c r="G82" s="577" t="s">
        <v>28</v>
      </c>
      <c r="H82" s="916" t="s">
        <v>13934</v>
      </c>
    </row>
    <row r="83" spans="1:9" s="465" customFormat="1" ht="31.5">
      <c r="A83" s="464"/>
      <c r="B83" s="668" t="s">
        <v>13502</v>
      </c>
      <c r="C83" s="669" t="s">
        <v>13503</v>
      </c>
      <c r="D83" s="670" t="s">
        <v>13504</v>
      </c>
      <c r="E83" s="671" t="s">
        <v>13505</v>
      </c>
      <c r="F83" s="647" t="s">
        <v>13506</v>
      </c>
      <c r="G83" s="672" t="s">
        <v>13507</v>
      </c>
      <c r="H83" s="464"/>
    </row>
    <row r="84" spans="1:9" s="465" customFormat="1" ht="15.75">
      <c r="A84" s="464"/>
      <c r="B84" s="591">
        <v>43803</v>
      </c>
      <c r="C84" s="630" t="s">
        <v>13763</v>
      </c>
      <c r="D84" s="593">
        <v>8.44</v>
      </c>
      <c r="E84" s="789" t="s">
        <v>13764</v>
      </c>
      <c r="F84" s="595" t="s">
        <v>14025</v>
      </c>
      <c r="G84" s="790" t="s">
        <v>14026</v>
      </c>
      <c r="H84"/>
      <c r="I84" s="791">
        <f>B84+180</f>
        <v>43983</v>
      </c>
    </row>
    <row r="85" spans="1:9" s="465" customFormat="1" ht="15.75">
      <c r="A85" s="464"/>
      <c r="B85" s="597">
        <v>43802</v>
      </c>
      <c r="C85" s="630" t="s">
        <v>13772</v>
      </c>
      <c r="D85" s="593">
        <v>10.119999999999999</v>
      </c>
      <c r="E85" s="789" t="s">
        <v>13773</v>
      </c>
      <c r="F85" s="595" t="s">
        <v>14023</v>
      </c>
      <c r="G85" s="790" t="s">
        <v>14024</v>
      </c>
      <c r="H85"/>
      <c r="I85" s="791">
        <f>B85+180</f>
        <v>43982</v>
      </c>
    </row>
    <row r="86" spans="1:9" s="465" customFormat="1" ht="16.5" thickBot="1">
      <c r="A86" s="464"/>
      <c r="B86" s="597">
        <v>43802</v>
      </c>
      <c r="C86" s="630" t="s">
        <v>13924</v>
      </c>
      <c r="D86" s="593">
        <v>10.78</v>
      </c>
      <c r="E86" s="789" t="s">
        <v>13824</v>
      </c>
      <c r="F86" s="595" t="s">
        <v>14015</v>
      </c>
      <c r="G86" s="790" t="s">
        <v>13865</v>
      </c>
      <c r="H86"/>
      <c r="I86" s="792">
        <f>B86+180</f>
        <v>43982</v>
      </c>
    </row>
    <row r="87" spans="1:9" s="465" customFormat="1" ht="16.5" thickBot="1">
      <c r="A87" s="464"/>
      <c r="B87" s="598"/>
      <c r="C87" s="599" t="s">
        <v>13523</v>
      </c>
      <c r="D87" s="538">
        <f>IF(COUNT(D83:D86)=3,MEDIAN(D83:D86),SMALL(D84:D86,1))</f>
        <v>10.119999999999999</v>
      </c>
      <c r="E87" s="600"/>
      <c r="F87" s="620"/>
      <c r="G87" s="602"/>
      <c r="H87" s="464"/>
    </row>
    <row r="88" spans="1:9" s="465" customFormat="1" ht="16.5" thickBot="1">
      <c r="A88" s="464"/>
      <c r="B88" s="957"/>
      <c r="C88" s="795"/>
      <c r="D88" s="795"/>
      <c r="E88" s="795"/>
      <c r="F88" s="795"/>
      <c r="G88" s="795"/>
      <c r="H88" s="464"/>
    </row>
    <row r="89" spans="1:9" s="465" customFormat="1" ht="15.75">
      <c r="A89" s="464"/>
      <c r="B89" s="572"/>
      <c r="C89" s="607" t="s">
        <v>14033</v>
      </c>
      <c r="D89" s="574"/>
      <c r="E89" s="575"/>
      <c r="F89" s="608"/>
      <c r="G89" s="577" t="s">
        <v>28</v>
      </c>
      <c r="H89" s="916" t="s">
        <v>13934</v>
      </c>
    </row>
    <row r="90" spans="1:9" s="465" customFormat="1" ht="31.5">
      <c r="A90" s="464"/>
      <c r="B90" s="668" t="s">
        <v>13502</v>
      </c>
      <c r="C90" s="669" t="s">
        <v>13503</v>
      </c>
      <c r="D90" s="670" t="s">
        <v>13504</v>
      </c>
      <c r="E90" s="671" t="s">
        <v>13505</v>
      </c>
      <c r="F90" s="647" t="s">
        <v>13506</v>
      </c>
      <c r="G90" s="672" t="s">
        <v>13507</v>
      </c>
      <c r="H90" s="464"/>
    </row>
    <row r="91" spans="1:9" s="465" customFormat="1" ht="15.75">
      <c r="A91" s="464"/>
      <c r="B91" s="591">
        <v>43803</v>
      </c>
      <c r="C91" s="630" t="s">
        <v>13763</v>
      </c>
      <c r="D91" s="593">
        <v>98.75</v>
      </c>
      <c r="E91" s="789" t="s">
        <v>13764</v>
      </c>
      <c r="F91" s="595" t="s">
        <v>14025</v>
      </c>
      <c r="G91" s="790" t="s">
        <v>14026</v>
      </c>
      <c r="H91"/>
      <c r="I91" s="791">
        <f>B91+180</f>
        <v>43983</v>
      </c>
    </row>
    <row r="92" spans="1:9" s="465" customFormat="1" ht="15.75">
      <c r="A92" s="464"/>
      <c r="B92" s="597">
        <v>43802</v>
      </c>
      <c r="C92" s="630" t="s">
        <v>13924</v>
      </c>
      <c r="D92" s="593">
        <v>140.93</v>
      </c>
      <c r="E92" s="789" t="s">
        <v>13824</v>
      </c>
      <c r="F92" s="595" t="s">
        <v>14015</v>
      </c>
      <c r="G92" s="790" t="s">
        <v>13865</v>
      </c>
      <c r="H92"/>
      <c r="I92" s="791">
        <f>B92+180</f>
        <v>43982</v>
      </c>
    </row>
    <row r="93" spans="1:9" s="465" customFormat="1" ht="16.5" thickBot="1">
      <c r="A93" s="464"/>
      <c r="B93" s="597">
        <v>43802</v>
      </c>
      <c r="C93" s="630" t="s">
        <v>13772</v>
      </c>
      <c r="D93" s="593">
        <v>107.44</v>
      </c>
      <c r="E93" s="789" t="s">
        <v>13773</v>
      </c>
      <c r="F93" s="595" t="s">
        <v>14023</v>
      </c>
      <c r="G93" s="790" t="s">
        <v>14024</v>
      </c>
      <c r="H93"/>
      <c r="I93" s="792">
        <f>B93+180</f>
        <v>43982</v>
      </c>
    </row>
    <row r="94" spans="1:9" s="465" customFormat="1" ht="16.5" thickBot="1">
      <c r="A94" s="464"/>
      <c r="B94" s="598"/>
      <c r="C94" s="599" t="s">
        <v>13523</v>
      </c>
      <c r="D94" s="538">
        <f>IF(COUNT(D90:D93)=3,MEDIAN(D90:D93),SMALL(D91:D93,1))</f>
        <v>107.44</v>
      </c>
      <c r="E94" s="600"/>
      <c r="F94" s="620"/>
      <c r="G94" s="602"/>
      <c r="H94" s="464"/>
    </row>
    <row r="95" spans="1:9" s="465" customFormat="1" ht="16.5" thickBot="1">
      <c r="A95" s="464"/>
      <c r="B95" s="957"/>
      <c r="C95" s="795"/>
      <c r="D95" s="795"/>
      <c r="E95" s="795"/>
      <c r="F95" s="795"/>
      <c r="G95" s="795"/>
      <c r="H95" s="464"/>
    </row>
    <row r="96" spans="1:9" s="465" customFormat="1" ht="15.75">
      <c r="A96" s="464"/>
      <c r="B96" s="572"/>
      <c r="C96" s="979" t="s">
        <v>14031</v>
      </c>
      <c r="D96" s="574"/>
      <c r="E96" s="575"/>
      <c r="F96" s="608"/>
      <c r="G96" s="577" t="s">
        <v>28</v>
      </c>
      <c r="H96" s="916" t="s">
        <v>13934</v>
      </c>
    </row>
    <row r="97" spans="1:9" s="465" customFormat="1" ht="31.5">
      <c r="A97" s="464"/>
      <c r="B97" s="668" t="s">
        <v>13502</v>
      </c>
      <c r="C97" s="669" t="s">
        <v>13503</v>
      </c>
      <c r="D97" s="670" t="s">
        <v>13504</v>
      </c>
      <c r="E97" s="671" t="s">
        <v>13505</v>
      </c>
      <c r="F97" s="647" t="s">
        <v>13506</v>
      </c>
      <c r="G97" s="672" t="s">
        <v>13507</v>
      </c>
      <c r="H97" s="464"/>
    </row>
    <row r="98" spans="1:9" s="465" customFormat="1" ht="15.75">
      <c r="A98" s="464"/>
      <c r="B98" s="597">
        <v>43802</v>
      </c>
      <c r="C98" s="630" t="s">
        <v>13772</v>
      </c>
      <c r="D98" s="593">
        <v>0.34</v>
      </c>
      <c r="E98" s="789" t="s">
        <v>13773</v>
      </c>
      <c r="F98" s="595" t="s">
        <v>14023</v>
      </c>
      <c r="G98" s="790" t="s">
        <v>14024</v>
      </c>
      <c r="H98"/>
      <c r="I98" s="791">
        <f>B98+180</f>
        <v>43982</v>
      </c>
    </row>
    <row r="99" spans="1:9" s="465" customFormat="1" ht="15.75">
      <c r="A99" s="464"/>
      <c r="B99" s="980">
        <v>43808</v>
      </c>
      <c r="C99" s="612" t="s">
        <v>13830</v>
      </c>
      <c r="D99" s="894">
        <v>0.75</v>
      </c>
      <c r="E99" s="948" t="s">
        <v>13831</v>
      </c>
      <c r="F99" s="814" t="s">
        <v>13832</v>
      </c>
      <c r="G99" s="790" t="s">
        <v>14027</v>
      </c>
      <c r="H99"/>
      <c r="I99" s="791">
        <f>B99+180</f>
        <v>43988</v>
      </c>
    </row>
    <row r="100" spans="1:9" s="465" customFormat="1" ht="16.5" thickBot="1">
      <c r="A100" s="464"/>
      <c r="B100" s="597">
        <v>43802</v>
      </c>
      <c r="C100" s="630" t="s">
        <v>13924</v>
      </c>
      <c r="D100" s="593">
        <v>0.34</v>
      </c>
      <c r="E100" s="789" t="s">
        <v>13824</v>
      </c>
      <c r="F100" s="595" t="s">
        <v>14015</v>
      </c>
      <c r="G100" s="790" t="s">
        <v>13865</v>
      </c>
      <c r="H100"/>
      <c r="I100" s="792">
        <f>B100+180</f>
        <v>43982</v>
      </c>
    </row>
    <row r="101" spans="1:9" s="465" customFormat="1" ht="16.5" thickBot="1">
      <c r="A101" s="464"/>
      <c r="B101" s="598"/>
      <c r="C101" s="599" t="s">
        <v>13523</v>
      </c>
      <c r="D101" s="538">
        <f>IF(COUNT(D97:D100)=3,MEDIAN(D97:D100),SMALL(D98:D100,1))</f>
        <v>0.34</v>
      </c>
      <c r="E101" s="600"/>
      <c r="F101" s="620"/>
      <c r="G101" s="602"/>
      <c r="H101" s="464"/>
    </row>
    <row r="102" spans="1:9" s="494" customFormat="1" ht="16.5" thickBot="1">
      <c r="B102" s="957"/>
      <c r="C102" s="795"/>
      <c r="D102" s="795"/>
      <c r="E102" s="795"/>
      <c r="F102" s="795"/>
      <c r="G102" s="795"/>
    </row>
    <row r="103" spans="1:9" s="465" customFormat="1" ht="41.25" customHeight="1">
      <c r="A103" s="464"/>
      <c r="B103" s="704" t="str">
        <f>IF(COUNT($H$8:H103)&lt;10,CONCATENATE("COMP SPDA 00",COUNT($H$8:H103)),CONCATENATE("COMP SPDA 0",COUNT($H$8:H103)))</f>
        <v>COMP SPDA 005</v>
      </c>
      <c r="C103" s="1257" t="s">
        <v>12988</v>
      </c>
      <c r="D103" s="1257"/>
      <c r="E103" s="1257"/>
      <c r="F103" s="1257"/>
      <c r="G103" s="705" t="s">
        <v>28</v>
      </c>
      <c r="H103" s="570">
        <f>G112</f>
        <v>10.08</v>
      </c>
    </row>
    <row r="104" spans="1:9" s="465" customFormat="1" ht="31.5">
      <c r="A104" s="464"/>
      <c r="B104" s="469" t="s">
        <v>13463</v>
      </c>
      <c r="C104" s="707" t="s">
        <v>13464</v>
      </c>
      <c r="D104" s="470" t="s">
        <v>28</v>
      </c>
      <c r="E104" s="707" t="s">
        <v>13465</v>
      </c>
      <c r="F104" s="293" t="s">
        <v>13466</v>
      </c>
      <c r="G104" s="708" t="s">
        <v>13467</v>
      </c>
      <c r="H104" s="464"/>
    </row>
    <row r="105" spans="1:9" s="464" customFormat="1" ht="15.75">
      <c r="B105" s="1283" t="s">
        <v>13468</v>
      </c>
      <c r="C105" s="1284"/>
      <c r="D105" s="1284"/>
      <c r="E105" s="1284"/>
      <c r="F105" s="1284"/>
      <c r="G105" s="1285"/>
      <c r="I105" s="465"/>
    </row>
    <row r="106" spans="1:9" s="465" customFormat="1" ht="15">
      <c r="A106" s="464"/>
      <c r="B106" s="951" t="s">
        <v>13497</v>
      </c>
      <c r="C106" s="863" t="str">
        <f>C114</f>
        <v>CARTUCHO PARA S'OLDA EXOTÉRMICA N° 32</v>
      </c>
      <c r="D106" s="864" t="s">
        <v>28</v>
      </c>
      <c r="E106" s="815">
        <v>1</v>
      </c>
      <c r="F106" s="815">
        <f>D119</f>
        <v>3.57</v>
      </c>
      <c r="G106" s="845">
        <f>TRUNC(F106*E106,2)</f>
        <v>3.57</v>
      </c>
      <c r="H106" s="464"/>
    </row>
    <row r="107" spans="1:9" s="465" customFormat="1" ht="30">
      <c r="A107" s="464"/>
      <c r="B107" s="951" t="s">
        <v>13497</v>
      </c>
      <c r="C107" s="863" t="str">
        <f>C121</f>
        <v>MOLDE PARA SOLDA EXOTÉRMICA TIPO T, CABO-CABO, 35mm²-35mm²</v>
      </c>
      <c r="D107" s="864" t="s">
        <v>28</v>
      </c>
      <c r="E107" s="855">
        <v>0.04</v>
      </c>
      <c r="F107" s="815">
        <f>D126</f>
        <v>81.510000000000005</v>
      </c>
      <c r="G107" s="845">
        <f>TRUNC(F107*E107,2)</f>
        <v>3.26</v>
      </c>
      <c r="H107" s="464"/>
    </row>
    <row r="108" spans="1:9" s="465" customFormat="1" ht="15">
      <c r="A108" s="464"/>
      <c r="B108" s="951" t="s">
        <v>13497</v>
      </c>
      <c r="C108" s="863" t="str">
        <f>C128</f>
        <v>PALITO IGNITOR PRA SOLDA EXOTERMICA</v>
      </c>
      <c r="D108" s="864" t="s">
        <v>28</v>
      </c>
      <c r="E108" s="855">
        <v>1</v>
      </c>
      <c r="F108" s="815">
        <f>D133</f>
        <v>0.34</v>
      </c>
      <c r="G108" s="845">
        <f>TRUNC(F108*E108,2)</f>
        <v>0.34</v>
      </c>
      <c r="H108" s="464"/>
    </row>
    <row r="109" spans="1:9" s="464" customFormat="1" ht="15.75">
      <c r="B109" s="1283" t="s">
        <v>13469</v>
      </c>
      <c r="C109" s="1284"/>
      <c r="D109" s="1284"/>
      <c r="E109" s="1284"/>
      <c r="F109" s="1284"/>
      <c r="G109" s="1285"/>
      <c r="I109" s="465"/>
    </row>
    <row r="110" spans="1:9" s="465" customFormat="1" ht="15.75">
      <c r="A110" s="473" t="s">
        <v>13459</v>
      </c>
      <c r="B110" s="751">
        <v>88264</v>
      </c>
      <c r="C110" s="710" t="s">
        <v>771</v>
      </c>
      <c r="D110" s="711" t="s">
        <v>753</v>
      </c>
      <c r="E110" s="752">
        <v>0.08</v>
      </c>
      <c r="F110" s="713">
        <v>20.52</v>
      </c>
      <c r="G110" s="750">
        <f>TRUNC(F110*E110,2)</f>
        <v>1.64</v>
      </c>
      <c r="H110" s="464"/>
    </row>
    <row r="111" spans="1:9" s="465" customFormat="1" ht="16.5" thickBot="1">
      <c r="A111" s="473" t="s">
        <v>13459</v>
      </c>
      <c r="B111" s="753">
        <v>88316</v>
      </c>
      <c r="C111" s="717" t="s">
        <v>761</v>
      </c>
      <c r="D111" s="718" t="s">
        <v>753</v>
      </c>
      <c r="E111" s="754">
        <v>0.08</v>
      </c>
      <c r="F111" s="720">
        <v>15.91</v>
      </c>
      <c r="G111" s="755">
        <f>TRUNC(F111*E111,2)</f>
        <v>1.27</v>
      </c>
      <c r="H111" s="464"/>
    </row>
    <row r="112" spans="1:9" s="465" customFormat="1" ht="16.5" thickBot="1">
      <c r="A112" s="464"/>
      <c r="B112" s="1272" t="s">
        <v>14028</v>
      </c>
      <c r="C112" s="1272"/>
      <c r="D112" s="1272"/>
      <c r="E112" s="1273"/>
      <c r="F112" s="756" t="s">
        <v>22</v>
      </c>
      <c r="G112" s="757">
        <f>SUM(G105:G111)</f>
        <v>10.08</v>
      </c>
      <c r="H112" s="464"/>
    </row>
    <row r="113" spans="1:9" s="465" customFormat="1" ht="15.75" thickBot="1">
      <c r="A113" s="464"/>
      <c r="B113" s="767"/>
      <c r="C113" s="767"/>
      <c r="D113" s="767"/>
      <c r="E113" s="767"/>
      <c r="H113" s="464"/>
    </row>
    <row r="114" spans="1:9" s="465" customFormat="1" ht="15.75">
      <c r="A114" s="464"/>
      <c r="B114" s="572"/>
      <c r="C114" s="607" t="s">
        <v>14034</v>
      </c>
      <c r="D114" s="574"/>
      <c r="E114" s="575"/>
      <c r="F114" s="608"/>
      <c r="G114" s="577" t="s">
        <v>28</v>
      </c>
      <c r="H114" s="916" t="s">
        <v>13934</v>
      </c>
    </row>
    <row r="115" spans="1:9" s="465" customFormat="1" ht="31.5">
      <c r="A115" s="464"/>
      <c r="B115" s="867" t="s">
        <v>13502</v>
      </c>
      <c r="C115" s="707" t="s">
        <v>13503</v>
      </c>
      <c r="D115" s="293" t="s">
        <v>13504</v>
      </c>
      <c r="E115" s="868" t="s">
        <v>13505</v>
      </c>
      <c r="F115" s="869" t="s">
        <v>13506</v>
      </c>
      <c r="G115" s="299" t="s">
        <v>13507</v>
      </c>
      <c r="H115" s="464"/>
    </row>
    <row r="116" spans="1:9" s="465" customFormat="1" ht="15.75">
      <c r="A116" s="464"/>
      <c r="B116" s="591">
        <v>43803</v>
      </c>
      <c r="C116" s="630" t="s">
        <v>13763</v>
      </c>
      <c r="D116" s="593">
        <v>3.15</v>
      </c>
      <c r="E116" s="789" t="s">
        <v>13764</v>
      </c>
      <c r="F116" s="595" t="s">
        <v>14025</v>
      </c>
      <c r="G116" s="790" t="s">
        <v>14026</v>
      </c>
      <c r="H116"/>
    </row>
    <row r="117" spans="1:9" s="465" customFormat="1" ht="15.75">
      <c r="A117" s="464"/>
      <c r="B117" s="597">
        <v>43802</v>
      </c>
      <c r="C117" s="630" t="s">
        <v>13772</v>
      </c>
      <c r="D117" s="593">
        <v>4.1500000000000004</v>
      </c>
      <c r="E117" s="789" t="s">
        <v>13773</v>
      </c>
      <c r="F117" s="595" t="s">
        <v>14023</v>
      </c>
      <c r="G117" s="790" t="s">
        <v>14024</v>
      </c>
      <c r="H117"/>
    </row>
    <row r="118" spans="1:9" s="465" customFormat="1" ht="15.75">
      <c r="A118" s="464"/>
      <c r="B118" s="597">
        <v>43802</v>
      </c>
      <c r="C118" s="630" t="s">
        <v>13924</v>
      </c>
      <c r="D118" s="593">
        <v>3.57</v>
      </c>
      <c r="E118" s="789" t="s">
        <v>13824</v>
      </c>
      <c r="F118" s="595" t="s">
        <v>14015</v>
      </c>
      <c r="G118" s="790" t="s">
        <v>13865</v>
      </c>
      <c r="H118"/>
    </row>
    <row r="119" spans="1:9" s="465" customFormat="1" ht="16.5" thickBot="1">
      <c r="A119" s="464"/>
      <c r="B119" s="981"/>
      <c r="C119" s="599" t="s">
        <v>13523</v>
      </c>
      <c r="D119" s="538">
        <f>IF(COUNT(D115:D118)=3,MEDIAN(D115:D118),SMALL(D116:D118,1))</f>
        <v>3.57</v>
      </c>
      <c r="E119" s="599"/>
      <c r="F119" s="599"/>
      <c r="G119" s="982"/>
      <c r="H119" s="464"/>
    </row>
    <row r="120" spans="1:9" s="465" customFormat="1" ht="16.5" thickBot="1">
      <c r="A120" s="464"/>
      <c r="B120" s="967"/>
      <c r="C120" s="968"/>
      <c r="D120" s="969"/>
      <c r="E120" s="970"/>
      <c r="F120" s="971"/>
      <c r="G120" s="972"/>
      <c r="H120" s="464"/>
    </row>
    <row r="121" spans="1:9" s="465" customFormat="1" ht="31.5">
      <c r="A121" s="464"/>
      <c r="B121" s="572"/>
      <c r="C121" s="607" t="s">
        <v>14035</v>
      </c>
      <c r="D121" s="574"/>
      <c r="E121" s="575"/>
      <c r="F121" s="608"/>
      <c r="G121" s="577" t="s">
        <v>28</v>
      </c>
      <c r="H121" s="916" t="s">
        <v>13934</v>
      </c>
    </row>
    <row r="122" spans="1:9" s="465" customFormat="1" ht="31.5">
      <c r="A122" s="464"/>
      <c r="B122" s="867" t="s">
        <v>13502</v>
      </c>
      <c r="C122" s="707" t="s">
        <v>13503</v>
      </c>
      <c r="D122" s="293" t="s">
        <v>13504</v>
      </c>
      <c r="E122" s="868" t="s">
        <v>13505</v>
      </c>
      <c r="F122" s="869" t="s">
        <v>13506</v>
      </c>
      <c r="G122" s="299" t="s">
        <v>13507</v>
      </c>
      <c r="H122" s="464"/>
    </row>
    <row r="123" spans="1:9" s="465" customFormat="1" ht="15.75">
      <c r="A123" s="464"/>
      <c r="B123" s="597">
        <v>43802</v>
      </c>
      <c r="C123" s="630" t="s">
        <v>13772</v>
      </c>
      <c r="D123" s="593">
        <v>81.510000000000005</v>
      </c>
      <c r="E123" s="789" t="s">
        <v>13773</v>
      </c>
      <c r="F123" s="595" t="s">
        <v>14023</v>
      </c>
      <c r="G123" s="790" t="s">
        <v>14024</v>
      </c>
      <c r="H123"/>
      <c r="I123" s="791">
        <f>B123+180</f>
        <v>43982</v>
      </c>
    </row>
    <row r="124" spans="1:9" s="465" customFormat="1" ht="15.75">
      <c r="A124" s="464"/>
      <c r="B124" s="591">
        <v>43803</v>
      </c>
      <c r="C124" s="630" t="s">
        <v>13763</v>
      </c>
      <c r="D124" s="593">
        <v>55.63</v>
      </c>
      <c r="E124" s="789" t="s">
        <v>13764</v>
      </c>
      <c r="F124" s="595" t="s">
        <v>14025</v>
      </c>
      <c r="G124" s="790" t="s">
        <v>14026</v>
      </c>
      <c r="H124"/>
      <c r="I124" s="791">
        <f>B124+180</f>
        <v>43983</v>
      </c>
    </row>
    <row r="125" spans="1:9" s="465" customFormat="1" ht="16.5" thickBot="1">
      <c r="A125" s="464"/>
      <c r="B125" s="980">
        <v>43808</v>
      </c>
      <c r="C125" s="612" t="s">
        <v>13830</v>
      </c>
      <c r="D125" s="894">
        <v>151.29</v>
      </c>
      <c r="E125" s="948" t="s">
        <v>13831</v>
      </c>
      <c r="F125" s="814" t="s">
        <v>13832</v>
      </c>
      <c r="G125" s="790" t="s">
        <v>14027</v>
      </c>
      <c r="H125"/>
      <c r="I125" s="792">
        <f>B125+180</f>
        <v>43988</v>
      </c>
    </row>
    <row r="126" spans="1:9" s="465" customFormat="1" ht="16.5" thickBot="1">
      <c r="A126" s="464"/>
      <c r="B126" s="598"/>
      <c r="C126" s="599" t="s">
        <v>13523</v>
      </c>
      <c r="D126" s="538">
        <f>IF(COUNT(D122:D125)=3,MEDIAN(D122:D125),SMALL(D123:D125,1))</f>
        <v>81.510000000000005</v>
      </c>
      <c r="E126" s="600"/>
      <c r="F126" s="620"/>
      <c r="G126" s="602"/>
      <c r="H126" s="464"/>
    </row>
    <row r="127" spans="1:9" s="465" customFormat="1" ht="15.75" thickBot="1">
      <c r="A127" s="464"/>
      <c r="B127" s="1347"/>
      <c r="C127" s="1348"/>
      <c r="D127" s="1348"/>
      <c r="E127" s="1348"/>
      <c r="F127" s="1348"/>
      <c r="G127" s="1349"/>
      <c r="H127" s="464"/>
    </row>
    <row r="128" spans="1:9" s="465" customFormat="1" ht="15.75">
      <c r="A128" s="464"/>
      <c r="B128" s="572"/>
      <c r="C128" s="979" t="s">
        <v>14031</v>
      </c>
      <c r="D128" s="574"/>
      <c r="E128" s="575"/>
      <c r="F128" s="608"/>
      <c r="G128" s="577" t="s">
        <v>28</v>
      </c>
      <c r="H128" s="916" t="s">
        <v>13934</v>
      </c>
    </row>
    <row r="129" spans="1:9" s="465" customFormat="1" ht="31.5">
      <c r="A129" s="464"/>
      <c r="B129" s="668" t="s">
        <v>13502</v>
      </c>
      <c r="C129" s="669" t="s">
        <v>13503</v>
      </c>
      <c r="D129" s="670" t="s">
        <v>13504</v>
      </c>
      <c r="E129" s="671" t="s">
        <v>13505</v>
      </c>
      <c r="F129" s="647" t="s">
        <v>13506</v>
      </c>
      <c r="G129" s="672" t="s">
        <v>13507</v>
      </c>
      <c r="H129" s="464"/>
    </row>
    <row r="130" spans="1:9" s="465" customFormat="1" ht="15.75">
      <c r="A130" s="464"/>
      <c r="B130" s="597">
        <v>43802</v>
      </c>
      <c r="C130" s="630" t="s">
        <v>13772</v>
      </c>
      <c r="D130" s="593">
        <v>0.34</v>
      </c>
      <c r="E130" s="789" t="s">
        <v>13773</v>
      </c>
      <c r="F130" s="595" t="s">
        <v>14023</v>
      </c>
      <c r="G130" s="790" t="s">
        <v>14024</v>
      </c>
      <c r="H130"/>
      <c r="I130" s="791">
        <f>B130+180</f>
        <v>43982</v>
      </c>
    </row>
    <row r="131" spans="1:9" s="465" customFormat="1" ht="15.75">
      <c r="A131" s="464"/>
      <c r="B131" s="980">
        <v>43808</v>
      </c>
      <c r="C131" s="612" t="s">
        <v>13830</v>
      </c>
      <c r="D131" s="894">
        <v>0.75</v>
      </c>
      <c r="E131" s="948" t="s">
        <v>13831</v>
      </c>
      <c r="F131" s="814" t="s">
        <v>13832</v>
      </c>
      <c r="G131" s="790" t="s">
        <v>14027</v>
      </c>
      <c r="H131"/>
      <c r="I131" s="791">
        <f>B131+180</f>
        <v>43988</v>
      </c>
    </row>
    <row r="132" spans="1:9" s="465" customFormat="1" ht="16.5" thickBot="1">
      <c r="A132" s="464"/>
      <c r="B132" s="597">
        <v>43802</v>
      </c>
      <c r="C132" s="630" t="s">
        <v>13924</v>
      </c>
      <c r="D132" s="593">
        <v>0.34</v>
      </c>
      <c r="E132" s="789" t="s">
        <v>13824</v>
      </c>
      <c r="F132" s="595" t="s">
        <v>14015</v>
      </c>
      <c r="G132" s="790" t="s">
        <v>13865</v>
      </c>
      <c r="H132"/>
      <c r="I132" s="792">
        <f>B132+180</f>
        <v>43982</v>
      </c>
    </row>
    <row r="133" spans="1:9" s="465" customFormat="1" ht="16.5" thickBot="1">
      <c r="A133" s="464"/>
      <c r="B133" s="598"/>
      <c r="C133" s="599" t="s">
        <v>13523</v>
      </c>
      <c r="D133" s="538">
        <f>IF(COUNT(D129:D132)=3,MEDIAN(D129:D132),SMALL(D130:D132,1))</f>
        <v>0.34</v>
      </c>
      <c r="E133" s="600"/>
      <c r="F133" s="620"/>
      <c r="G133" s="602"/>
      <c r="H133" s="464"/>
    </row>
    <row r="134" spans="1:9" s="494" customFormat="1" ht="16.5" thickBot="1">
      <c r="B134" s="957"/>
      <c r="C134" s="795"/>
      <c r="D134" s="795"/>
      <c r="E134" s="795"/>
      <c r="F134" s="795"/>
      <c r="G134" s="795"/>
    </row>
    <row r="135" spans="1:9" s="465" customFormat="1" ht="34.5" hidden="1" customHeight="1">
      <c r="A135" s="464"/>
      <c r="B135" s="704" t="str">
        <f>IF(COUNT($H$8:H135)&lt;10,CONCATENATE("COMP SPDA 00",COUNT($H$8:H135)),CONCATENATE("COMP SPDA 0",COUNT($H$8:H135)))</f>
        <v>COMP SPDA 006</v>
      </c>
      <c r="C135" s="1257" t="str">
        <f>CONCATENATE("FORNECIMENTO E INSTALAÇÃO DE ",C138)</f>
        <v>FORNECIMENTO E INSTALAÇÃO DE SUPORTE ISOLADOR PARA CANTO 90° REFORCADO ROSCA SOBERBA EM FG C ISOLADOR</v>
      </c>
      <c r="D135" s="1225"/>
      <c r="E135" s="1225"/>
      <c r="F135" s="1225"/>
      <c r="G135" s="705" t="s">
        <v>28</v>
      </c>
      <c r="H135" s="570">
        <f>G144</f>
        <v>25.24</v>
      </c>
    </row>
    <row r="136" spans="1:9" s="465" customFormat="1" ht="32.25" hidden="1" thickBot="1">
      <c r="A136" s="464"/>
      <c r="B136" s="469" t="s">
        <v>13463</v>
      </c>
      <c r="C136" s="707" t="s">
        <v>13464</v>
      </c>
      <c r="D136" s="470" t="s">
        <v>28</v>
      </c>
      <c r="E136" s="707" t="s">
        <v>13465</v>
      </c>
      <c r="F136" s="293" t="s">
        <v>13466</v>
      </c>
      <c r="G136" s="708" t="s">
        <v>13467</v>
      </c>
      <c r="H136" s="464"/>
    </row>
    <row r="137" spans="1:9" s="465" customFormat="1" ht="16.5" hidden="1" thickBot="1">
      <c r="A137" s="464"/>
      <c r="B137" s="1283" t="s">
        <v>13468</v>
      </c>
      <c r="C137" s="1284"/>
      <c r="D137" s="1284"/>
      <c r="E137" s="1284"/>
      <c r="F137" s="1284"/>
      <c r="G137" s="1285"/>
      <c r="H137" s="464"/>
    </row>
    <row r="138" spans="1:9" s="465" customFormat="1" ht="30.75" hidden="1" thickBot="1">
      <c r="A138" s="464"/>
      <c r="B138" s="951" t="s">
        <v>13497</v>
      </c>
      <c r="C138" s="863" t="str">
        <f>C147</f>
        <v>SUPORTE ISOLADOR PARA CANTO 90° REFORCADO ROSCA SOBERBA EM FG C ISOLADOR</v>
      </c>
      <c r="D138" s="864" t="s">
        <v>28</v>
      </c>
      <c r="E138" s="815">
        <v>1</v>
      </c>
      <c r="F138" s="815">
        <f>D152</f>
        <v>19.13</v>
      </c>
      <c r="G138" s="845">
        <f>TRUNC(F138*E138,2)</f>
        <v>19.13</v>
      </c>
      <c r="H138" s="464"/>
    </row>
    <row r="139" spans="1:9" s="465" customFormat="1" ht="45.75" hidden="1" thickBot="1">
      <c r="A139" s="473" t="s">
        <v>13458</v>
      </c>
      <c r="B139" s="844">
        <v>11950</v>
      </c>
      <c r="C139" s="475" t="s">
        <v>923</v>
      </c>
      <c r="D139" s="711" t="s">
        <v>6636</v>
      </c>
      <c r="E139" s="815">
        <v>2</v>
      </c>
      <c r="F139" s="713">
        <v>0.1</v>
      </c>
      <c r="G139" s="845">
        <f>TRUNC(F139*E139,2)</f>
        <v>0.2</v>
      </c>
      <c r="H139" s="464"/>
    </row>
    <row r="140" spans="1:9" s="465" customFormat="1" ht="30.75" hidden="1" thickBot="1">
      <c r="A140" s="473" t="s">
        <v>13458</v>
      </c>
      <c r="B140" s="844">
        <v>142</v>
      </c>
      <c r="C140" s="475" t="s">
        <v>12350</v>
      </c>
      <c r="D140" s="711" t="s">
        <v>10462</v>
      </c>
      <c r="E140" s="983">
        <v>8.0799999999999997E-2</v>
      </c>
      <c r="F140" s="713">
        <v>23.02</v>
      </c>
      <c r="G140" s="845">
        <f>TRUNC(F140*E140,2)</f>
        <v>1.86</v>
      </c>
      <c r="H140" s="464"/>
    </row>
    <row r="141" spans="1:9" s="465" customFormat="1" ht="30.75" hidden="1" thickBot="1">
      <c r="A141" s="473" t="s">
        <v>13458</v>
      </c>
      <c r="B141" s="844">
        <v>13348</v>
      </c>
      <c r="C141" s="475" t="s">
        <v>6960</v>
      </c>
      <c r="D141" s="711" t="s">
        <v>6636</v>
      </c>
      <c r="E141" s="815">
        <v>2</v>
      </c>
      <c r="F141" s="713">
        <v>0.49</v>
      </c>
      <c r="G141" s="845">
        <f>TRUNC(F141*E141,2)</f>
        <v>0.98</v>
      </c>
      <c r="H141" s="464"/>
    </row>
    <row r="142" spans="1:9" s="465" customFormat="1" ht="16.5" hidden="1" thickBot="1">
      <c r="A142" s="464"/>
      <c r="B142" s="1283" t="s">
        <v>13469</v>
      </c>
      <c r="C142" s="1284"/>
      <c r="D142" s="1284"/>
      <c r="E142" s="1284"/>
      <c r="F142" s="1284"/>
      <c r="G142" s="1285"/>
      <c r="H142" s="464"/>
    </row>
    <row r="143" spans="1:9" s="465" customFormat="1" ht="16.5" hidden="1" thickBot="1">
      <c r="A143" s="473" t="s">
        <v>13459</v>
      </c>
      <c r="B143" s="753">
        <v>88264</v>
      </c>
      <c r="C143" s="717" t="s">
        <v>771</v>
      </c>
      <c r="D143" s="718" t="s">
        <v>753</v>
      </c>
      <c r="E143" s="754">
        <v>0.15</v>
      </c>
      <c r="F143" s="720">
        <v>20.52</v>
      </c>
      <c r="G143" s="755">
        <f>TRUNC(F143*E143,2)</f>
        <v>3.07</v>
      </c>
      <c r="H143" s="464"/>
    </row>
    <row r="144" spans="1:9" s="465" customFormat="1" ht="16.5" hidden="1" thickBot="1">
      <c r="A144" s="464"/>
      <c r="B144" s="1265" t="s">
        <v>14036</v>
      </c>
      <c r="C144" s="1265"/>
      <c r="D144" s="1265"/>
      <c r="E144" s="1265"/>
      <c r="F144" s="756" t="s">
        <v>22</v>
      </c>
      <c r="G144" s="757">
        <f>SUM(G138:G143)</f>
        <v>25.24</v>
      </c>
      <c r="H144" s="464"/>
    </row>
    <row r="145" spans="1:9" s="465" customFormat="1" ht="16.5" hidden="1" thickBot="1">
      <c r="A145" s="464"/>
      <c r="B145" s="1265"/>
      <c r="C145" s="1265"/>
      <c r="D145" s="1265"/>
      <c r="E145" s="1265"/>
      <c r="F145" s="865"/>
      <c r="G145" s="952"/>
      <c r="H145" s="464"/>
    </row>
    <row r="146" spans="1:9" s="465" customFormat="1" ht="15.75" hidden="1" thickBot="1">
      <c r="A146" s="464"/>
      <c r="B146" s="1308"/>
      <c r="C146" s="1308"/>
      <c r="D146" s="1308"/>
      <c r="E146" s="1308"/>
      <c r="H146" s="464"/>
    </row>
    <row r="147" spans="1:9" s="465" customFormat="1" ht="32.25" hidden="1" thickBot="1">
      <c r="A147" s="464"/>
      <c r="B147" s="572"/>
      <c r="C147" s="607" t="s">
        <v>14037</v>
      </c>
      <c r="D147" s="574"/>
      <c r="E147" s="575"/>
      <c r="F147" s="608"/>
      <c r="G147" s="577" t="s">
        <v>28</v>
      </c>
      <c r="H147" s="515" t="s">
        <v>14038</v>
      </c>
    </row>
    <row r="148" spans="1:9" s="465" customFormat="1" ht="32.25" hidden="1" thickBot="1">
      <c r="A148" s="464"/>
      <c r="B148" s="668" t="s">
        <v>13502</v>
      </c>
      <c r="C148" s="669" t="s">
        <v>13503</v>
      </c>
      <c r="D148" s="670" t="s">
        <v>13504</v>
      </c>
      <c r="E148" s="671" t="s">
        <v>13505</v>
      </c>
      <c r="F148" s="647" t="s">
        <v>13506</v>
      </c>
      <c r="G148" s="672" t="s">
        <v>13507</v>
      </c>
      <c r="H148" s="464"/>
    </row>
    <row r="149" spans="1:9" s="465" customFormat="1" ht="16.5" hidden="1" thickBot="1">
      <c r="A149" s="464"/>
      <c r="B149" s="591">
        <v>43560</v>
      </c>
      <c r="C149" s="630" t="s">
        <v>13781</v>
      </c>
      <c r="D149" s="593">
        <v>19.13</v>
      </c>
      <c r="E149" s="789" t="s">
        <v>13782</v>
      </c>
      <c r="F149" s="595" t="s">
        <v>13761</v>
      </c>
      <c r="G149" s="790" t="s">
        <v>13762</v>
      </c>
      <c r="H149"/>
      <c r="I149" s="791">
        <f>B149+180</f>
        <v>43740</v>
      </c>
    </row>
    <row r="150" spans="1:9" s="465" customFormat="1" ht="16.5" hidden="1" thickBot="1">
      <c r="A150" s="464"/>
      <c r="B150" s="597">
        <v>43565</v>
      </c>
      <c r="C150" s="592" t="s">
        <v>13823</v>
      </c>
      <c r="D150" s="617">
        <v>13.38</v>
      </c>
      <c r="E150" s="652" t="s">
        <v>13824</v>
      </c>
      <c r="F150" s="814" t="s">
        <v>13864</v>
      </c>
      <c r="G150" s="790" t="s">
        <v>13825</v>
      </c>
      <c r="H150"/>
      <c r="I150" s="791">
        <f>B150+180</f>
        <v>43745</v>
      </c>
    </row>
    <row r="151" spans="1:9" s="465" customFormat="1" ht="16.5" hidden="1" thickBot="1">
      <c r="A151" s="464"/>
      <c r="B151" s="591">
        <v>43560</v>
      </c>
      <c r="C151" s="630" t="s">
        <v>13755</v>
      </c>
      <c r="D151" s="593">
        <v>21.46</v>
      </c>
      <c r="E151" s="789" t="s">
        <v>13756</v>
      </c>
      <c r="F151" s="595" t="s">
        <v>13757</v>
      </c>
      <c r="G151" s="790" t="s">
        <v>13758</v>
      </c>
      <c r="H151"/>
      <c r="I151" s="792">
        <f>B151+180</f>
        <v>43740</v>
      </c>
    </row>
    <row r="152" spans="1:9" s="465" customFormat="1" ht="16.5" hidden="1" thickBot="1">
      <c r="A152" s="464"/>
      <c r="B152" s="598"/>
      <c r="C152" s="599" t="s">
        <v>13523</v>
      </c>
      <c r="D152" s="538">
        <f>IF(COUNT(D148:D151)=3,MEDIAN(D148:D151),SMALL(D149:D151,1))</f>
        <v>19.13</v>
      </c>
      <c r="E152" s="600"/>
      <c r="F152" s="620"/>
      <c r="G152" s="602"/>
      <c r="H152" s="464"/>
    </row>
    <row r="153" spans="1:9" s="463" customFormat="1" ht="7.5" hidden="1" customHeight="1">
      <c r="B153" s="957"/>
      <c r="C153" s="795"/>
      <c r="D153" s="795"/>
      <c r="E153" s="795"/>
      <c r="F153" s="795"/>
      <c r="G153" s="795"/>
    </row>
    <row r="154" spans="1:9" s="463" customFormat="1" ht="59.25" hidden="1" customHeight="1">
      <c r="B154" s="1250" t="s">
        <v>14039</v>
      </c>
      <c r="C154" s="1250"/>
      <c r="D154" s="1250"/>
      <c r="E154" s="1250"/>
      <c r="F154" s="1250"/>
      <c r="G154" s="1250"/>
    </row>
    <row r="155" spans="1:9" s="463" customFormat="1" ht="207" hidden="1" customHeight="1">
      <c r="B155" s="1350" t="s">
        <v>14040</v>
      </c>
      <c r="C155" s="1350"/>
      <c r="D155" s="1350"/>
      <c r="E155" s="1350"/>
      <c r="F155" s="1350"/>
      <c r="G155" s="1350"/>
    </row>
    <row r="156" spans="1:9" s="465" customFormat="1" ht="15.75" hidden="1" thickBot="1">
      <c r="A156" s="464"/>
      <c r="B156" s="1308"/>
      <c r="C156" s="1308"/>
      <c r="D156" s="1308"/>
      <c r="E156" s="1308"/>
      <c r="H156" s="464"/>
    </row>
    <row r="157" spans="1:9" s="465" customFormat="1" ht="16.5" hidden="1" thickBot="1">
      <c r="A157" s="464"/>
      <c r="B157" s="704" t="str">
        <f>IF(COUNT($H$8:H157)&lt;10,CONCATENATE("COMP SPDA 00",COUNT($H$8:H157)),CONCATENATE("COMP SPDA 0",COUNT($H$8:H157)))</f>
        <v>COMP SPDA 007</v>
      </c>
      <c r="C157" s="1257" t="str">
        <f>CONCATENATE("FORNECIMENTO E INSTALAÇÃO DE ",C160)</f>
        <v>FORNECIMENTO E INSTALAÇÃO DE CAIXA INSPECAO, CONCRETO PRE MOLDADO, CIRCULAR, COM TAMPA, D = 40* CM</v>
      </c>
      <c r="D157" s="1225"/>
      <c r="E157" s="1225"/>
      <c r="F157" s="1225"/>
      <c r="G157" s="705" t="s">
        <v>28</v>
      </c>
      <c r="H157" s="570">
        <f>G165</f>
        <v>150.60999999999999</v>
      </c>
    </row>
    <row r="158" spans="1:9" s="465" customFormat="1" ht="32.25" hidden="1" thickBot="1">
      <c r="A158" s="464"/>
      <c r="B158" s="469" t="s">
        <v>13463</v>
      </c>
      <c r="C158" s="707" t="s">
        <v>13464</v>
      </c>
      <c r="D158" s="470" t="s">
        <v>28</v>
      </c>
      <c r="E158" s="707" t="s">
        <v>13465</v>
      </c>
      <c r="F158" s="293" t="s">
        <v>13466</v>
      </c>
      <c r="G158" s="708" t="s">
        <v>13467</v>
      </c>
      <c r="H158" s="464"/>
    </row>
    <row r="159" spans="1:9" s="465" customFormat="1" ht="16.5" hidden="1" thickBot="1">
      <c r="A159" s="464"/>
      <c r="B159" s="1283" t="s">
        <v>13468</v>
      </c>
      <c r="C159" s="1284"/>
      <c r="D159" s="1284"/>
      <c r="E159" s="1284"/>
      <c r="F159" s="1284"/>
      <c r="G159" s="1285"/>
      <c r="H159" s="464"/>
    </row>
    <row r="160" spans="1:9" s="465" customFormat="1" ht="30.75" hidden="1" thickBot="1">
      <c r="A160" s="473" t="s">
        <v>13458</v>
      </c>
      <c r="B160" s="844">
        <v>3278</v>
      </c>
      <c r="C160" s="475" t="s">
        <v>7498</v>
      </c>
      <c r="D160" s="711" t="s">
        <v>6636</v>
      </c>
      <c r="E160" s="815">
        <v>1</v>
      </c>
      <c r="F160" s="713">
        <v>78.599999999999994</v>
      </c>
      <c r="G160" s="845">
        <f>TRUNC(F160*E160,2)</f>
        <v>78.599999999999994</v>
      </c>
      <c r="H160" s="464"/>
    </row>
    <row r="161" spans="1:8" s="465" customFormat="1" ht="16.5" hidden="1" thickBot="1">
      <c r="A161" s="473" t="s">
        <v>13458</v>
      </c>
      <c r="B161" s="984">
        <v>1379</v>
      </c>
      <c r="C161" s="710" t="s">
        <v>817</v>
      </c>
      <c r="D161" s="711" t="s">
        <v>6698</v>
      </c>
      <c r="E161" s="855">
        <v>0.8</v>
      </c>
      <c r="F161" s="713">
        <v>0.49</v>
      </c>
      <c r="G161" s="845">
        <f>TRUNC(F161*E161,2)</f>
        <v>0.39</v>
      </c>
      <c r="H161" s="464"/>
    </row>
    <row r="162" spans="1:8" s="465" customFormat="1" ht="16.5" hidden="1" thickBot="1">
      <c r="A162" s="464"/>
      <c r="B162" s="1283" t="s">
        <v>13469</v>
      </c>
      <c r="C162" s="1284"/>
      <c r="D162" s="1284"/>
      <c r="E162" s="1284"/>
      <c r="F162" s="1284"/>
      <c r="G162" s="1285"/>
      <c r="H162" s="464"/>
    </row>
    <row r="163" spans="1:8" s="465" customFormat="1" ht="30.75" hidden="1" thickBot="1">
      <c r="A163" s="473" t="s">
        <v>13459</v>
      </c>
      <c r="B163" s="751">
        <v>88267</v>
      </c>
      <c r="C163" s="710" t="s">
        <v>759</v>
      </c>
      <c r="D163" s="711" t="s">
        <v>753</v>
      </c>
      <c r="E163" s="752">
        <v>2</v>
      </c>
      <c r="F163" s="713">
        <v>19.899999999999999</v>
      </c>
      <c r="G163" s="750">
        <f>TRUNC(F163*E163,2)</f>
        <v>39.799999999999997</v>
      </c>
      <c r="H163" s="464"/>
    </row>
    <row r="164" spans="1:8" s="465" customFormat="1" ht="16.5" hidden="1" thickBot="1">
      <c r="A164" s="473" t="s">
        <v>13459</v>
      </c>
      <c r="B164" s="753">
        <v>88316</v>
      </c>
      <c r="C164" s="717" t="s">
        <v>761</v>
      </c>
      <c r="D164" s="718" t="s">
        <v>753</v>
      </c>
      <c r="E164" s="754">
        <v>2</v>
      </c>
      <c r="F164" s="720">
        <v>15.91</v>
      </c>
      <c r="G164" s="755">
        <f>TRUNC(F164*E164,2)</f>
        <v>31.82</v>
      </c>
      <c r="H164" s="464"/>
    </row>
    <row r="165" spans="1:8" s="465" customFormat="1" ht="16.5" hidden="1" thickBot="1">
      <c r="A165" s="464"/>
      <c r="B165" s="1287" t="s">
        <v>14041</v>
      </c>
      <c r="C165" s="1287"/>
      <c r="D165" s="1287"/>
      <c r="E165" s="1287"/>
      <c r="F165" s="756" t="s">
        <v>22</v>
      </c>
      <c r="G165" s="757">
        <f>SUM(G159:G164)</f>
        <v>150.60999999999999</v>
      </c>
      <c r="H165" s="464"/>
    </row>
    <row r="166" spans="1:8" s="465" customFormat="1" ht="16.5" hidden="1" thickBot="1">
      <c r="A166" s="464"/>
      <c r="B166" s="1287"/>
      <c r="C166" s="1287"/>
      <c r="D166" s="1287"/>
      <c r="E166" s="1287"/>
      <c r="F166" s="865"/>
      <c r="G166" s="952"/>
      <c r="H166" s="464"/>
    </row>
    <row r="167" spans="1:8" s="494" customFormat="1" ht="16.5" hidden="1" thickBot="1">
      <c r="B167" s="957"/>
      <c r="C167" s="795"/>
      <c r="D167" s="795"/>
      <c r="E167" s="795"/>
      <c r="F167" s="795"/>
      <c r="G167" s="795"/>
    </row>
    <row r="168" spans="1:8" s="465" customFormat="1" ht="35.25" customHeight="1">
      <c r="A168" s="464"/>
      <c r="B168" s="704" t="str">
        <f>IF(COUNT($H$8:H168)&lt;10,CONCATENATE("COMP SPDA 00",COUNT($H$8:H168)),CONCATENATE("COMP SPDA 0",COUNT($H$8:H168)))</f>
        <v>COMP SPDA 008</v>
      </c>
      <c r="C168" s="1257" t="str">
        <f>CONCATENATE("FORNECIMENTO E INSTALAÇÃO DE ",C171)</f>
        <v>FORNECIMENTO E INSTALAÇÃO DE SUPORTE ISOLADOR SIMPLES DIAMETRO NOMINAL 5/16", COM ROSCA SOBERBA E BUCHA</v>
      </c>
      <c r="D168" s="1225"/>
      <c r="E168" s="1225"/>
      <c r="F168" s="1225"/>
      <c r="G168" s="705" t="s">
        <v>28</v>
      </c>
      <c r="H168" s="570">
        <f>G178</f>
        <v>12.95</v>
      </c>
    </row>
    <row r="169" spans="1:8" s="465" customFormat="1" ht="31.5">
      <c r="A169" s="464"/>
      <c r="B169" s="469" t="s">
        <v>13463</v>
      </c>
      <c r="C169" s="707" t="s">
        <v>13464</v>
      </c>
      <c r="D169" s="707" t="s">
        <v>14042</v>
      </c>
      <c r="E169" s="707" t="s">
        <v>13465</v>
      </c>
      <c r="F169" s="293" t="s">
        <v>13466</v>
      </c>
      <c r="G169" s="708" t="s">
        <v>13467</v>
      </c>
      <c r="H169" s="464"/>
    </row>
    <row r="170" spans="1:8" s="465" customFormat="1" ht="15.75">
      <c r="A170" s="464"/>
      <c r="B170" s="1283" t="s">
        <v>13468</v>
      </c>
      <c r="C170" s="1284"/>
      <c r="D170" s="1284"/>
      <c r="E170" s="1284"/>
      <c r="F170" s="1284"/>
      <c r="G170" s="1285"/>
      <c r="H170" s="464"/>
    </row>
    <row r="171" spans="1:8" s="465" customFormat="1" ht="30">
      <c r="A171" s="473" t="s">
        <v>13458</v>
      </c>
      <c r="B171" s="844">
        <v>3396</v>
      </c>
      <c r="C171" s="475" t="s">
        <v>10540</v>
      </c>
      <c r="D171" s="711" t="s">
        <v>6636</v>
      </c>
      <c r="E171" s="815">
        <v>1</v>
      </c>
      <c r="F171" s="713">
        <v>6.07</v>
      </c>
      <c r="G171" s="845">
        <f>TRUNC(F171*E171,2)</f>
        <v>6.07</v>
      </c>
      <c r="H171" s="464"/>
    </row>
    <row r="172" spans="1:8" s="465" customFormat="1" ht="45">
      <c r="A172" s="473" t="s">
        <v>13458</v>
      </c>
      <c r="B172" s="844">
        <v>7583</v>
      </c>
      <c r="C172" s="475" t="s">
        <v>959</v>
      </c>
      <c r="D172" s="711" t="s">
        <v>6636</v>
      </c>
      <c r="E172" s="815">
        <v>2</v>
      </c>
      <c r="F172" s="713">
        <v>0.2</v>
      </c>
      <c r="G172" s="845">
        <f>TRUNC(F172*E172,2)</f>
        <v>0.4</v>
      </c>
      <c r="H172" s="464"/>
    </row>
    <row r="173" spans="1:8" s="465" customFormat="1" ht="30">
      <c r="A173" s="473" t="s">
        <v>13458</v>
      </c>
      <c r="B173" s="844">
        <v>13348</v>
      </c>
      <c r="C173" s="475" t="s">
        <v>6960</v>
      </c>
      <c r="D173" s="711" t="s">
        <v>6636</v>
      </c>
      <c r="E173" s="815">
        <v>2</v>
      </c>
      <c r="F173" s="713">
        <v>0.49</v>
      </c>
      <c r="G173" s="845">
        <f>TRUNC(F173*E173,2)</f>
        <v>0.98</v>
      </c>
      <c r="H173" s="464"/>
    </row>
    <row r="174" spans="1:8" s="465" customFormat="1" ht="30">
      <c r="A174" s="473" t="s">
        <v>13458</v>
      </c>
      <c r="B174" s="844">
        <v>142</v>
      </c>
      <c r="C174" s="475" t="s">
        <v>12350</v>
      </c>
      <c r="D174" s="711" t="s">
        <v>10462</v>
      </c>
      <c r="E174" s="983">
        <v>8.0799999999999997E-2</v>
      </c>
      <c r="F174" s="713">
        <v>23.02</v>
      </c>
      <c r="G174" s="845">
        <f>TRUNC(F174*E174,2)</f>
        <v>1.86</v>
      </c>
      <c r="H174" s="464"/>
    </row>
    <row r="175" spans="1:8" s="465" customFormat="1" ht="15.75">
      <c r="A175" s="464"/>
      <c r="B175" s="1283" t="s">
        <v>13469</v>
      </c>
      <c r="C175" s="1284"/>
      <c r="D175" s="1284"/>
      <c r="E175" s="1284"/>
      <c r="F175" s="1284"/>
      <c r="G175" s="1285"/>
      <c r="H175" s="464"/>
    </row>
    <row r="176" spans="1:8" s="465" customFormat="1" ht="15.75">
      <c r="A176" s="473" t="s">
        <v>13459</v>
      </c>
      <c r="B176" s="751">
        <v>88264</v>
      </c>
      <c r="C176" s="475" t="s">
        <v>771</v>
      </c>
      <c r="D176" s="711" t="s">
        <v>753</v>
      </c>
      <c r="E176" s="752">
        <v>0.1</v>
      </c>
      <c r="F176" s="713">
        <v>20.52</v>
      </c>
      <c r="G176" s="750">
        <f>TRUNC(F176*E176,2)</f>
        <v>2.0499999999999998</v>
      </c>
      <c r="H176" s="464"/>
    </row>
    <row r="177" spans="1:8" s="465" customFormat="1" ht="16.5" thickBot="1">
      <c r="A177" s="473" t="s">
        <v>13459</v>
      </c>
      <c r="B177" s="753">
        <v>88316</v>
      </c>
      <c r="C177" s="484" t="s">
        <v>761</v>
      </c>
      <c r="D177" s="718" t="s">
        <v>753</v>
      </c>
      <c r="E177" s="754">
        <v>0.1</v>
      </c>
      <c r="F177" s="720">
        <v>15.91</v>
      </c>
      <c r="G177" s="755">
        <f>TRUNC(F177*E177,2)</f>
        <v>1.59</v>
      </c>
      <c r="H177" s="464"/>
    </row>
    <row r="178" spans="1:8" s="465" customFormat="1" ht="16.5" thickBot="1">
      <c r="A178" s="464"/>
      <c r="B178" s="1351" t="s">
        <v>14043</v>
      </c>
      <c r="C178" s="1351"/>
      <c r="D178" s="1351"/>
      <c r="E178" s="1351"/>
      <c r="F178" s="756" t="s">
        <v>22</v>
      </c>
      <c r="G178" s="757">
        <f>SUM(G170:G177)</f>
        <v>12.95</v>
      </c>
      <c r="H178" s="464"/>
    </row>
    <row r="179" spans="1:8" s="465" customFormat="1" ht="15.75">
      <c r="A179" s="464"/>
      <c r="B179" s="1287"/>
      <c r="C179" s="1287"/>
      <c r="D179" s="1287"/>
      <c r="E179" s="1287"/>
      <c r="F179" s="507"/>
      <c r="G179" s="508"/>
      <c r="H179" s="464"/>
    </row>
    <row r="180" spans="1:8" s="463" customFormat="1" ht="15.75">
      <c r="B180" s="957"/>
      <c r="C180" s="795"/>
      <c r="D180" s="795"/>
      <c r="E180" s="795"/>
      <c r="F180" s="795"/>
      <c r="G180" s="795"/>
    </row>
    <row r="181" spans="1:8" s="463" customFormat="1" ht="59.25" customHeight="1">
      <c r="B181" s="1250" t="s">
        <v>14039</v>
      </c>
      <c r="C181" s="1250"/>
      <c r="D181" s="1250"/>
      <c r="E181" s="1250"/>
      <c r="F181" s="1250"/>
      <c r="G181" s="1250"/>
    </row>
    <row r="182" spans="1:8" s="463" customFormat="1" ht="207" customHeight="1">
      <c r="B182" s="1350" t="s">
        <v>14040</v>
      </c>
      <c r="C182" s="1350"/>
      <c r="D182" s="1350"/>
      <c r="E182" s="1350"/>
      <c r="F182" s="1350"/>
      <c r="G182" s="1350"/>
    </row>
    <row r="183" spans="1:8" s="494" customFormat="1" ht="16.5" thickBot="1">
      <c r="B183" s="957"/>
      <c r="C183" s="795"/>
      <c r="D183" s="795"/>
      <c r="E183" s="795"/>
      <c r="F183" s="795"/>
      <c r="G183" s="795"/>
    </row>
    <row r="184" spans="1:8" s="465" customFormat="1" ht="16.5" hidden="1" thickBot="1">
      <c r="A184" s="464"/>
      <c r="B184" s="704" t="str">
        <f>IF(COUNT($H$8:H184)&lt;10,CONCATENATE("COMP SPDA 00",COUNT($H$8:H184)),CONCATENATE("COMP SPDA 0",COUNT($H$8:H184)))</f>
        <v>COMP SPDA 009</v>
      </c>
      <c r="C184" s="1257" t="str">
        <f>CONCATENATE("FORNECIMENTO E INSTALAÇÃO DE ",C187)</f>
        <v>FORNECIMENTO E INSTALAÇÃO DE SUPORTE ISOLADOR REFORCADO DIAMETRO NOMINAL 5/16", COM ROSCA SOBERBA E BUCHA</v>
      </c>
      <c r="D184" s="1225"/>
      <c r="E184" s="1225"/>
      <c r="F184" s="1225"/>
      <c r="G184" s="705" t="s">
        <v>28</v>
      </c>
      <c r="H184" s="570">
        <f>G194</f>
        <v>15.45</v>
      </c>
    </row>
    <row r="185" spans="1:8" s="465" customFormat="1" ht="32.25" hidden="1" thickBot="1">
      <c r="A185" s="464"/>
      <c r="B185" s="469" t="s">
        <v>13463</v>
      </c>
      <c r="C185" s="707" t="s">
        <v>13464</v>
      </c>
      <c r="D185" s="470" t="s">
        <v>28</v>
      </c>
      <c r="E185" s="707" t="s">
        <v>13465</v>
      </c>
      <c r="F185" s="293" t="s">
        <v>13466</v>
      </c>
      <c r="G185" s="708" t="s">
        <v>13467</v>
      </c>
      <c r="H185" s="464"/>
    </row>
    <row r="186" spans="1:8" s="465" customFormat="1" ht="16.5" hidden="1" thickBot="1">
      <c r="A186" s="464"/>
      <c r="B186" s="1283" t="s">
        <v>13468</v>
      </c>
      <c r="C186" s="1284"/>
      <c r="D186" s="1284"/>
      <c r="E186" s="1284"/>
      <c r="F186" s="1284"/>
      <c r="G186" s="1285"/>
      <c r="H186" s="464"/>
    </row>
    <row r="187" spans="1:8" s="465" customFormat="1" ht="30.75" hidden="1" thickBot="1">
      <c r="A187" s="473" t="s">
        <v>13458</v>
      </c>
      <c r="B187" s="844">
        <v>7572</v>
      </c>
      <c r="C187" s="475" t="s">
        <v>10539</v>
      </c>
      <c r="D187" s="711" t="s">
        <v>6636</v>
      </c>
      <c r="E187" s="815">
        <v>1</v>
      </c>
      <c r="F187" s="713">
        <v>8.57</v>
      </c>
      <c r="G187" s="845">
        <f>TRUNC(F187*E187,2)</f>
        <v>8.57</v>
      </c>
      <c r="H187" s="464"/>
    </row>
    <row r="188" spans="1:8" s="465" customFormat="1" ht="45.75" hidden="1" thickBot="1">
      <c r="A188" s="473" t="s">
        <v>13458</v>
      </c>
      <c r="B188" s="844">
        <v>7583</v>
      </c>
      <c r="C188" s="475" t="s">
        <v>959</v>
      </c>
      <c r="D188" s="711" t="s">
        <v>6636</v>
      </c>
      <c r="E188" s="815">
        <v>2</v>
      </c>
      <c r="F188" s="713">
        <v>0.2</v>
      </c>
      <c r="G188" s="845">
        <f>TRUNC(F188*E188,2)</f>
        <v>0.4</v>
      </c>
      <c r="H188" s="464"/>
    </row>
    <row r="189" spans="1:8" s="465" customFormat="1" ht="30.75" hidden="1" thickBot="1">
      <c r="A189" s="473" t="s">
        <v>13458</v>
      </c>
      <c r="B189" s="844">
        <v>13348</v>
      </c>
      <c r="C189" s="475" t="s">
        <v>6960</v>
      </c>
      <c r="D189" s="711" t="s">
        <v>6636</v>
      </c>
      <c r="E189" s="815">
        <v>2</v>
      </c>
      <c r="F189" s="713">
        <v>0.49</v>
      </c>
      <c r="G189" s="845">
        <f>TRUNC(F189*E189,2)</f>
        <v>0.98</v>
      </c>
      <c r="H189" s="464"/>
    </row>
    <row r="190" spans="1:8" s="465" customFormat="1" ht="30.75" hidden="1" thickBot="1">
      <c r="A190" s="473" t="s">
        <v>13458</v>
      </c>
      <c r="B190" s="844">
        <v>142</v>
      </c>
      <c r="C190" s="475" t="s">
        <v>12350</v>
      </c>
      <c r="D190" s="711" t="s">
        <v>10462</v>
      </c>
      <c r="E190" s="983">
        <v>8.0799999999999997E-2</v>
      </c>
      <c r="F190" s="713">
        <v>23.02</v>
      </c>
      <c r="G190" s="845">
        <f>TRUNC(F190*E190,2)</f>
        <v>1.86</v>
      </c>
      <c r="H190" s="464"/>
    </row>
    <row r="191" spans="1:8" s="465" customFormat="1" ht="16.5" hidden="1" thickBot="1">
      <c r="A191" s="464"/>
      <c r="B191" s="1283" t="s">
        <v>13469</v>
      </c>
      <c r="C191" s="1284"/>
      <c r="D191" s="1284"/>
      <c r="E191" s="1284"/>
      <c r="F191" s="1284"/>
      <c r="G191" s="1285"/>
      <c r="H191" s="464"/>
    </row>
    <row r="192" spans="1:8" s="465" customFormat="1" ht="16.5" hidden="1" thickBot="1">
      <c r="A192" s="473" t="s">
        <v>13459</v>
      </c>
      <c r="B192" s="751">
        <v>88264</v>
      </c>
      <c r="C192" s="475" t="s">
        <v>771</v>
      </c>
      <c r="D192" s="711" t="s">
        <v>753</v>
      </c>
      <c r="E192" s="752">
        <v>0.1</v>
      </c>
      <c r="F192" s="713">
        <v>20.52</v>
      </c>
      <c r="G192" s="750">
        <f>TRUNC(F192*E192,2)</f>
        <v>2.0499999999999998</v>
      </c>
      <c r="H192" s="464"/>
    </row>
    <row r="193" spans="1:8" s="465" customFormat="1" ht="16.5" hidden="1" thickBot="1">
      <c r="A193" s="473" t="s">
        <v>13459</v>
      </c>
      <c r="B193" s="753">
        <v>88316</v>
      </c>
      <c r="C193" s="484" t="s">
        <v>761</v>
      </c>
      <c r="D193" s="718" t="s">
        <v>753</v>
      </c>
      <c r="E193" s="754">
        <v>0.1</v>
      </c>
      <c r="F193" s="720">
        <v>15.91</v>
      </c>
      <c r="G193" s="755">
        <f>TRUNC(F193*E193,2)</f>
        <v>1.59</v>
      </c>
      <c r="H193" s="464"/>
    </row>
    <row r="194" spans="1:8" s="465" customFormat="1" ht="16.5" hidden="1" customHeight="1" thickBot="1">
      <c r="A194" s="464"/>
      <c r="B194" s="1260" t="s">
        <v>14044</v>
      </c>
      <c r="C194" s="1260"/>
      <c r="D194" s="1260"/>
      <c r="E194" s="1260"/>
      <c r="F194" s="756" t="s">
        <v>22</v>
      </c>
      <c r="G194" s="757">
        <f>SUM(G186:G193)</f>
        <v>15.45</v>
      </c>
      <c r="H194" s="464"/>
    </row>
    <row r="195" spans="1:8" s="463" customFormat="1" ht="15.75" hidden="1" customHeight="1">
      <c r="B195" s="1260"/>
      <c r="C195" s="1260"/>
      <c r="D195" s="1260"/>
      <c r="E195" s="1260"/>
      <c r="F195" s="795"/>
      <c r="G195" s="795"/>
    </row>
    <row r="196" spans="1:8" s="463" customFormat="1" ht="59.25" hidden="1" customHeight="1">
      <c r="B196" s="1250" t="s">
        <v>14039</v>
      </c>
      <c r="C196" s="1250"/>
      <c r="D196" s="1250"/>
      <c r="E196" s="1250"/>
      <c r="F196" s="1250"/>
      <c r="G196" s="1250"/>
    </row>
    <row r="197" spans="1:8" s="463" customFormat="1" ht="207" hidden="1" customHeight="1">
      <c r="B197" s="1350" t="s">
        <v>14040</v>
      </c>
      <c r="C197" s="1350"/>
      <c r="D197" s="1350"/>
      <c r="E197" s="1350"/>
      <c r="F197" s="1350"/>
      <c r="G197" s="1350"/>
    </row>
    <row r="198" spans="1:8" s="465" customFormat="1" ht="16.5" hidden="1" thickBot="1">
      <c r="A198" s="464"/>
      <c r="B198" s="847"/>
      <c r="C198" s="847"/>
      <c r="D198" s="847"/>
      <c r="E198" s="847"/>
      <c r="F198" s="760"/>
      <c r="G198" s="985"/>
      <c r="H198" s="464"/>
    </row>
    <row r="199" spans="1:8" s="465" customFormat="1" ht="36.75" customHeight="1">
      <c r="A199" s="464"/>
      <c r="B199" s="704" t="str">
        <f>IF(COUNT($H$8:H199)&lt;10,CONCATENATE("COMP SPDA 00",COUNT($H$8:H199)),CONCATENATE("COMP SPDA 0",COUNT($H$8:H199)))</f>
        <v>COMP SPDA 010</v>
      </c>
      <c r="C199" s="1257" t="str">
        <f>CONCATENATE("FORNECIMENTO E INSTALAÇÃO DE ",C202)</f>
        <v>FORNECIMENTO E INSTALAÇÃO DE ABRACADEIRA EM ACO PARA AMARRACAO DE ELETRODUTOS, TIPO D, COM 1" E PARAFUSO DE FIXACAO</v>
      </c>
      <c r="D199" s="1225"/>
      <c r="E199" s="1225"/>
      <c r="F199" s="1225"/>
      <c r="G199" s="705" t="s">
        <v>28</v>
      </c>
      <c r="H199" s="570">
        <f>G205</f>
        <v>6.34</v>
      </c>
    </row>
    <row r="200" spans="1:8" s="465" customFormat="1" ht="31.5">
      <c r="A200" s="464"/>
      <c r="B200" s="469" t="s">
        <v>13463</v>
      </c>
      <c r="C200" s="707" t="s">
        <v>13464</v>
      </c>
      <c r="D200" s="470" t="s">
        <v>28</v>
      </c>
      <c r="E200" s="707" t="s">
        <v>13465</v>
      </c>
      <c r="F200" s="293" t="s">
        <v>13466</v>
      </c>
      <c r="G200" s="708" t="s">
        <v>13467</v>
      </c>
      <c r="H200" s="464"/>
    </row>
    <row r="201" spans="1:8" s="465" customFormat="1" ht="15.75">
      <c r="A201" s="464"/>
      <c r="B201" s="1283" t="s">
        <v>13468</v>
      </c>
      <c r="C201" s="1284"/>
      <c r="D201" s="1284"/>
      <c r="E201" s="1284"/>
      <c r="F201" s="1284"/>
      <c r="G201" s="1285"/>
      <c r="H201" s="464"/>
    </row>
    <row r="202" spans="1:8" s="465" customFormat="1" ht="30">
      <c r="A202" s="473" t="s">
        <v>13458</v>
      </c>
      <c r="B202" s="860">
        <v>393</v>
      </c>
      <c r="C202" s="986" t="s">
        <v>6666</v>
      </c>
      <c r="D202" s="711" t="s">
        <v>6636</v>
      </c>
      <c r="E202" s="815">
        <v>1</v>
      </c>
      <c r="F202" s="713">
        <v>1.59</v>
      </c>
      <c r="G202" s="845">
        <f>TRUNC(F202*E202,2)</f>
        <v>1.59</v>
      </c>
      <c r="H202" s="464"/>
    </row>
    <row r="203" spans="1:8" s="465" customFormat="1" ht="15.75">
      <c r="A203" s="464"/>
      <c r="B203" s="1283" t="s">
        <v>13469</v>
      </c>
      <c r="C203" s="1284"/>
      <c r="D203" s="1284"/>
      <c r="E203" s="1284"/>
      <c r="F203" s="1284"/>
      <c r="G203" s="1285"/>
      <c r="H203" s="464"/>
    </row>
    <row r="204" spans="1:8" s="465" customFormat="1" ht="16.5" thickBot="1">
      <c r="A204" s="473" t="s">
        <v>13459</v>
      </c>
      <c r="B204" s="753">
        <v>88247</v>
      </c>
      <c r="C204" s="484" t="s">
        <v>924</v>
      </c>
      <c r="D204" s="718" t="s">
        <v>753</v>
      </c>
      <c r="E204" s="754">
        <v>0.3</v>
      </c>
      <c r="F204" s="720">
        <v>15.84</v>
      </c>
      <c r="G204" s="755">
        <f>TRUNC(F204*E204,2)</f>
        <v>4.75</v>
      </c>
      <c r="H204" s="464"/>
    </row>
    <row r="205" spans="1:8" s="465" customFormat="1" ht="16.5" thickBot="1">
      <c r="A205" s="464"/>
      <c r="B205" s="958" t="s">
        <v>14045</v>
      </c>
      <c r="C205" s="852"/>
      <c r="D205" s="852"/>
      <c r="E205" s="852"/>
      <c r="F205" s="756" t="s">
        <v>22</v>
      </c>
      <c r="G205" s="757">
        <f>SUM(G201:G204)</f>
        <v>6.34</v>
      </c>
      <c r="H205" s="464"/>
    </row>
    <row r="206" spans="1:8" s="494" customFormat="1" ht="16.5" thickBot="1">
      <c r="B206" s="957"/>
      <c r="C206" s="795"/>
      <c r="D206" s="795"/>
      <c r="E206" s="795"/>
      <c r="F206" s="795"/>
      <c r="G206" s="795"/>
    </row>
    <row r="207" spans="1:8" s="465" customFormat="1" ht="36.75" hidden="1" customHeight="1">
      <c r="A207" s="464"/>
      <c r="B207" s="704" t="str">
        <f>IF(COUNT($H$8:H207)&lt;10,CONCATENATE("COMP SPDA 00",COUNT($H$8:H207)),CONCATENATE("COMP SPDA 0",COUNT($H$8:H207)))</f>
        <v>COMP SPDA 011</v>
      </c>
      <c r="C207" s="1257" t="str">
        <f>CONCATENATE("FORNECIMENTO E INSTALAÇÃO DE ",C210)</f>
        <v>FORNECIMENTO E INSTALAÇÃO DE BUCHA DE NYLON SEM ABA S6, COM PARAFUSO DE 4,20 X 40 MM EM ACO ZINCADO COM ROSCA SOBERBA, CABECA CHATA E FENDA PHILLIPS</v>
      </c>
      <c r="D207" s="1225"/>
      <c r="E207" s="1225"/>
      <c r="F207" s="1225"/>
      <c r="G207" s="705" t="s">
        <v>28</v>
      </c>
      <c r="H207" s="570">
        <f>G213</f>
        <v>3.17</v>
      </c>
    </row>
    <row r="208" spans="1:8" s="465" customFormat="1" ht="31.5" hidden="1">
      <c r="A208" s="464"/>
      <c r="B208" s="469" t="s">
        <v>13463</v>
      </c>
      <c r="C208" s="707" t="s">
        <v>13464</v>
      </c>
      <c r="D208" s="470" t="s">
        <v>28</v>
      </c>
      <c r="E208" s="707" t="s">
        <v>13465</v>
      </c>
      <c r="F208" s="293" t="s">
        <v>13466</v>
      </c>
      <c r="G208" s="708" t="s">
        <v>13467</v>
      </c>
      <c r="H208" s="464"/>
    </row>
    <row r="209" spans="1:10" s="465" customFormat="1" ht="15.75" hidden="1">
      <c r="A209" s="464"/>
      <c r="B209" s="1283" t="s">
        <v>13468</v>
      </c>
      <c r="C209" s="1284"/>
      <c r="D209" s="1284"/>
      <c r="E209" s="1284"/>
      <c r="F209" s="1284"/>
      <c r="G209" s="1285"/>
      <c r="H209" s="464"/>
    </row>
    <row r="210" spans="1:10" s="465" customFormat="1" ht="45" hidden="1">
      <c r="A210" s="473" t="s">
        <v>13458</v>
      </c>
      <c r="B210" s="844">
        <v>11950</v>
      </c>
      <c r="C210" s="475" t="s">
        <v>923</v>
      </c>
      <c r="D210" s="711" t="s">
        <v>6636</v>
      </c>
      <c r="E210" s="815">
        <v>1</v>
      </c>
      <c r="F210" s="713">
        <v>0.1</v>
      </c>
      <c r="G210" s="845">
        <f>TRUNC(F210*E210,2)</f>
        <v>0.1</v>
      </c>
      <c r="H210" s="464"/>
    </row>
    <row r="211" spans="1:10" s="465" customFormat="1" ht="15.75" hidden="1">
      <c r="A211" s="464"/>
      <c r="B211" s="1283" t="s">
        <v>13469</v>
      </c>
      <c r="C211" s="1284"/>
      <c r="D211" s="1284"/>
      <c r="E211" s="1284"/>
      <c r="F211" s="1284"/>
      <c r="G211" s="1285"/>
      <c r="H211" s="464"/>
    </row>
    <row r="212" spans="1:10" s="465" customFormat="1" ht="16.5" hidden="1" thickBot="1">
      <c r="A212" s="473" t="s">
        <v>13459</v>
      </c>
      <c r="B212" s="753">
        <v>88264</v>
      </c>
      <c r="C212" s="484" t="s">
        <v>771</v>
      </c>
      <c r="D212" s="718" t="s">
        <v>753</v>
      </c>
      <c r="E212" s="754">
        <v>0.15</v>
      </c>
      <c r="F212" s="720">
        <v>20.52</v>
      </c>
      <c r="G212" s="755">
        <f>TRUNC(F212*E212,2)</f>
        <v>3.07</v>
      </c>
      <c r="H212" s="464"/>
    </row>
    <row r="213" spans="1:10" s="465" customFormat="1" ht="16.5" hidden="1" thickBot="1">
      <c r="A213" s="464"/>
      <c r="B213" s="1287" t="s">
        <v>14046</v>
      </c>
      <c r="C213" s="1287"/>
      <c r="D213" s="1287"/>
      <c r="E213" s="1287"/>
      <c r="F213" s="756" t="s">
        <v>22</v>
      </c>
      <c r="G213" s="757">
        <f>SUM(G209:G212)</f>
        <v>3.17</v>
      </c>
      <c r="H213" s="464"/>
    </row>
    <row r="214" spans="1:10" s="465" customFormat="1" ht="16.5" hidden="1" thickBot="1">
      <c r="A214" s="464"/>
      <c r="B214" s="1287"/>
      <c r="C214" s="1287"/>
      <c r="D214" s="1287"/>
      <c r="E214" s="1287"/>
      <c r="F214" s="865"/>
      <c r="G214" s="952"/>
      <c r="H214" s="464"/>
    </row>
    <row r="215" spans="1:10" s="465" customFormat="1" ht="15.75" hidden="1">
      <c r="A215" s="464"/>
      <c r="B215" s="704" t="str">
        <f>IF(COUNT($H$8:H215)&lt;10,CONCATENATE("COMP SPDA 00",COUNT($H$8:H215)),CONCATENATE("COMP SPDA 0",COUNT($H$8:H215)))</f>
        <v>COMP SPDA 012</v>
      </c>
      <c r="C215" s="1257" t="s">
        <v>14047</v>
      </c>
      <c r="D215" s="1225"/>
      <c r="E215" s="1225"/>
      <c r="F215" s="1225"/>
      <c r="G215" s="705" t="str">
        <f>D218</f>
        <v xml:space="preserve">UN    </v>
      </c>
      <c r="H215" s="570">
        <f>G221</f>
        <v>6.15</v>
      </c>
    </row>
    <row r="216" spans="1:10" s="465" customFormat="1" ht="31.5" hidden="1">
      <c r="A216" s="464"/>
      <c r="B216" s="469" t="s">
        <v>13463</v>
      </c>
      <c r="C216" s="470" t="s">
        <v>13464</v>
      </c>
      <c r="D216" s="470" t="s">
        <v>14042</v>
      </c>
      <c r="E216" s="470" t="s">
        <v>13465</v>
      </c>
      <c r="F216" s="471" t="s">
        <v>14048</v>
      </c>
      <c r="G216" s="472" t="s">
        <v>14049</v>
      </c>
      <c r="H216" s="464"/>
    </row>
    <row r="217" spans="1:10" s="465" customFormat="1" ht="15.75" hidden="1">
      <c r="A217" s="464"/>
      <c r="B217" s="1246" t="s">
        <v>13468</v>
      </c>
      <c r="C217" s="1247"/>
      <c r="D217" s="1247"/>
      <c r="E217" s="1247"/>
      <c r="F217" s="1247"/>
      <c r="G217" s="1248"/>
      <c r="H217" s="464"/>
    </row>
    <row r="218" spans="1:10" s="465" customFormat="1" ht="30.75" hidden="1" thickBot="1">
      <c r="A218" s="473" t="s">
        <v>13458</v>
      </c>
      <c r="B218" s="753">
        <v>11962</v>
      </c>
      <c r="C218" s="484" t="s">
        <v>957</v>
      </c>
      <c r="D218" s="718" t="s">
        <v>6636</v>
      </c>
      <c r="E218" s="754">
        <v>0.01</v>
      </c>
      <c r="F218" s="720">
        <v>0.15</v>
      </c>
      <c r="G218" s="755">
        <f>TRUNC(F218*E218,2)</f>
        <v>0</v>
      </c>
      <c r="H218" s="464"/>
    </row>
    <row r="219" spans="1:10" s="465" customFormat="1" ht="15.75" hidden="1">
      <c r="A219" s="464"/>
      <c r="B219" s="1246" t="s">
        <v>13469</v>
      </c>
      <c r="C219" s="1247"/>
      <c r="D219" s="1247"/>
      <c r="E219" s="1247"/>
      <c r="F219" s="1247"/>
      <c r="G219" s="1248"/>
      <c r="H219" s="464"/>
    </row>
    <row r="220" spans="1:10" s="465" customFormat="1" ht="16.5" hidden="1" thickBot="1">
      <c r="A220" s="473" t="s">
        <v>13459</v>
      </c>
      <c r="B220" s="753">
        <v>88264</v>
      </c>
      <c r="C220" s="484" t="s">
        <v>771</v>
      </c>
      <c r="D220" s="718" t="s">
        <v>753</v>
      </c>
      <c r="E220" s="754">
        <v>0.3</v>
      </c>
      <c r="F220" s="720">
        <v>20.52</v>
      </c>
      <c r="G220" s="755">
        <f>TRUNC(F220*E220,2)</f>
        <v>6.15</v>
      </c>
      <c r="H220" s="464"/>
    </row>
    <row r="221" spans="1:10" s="465" customFormat="1" ht="16.5" hidden="1" thickBot="1">
      <c r="A221" s="464"/>
      <c r="B221" s="1265" t="s">
        <v>14045</v>
      </c>
      <c r="C221" s="1265"/>
      <c r="D221" s="1265"/>
      <c r="E221" s="1265"/>
      <c r="F221" s="756" t="s">
        <v>22</v>
      </c>
      <c r="G221" s="757">
        <f>SUM(G218:G220)</f>
        <v>6.15</v>
      </c>
      <c r="H221" s="464"/>
    </row>
    <row r="222" spans="1:10" s="465" customFormat="1" ht="16.5" hidden="1" thickBot="1">
      <c r="A222" s="464"/>
      <c r="B222" s="1265"/>
      <c r="C222" s="1265"/>
      <c r="D222" s="1265"/>
      <c r="E222" s="1265"/>
      <c r="F222" s="760"/>
      <c r="G222" s="985"/>
      <c r="H222" s="464"/>
    </row>
    <row r="223" spans="1:10" s="464" customFormat="1" ht="15.75" hidden="1">
      <c r="B223" s="704" t="str">
        <f>IF(COUNT($H$8:H223)&lt;10,CONCATENATE("COMP SPDA 00",COUNT($H$8:H223)),CONCATENATE("COMP SPDA 0",COUNT($H$8:H223)))</f>
        <v>COMP SPDA 013</v>
      </c>
      <c r="C223" s="1257" t="s">
        <v>14050</v>
      </c>
      <c r="D223" s="1290"/>
      <c r="E223" s="1290"/>
      <c r="F223" s="1290"/>
      <c r="G223" s="705" t="s">
        <v>28</v>
      </c>
      <c r="H223" s="570">
        <f>G232</f>
        <v>19.63</v>
      </c>
      <c r="I223" s="465"/>
      <c r="J223" s="465"/>
    </row>
    <row r="224" spans="1:10" s="464" customFormat="1" ht="31.5" hidden="1">
      <c r="B224" s="469" t="s">
        <v>13463</v>
      </c>
      <c r="C224" s="470" t="s">
        <v>13464</v>
      </c>
      <c r="D224" s="470" t="s">
        <v>28</v>
      </c>
      <c r="E224" s="470" t="s">
        <v>13465</v>
      </c>
      <c r="F224" s="471" t="s">
        <v>13466</v>
      </c>
      <c r="G224" s="472" t="s">
        <v>13467</v>
      </c>
      <c r="I224" s="465"/>
      <c r="J224" s="465"/>
    </row>
    <row r="225" spans="1:10" s="465" customFormat="1" ht="15.75" hidden="1">
      <c r="A225" s="464"/>
      <c r="B225" s="1246" t="s">
        <v>13468</v>
      </c>
      <c r="C225" s="1247"/>
      <c r="D225" s="1247"/>
      <c r="E225" s="1247"/>
      <c r="F225" s="1247"/>
      <c r="G225" s="1248"/>
      <c r="H225" s="464"/>
    </row>
    <row r="226" spans="1:10" s="464" customFormat="1" ht="15" hidden="1">
      <c r="B226" s="775" t="s">
        <v>13497</v>
      </c>
      <c r="C226" s="849" t="str">
        <f>C234</f>
        <v>CARTUCHO PARA SOLDA EXOTÉRMICA N° 115</v>
      </c>
      <c r="D226" s="822" t="s">
        <v>28</v>
      </c>
      <c r="E226" s="800">
        <v>1</v>
      </c>
      <c r="F226" s="800">
        <f>D239</f>
        <v>10.119999999999999</v>
      </c>
      <c r="G226" s="825">
        <f>TRUNC(F226*E226,2)</f>
        <v>10.119999999999999</v>
      </c>
      <c r="I226" s="465"/>
      <c r="J226" s="465"/>
    </row>
    <row r="227" spans="1:10" s="464" customFormat="1" ht="15" hidden="1">
      <c r="B227" s="775" t="s">
        <v>13497</v>
      </c>
      <c r="C227" s="987" t="str">
        <f>C241</f>
        <v>MOLDE PARA SOLDA EXOTERMICA CABO-CHAPA 50 mm²</v>
      </c>
      <c r="D227" s="822" t="s">
        <v>28</v>
      </c>
      <c r="E227" s="824">
        <v>0.04</v>
      </c>
      <c r="F227" s="800">
        <f>D246</f>
        <v>156.52000000000001</v>
      </c>
      <c r="G227" s="825">
        <f>TRUNC(F227*E227,2)</f>
        <v>6.26</v>
      </c>
      <c r="I227" s="465"/>
      <c r="J227" s="465"/>
    </row>
    <row r="228" spans="1:10" s="464" customFormat="1" ht="15" hidden="1">
      <c r="B228" s="775" t="s">
        <v>13497</v>
      </c>
      <c r="C228" s="987" t="str">
        <f>C248</f>
        <v>PALITO IGNITOR PRA SOLDA EXOTERMICA</v>
      </c>
      <c r="D228" s="822" t="s">
        <v>28</v>
      </c>
      <c r="E228" s="824">
        <v>1</v>
      </c>
      <c r="F228" s="800">
        <f>D253</f>
        <v>0.34</v>
      </c>
      <c r="G228" s="825">
        <f>TRUNC(F228*E228,2)</f>
        <v>0.34</v>
      </c>
      <c r="I228" s="465"/>
      <c r="J228" s="465"/>
    </row>
    <row r="229" spans="1:10" s="465" customFormat="1" ht="15.75" hidden="1">
      <c r="A229" s="464"/>
      <c r="B229" s="1246" t="s">
        <v>13469</v>
      </c>
      <c r="C229" s="1247"/>
      <c r="D229" s="1247"/>
      <c r="E229" s="1247"/>
      <c r="F229" s="1247"/>
      <c r="G229" s="1248"/>
      <c r="H229" s="464"/>
    </row>
    <row r="230" spans="1:10" s="464" customFormat="1" ht="15.75" hidden="1">
      <c r="A230" s="473" t="s">
        <v>13459</v>
      </c>
      <c r="B230" s="751">
        <v>88264</v>
      </c>
      <c r="C230" s="475" t="s">
        <v>771</v>
      </c>
      <c r="D230" s="711" t="s">
        <v>753</v>
      </c>
      <c r="E230" s="752">
        <v>0.08</v>
      </c>
      <c r="F230" s="713">
        <v>20.52</v>
      </c>
      <c r="G230" s="750">
        <f>TRUNC(F230*E230,2)</f>
        <v>1.64</v>
      </c>
      <c r="I230" s="465"/>
      <c r="J230" s="465"/>
    </row>
    <row r="231" spans="1:10" s="464" customFormat="1" ht="16.5" hidden="1" thickBot="1">
      <c r="A231" s="473" t="s">
        <v>13459</v>
      </c>
      <c r="B231" s="753">
        <v>88316</v>
      </c>
      <c r="C231" s="484" t="s">
        <v>761</v>
      </c>
      <c r="D231" s="718" t="s">
        <v>753</v>
      </c>
      <c r="E231" s="754">
        <v>0.08</v>
      </c>
      <c r="F231" s="720">
        <v>15.91</v>
      </c>
      <c r="G231" s="755">
        <f>TRUNC(F231*E231,2)</f>
        <v>1.27</v>
      </c>
      <c r="I231" s="465"/>
      <c r="J231" s="465"/>
    </row>
    <row r="232" spans="1:10" s="464" customFormat="1" ht="16.5" hidden="1" thickBot="1">
      <c r="B232" s="1292" t="s">
        <v>14051</v>
      </c>
      <c r="C232" s="1292"/>
      <c r="D232" s="1292"/>
      <c r="E232" s="1293"/>
      <c r="F232" s="756" t="s">
        <v>22</v>
      </c>
      <c r="G232" s="757">
        <f>SUM(G225:G231)</f>
        <v>19.63</v>
      </c>
      <c r="I232" s="465"/>
      <c r="J232" s="465"/>
    </row>
    <row r="233" spans="1:10" s="464" customFormat="1" ht="15.75" hidden="1" thickBot="1">
      <c r="B233" s="961"/>
      <c r="C233" s="556"/>
      <c r="D233" s="556"/>
      <c r="E233" s="556"/>
      <c r="F233" s="556"/>
      <c r="G233" s="556"/>
      <c r="I233" s="465"/>
      <c r="J233" s="465"/>
    </row>
    <row r="234" spans="1:10" s="464" customFormat="1" ht="15.75" hidden="1">
      <c r="B234" s="572"/>
      <c r="C234" s="607" t="s">
        <v>14032</v>
      </c>
      <c r="D234" s="574"/>
      <c r="E234" s="575"/>
      <c r="F234" s="608"/>
      <c r="G234" s="577" t="s">
        <v>28</v>
      </c>
      <c r="H234" s="515" t="s">
        <v>13500</v>
      </c>
      <c r="I234" s="465"/>
      <c r="J234" s="465"/>
    </row>
    <row r="235" spans="1:10" s="464" customFormat="1" ht="31.5" hidden="1">
      <c r="B235" s="668" t="s">
        <v>13502</v>
      </c>
      <c r="C235" s="669" t="s">
        <v>13503</v>
      </c>
      <c r="D235" s="670" t="s">
        <v>13504</v>
      </c>
      <c r="E235" s="671" t="s">
        <v>13505</v>
      </c>
      <c r="F235" s="647" t="s">
        <v>13506</v>
      </c>
      <c r="G235" s="672" t="s">
        <v>13507</v>
      </c>
      <c r="I235" s="465"/>
      <c r="J235" s="465"/>
    </row>
    <row r="236" spans="1:10" s="464" customFormat="1" ht="15.75" hidden="1">
      <c r="B236" s="591">
        <v>43742</v>
      </c>
      <c r="C236" s="630" t="s">
        <v>13763</v>
      </c>
      <c r="D236" s="593">
        <v>8.44</v>
      </c>
      <c r="E236" s="789" t="s">
        <v>13764</v>
      </c>
      <c r="F236" s="595" t="s">
        <v>14025</v>
      </c>
      <c r="G236" s="790" t="s">
        <v>14026</v>
      </c>
      <c r="H236"/>
      <c r="I236" s="791">
        <f>B236+180</f>
        <v>43922</v>
      </c>
      <c r="J236" s="465"/>
    </row>
    <row r="237" spans="1:10" s="464" customFormat="1" ht="15.75" hidden="1">
      <c r="B237" s="597">
        <v>43741</v>
      </c>
      <c r="C237" s="630" t="s">
        <v>13772</v>
      </c>
      <c r="D237" s="593">
        <v>10.119999999999999</v>
      </c>
      <c r="E237" s="789" t="s">
        <v>13773</v>
      </c>
      <c r="F237" s="595" t="s">
        <v>14023</v>
      </c>
      <c r="G237" s="790" t="s">
        <v>14024</v>
      </c>
      <c r="H237"/>
      <c r="I237" s="791">
        <f>B237+180</f>
        <v>43921</v>
      </c>
      <c r="J237" s="465"/>
    </row>
    <row r="238" spans="1:10" s="464" customFormat="1" ht="16.5" hidden="1" thickBot="1">
      <c r="B238" s="597">
        <v>43741</v>
      </c>
      <c r="C238" s="630" t="s">
        <v>13924</v>
      </c>
      <c r="D238" s="593">
        <v>10.78</v>
      </c>
      <c r="E238" s="789" t="s">
        <v>13824</v>
      </c>
      <c r="F238" s="595" t="s">
        <v>14015</v>
      </c>
      <c r="G238" s="790" t="s">
        <v>13865</v>
      </c>
      <c r="H238"/>
      <c r="I238" s="792">
        <f>B238+180</f>
        <v>43921</v>
      </c>
      <c r="J238" s="465"/>
    </row>
    <row r="239" spans="1:10" s="464" customFormat="1" ht="16.5" hidden="1" thickBot="1">
      <c r="B239" s="598"/>
      <c r="C239" s="599" t="s">
        <v>13523</v>
      </c>
      <c r="D239" s="538">
        <f>IF(COUNT(D235:D238)=3,MEDIAN(D235:D238),SMALL(D236:D238,1))</f>
        <v>10.119999999999999</v>
      </c>
      <c r="E239" s="600"/>
      <c r="F239" s="620"/>
      <c r="G239" s="602"/>
      <c r="I239" s="465"/>
      <c r="J239" s="465"/>
    </row>
    <row r="240" spans="1:10" s="464" customFormat="1" ht="16.5" hidden="1" thickBot="1">
      <c r="B240" s="967"/>
      <c r="C240" s="968"/>
      <c r="D240" s="969"/>
      <c r="E240" s="970"/>
      <c r="F240" s="971"/>
      <c r="G240" s="972"/>
      <c r="I240" s="465"/>
      <c r="J240" s="465"/>
    </row>
    <row r="241" spans="2:10" s="464" customFormat="1" ht="15.75" hidden="1">
      <c r="B241" s="572"/>
      <c r="C241" s="979" t="s">
        <v>14052</v>
      </c>
      <c r="D241" s="574"/>
      <c r="E241" s="575"/>
      <c r="F241" s="608"/>
      <c r="G241" s="577" t="s">
        <v>28</v>
      </c>
      <c r="H241" s="515" t="s">
        <v>13500</v>
      </c>
      <c r="I241" s="465"/>
      <c r="J241" s="465"/>
    </row>
    <row r="242" spans="2:10" s="464" customFormat="1" ht="31.5" hidden="1">
      <c r="B242" s="668" t="s">
        <v>13502</v>
      </c>
      <c r="C242" s="669" t="s">
        <v>13503</v>
      </c>
      <c r="D242" s="670" t="s">
        <v>13504</v>
      </c>
      <c r="E242" s="671" t="s">
        <v>13505</v>
      </c>
      <c r="F242" s="647" t="s">
        <v>13506</v>
      </c>
      <c r="G242" s="672" t="s">
        <v>13507</v>
      </c>
      <c r="I242" s="465"/>
      <c r="J242" s="465"/>
    </row>
    <row r="243" spans="2:10" s="464" customFormat="1" ht="15.75" hidden="1">
      <c r="B243" s="597">
        <v>43741</v>
      </c>
      <c r="C243" s="612" t="s">
        <v>14053</v>
      </c>
      <c r="D243" s="613">
        <v>106.75</v>
      </c>
      <c r="E243" s="901" t="s">
        <v>13782</v>
      </c>
      <c r="F243" s="615" t="s">
        <v>13761</v>
      </c>
      <c r="G243" s="616" t="s">
        <v>13986</v>
      </c>
      <c r="H243"/>
      <c r="I243" s="791">
        <f>B243+180</f>
        <v>43921</v>
      </c>
      <c r="J243" s="465"/>
    </row>
    <row r="244" spans="2:10" s="464" customFormat="1" ht="15.75" hidden="1">
      <c r="B244" s="597">
        <v>43741</v>
      </c>
      <c r="C244" s="612" t="s">
        <v>14054</v>
      </c>
      <c r="D244" s="894">
        <v>272.47000000000003</v>
      </c>
      <c r="E244" s="988" t="s">
        <v>13975</v>
      </c>
      <c r="F244" s="615" t="s">
        <v>13976</v>
      </c>
      <c r="G244" s="616" t="s">
        <v>14055</v>
      </c>
      <c r="H244"/>
      <c r="I244" s="791">
        <f>B244+180</f>
        <v>43921</v>
      </c>
      <c r="J244" s="465"/>
    </row>
    <row r="245" spans="2:10" s="464" customFormat="1" ht="16.5" hidden="1" thickBot="1">
      <c r="B245" s="597">
        <v>43741</v>
      </c>
      <c r="C245" s="612" t="s">
        <v>13772</v>
      </c>
      <c r="D245" s="613">
        <v>156.52000000000001</v>
      </c>
      <c r="E245" s="988" t="s">
        <v>13929</v>
      </c>
      <c r="F245" s="615" t="s">
        <v>14056</v>
      </c>
      <c r="G245" s="616" t="s">
        <v>14057</v>
      </c>
      <c r="H245"/>
      <c r="I245" s="792">
        <f>B245+180</f>
        <v>43921</v>
      </c>
      <c r="J245" s="465"/>
    </row>
    <row r="246" spans="2:10" s="464" customFormat="1" ht="16.5" hidden="1" thickBot="1">
      <c r="B246" s="598"/>
      <c r="C246" s="599" t="s">
        <v>13523</v>
      </c>
      <c r="D246" s="538">
        <f>IF(COUNT(D242:D245)=3,MEDIAN(D242:D245),SMALL(D243:D245,1))</f>
        <v>156.52000000000001</v>
      </c>
      <c r="E246" s="600"/>
      <c r="F246" s="620"/>
      <c r="G246" s="602"/>
      <c r="I246" s="465"/>
      <c r="J246" s="465"/>
    </row>
    <row r="247" spans="2:10" s="464" customFormat="1" ht="15.75" hidden="1" thickBot="1">
      <c r="B247" s="1347"/>
      <c r="C247" s="1348"/>
      <c r="D247" s="1348"/>
      <c r="E247" s="1348"/>
      <c r="F247" s="1348"/>
      <c r="G247" s="1349"/>
      <c r="I247" s="465"/>
      <c r="J247" s="465"/>
    </row>
    <row r="248" spans="2:10" s="464" customFormat="1" ht="15.75" hidden="1">
      <c r="B248" s="572"/>
      <c r="C248" s="979" t="s">
        <v>14031</v>
      </c>
      <c r="D248" s="574"/>
      <c r="E248" s="575"/>
      <c r="F248" s="608"/>
      <c r="G248" s="577" t="s">
        <v>28</v>
      </c>
      <c r="H248" s="515" t="s">
        <v>13500</v>
      </c>
      <c r="I248" s="465"/>
      <c r="J248" s="465"/>
    </row>
    <row r="249" spans="2:10" s="464" customFormat="1" ht="31.5" hidden="1">
      <c r="B249" s="668" t="s">
        <v>13502</v>
      </c>
      <c r="C249" s="669" t="s">
        <v>13503</v>
      </c>
      <c r="D249" s="670" t="s">
        <v>13504</v>
      </c>
      <c r="E249" s="671" t="s">
        <v>13505</v>
      </c>
      <c r="F249" s="647" t="s">
        <v>13506</v>
      </c>
      <c r="G249" s="672" t="s">
        <v>13507</v>
      </c>
      <c r="I249" s="465"/>
      <c r="J249" s="465"/>
    </row>
    <row r="250" spans="2:10" s="464" customFormat="1" ht="15.75" hidden="1">
      <c r="B250" s="597">
        <v>43741</v>
      </c>
      <c r="C250" s="630" t="s">
        <v>13772</v>
      </c>
      <c r="D250" s="593">
        <v>0.34</v>
      </c>
      <c r="E250" s="789" t="s">
        <v>13773</v>
      </c>
      <c r="F250" s="595" t="s">
        <v>14023</v>
      </c>
      <c r="G250" s="790" t="s">
        <v>14024</v>
      </c>
      <c r="H250"/>
      <c r="I250" s="791">
        <f>B250+180</f>
        <v>43921</v>
      </c>
      <c r="J250" s="465"/>
    </row>
    <row r="251" spans="2:10" s="464" customFormat="1" ht="15.75" hidden="1">
      <c r="B251" s="980">
        <v>43747</v>
      </c>
      <c r="C251" s="612" t="s">
        <v>13830</v>
      </c>
      <c r="D251" s="894">
        <v>0.75</v>
      </c>
      <c r="E251" s="948" t="s">
        <v>13831</v>
      </c>
      <c r="F251" s="814" t="s">
        <v>13832</v>
      </c>
      <c r="G251" s="790" t="s">
        <v>14027</v>
      </c>
      <c r="H251"/>
      <c r="I251" s="791">
        <f>B251+180</f>
        <v>43927</v>
      </c>
      <c r="J251" s="465"/>
    </row>
    <row r="252" spans="2:10" s="464" customFormat="1" ht="16.5" hidden="1" thickBot="1">
      <c r="B252" s="597">
        <v>43741</v>
      </c>
      <c r="C252" s="630" t="s">
        <v>13924</v>
      </c>
      <c r="D252" s="593">
        <v>0.34</v>
      </c>
      <c r="E252" s="789" t="s">
        <v>13824</v>
      </c>
      <c r="F252" s="595" t="s">
        <v>14015</v>
      </c>
      <c r="G252" s="790" t="s">
        <v>13865</v>
      </c>
      <c r="H252"/>
      <c r="I252" s="792">
        <f>B252+180</f>
        <v>43921</v>
      </c>
      <c r="J252" s="465"/>
    </row>
    <row r="253" spans="2:10" s="464" customFormat="1" ht="16.5" hidden="1" thickBot="1">
      <c r="B253" s="598"/>
      <c r="C253" s="599" t="s">
        <v>13523</v>
      </c>
      <c r="D253" s="538">
        <f>IF(COUNT(D249:D252)=3,MEDIAN(D249:D252),SMALL(D250:D252,1))</f>
        <v>0.34</v>
      </c>
      <c r="E253" s="600"/>
      <c r="F253" s="620"/>
      <c r="G253" s="602"/>
      <c r="I253" s="465"/>
      <c r="J253" s="465"/>
    </row>
    <row r="254" spans="2:10" s="494" customFormat="1" ht="16.5" hidden="1" thickBot="1">
      <c r="B254" s="957"/>
      <c r="C254" s="795"/>
      <c r="D254" s="795"/>
      <c r="E254" s="795"/>
      <c r="F254" s="795"/>
      <c r="G254" s="795"/>
    </row>
    <row r="255" spans="2:10" s="464" customFormat="1" ht="21" hidden="1" customHeight="1">
      <c r="B255" s="704" t="str">
        <f>IF(COUNT($H$8:H255)&lt;10,CONCATENATE("COMP SPDA 00",COUNT($H$8:H255)),CONCATENATE("COMP SPDA 0",COUNT($H$8:H255)))</f>
        <v>COMP SPDA 014</v>
      </c>
      <c r="C255" s="1257" t="str">
        <f>CONCATENATE("FORNECIMENTO E INSTALAÇÃO DE ",C258)</f>
        <v xml:space="preserve">FORNECIMENTO E INSTALAÇÃO DE BARRA CHATA DE ALUMÍNIO 3/4" X 1/4" </v>
      </c>
      <c r="D255" s="1290"/>
      <c r="E255" s="1290"/>
      <c r="F255" s="1290"/>
      <c r="G255" s="705" t="s">
        <v>35</v>
      </c>
      <c r="H255" s="570">
        <f>G262</f>
        <v>23.65</v>
      </c>
      <c r="I255" s="465"/>
      <c r="J255" s="465"/>
    </row>
    <row r="256" spans="2:10" s="464" customFormat="1" ht="31.5" hidden="1">
      <c r="B256" s="469" t="s">
        <v>13463</v>
      </c>
      <c r="C256" s="470" t="s">
        <v>13464</v>
      </c>
      <c r="D256" s="470" t="s">
        <v>28</v>
      </c>
      <c r="E256" s="470" t="s">
        <v>13465</v>
      </c>
      <c r="F256" s="471" t="s">
        <v>13466</v>
      </c>
      <c r="G256" s="472" t="s">
        <v>13467</v>
      </c>
      <c r="I256" s="465"/>
      <c r="J256" s="465"/>
    </row>
    <row r="257" spans="1:10" s="464" customFormat="1" ht="15.75" hidden="1">
      <c r="B257" s="1246" t="s">
        <v>13468</v>
      </c>
      <c r="C257" s="1247"/>
      <c r="D257" s="1247"/>
      <c r="E257" s="1247"/>
      <c r="F257" s="1247"/>
      <c r="G257" s="1248"/>
      <c r="I257" s="465"/>
      <c r="J257" s="465"/>
    </row>
    <row r="258" spans="1:10" s="464" customFormat="1" ht="15" hidden="1">
      <c r="B258" s="775" t="s">
        <v>13497</v>
      </c>
      <c r="C258" s="849" t="str">
        <f>C265</f>
        <v xml:space="preserve">BARRA CHATA DE ALUMÍNIO 3/4" X 1/4" </v>
      </c>
      <c r="D258" s="822" t="s">
        <v>35</v>
      </c>
      <c r="E258" s="800">
        <v>1</v>
      </c>
      <c r="F258" s="800">
        <f>D277</f>
        <v>11.663333333333334</v>
      </c>
      <c r="G258" s="825">
        <f>TRUNC(F258*E258,2)</f>
        <v>11.66</v>
      </c>
      <c r="I258" s="465"/>
      <c r="J258" s="465"/>
    </row>
    <row r="259" spans="1:10" s="464" customFormat="1" ht="15.75" hidden="1">
      <c r="B259" s="1246" t="s">
        <v>13469</v>
      </c>
      <c r="C259" s="1247"/>
      <c r="D259" s="1247"/>
      <c r="E259" s="1247"/>
      <c r="F259" s="1247"/>
      <c r="G259" s="1248"/>
      <c r="I259" s="465"/>
      <c r="J259" s="465"/>
    </row>
    <row r="260" spans="1:10" s="465" customFormat="1" ht="15.75" hidden="1">
      <c r="A260" s="473" t="s">
        <v>13459</v>
      </c>
      <c r="B260" s="751">
        <v>88264</v>
      </c>
      <c r="C260" s="475" t="s">
        <v>771</v>
      </c>
      <c r="D260" s="711" t="s">
        <v>753</v>
      </c>
      <c r="E260" s="713">
        <v>0.33</v>
      </c>
      <c r="F260" s="713">
        <v>20.52</v>
      </c>
      <c r="G260" s="750">
        <f>TRUNC(F260*E260,2)</f>
        <v>6.77</v>
      </c>
      <c r="H260" s="464"/>
    </row>
    <row r="261" spans="1:10" s="465" customFormat="1" ht="16.5" hidden="1" thickBot="1">
      <c r="A261" s="473" t="s">
        <v>13459</v>
      </c>
      <c r="B261" s="753">
        <v>88247</v>
      </c>
      <c r="C261" s="484" t="s">
        <v>924</v>
      </c>
      <c r="D261" s="718" t="s">
        <v>753</v>
      </c>
      <c r="E261" s="720">
        <v>0.33</v>
      </c>
      <c r="F261" s="720">
        <v>15.84</v>
      </c>
      <c r="G261" s="755">
        <f>TRUNC(F261*E261,2)</f>
        <v>5.22</v>
      </c>
      <c r="H261" s="464"/>
    </row>
    <row r="262" spans="1:10" s="465" customFormat="1" ht="16.5" hidden="1" thickBot="1">
      <c r="A262" s="464"/>
      <c r="B262" s="1265" t="s">
        <v>14058</v>
      </c>
      <c r="C262" s="1265"/>
      <c r="D262" s="1265"/>
      <c r="E262" s="1265"/>
      <c r="F262" s="756" t="s">
        <v>22</v>
      </c>
      <c r="G262" s="757">
        <f>SUM(G257:G261)</f>
        <v>23.65</v>
      </c>
      <c r="H262" s="464"/>
    </row>
    <row r="263" spans="1:10" s="465" customFormat="1" ht="36.75" hidden="1" customHeight="1">
      <c r="A263" s="464"/>
      <c r="B263" s="1265"/>
      <c r="C263" s="1265"/>
      <c r="D263" s="1265"/>
      <c r="E263" s="1265"/>
      <c r="F263" s="830"/>
      <c r="G263" s="830"/>
      <c r="H263" s="464"/>
    </row>
    <row r="264" spans="1:10" s="465" customFormat="1" ht="15.75" hidden="1" thickBot="1">
      <c r="A264" s="464"/>
      <c r="B264" s="767"/>
      <c r="C264" s="767"/>
      <c r="D264" s="767"/>
      <c r="E264" s="767"/>
      <c r="F264" s="830"/>
      <c r="G264" s="830"/>
      <c r="H264" s="464"/>
    </row>
    <row r="265" spans="1:10" s="525" customFormat="1" ht="15.75" hidden="1">
      <c r="A265" s="696"/>
      <c r="B265" s="572"/>
      <c r="C265" s="979" t="s">
        <v>14059</v>
      </c>
      <c r="D265" s="574"/>
      <c r="E265" s="575"/>
      <c r="F265" s="608"/>
      <c r="G265" s="577" t="s">
        <v>35</v>
      </c>
      <c r="H265" s="515" t="s">
        <v>13500</v>
      </c>
    </row>
    <row r="266" spans="1:10" s="465" customFormat="1" ht="31.5" hidden="1">
      <c r="A266" s="464"/>
      <c r="B266" s="668" t="s">
        <v>13502</v>
      </c>
      <c r="C266" s="669" t="s">
        <v>13503</v>
      </c>
      <c r="D266" s="670" t="s">
        <v>13504</v>
      </c>
      <c r="E266" s="671" t="s">
        <v>13505</v>
      </c>
      <c r="F266" s="647" t="s">
        <v>13506</v>
      </c>
      <c r="G266" s="672" t="s">
        <v>13507</v>
      </c>
      <c r="H266" s="464"/>
    </row>
    <row r="267" spans="1:10" s="465" customFormat="1" ht="15.75" hidden="1">
      <c r="A267" s="464"/>
      <c r="B267" s="597">
        <v>43741</v>
      </c>
      <c r="C267" s="630" t="s">
        <v>13772</v>
      </c>
      <c r="D267" s="593">
        <v>109.31</v>
      </c>
      <c r="E267" s="789" t="s">
        <v>13773</v>
      </c>
      <c r="F267" s="595" t="s">
        <v>14023</v>
      </c>
      <c r="G267" s="790" t="s">
        <v>14024</v>
      </c>
      <c r="H267"/>
      <c r="I267" s="791">
        <f>B267+180</f>
        <v>43921</v>
      </c>
    </row>
    <row r="268" spans="1:10" s="465" customFormat="1" ht="15.75" hidden="1">
      <c r="A268" s="464"/>
      <c r="B268" s="597">
        <v>43754</v>
      </c>
      <c r="C268" s="592" t="s">
        <v>14016</v>
      </c>
      <c r="D268" s="593">
        <v>34.99</v>
      </c>
      <c r="E268" s="652" t="s">
        <v>14017</v>
      </c>
      <c r="F268" s="814" t="s">
        <v>14018</v>
      </c>
      <c r="G268" s="790" t="s">
        <v>14019</v>
      </c>
      <c r="H268"/>
      <c r="I268" s="791">
        <f>B268+180</f>
        <v>43934</v>
      </c>
    </row>
    <row r="269" spans="1:10" s="465" customFormat="1" ht="16.5" hidden="1" thickBot="1">
      <c r="A269" s="464"/>
      <c r="B269" s="591">
        <v>43747</v>
      </c>
      <c r="C269" s="630" t="s">
        <v>13781</v>
      </c>
      <c r="D269" s="593">
        <v>63</v>
      </c>
      <c r="E269" s="789" t="s">
        <v>13782</v>
      </c>
      <c r="F269" s="595" t="s">
        <v>13761</v>
      </c>
      <c r="G269" s="790" t="s">
        <v>14020</v>
      </c>
      <c r="H269"/>
      <c r="I269" s="792">
        <f>B269+180</f>
        <v>43927</v>
      </c>
    </row>
    <row r="270" spans="1:10" s="465" customFormat="1" ht="16.5" hidden="1" thickBot="1">
      <c r="A270" s="464"/>
      <c r="B270" s="598"/>
      <c r="C270" s="599" t="s">
        <v>13523</v>
      </c>
      <c r="D270" s="538">
        <f>IF(COUNT(D266:D269)=3,MEDIAN(D266:D269),SMALL(D267:D269,1))</f>
        <v>63</v>
      </c>
      <c r="E270" s="600"/>
      <c r="F270" s="620"/>
      <c r="G270" s="602"/>
      <c r="H270" s="464"/>
    </row>
    <row r="271" spans="1:10" s="465" customFormat="1" ht="15.75" hidden="1" thickBot="1">
      <c r="A271" s="464"/>
      <c r="B271" s="767"/>
      <c r="C271" s="767"/>
      <c r="D271" s="767"/>
      <c r="E271" s="767"/>
      <c r="F271" s="830"/>
      <c r="G271" s="830"/>
      <c r="H271" s="464"/>
    </row>
    <row r="272" spans="1:10" s="525" customFormat="1" ht="15.75" hidden="1">
      <c r="A272" s="696"/>
      <c r="B272" s="572"/>
      <c r="C272" s="979" t="s">
        <v>14060</v>
      </c>
      <c r="D272" s="574"/>
      <c r="E272" s="575"/>
      <c r="F272" s="608"/>
      <c r="G272" s="577" t="s">
        <v>35</v>
      </c>
      <c r="H272" s="515" t="s">
        <v>13500</v>
      </c>
    </row>
    <row r="273" spans="1:10" s="465" customFormat="1" ht="31.5" hidden="1">
      <c r="A273" s="464"/>
      <c r="B273" s="668" t="s">
        <v>13502</v>
      </c>
      <c r="C273" s="669" t="s">
        <v>13503</v>
      </c>
      <c r="D273" s="670" t="s">
        <v>13504</v>
      </c>
      <c r="E273" s="671" t="s">
        <v>13505</v>
      </c>
      <c r="F273" s="647" t="s">
        <v>13506</v>
      </c>
      <c r="G273" s="672" t="s">
        <v>13507</v>
      </c>
      <c r="H273" s="464"/>
    </row>
    <row r="274" spans="1:10" s="465" customFormat="1" ht="15.75" hidden="1">
      <c r="A274" s="464"/>
      <c r="B274" s="597">
        <f>B267</f>
        <v>43741</v>
      </c>
      <c r="C274" s="630" t="str">
        <f>C267</f>
        <v xml:space="preserve">ELETRICA PARANA </v>
      </c>
      <c r="D274" s="593">
        <f>D267/6</f>
        <v>18.218333333333334</v>
      </c>
      <c r="E274" s="901" t="str">
        <f t="shared" ref="E274:G275" si="0">E267</f>
        <v>08.139.615/0002-96</v>
      </c>
      <c r="F274" s="595" t="str">
        <f t="shared" si="0"/>
        <v>(65)3046-4500</v>
      </c>
      <c r="G274" s="790" t="str">
        <f t="shared" si="0"/>
        <v>WYLLIAM</v>
      </c>
      <c r="H274"/>
      <c r="I274" s="791">
        <f>B274+180</f>
        <v>43921</v>
      </c>
    </row>
    <row r="275" spans="1:10" s="465" customFormat="1" ht="15.75" hidden="1">
      <c r="A275" s="464"/>
      <c r="B275" s="597">
        <f>B268</f>
        <v>43754</v>
      </c>
      <c r="C275" s="592" t="str">
        <f>C268</f>
        <v>ELÉTRICA E HIDRÁULICA</v>
      </c>
      <c r="D275" s="593">
        <f>D268/3</f>
        <v>11.663333333333334</v>
      </c>
      <c r="E275" s="652" t="str">
        <f t="shared" si="0"/>
        <v>15.987.913/0001-10</v>
      </c>
      <c r="F275" s="814" t="str">
        <f t="shared" si="0"/>
        <v>(65)3321-0009</v>
      </c>
      <c r="G275" s="790" t="str">
        <f t="shared" si="0"/>
        <v>WEMERSON</v>
      </c>
      <c r="H275"/>
      <c r="I275" s="791">
        <f>B275+180</f>
        <v>43934</v>
      </c>
    </row>
    <row r="276" spans="1:10" s="465" customFormat="1" ht="16.5" hidden="1" thickBot="1">
      <c r="A276" s="464"/>
      <c r="B276" s="591">
        <f>B269</f>
        <v>43747</v>
      </c>
      <c r="C276" s="630" t="s">
        <v>13781</v>
      </c>
      <c r="D276" s="593">
        <f>D269/6</f>
        <v>10.5</v>
      </c>
      <c r="E276" s="789" t="s">
        <v>13782</v>
      </c>
      <c r="F276" s="595" t="s">
        <v>13761</v>
      </c>
      <c r="G276" s="790" t="str">
        <f>G269</f>
        <v>ODENIR</v>
      </c>
      <c r="H276"/>
      <c r="I276" s="792">
        <f>B276+180</f>
        <v>43927</v>
      </c>
    </row>
    <row r="277" spans="1:10" s="465" customFormat="1" ht="16.5" hidden="1" thickBot="1">
      <c r="A277" s="464"/>
      <c r="B277" s="598"/>
      <c r="C277" s="599" t="s">
        <v>13523</v>
      </c>
      <c r="D277" s="538">
        <f>IF(COUNT(D273:D276)=3,MEDIAN(D273:D276),SMALL(D274:D276,1))</f>
        <v>11.663333333333334</v>
      </c>
      <c r="E277" s="600"/>
      <c r="F277" s="620"/>
      <c r="G277" s="602"/>
      <c r="H277"/>
    </row>
    <row r="278" spans="1:10" s="494" customFormat="1" ht="16.5" hidden="1" thickBot="1">
      <c r="B278" s="957"/>
      <c r="C278" s="795"/>
      <c r="D278" s="795"/>
      <c r="E278" s="795"/>
      <c r="F278" s="795"/>
      <c r="G278" s="795"/>
    </row>
    <row r="279" spans="1:10" s="465" customFormat="1" ht="17.25" customHeight="1">
      <c r="A279" s="464"/>
      <c r="B279" s="704" t="str">
        <f>IF(COUNT($H$8:H279)&lt;10,CONCATENATE("COMP SPDA 00",COUNT($H$8:H279)),CONCATENATE("COMP SPDA 0",COUNT($H$8:H279)))</f>
        <v>COMP SPDA 015</v>
      </c>
      <c r="C279" s="1257" t="s">
        <v>12993</v>
      </c>
      <c r="D279" s="1225"/>
      <c r="E279" s="1225"/>
      <c r="F279" s="1225"/>
      <c r="G279" s="705" t="s">
        <v>28</v>
      </c>
      <c r="H279" s="570">
        <f>G288</f>
        <v>15.47</v>
      </c>
    </row>
    <row r="280" spans="1:10" s="465" customFormat="1" ht="31.5">
      <c r="A280" s="464"/>
      <c r="B280" s="469" t="s">
        <v>13463</v>
      </c>
      <c r="C280" s="707" t="s">
        <v>13464</v>
      </c>
      <c r="D280" s="470" t="s">
        <v>28</v>
      </c>
      <c r="E280" s="707" t="s">
        <v>13465</v>
      </c>
      <c r="F280" s="293" t="s">
        <v>13466</v>
      </c>
      <c r="G280" s="708" t="s">
        <v>13467</v>
      </c>
      <c r="H280" s="464"/>
    </row>
    <row r="281" spans="1:10" s="464" customFormat="1" ht="15.75">
      <c r="B281" s="1246" t="s">
        <v>13468</v>
      </c>
      <c r="C281" s="1247"/>
      <c r="D281" s="1247"/>
      <c r="E281" s="1247"/>
      <c r="F281" s="1247"/>
      <c r="G281" s="1248"/>
      <c r="I281" s="465"/>
      <c r="J281" s="465"/>
    </row>
    <row r="282" spans="1:10" s="465" customFormat="1" ht="15">
      <c r="A282" s="464"/>
      <c r="B282" s="951" t="s">
        <v>13497</v>
      </c>
      <c r="C282" s="863" t="str">
        <f>C290</f>
        <v>CARTUCHO PARA SOLDA EXOTÉRMICA N° 90</v>
      </c>
      <c r="D282" s="864" t="s">
        <v>28</v>
      </c>
      <c r="E282" s="815">
        <v>1</v>
      </c>
      <c r="F282" s="815">
        <f>D295</f>
        <v>8.3000000000000007</v>
      </c>
      <c r="G282" s="845">
        <f>TRUNC(F282*E282,2)</f>
        <v>8.3000000000000007</v>
      </c>
      <c r="H282" s="464"/>
    </row>
    <row r="283" spans="1:10" s="465" customFormat="1" ht="15">
      <c r="A283" s="464"/>
      <c r="B283" s="951" t="s">
        <v>13497</v>
      </c>
      <c r="C283" s="863" t="str">
        <f>C297</f>
        <v>MOLDE PARA SOLDA EXOTÉRMICA, CABO-CABO TIPO "X" ,35mm²</v>
      </c>
      <c r="D283" s="864" t="s">
        <v>28</v>
      </c>
      <c r="E283" s="855">
        <v>0.04</v>
      </c>
      <c r="F283" s="815">
        <f>D302</f>
        <v>98.19</v>
      </c>
      <c r="G283" s="845">
        <f>TRUNC(F283*E283,2)</f>
        <v>3.92</v>
      </c>
      <c r="H283" s="464"/>
    </row>
    <row r="284" spans="1:10" s="465" customFormat="1" ht="15">
      <c r="A284" s="464"/>
      <c r="B284" s="951" t="s">
        <v>13497</v>
      </c>
      <c r="C284" s="863" t="str">
        <f>C304</f>
        <v>PALITO IGNITOR PRA SOLDA EXOTERMICA</v>
      </c>
      <c r="D284" s="864" t="s">
        <v>28</v>
      </c>
      <c r="E284" s="855">
        <v>1</v>
      </c>
      <c r="F284" s="815">
        <f>D309</f>
        <v>0.34</v>
      </c>
      <c r="G284" s="845">
        <f>TRUNC(F284*E284,2)</f>
        <v>0.34</v>
      </c>
      <c r="H284" s="464"/>
    </row>
    <row r="285" spans="1:10" s="464" customFormat="1" ht="15.75">
      <c r="B285" s="1246" t="s">
        <v>13469</v>
      </c>
      <c r="C285" s="1247"/>
      <c r="D285" s="1247"/>
      <c r="E285" s="1247"/>
      <c r="F285" s="1247"/>
      <c r="G285" s="1248"/>
      <c r="I285" s="465"/>
      <c r="J285" s="465"/>
    </row>
    <row r="286" spans="1:10" s="465" customFormat="1" ht="15.75">
      <c r="A286" s="473" t="s">
        <v>13459</v>
      </c>
      <c r="B286" s="751">
        <v>88264</v>
      </c>
      <c r="C286" s="475" t="s">
        <v>771</v>
      </c>
      <c r="D286" s="711" t="s">
        <v>753</v>
      </c>
      <c r="E286" s="752">
        <v>0.08</v>
      </c>
      <c r="F286" s="713">
        <v>20.52</v>
      </c>
      <c r="G286" s="750">
        <f>TRUNC(F286*E286,2)</f>
        <v>1.64</v>
      </c>
      <c r="H286" s="464"/>
    </row>
    <row r="287" spans="1:10" s="465" customFormat="1" ht="16.5" thickBot="1">
      <c r="A287" s="473" t="s">
        <v>13459</v>
      </c>
      <c r="B287" s="753">
        <v>88316</v>
      </c>
      <c r="C287" s="484" t="s">
        <v>761</v>
      </c>
      <c r="D287" s="718" t="s">
        <v>753</v>
      </c>
      <c r="E287" s="754">
        <v>0.08</v>
      </c>
      <c r="F287" s="720">
        <v>15.91</v>
      </c>
      <c r="G287" s="755">
        <f>TRUNC(F287*E287,2)</f>
        <v>1.27</v>
      </c>
      <c r="H287" s="464"/>
    </row>
    <row r="288" spans="1:10" s="465" customFormat="1" ht="16.5" thickBot="1">
      <c r="A288" s="464"/>
      <c r="B288" s="1287" t="s">
        <v>14061</v>
      </c>
      <c r="C288" s="1287"/>
      <c r="D288" s="1287"/>
      <c r="E288" s="1287"/>
      <c r="F288" s="756" t="s">
        <v>22</v>
      </c>
      <c r="G288" s="757">
        <f>SUM(G281:G287)</f>
        <v>15.47</v>
      </c>
      <c r="H288" s="464"/>
    </row>
    <row r="289" spans="1:9" s="465" customFormat="1" ht="20.25" customHeight="1" thickBot="1">
      <c r="A289" s="464"/>
      <c r="B289" s="1287"/>
      <c r="C289" s="1287"/>
      <c r="D289" s="1287"/>
      <c r="E289" s="1287"/>
      <c r="F289" s="989"/>
      <c r="G289" s="989"/>
      <c r="H289" s="464"/>
    </row>
    <row r="290" spans="1:9" s="465" customFormat="1" ht="15.75">
      <c r="A290" s="464"/>
      <c r="B290" s="962"/>
      <c r="C290" s="607" t="s">
        <v>14029</v>
      </c>
      <c r="D290" s="963"/>
      <c r="E290" s="964"/>
      <c r="F290" s="965"/>
      <c r="G290" s="577" t="s">
        <v>28</v>
      </c>
      <c r="H290" s="515" t="s">
        <v>13500</v>
      </c>
    </row>
    <row r="291" spans="1:9" s="465" customFormat="1" ht="31.5">
      <c r="A291" s="464"/>
      <c r="B291" s="668" t="s">
        <v>13502</v>
      </c>
      <c r="C291" s="669" t="s">
        <v>13503</v>
      </c>
      <c r="D291" s="670" t="s">
        <v>13504</v>
      </c>
      <c r="E291" s="671" t="s">
        <v>13505</v>
      </c>
      <c r="F291" s="647" t="s">
        <v>13506</v>
      </c>
      <c r="G291" s="672" t="s">
        <v>13507</v>
      </c>
      <c r="H291" s="464"/>
    </row>
    <row r="292" spans="1:9" s="465" customFormat="1" ht="15.75">
      <c r="A292" s="464"/>
      <c r="B292" s="591">
        <v>43742</v>
      </c>
      <c r="C292" s="630" t="s">
        <v>13763</v>
      </c>
      <c r="D292" s="593">
        <v>7.56</v>
      </c>
      <c r="E292" s="789" t="s">
        <v>13764</v>
      </c>
      <c r="F292" s="595" t="s">
        <v>14025</v>
      </c>
      <c r="G292" s="790" t="s">
        <v>14026</v>
      </c>
      <c r="H292"/>
      <c r="I292" s="791">
        <f>B292+180</f>
        <v>43922</v>
      </c>
    </row>
    <row r="293" spans="1:9" s="465" customFormat="1" ht="15.75">
      <c r="A293" s="464"/>
      <c r="B293" s="597">
        <v>43741</v>
      </c>
      <c r="C293" s="630" t="s">
        <v>13772</v>
      </c>
      <c r="D293" s="593">
        <v>9.43</v>
      </c>
      <c r="E293" s="789" t="s">
        <v>13773</v>
      </c>
      <c r="F293" s="595" t="s">
        <v>14023</v>
      </c>
      <c r="G293" s="790" t="s">
        <v>14024</v>
      </c>
      <c r="H293"/>
      <c r="I293" s="791">
        <f>B293+180</f>
        <v>43921</v>
      </c>
    </row>
    <row r="294" spans="1:9" s="465" customFormat="1" ht="16.5" thickBot="1">
      <c r="A294" s="464"/>
      <c r="B294" s="597">
        <v>43741</v>
      </c>
      <c r="C294" s="630" t="s">
        <v>13924</v>
      </c>
      <c r="D294" s="593">
        <v>8.3000000000000007</v>
      </c>
      <c r="E294" s="789" t="s">
        <v>13824</v>
      </c>
      <c r="F294" s="595" t="s">
        <v>14015</v>
      </c>
      <c r="G294" s="790" t="s">
        <v>13865</v>
      </c>
      <c r="H294"/>
      <c r="I294" s="792">
        <f>B294+180</f>
        <v>43921</v>
      </c>
    </row>
    <row r="295" spans="1:9" s="465" customFormat="1" ht="16.5" thickBot="1">
      <c r="A295" s="464"/>
      <c r="B295" s="598"/>
      <c r="C295" s="599" t="s">
        <v>13523</v>
      </c>
      <c r="D295" s="538">
        <f>IF(COUNT(D291:D294)=3,MEDIAN(D291:D294),SMALL(D292:D294,1))</f>
        <v>8.3000000000000007</v>
      </c>
      <c r="E295" s="600"/>
      <c r="F295" s="620"/>
      <c r="G295" s="966"/>
      <c r="H295" s="464"/>
    </row>
    <row r="296" spans="1:9" s="465" customFormat="1" ht="16.5" thickBot="1">
      <c r="A296" s="464"/>
      <c r="B296" s="967"/>
      <c r="C296" s="968"/>
      <c r="D296" s="969"/>
      <c r="E296" s="970"/>
      <c r="F296" s="971"/>
      <c r="G296" s="972"/>
      <c r="H296" s="464"/>
    </row>
    <row r="297" spans="1:9" s="465" customFormat="1" ht="15.75">
      <c r="A297" s="464"/>
      <c r="B297" s="572"/>
      <c r="C297" s="979" t="s">
        <v>14062</v>
      </c>
      <c r="D297" s="574"/>
      <c r="E297" s="575"/>
      <c r="F297" s="608"/>
      <c r="G297" s="577" t="s">
        <v>28</v>
      </c>
      <c r="H297" s="515" t="s">
        <v>13500</v>
      </c>
    </row>
    <row r="298" spans="1:9" s="465" customFormat="1" ht="31.5">
      <c r="A298" s="464"/>
      <c r="B298" s="668" t="s">
        <v>13502</v>
      </c>
      <c r="C298" s="669" t="s">
        <v>13503</v>
      </c>
      <c r="D298" s="670" t="s">
        <v>13504</v>
      </c>
      <c r="E298" s="671" t="s">
        <v>13505</v>
      </c>
      <c r="F298" s="647" t="s">
        <v>13506</v>
      </c>
      <c r="G298" s="672" t="s">
        <v>13507</v>
      </c>
      <c r="H298" s="464"/>
    </row>
    <row r="299" spans="1:9" s="465" customFormat="1" ht="15.75">
      <c r="A299" s="464"/>
      <c r="B299" s="597">
        <v>43741</v>
      </c>
      <c r="C299" s="630" t="s">
        <v>13924</v>
      </c>
      <c r="D299" s="593">
        <v>140.91999999999999</v>
      </c>
      <c r="E299" s="789" t="s">
        <v>13824</v>
      </c>
      <c r="F299" s="595" t="s">
        <v>14015</v>
      </c>
      <c r="G299" s="790" t="s">
        <v>13865</v>
      </c>
      <c r="H299"/>
      <c r="I299" s="791">
        <f>B299+180</f>
        <v>43921</v>
      </c>
    </row>
    <row r="300" spans="1:9" s="465" customFormat="1" ht="15.75">
      <c r="A300" s="464"/>
      <c r="B300" s="591">
        <v>43742</v>
      </c>
      <c r="C300" s="630" t="s">
        <v>13763</v>
      </c>
      <c r="D300" s="593">
        <v>98.19</v>
      </c>
      <c r="E300" s="789" t="s">
        <v>13764</v>
      </c>
      <c r="F300" s="595" t="s">
        <v>14025</v>
      </c>
      <c r="G300" s="790" t="s">
        <v>14026</v>
      </c>
      <c r="H300"/>
      <c r="I300" s="791">
        <f>B300+180</f>
        <v>43922</v>
      </c>
    </row>
    <row r="301" spans="1:9" s="465" customFormat="1" ht="16.5" thickBot="1">
      <c r="A301" s="464"/>
      <c r="B301" s="597">
        <v>43741</v>
      </c>
      <c r="C301" s="630" t="s">
        <v>13772</v>
      </c>
      <c r="D301" s="593">
        <v>72.86</v>
      </c>
      <c r="E301" s="789" t="s">
        <v>13773</v>
      </c>
      <c r="F301" s="595" t="s">
        <v>14023</v>
      </c>
      <c r="G301" s="790" t="s">
        <v>14024</v>
      </c>
      <c r="H301"/>
      <c r="I301" s="792">
        <f>B301+180</f>
        <v>43921</v>
      </c>
    </row>
    <row r="302" spans="1:9" s="465" customFormat="1" ht="16.5" thickBot="1">
      <c r="A302" s="464"/>
      <c r="B302" s="598"/>
      <c r="C302" s="599" t="s">
        <v>13523</v>
      </c>
      <c r="D302" s="538">
        <f>IF(COUNT(D298:D301)=3,MEDIAN(D298:D301),SMALL(D299:D301,1))</f>
        <v>98.19</v>
      </c>
      <c r="E302" s="600"/>
      <c r="F302" s="620"/>
      <c r="G302" s="602"/>
      <c r="H302" s="464"/>
    </row>
    <row r="303" spans="1:9" s="465" customFormat="1" ht="15.75" thickBot="1">
      <c r="A303" s="464"/>
      <c r="B303" s="1347"/>
      <c r="C303" s="1348"/>
      <c r="D303" s="1348"/>
      <c r="E303" s="1348"/>
      <c r="F303" s="1348"/>
      <c r="G303" s="1349"/>
      <c r="H303" s="464"/>
    </row>
    <row r="304" spans="1:9" s="465" customFormat="1" ht="15.75">
      <c r="A304" s="464"/>
      <c r="B304" s="572"/>
      <c r="C304" s="979" t="s">
        <v>14031</v>
      </c>
      <c r="D304" s="574"/>
      <c r="E304" s="575"/>
      <c r="F304" s="608"/>
      <c r="G304" s="577" t="s">
        <v>28</v>
      </c>
      <c r="H304" s="515" t="s">
        <v>13500</v>
      </c>
    </row>
    <row r="305" spans="1:9" s="465" customFormat="1" ht="31.5">
      <c r="A305" s="464"/>
      <c r="B305" s="668" t="s">
        <v>13502</v>
      </c>
      <c r="C305" s="669" t="s">
        <v>13503</v>
      </c>
      <c r="D305" s="670" t="s">
        <v>13504</v>
      </c>
      <c r="E305" s="671" t="s">
        <v>13505</v>
      </c>
      <c r="F305" s="647" t="s">
        <v>13506</v>
      </c>
      <c r="G305" s="672" t="s">
        <v>13507</v>
      </c>
      <c r="H305" s="464"/>
    </row>
    <row r="306" spans="1:9" s="465" customFormat="1" ht="15.75">
      <c r="A306" s="464"/>
      <c r="B306" s="597">
        <v>43741</v>
      </c>
      <c r="C306" s="630" t="s">
        <v>13772</v>
      </c>
      <c r="D306" s="593">
        <v>0.34</v>
      </c>
      <c r="E306" s="789" t="s">
        <v>13773</v>
      </c>
      <c r="F306" s="595" t="s">
        <v>14023</v>
      </c>
      <c r="G306" s="790" t="s">
        <v>14024</v>
      </c>
      <c r="H306"/>
      <c r="I306" s="791">
        <f>B306+180</f>
        <v>43921</v>
      </c>
    </row>
    <row r="307" spans="1:9" s="465" customFormat="1" ht="15.75">
      <c r="A307" s="464"/>
      <c r="B307" s="980">
        <v>43747</v>
      </c>
      <c r="C307" s="612" t="s">
        <v>13830</v>
      </c>
      <c r="D307" s="894">
        <v>0.75</v>
      </c>
      <c r="E307" s="948" t="s">
        <v>13831</v>
      </c>
      <c r="F307" s="814" t="s">
        <v>13832</v>
      </c>
      <c r="G307" s="790" t="s">
        <v>14027</v>
      </c>
      <c r="H307"/>
      <c r="I307" s="791">
        <f>B307+180</f>
        <v>43927</v>
      </c>
    </row>
    <row r="308" spans="1:9" s="465" customFormat="1" ht="16.5" thickBot="1">
      <c r="A308" s="464"/>
      <c r="B308" s="597">
        <v>43741</v>
      </c>
      <c r="C308" s="630" t="s">
        <v>13924</v>
      </c>
      <c r="D308" s="593">
        <v>0.34</v>
      </c>
      <c r="E308" s="789" t="s">
        <v>13824</v>
      </c>
      <c r="F308" s="595" t="s">
        <v>14015</v>
      </c>
      <c r="G308" s="790" t="s">
        <v>13865</v>
      </c>
      <c r="H308"/>
      <c r="I308" s="792">
        <f>B308+180</f>
        <v>43921</v>
      </c>
    </row>
    <row r="309" spans="1:9" s="465" customFormat="1" ht="16.5" thickBot="1">
      <c r="A309" s="464"/>
      <c r="B309" s="598"/>
      <c r="C309" s="599" t="s">
        <v>13523</v>
      </c>
      <c r="D309" s="538">
        <f>IF(COUNT(D305:D308)=3,MEDIAN(D305:D308),SMALL(D306:D308,1))</f>
        <v>0.34</v>
      </c>
      <c r="E309" s="600"/>
      <c r="F309" s="620"/>
      <c r="G309" s="602"/>
      <c r="H309" s="464"/>
    </row>
    <row r="310" spans="1:9" s="494" customFormat="1" ht="16.5" thickBot="1">
      <c r="B310" s="957"/>
      <c r="C310" s="795"/>
      <c r="D310" s="795"/>
      <c r="E310" s="795"/>
      <c r="F310" s="795"/>
      <c r="G310" s="795"/>
    </row>
    <row r="311" spans="1:9" s="465" customFormat="1" ht="15.75">
      <c r="A311" s="464"/>
      <c r="B311" s="704" t="str">
        <f>IF(COUNT($H$8:H311)&lt;10,CONCATENATE("COMP SPDA 00",COUNT($H$8:H311)),CONCATENATE("COMP SPDA 0",COUNT($H$8:H311)))</f>
        <v>COMP SPDA 016</v>
      </c>
      <c r="C311" s="1257" t="str">
        <f>CONCATENATE("FORNECIMENTO E INSTALAÇÃO DE ",C314)</f>
        <v>FORNECIMENTO E INSTALAÇÃO DE REBITE POP EM ALUMÍNIO 4 X 16MM</v>
      </c>
      <c r="D311" s="1225"/>
      <c r="E311" s="1225"/>
      <c r="F311" s="1225"/>
      <c r="G311" s="705" t="s">
        <v>28</v>
      </c>
      <c r="H311" s="570">
        <f>G317</f>
        <v>1.1200000000000001</v>
      </c>
    </row>
    <row r="312" spans="1:9" s="465" customFormat="1" ht="31.5">
      <c r="A312" s="464"/>
      <c r="B312" s="469" t="s">
        <v>13463</v>
      </c>
      <c r="C312" s="707" t="s">
        <v>13464</v>
      </c>
      <c r="D312" s="470" t="s">
        <v>28</v>
      </c>
      <c r="E312" s="707" t="s">
        <v>13465</v>
      </c>
      <c r="F312" s="293" t="s">
        <v>13466</v>
      </c>
      <c r="G312" s="708" t="s">
        <v>13467</v>
      </c>
      <c r="H312" s="464"/>
    </row>
    <row r="313" spans="1:9" s="465" customFormat="1" ht="15.75">
      <c r="A313" s="464"/>
      <c r="B313" s="1283" t="s">
        <v>13468</v>
      </c>
      <c r="C313" s="1284"/>
      <c r="D313" s="1284"/>
      <c r="E313" s="1284"/>
      <c r="F313" s="1284"/>
      <c r="G313" s="1285"/>
      <c r="H313" s="464"/>
    </row>
    <row r="314" spans="1:9" s="465" customFormat="1" ht="15">
      <c r="A314" s="464"/>
      <c r="B314" s="951" t="s">
        <v>13497</v>
      </c>
      <c r="C314" s="863" t="str">
        <f>C319</f>
        <v>REBITE POP EM ALUMÍNIO 4 X 16MM</v>
      </c>
      <c r="D314" s="864" t="s">
        <v>28</v>
      </c>
      <c r="E314" s="815">
        <v>1</v>
      </c>
      <c r="F314" s="815">
        <f>D324</f>
        <v>0.1</v>
      </c>
      <c r="G314" s="845">
        <f>TRUNC(F314*E314,2)</f>
        <v>0.1</v>
      </c>
      <c r="H314" s="464"/>
    </row>
    <row r="315" spans="1:9" s="465" customFormat="1" ht="15.75">
      <c r="A315" s="464"/>
      <c r="B315" s="1246" t="s">
        <v>13469</v>
      </c>
      <c r="C315" s="1247"/>
      <c r="D315" s="1247"/>
      <c r="E315" s="1247"/>
      <c r="F315" s="1247"/>
      <c r="G315" s="1248"/>
      <c r="H315" s="464"/>
    </row>
    <row r="316" spans="1:9" s="465" customFormat="1" ht="16.5" thickBot="1">
      <c r="A316" s="473" t="s">
        <v>13459</v>
      </c>
      <c r="B316" s="753">
        <v>88264</v>
      </c>
      <c r="C316" s="484" t="s">
        <v>771</v>
      </c>
      <c r="D316" s="718" t="s">
        <v>753</v>
      </c>
      <c r="E316" s="754">
        <v>0.05</v>
      </c>
      <c r="F316" s="720">
        <v>20.52</v>
      </c>
      <c r="G316" s="755">
        <f>TRUNC(F316*E316,2)</f>
        <v>1.02</v>
      </c>
      <c r="H316" s="464"/>
    </row>
    <row r="317" spans="1:9" s="465" customFormat="1" ht="16.5" thickBot="1">
      <c r="A317" s="464"/>
      <c r="B317" s="1287" t="s">
        <v>14063</v>
      </c>
      <c r="C317" s="1287"/>
      <c r="D317" s="1287"/>
      <c r="E317" s="1287"/>
      <c r="F317" s="756" t="s">
        <v>22</v>
      </c>
      <c r="G317" s="757">
        <f>SUM(G313:G316)</f>
        <v>1.1200000000000001</v>
      </c>
      <c r="H317" s="464"/>
    </row>
    <row r="318" spans="1:9" s="465" customFormat="1" ht="15.75" thickBot="1">
      <c r="A318" s="464"/>
      <c r="B318" s="990"/>
      <c r="C318" s="990"/>
      <c r="D318" s="990"/>
      <c r="E318" s="990"/>
      <c r="F318" s="990"/>
      <c r="G318" s="990"/>
      <c r="H318" s="464"/>
    </row>
    <row r="319" spans="1:9" s="465" customFormat="1" ht="15.75">
      <c r="A319" s="464"/>
      <c r="B319" s="572"/>
      <c r="C319" s="607" t="s">
        <v>14064</v>
      </c>
      <c r="D319" s="574"/>
      <c r="E319" s="575"/>
      <c r="F319" s="608"/>
      <c r="G319" s="577" t="s">
        <v>28</v>
      </c>
      <c r="H319" s="515" t="s">
        <v>13500</v>
      </c>
    </row>
    <row r="320" spans="1:9" s="465" customFormat="1" ht="31.5">
      <c r="A320" s="464"/>
      <c r="B320" s="668" t="s">
        <v>13502</v>
      </c>
      <c r="C320" s="669" t="s">
        <v>13503</v>
      </c>
      <c r="D320" s="670" t="s">
        <v>13504</v>
      </c>
      <c r="E320" s="671" t="s">
        <v>13505</v>
      </c>
      <c r="F320" s="647" t="s">
        <v>13506</v>
      </c>
      <c r="G320" s="672" t="s">
        <v>13507</v>
      </c>
      <c r="H320" s="464"/>
    </row>
    <row r="321" spans="1:10" s="465" customFormat="1" ht="15.75">
      <c r="A321" s="464"/>
      <c r="B321" s="597">
        <v>43802</v>
      </c>
      <c r="C321" s="630" t="s">
        <v>13772</v>
      </c>
      <c r="D321" s="593">
        <v>0.12</v>
      </c>
      <c r="E321" s="789" t="s">
        <v>13773</v>
      </c>
      <c r="F321" s="595" t="s">
        <v>14023</v>
      </c>
      <c r="G321" s="790" t="s">
        <v>14024</v>
      </c>
      <c r="H321"/>
      <c r="I321" s="791">
        <f>B321+180</f>
        <v>43982</v>
      </c>
    </row>
    <row r="322" spans="1:10" s="465" customFormat="1" ht="15.75">
      <c r="A322" s="464"/>
      <c r="B322" s="591">
        <v>43803</v>
      </c>
      <c r="C322" s="630" t="s">
        <v>13763</v>
      </c>
      <c r="D322" s="593">
        <v>0.09</v>
      </c>
      <c r="E322" s="789" t="s">
        <v>13764</v>
      </c>
      <c r="F322" s="595" t="s">
        <v>14025</v>
      </c>
      <c r="G322" s="790" t="s">
        <v>14026</v>
      </c>
      <c r="H322"/>
      <c r="I322" s="791">
        <f>B322+180</f>
        <v>43983</v>
      </c>
    </row>
    <row r="323" spans="1:10" s="465" customFormat="1" ht="16.5" thickBot="1">
      <c r="A323" s="464"/>
      <c r="B323" s="591">
        <v>43808</v>
      </c>
      <c r="C323" s="630" t="s">
        <v>13781</v>
      </c>
      <c r="D323" s="593">
        <v>0.1</v>
      </c>
      <c r="E323" s="789" t="s">
        <v>13782</v>
      </c>
      <c r="F323" s="595" t="s">
        <v>13761</v>
      </c>
      <c r="G323" s="790" t="s">
        <v>14020</v>
      </c>
      <c r="H323"/>
      <c r="I323" s="792">
        <f>B323+180</f>
        <v>43988</v>
      </c>
    </row>
    <row r="324" spans="1:10" s="465" customFormat="1" ht="16.5" thickBot="1">
      <c r="A324" s="464"/>
      <c r="B324" s="598"/>
      <c r="C324" s="599" t="s">
        <v>13523</v>
      </c>
      <c r="D324" s="538">
        <f>IF(COUNT(D320:D323)=3,MEDIAN(D320:D323),SMALL(D321:D323,1))</f>
        <v>0.1</v>
      </c>
      <c r="E324" s="600"/>
      <c r="F324" s="620"/>
      <c r="G324" s="602"/>
      <c r="H324" s="464"/>
    </row>
    <row r="325" spans="1:10" s="464" customFormat="1" ht="15.75" thickBot="1">
      <c r="B325" s="1308"/>
      <c r="C325" s="1308"/>
      <c r="D325" s="1308"/>
      <c r="E325" s="1308"/>
      <c r="F325" s="465"/>
      <c r="G325" s="465"/>
      <c r="I325" s="465"/>
      <c r="J325" s="465"/>
    </row>
    <row r="326" spans="1:10" s="465" customFormat="1" ht="15.75">
      <c r="A326" s="464"/>
      <c r="B326" s="704" t="str">
        <f>IF(COUNT($H$8:H326)&lt;10,CONCATENATE("COMP SPDA 00",COUNT($H$8:H326)),CONCATENATE("COMP SPDA 0",COUNT($H$8:H326)))</f>
        <v>COMP SPDA 017</v>
      </c>
      <c r="C326" s="1257" t="str">
        <f>CONCATENATE("FORNECIMENTO E INSTALAÇÃO DE ",C329)</f>
        <v>FORNECIMENTO E INSTALAÇÃO DE PRESILHA DE LATÃO 35MM²</v>
      </c>
      <c r="D326" s="1225"/>
      <c r="E326" s="1225"/>
      <c r="F326" s="1225"/>
      <c r="G326" s="705" t="s">
        <v>28</v>
      </c>
      <c r="H326" s="570">
        <f>G334</f>
        <v>3.4000000000000004</v>
      </c>
    </row>
    <row r="327" spans="1:10" s="465" customFormat="1" ht="31.5">
      <c r="A327" s="464"/>
      <c r="B327" s="469" t="s">
        <v>13463</v>
      </c>
      <c r="C327" s="707" t="s">
        <v>13464</v>
      </c>
      <c r="D327" s="470" t="s">
        <v>28</v>
      </c>
      <c r="E327" s="707" t="s">
        <v>13465</v>
      </c>
      <c r="F327" s="293" t="s">
        <v>13466</v>
      </c>
      <c r="G327" s="708" t="s">
        <v>13467</v>
      </c>
      <c r="H327" s="464"/>
    </row>
    <row r="328" spans="1:10" s="465" customFormat="1" ht="15.75">
      <c r="A328" s="464"/>
      <c r="B328" s="1283" t="s">
        <v>13468</v>
      </c>
      <c r="C328" s="1284"/>
      <c r="D328" s="1284"/>
      <c r="E328" s="1284"/>
      <c r="F328" s="1284"/>
      <c r="G328" s="1285"/>
      <c r="H328" s="464"/>
    </row>
    <row r="329" spans="1:10" s="465" customFormat="1" ht="15.75">
      <c r="A329" s="473"/>
      <c r="B329" s="844" t="s">
        <v>13497</v>
      </c>
      <c r="C329" s="475" t="str">
        <f>C339</f>
        <v>PRESILHA DE LATÃO 35MM²</v>
      </c>
      <c r="D329" s="991" t="str">
        <f>G339</f>
        <v>UN</v>
      </c>
      <c r="E329" s="815">
        <v>1</v>
      </c>
      <c r="F329" s="713">
        <f>D344</f>
        <v>1.53</v>
      </c>
      <c r="G329" s="845">
        <f>TRUNC(F329*E329,2)</f>
        <v>1.53</v>
      </c>
      <c r="H329" s="464"/>
    </row>
    <row r="330" spans="1:10" s="465" customFormat="1" ht="30">
      <c r="A330" s="473" t="s">
        <v>13458</v>
      </c>
      <c r="B330" s="844">
        <v>142</v>
      </c>
      <c r="C330" s="475" t="s">
        <v>12350</v>
      </c>
      <c r="D330" s="711" t="s">
        <v>10462</v>
      </c>
      <c r="E330" s="983">
        <v>6.83E-2</v>
      </c>
      <c r="F330" s="713">
        <v>23.02</v>
      </c>
      <c r="G330" s="845">
        <f>TRUNC(F330*E330,2)</f>
        <v>1.57</v>
      </c>
      <c r="H330" s="464"/>
    </row>
    <row r="331" spans="1:10" s="465" customFormat="1" ht="45">
      <c r="A331" s="473" t="s">
        <v>13458</v>
      </c>
      <c r="B331" s="844">
        <v>11950</v>
      </c>
      <c r="C331" s="475" t="s">
        <v>923</v>
      </c>
      <c r="D331" s="711" t="s">
        <v>6636</v>
      </c>
      <c r="E331" s="815">
        <v>1</v>
      </c>
      <c r="F331" s="713">
        <v>0.1</v>
      </c>
      <c r="G331" s="845">
        <f>TRUNC(F331*E331,2)</f>
        <v>0.1</v>
      </c>
      <c r="H331" s="464"/>
    </row>
    <row r="332" spans="1:10" s="465" customFormat="1" ht="15.75">
      <c r="A332" s="464"/>
      <c r="B332" s="1283" t="s">
        <v>13469</v>
      </c>
      <c r="C332" s="1284"/>
      <c r="D332" s="1284"/>
      <c r="E332" s="1284"/>
      <c r="F332" s="1284"/>
      <c r="G332" s="1285"/>
      <c r="H332" s="464"/>
    </row>
    <row r="333" spans="1:10" s="465" customFormat="1" ht="16.5" thickBot="1">
      <c r="A333" s="473" t="s">
        <v>13459</v>
      </c>
      <c r="B333" s="753">
        <v>88264</v>
      </c>
      <c r="C333" s="484" t="s">
        <v>771</v>
      </c>
      <c r="D333" s="718" t="s">
        <v>753</v>
      </c>
      <c r="E333" s="754">
        <v>0.01</v>
      </c>
      <c r="F333" s="720">
        <v>20.52</v>
      </c>
      <c r="G333" s="755">
        <f>TRUNC(F333*E333,2)</f>
        <v>0.2</v>
      </c>
      <c r="H333" s="464"/>
    </row>
    <row r="334" spans="1:10" s="465" customFormat="1" ht="16.5" thickBot="1">
      <c r="A334" s="464"/>
      <c r="B334" s="1272" t="s">
        <v>14065</v>
      </c>
      <c r="C334" s="1272"/>
      <c r="D334" s="1272"/>
      <c r="E334" s="1272"/>
      <c r="F334" s="756" t="s">
        <v>22</v>
      </c>
      <c r="G334" s="757">
        <f>SUM(G328:G333)</f>
        <v>3.4000000000000004</v>
      </c>
      <c r="H334" s="464"/>
    </row>
    <row r="335" spans="1:10" s="463" customFormat="1" ht="15.75" customHeight="1">
      <c r="B335" s="1272"/>
      <c r="C335" s="1272"/>
      <c r="D335" s="1272"/>
      <c r="E335" s="1272"/>
      <c r="F335" s="795"/>
      <c r="G335" s="795"/>
    </row>
    <row r="336" spans="1:10" s="463" customFormat="1" ht="59.25" customHeight="1">
      <c r="B336" s="1250" t="s">
        <v>14066</v>
      </c>
      <c r="C336" s="1250"/>
      <c r="D336" s="1250"/>
      <c r="E336" s="1250"/>
      <c r="F336" s="1250"/>
      <c r="G336" s="1250"/>
    </row>
    <row r="337" spans="1:10" s="463" customFormat="1" ht="207" customHeight="1">
      <c r="B337" s="1350" t="s">
        <v>14067</v>
      </c>
      <c r="C337" s="1350"/>
      <c r="D337" s="1350"/>
      <c r="E337" s="1350"/>
      <c r="F337" s="1350"/>
      <c r="G337" s="1350"/>
    </row>
    <row r="338" spans="1:10" s="464" customFormat="1" ht="15.75" thickBot="1">
      <c r="F338" s="465"/>
      <c r="G338" s="465"/>
      <c r="I338" s="465"/>
      <c r="J338" s="465"/>
    </row>
    <row r="339" spans="1:10" s="465" customFormat="1" ht="15.75">
      <c r="A339" s="464"/>
      <c r="B339" s="572"/>
      <c r="C339" s="607" t="s">
        <v>14068</v>
      </c>
      <c r="D339" s="574"/>
      <c r="E339" s="575"/>
      <c r="F339" s="608"/>
      <c r="G339" s="577" t="s">
        <v>28</v>
      </c>
      <c r="H339" s="515" t="s">
        <v>13500</v>
      </c>
    </row>
    <row r="340" spans="1:10" s="465" customFormat="1" ht="31.5">
      <c r="A340" s="464"/>
      <c r="B340" s="578" t="s">
        <v>13502</v>
      </c>
      <c r="C340" s="579" t="s">
        <v>13503</v>
      </c>
      <c r="D340" s="580" t="s">
        <v>13504</v>
      </c>
      <c r="E340" s="581" t="s">
        <v>13505</v>
      </c>
      <c r="F340" s="610" t="s">
        <v>13506</v>
      </c>
      <c r="G340" s="583" t="s">
        <v>13507</v>
      </c>
      <c r="H340" s="464"/>
    </row>
    <row r="341" spans="1:10" s="465" customFormat="1" ht="15.75">
      <c r="A341" s="464"/>
      <c r="B341" s="597">
        <v>43802</v>
      </c>
      <c r="C341" s="630" t="s">
        <v>13772</v>
      </c>
      <c r="D341" s="593">
        <v>1.65</v>
      </c>
      <c r="E341" s="789" t="s">
        <v>13773</v>
      </c>
      <c r="F341" s="595" t="s">
        <v>14023</v>
      </c>
      <c r="G341" s="790" t="s">
        <v>14024</v>
      </c>
      <c r="H341"/>
      <c r="I341" s="791">
        <f>B341+180</f>
        <v>43982</v>
      </c>
    </row>
    <row r="342" spans="1:10" ht="15">
      <c r="B342" s="597">
        <v>43802</v>
      </c>
      <c r="C342" s="630" t="s">
        <v>13924</v>
      </c>
      <c r="D342" s="593">
        <v>1.53</v>
      </c>
      <c r="E342" s="789" t="s">
        <v>13824</v>
      </c>
      <c r="F342" s="595" t="s">
        <v>14015</v>
      </c>
      <c r="G342" s="790" t="s">
        <v>13865</v>
      </c>
      <c r="H342"/>
      <c r="I342" s="791">
        <f>B342+180</f>
        <v>43982</v>
      </c>
    </row>
    <row r="343" spans="1:10" ht="15.75" thickBot="1">
      <c r="B343" s="591">
        <v>43803</v>
      </c>
      <c r="C343" s="630" t="s">
        <v>13763</v>
      </c>
      <c r="D343" s="593">
        <v>1.33</v>
      </c>
      <c r="E343" s="789" t="s">
        <v>13764</v>
      </c>
      <c r="F343" s="595" t="s">
        <v>14025</v>
      </c>
      <c r="G343" s="790" t="s">
        <v>14026</v>
      </c>
      <c r="H343"/>
      <c r="I343" s="792">
        <f>B343+180</f>
        <v>43983</v>
      </c>
    </row>
    <row r="344" spans="1:10" ht="16.5" thickBot="1">
      <c r="B344" s="598"/>
      <c r="C344" s="599" t="s">
        <v>13523</v>
      </c>
      <c r="D344" s="538">
        <f>IF(COUNT(D340:D343)=3,MEDIAN(D340:D343),SMALL(D341:D343,1))</f>
        <v>1.53</v>
      </c>
      <c r="E344" s="600"/>
      <c r="F344" s="620"/>
      <c r="G344" s="602"/>
      <c r="H344"/>
    </row>
    <row r="345" spans="1:10" ht="13.5" thickBot="1"/>
    <row r="346" spans="1:10" ht="29.25" hidden="1" customHeight="1">
      <c r="A346" s="464"/>
      <c r="B346" s="704" t="str">
        <f>IF(COUNT($H$8:H346)&lt;10,CONCATENATE("COMP SPDA 00",COUNT($H$8:H346)),CONCATENATE("COMP SPDA 0",COUNT($H$8:H346)))</f>
        <v>COMP SPDA 018</v>
      </c>
      <c r="C346" s="1257" t="s">
        <v>14069</v>
      </c>
      <c r="D346" s="1225"/>
      <c r="E346" s="1225"/>
      <c r="F346" s="1225"/>
      <c r="G346" s="705" t="s">
        <v>28</v>
      </c>
      <c r="H346" s="570">
        <f>G356</f>
        <v>7.2000000000000011</v>
      </c>
    </row>
    <row r="347" spans="1:10" ht="32.25" hidden="1" thickBot="1">
      <c r="A347" s="464"/>
      <c r="B347" s="469" t="s">
        <v>13463</v>
      </c>
      <c r="C347" s="707" t="s">
        <v>13464</v>
      </c>
      <c r="D347" s="470" t="s">
        <v>28</v>
      </c>
      <c r="E347" s="707" t="s">
        <v>13465</v>
      </c>
      <c r="F347" s="293" t="s">
        <v>13466</v>
      </c>
      <c r="G347" s="708" t="s">
        <v>13467</v>
      </c>
      <c r="H347" s="464"/>
    </row>
    <row r="348" spans="1:10" ht="16.5" hidden="1" thickBot="1">
      <c r="A348" s="464"/>
      <c r="B348" s="1283" t="s">
        <v>13468</v>
      </c>
      <c r="C348" s="1284"/>
      <c r="D348" s="1284"/>
      <c r="E348" s="1284"/>
      <c r="F348" s="1284"/>
      <c r="G348" s="1285"/>
      <c r="H348" s="464"/>
    </row>
    <row r="349" spans="1:10" ht="16.5" hidden="1" thickBot="1">
      <c r="A349" s="473"/>
      <c r="B349" s="844" t="s">
        <v>13497</v>
      </c>
      <c r="C349" s="475" t="str">
        <f>C360</f>
        <v>PRESILHA DE LATÃO 35MM²</v>
      </c>
      <c r="D349" s="991" t="str">
        <f>G360</f>
        <v>UN</v>
      </c>
      <c r="E349" s="815">
        <v>1</v>
      </c>
      <c r="F349" s="713">
        <f>D365</f>
        <v>1.53</v>
      </c>
      <c r="G349" s="845">
        <f>TRUNC(F349*E349,2)</f>
        <v>1.53</v>
      </c>
      <c r="H349" s="464"/>
    </row>
    <row r="350" spans="1:10" ht="30.75" hidden="1" thickBot="1">
      <c r="A350" s="473" t="s">
        <v>13458</v>
      </c>
      <c r="B350" s="844">
        <v>142</v>
      </c>
      <c r="C350" s="475" t="s">
        <v>12350</v>
      </c>
      <c r="D350" s="711" t="s">
        <v>10462</v>
      </c>
      <c r="E350" s="983">
        <v>6.83E-2</v>
      </c>
      <c r="F350" s="713">
        <v>23.02</v>
      </c>
      <c r="G350" s="845">
        <f>TRUNC(F350*E350,2)</f>
        <v>1.57</v>
      </c>
      <c r="H350" s="464"/>
    </row>
    <row r="351" spans="1:10" ht="45.75" hidden="1" thickBot="1">
      <c r="A351" s="473" t="s">
        <v>13458</v>
      </c>
      <c r="B351" s="844">
        <v>7583</v>
      </c>
      <c r="C351" s="475" t="s">
        <v>959</v>
      </c>
      <c r="D351" s="711" t="s">
        <v>6636</v>
      </c>
      <c r="E351" s="815">
        <v>1</v>
      </c>
      <c r="F351" s="713">
        <v>0.2</v>
      </c>
      <c r="G351" s="845">
        <f>TRUNC(F351*E351,2)</f>
        <v>0.2</v>
      </c>
      <c r="H351" s="464"/>
    </row>
    <row r="352" spans="1:10" ht="16.5" hidden="1" thickBot="1">
      <c r="A352" s="473" t="s">
        <v>13458</v>
      </c>
      <c r="B352" s="844" t="s">
        <v>13497</v>
      </c>
      <c r="C352" s="992" t="str">
        <f>C374</f>
        <v>ESPAÇADOR 90º PARA SPDA</v>
      </c>
      <c r="D352" s="991" t="str">
        <f>G374</f>
        <v>UN</v>
      </c>
      <c r="E352" s="815">
        <v>1</v>
      </c>
      <c r="F352" s="713">
        <f>D379</f>
        <v>3.5</v>
      </c>
      <c r="G352" s="845">
        <f>TRUNC(F352*E352,2)</f>
        <v>3.5</v>
      </c>
      <c r="H352" s="464"/>
    </row>
    <row r="353" spans="1:9" ht="16.5" hidden="1" thickBot="1">
      <c r="A353" s="473" t="s">
        <v>13458</v>
      </c>
      <c r="B353" s="844" t="s">
        <v>13497</v>
      </c>
      <c r="C353" s="475" t="str">
        <f>C367</f>
        <v>REBITE POP EM ALUMÍNIO 4 X 16MM</v>
      </c>
      <c r="D353" s="991" t="str">
        <f>G367</f>
        <v>UN</v>
      </c>
      <c r="E353" s="815">
        <v>2</v>
      </c>
      <c r="F353" s="713">
        <f>D372</f>
        <v>0.1</v>
      </c>
      <c r="G353" s="845">
        <f>TRUNC(F353*E353,2)</f>
        <v>0.2</v>
      </c>
      <c r="H353" s="464"/>
    </row>
    <row r="354" spans="1:9" ht="16.5" hidden="1" thickBot="1">
      <c r="A354" s="464"/>
      <c r="B354" s="1283" t="s">
        <v>13469</v>
      </c>
      <c r="C354" s="1284"/>
      <c r="D354" s="1284"/>
      <c r="E354" s="1284"/>
      <c r="F354" s="1284"/>
      <c r="G354" s="1285"/>
      <c r="H354" s="464"/>
    </row>
    <row r="355" spans="1:9" ht="16.5" hidden="1" thickBot="1">
      <c r="A355" s="473" t="s">
        <v>13459</v>
      </c>
      <c r="B355" s="753">
        <v>88264</v>
      </c>
      <c r="C355" s="484" t="s">
        <v>771</v>
      </c>
      <c r="D355" s="718" t="s">
        <v>753</v>
      </c>
      <c r="E355" s="754">
        <v>0.01</v>
      </c>
      <c r="F355" s="720">
        <v>20.52</v>
      </c>
      <c r="G355" s="755">
        <f>TRUNC(F355*E355,2)</f>
        <v>0.2</v>
      </c>
      <c r="H355" s="464"/>
    </row>
    <row r="356" spans="1:9" ht="16.5" hidden="1" thickBot="1">
      <c r="A356" s="464"/>
      <c r="B356" s="1272" t="s">
        <v>14065</v>
      </c>
      <c r="C356" s="1272"/>
      <c r="D356" s="1272"/>
      <c r="E356" s="1273"/>
      <c r="F356" s="756" t="s">
        <v>22</v>
      </c>
      <c r="G356" s="757">
        <f>SUM(G348:G355)</f>
        <v>7.2000000000000011</v>
      </c>
      <c r="H356" s="464"/>
    </row>
    <row r="357" spans="1:9" s="463" customFormat="1" ht="59.25" hidden="1" customHeight="1">
      <c r="B357" s="1250" t="s">
        <v>14066</v>
      </c>
      <c r="C357" s="1250"/>
      <c r="D357" s="1250"/>
      <c r="E357" s="1250"/>
      <c r="F357" s="1250"/>
      <c r="G357" s="1250"/>
    </row>
    <row r="358" spans="1:9" s="463" customFormat="1" ht="207" hidden="1" customHeight="1">
      <c r="B358" s="1350" t="s">
        <v>14067</v>
      </c>
      <c r="C358" s="1350"/>
      <c r="D358" s="1350"/>
      <c r="E358" s="1350"/>
      <c r="F358" s="1350"/>
      <c r="G358" s="1350"/>
    </row>
    <row r="359" spans="1:9" ht="16.5" hidden="1" thickBot="1">
      <c r="A359" s="463"/>
      <c r="B359" s="957"/>
      <c r="C359" s="795"/>
      <c r="D359" s="795"/>
      <c r="E359" s="795"/>
      <c r="F359" s="795"/>
      <c r="G359" s="795"/>
      <c r="H359" s="463"/>
    </row>
    <row r="360" spans="1:9" ht="16.5" hidden="1" thickBot="1">
      <c r="A360" s="464"/>
      <c r="B360" s="572"/>
      <c r="C360" s="607" t="s">
        <v>14068</v>
      </c>
      <c r="D360" s="574"/>
      <c r="E360" s="575"/>
      <c r="F360" s="608"/>
      <c r="G360" s="577" t="s">
        <v>28</v>
      </c>
      <c r="H360" s="515" t="s">
        <v>13500</v>
      </c>
    </row>
    <row r="361" spans="1:9" ht="32.25" hidden="1" thickBot="1">
      <c r="A361" s="464"/>
      <c r="B361" s="578" t="s">
        <v>13502</v>
      </c>
      <c r="C361" s="579" t="s">
        <v>13503</v>
      </c>
      <c r="D361" s="580" t="s">
        <v>13504</v>
      </c>
      <c r="E361" s="581" t="s">
        <v>13505</v>
      </c>
      <c r="F361" s="610" t="s">
        <v>13506</v>
      </c>
      <c r="G361" s="583" t="s">
        <v>13507</v>
      </c>
      <c r="H361" s="464"/>
    </row>
    <row r="362" spans="1:9" ht="16.5" hidden="1" thickBot="1">
      <c r="A362" s="464"/>
      <c r="B362" s="597">
        <v>43741</v>
      </c>
      <c r="C362" s="630" t="s">
        <v>13772</v>
      </c>
      <c r="D362" s="593">
        <v>1.65</v>
      </c>
      <c r="E362" s="789" t="s">
        <v>13773</v>
      </c>
      <c r="F362" s="595" t="s">
        <v>14023</v>
      </c>
      <c r="G362" s="790" t="s">
        <v>14024</v>
      </c>
      <c r="H362"/>
      <c r="I362" s="791">
        <f>B362+180</f>
        <v>43921</v>
      </c>
    </row>
    <row r="363" spans="1:9" ht="15.75" hidden="1" thickBot="1">
      <c r="B363" s="597">
        <v>43741</v>
      </c>
      <c r="C363" s="630" t="s">
        <v>13924</v>
      </c>
      <c r="D363" s="593">
        <v>1.53</v>
      </c>
      <c r="E363" s="789" t="s">
        <v>13824</v>
      </c>
      <c r="F363" s="595" t="s">
        <v>14015</v>
      </c>
      <c r="G363" s="790" t="s">
        <v>13865</v>
      </c>
      <c r="H363"/>
      <c r="I363" s="791">
        <f>B363+180</f>
        <v>43921</v>
      </c>
    </row>
    <row r="364" spans="1:9" ht="15.75" hidden="1" thickBot="1">
      <c r="B364" s="591">
        <v>43742</v>
      </c>
      <c r="C364" s="630" t="s">
        <v>13763</v>
      </c>
      <c r="D364" s="593">
        <v>1.33</v>
      </c>
      <c r="E364" s="789" t="s">
        <v>13764</v>
      </c>
      <c r="F364" s="595" t="s">
        <v>14025</v>
      </c>
      <c r="G364" s="790" t="s">
        <v>14026</v>
      </c>
      <c r="H364"/>
      <c r="I364" s="792">
        <f>B364+180</f>
        <v>43922</v>
      </c>
    </row>
    <row r="365" spans="1:9" ht="16.5" hidden="1" thickBot="1">
      <c r="B365" s="598"/>
      <c r="C365" s="599" t="s">
        <v>13523</v>
      </c>
      <c r="D365" s="538">
        <f>IF(COUNT(D361:D364)=3,MEDIAN(D361:D364),SMALL(D362:D364,1))</f>
        <v>1.53</v>
      </c>
      <c r="E365" s="600"/>
      <c r="F365" s="620"/>
      <c r="G365" s="602"/>
    </row>
    <row r="366" spans="1:9" ht="13.5" hidden="1" thickBot="1"/>
    <row r="367" spans="1:9" ht="16.5" hidden="1" thickBot="1">
      <c r="B367" s="572"/>
      <c r="C367" s="607" t="s">
        <v>14064</v>
      </c>
      <c r="D367" s="574"/>
      <c r="E367" s="575"/>
      <c r="F367" s="608"/>
      <c r="G367" s="577" t="s">
        <v>28</v>
      </c>
      <c r="H367" s="515" t="s">
        <v>13500</v>
      </c>
    </row>
    <row r="368" spans="1:9" ht="32.25" hidden="1" thickBot="1">
      <c r="B368" s="668" t="s">
        <v>13502</v>
      </c>
      <c r="C368" s="669" t="s">
        <v>13503</v>
      </c>
      <c r="D368" s="670" t="s">
        <v>13504</v>
      </c>
      <c r="E368" s="671" t="s">
        <v>13505</v>
      </c>
      <c r="F368" s="647" t="s">
        <v>13506</v>
      </c>
      <c r="G368" s="672" t="s">
        <v>13507</v>
      </c>
    </row>
    <row r="369" spans="1:9" ht="15.75" hidden="1" thickBot="1">
      <c r="B369" s="597">
        <v>43741</v>
      </c>
      <c r="C369" s="630" t="s">
        <v>13772</v>
      </c>
      <c r="D369" s="593">
        <v>0.12</v>
      </c>
      <c r="E369" s="789" t="s">
        <v>13773</v>
      </c>
      <c r="F369" s="595" t="s">
        <v>14023</v>
      </c>
      <c r="G369" s="790" t="s">
        <v>14024</v>
      </c>
      <c r="H369"/>
      <c r="I369" s="791">
        <f>B369+180</f>
        <v>43921</v>
      </c>
    </row>
    <row r="370" spans="1:9" ht="15.75" hidden="1" thickBot="1">
      <c r="B370" s="591">
        <v>43742</v>
      </c>
      <c r="C370" s="630" t="s">
        <v>13763</v>
      </c>
      <c r="D370" s="593">
        <v>0.09</v>
      </c>
      <c r="E370" s="789" t="s">
        <v>13764</v>
      </c>
      <c r="F370" s="595" t="s">
        <v>14025</v>
      </c>
      <c r="G370" s="790" t="s">
        <v>14026</v>
      </c>
      <c r="H370"/>
      <c r="I370" s="791">
        <f>B370+180</f>
        <v>43922</v>
      </c>
    </row>
    <row r="371" spans="1:9" ht="15.75" hidden="1" thickBot="1">
      <c r="B371" s="591">
        <v>43747</v>
      </c>
      <c r="C371" s="630" t="s">
        <v>13781</v>
      </c>
      <c r="D371" s="593">
        <v>0.1</v>
      </c>
      <c r="E371" s="789" t="s">
        <v>13782</v>
      </c>
      <c r="F371" s="595" t="s">
        <v>13761</v>
      </c>
      <c r="G371" s="790" t="s">
        <v>14020</v>
      </c>
      <c r="H371"/>
      <c r="I371" s="792">
        <f>B371+180</f>
        <v>43927</v>
      </c>
    </row>
    <row r="372" spans="1:9" ht="16.5" hidden="1" thickBot="1">
      <c r="B372" s="598"/>
      <c r="C372" s="599" t="s">
        <v>13523</v>
      </c>
      <c r="D372" s="538">
        <f>IF(COUNT(D368:D371)=3,MEDIAN(D368:D371),SMALL(D369:D371,1))</f>
        <v>0.1</v>
      </c>
      <c r="E372" s="600"/>
      <c r="F372" s="620"/>
      <c r="G372" s="602"/>
    </row>
    <row r="373" spans="1:9" ht="13.5" hidden="1" thickBot="1"/>
    <row r="374" spans="1:9" ht="16.5" hidden="1" thickBot="1">
      <c r="B374" s="572"/>
      <c r="C374" s="954" t="s">
        <v>14070</v>
      </c>
      <c r="D374" s="574"/>
      <c r="E374" s="575"/>
      <c r="F374" s="608"/>
      <c r="G374" s="577" t="s">
        <v>28</v>
      </c>
    </row>
    <row r="375" spans="1:9" ht="32.25" hidden="1" thickBot="1">
      <c r="B375" s="578" t="s">
        <v>13502</v>
      </c>
      <c r="C375" s="579" t="s">
        <v>13503</v>
      </c>
      <c r="D375" s="580" t="s">
        <v>13504</v>
      </c>
      <c r="E375" s="581" t="s">
        <v>13505</v>
      </c>
      <c r="F375" s="610" t="s">
        <v>13506</v>
      </c>
      <c r="G375" s="583" t="s">
        <v>13507</v>
      </c>
    </row>
    <row r="376" spans="1:9" ht="15.75" hidden="1" thickBot="1">
      <c r="B376" s="611">
        <v>43759</v>
      </c>
      <c r="C376" s="592" t="s">
        <v>14071</v>
      </c>
      <c r="D376" s="617">
        <v>3</v>
      </c>
      <c r="E376" s="631" t="s">
        <v>14072</v>
      </c>
      <c r="F376" s="993" t="s">
        <v>14073</v>
      </c>
      <c r="G376" s="618" t="s">
        <v>14074</v>
      </c>
    </row>
    <row r="377" spans="1:9" ht="15.75" hidden="1" thickBot="1">
      <c r="B377" s="994">
        <v>43759</v>
      </c>
      <c r="C377" s="630" t="s">
        <v>14075</v>
      </c>
      <c r="D377" s="593">
        <v>4.5</v>
      </c>
      <c r="E377" s="631" t="s">
        <v>14076</v>
      </c>
      <c r="F377" s="876" t="s">
        <v>14077</v>
      </c>
      <c r="G377" s="790" t="s">
        <v>14078</v>
      </c>
    </row>
    <row r="378" spans="1:9" ht="15.75" hidden="1" thickBot="1">
      <c r="B378" s="994">
        <v>43756</v>
      </c>
      <c r="C378" s="630" t="s">
        <v>14079</v>
      </c>
      <c r="D378" s="593">
        <v>3.5</v>
      </c>
      <c r="E378" s="631" t="s">
        <v>14080</v>
      </c>
      <c r="F378" s="876" t="s">
        <v>14081</v>
      </c>
      <c r="G378" s="790" t="s">
        <v>14082</v>
      </c>
    </row>
    <row r="379" spans="1:9" ht="16.5" hidden="1" thickBot="1">
      <c r="B379" s="598"/>
      <c r="C379" s="599" t="s">
        <v>13523</v>
      </c>
      <c r="D379" s="538">
        <f>IF(COUNT(D376:D378)=3,MEDIAN(D376:D378),SMALL(D376:D378,1))</f>
        <v>3.5</v>
      </c>
      <c r="E379" s="600"/>
      <c r="F379" s="620"/>
      <c r="G379" s="602"/>
    </row>
    <row r="380" spans="1:9" ht="16.5" hidden="1" thickBot="1">
      <c r="B380" s="995"/>
      <c r="C380" s="995"/>
      <c r="D380" s="996"/>
      <c r="E380" s="997"/>
      <c r="F380" s="998"/>
      <c r="G380" s="999"/>
    </row>
    <row r="381" spans="1:9" ht="30.75" hidden="1" customHeight="1">
      <c r="A381" s="464"/>
      <c r="B381" s="704" t="str">
        <f>IF(COUNT($H$8:H381)&lt;10,CONCATENATE("COMP SPDA 00",COUNT($H$8:H381)),CONCATENATE("COMP SPDA 0",COUNT($H$8:H381)))</f>
        <v>COMP SPDA 019</v>
      </c>
      <c r="C381" s="1257" t="s">
        <v>14083</v>
      </c>
      <c r="D381" s="1225"/>
      <c r="E381" s="1225"/>
      <c r="F381" s="1225"/>
      <c r="G381" s="705" t="s">
        <v>28</v>
      </c>
      <c r="H381" s="570">
        <f>G390</f>
        <v>6.97</v>
      </c>
    </row>
    <row r="382" spans="1:9" ht="32.25" hidden="1" thickBot="1">
      <c r="A382" s="464"/>
      <c r="B382" s="469" t="s">
        <v>13463</v>
      </c>
      <c r="C382" s="707" t="s">
        <v>13464</v>
      </c>
      <c r="D382" s="470" t="s">
        <v>28</v>
      </c>
      <c r="E382" s="707" t="s">
        <v>13465</v>
      </c>
      <c r="F382" s="293" t="s">
        <v>13466</v>
      </c>
      <c r="G382" s="708" t="s">
        <v>13467</v>
      </c>
      <c r="H382" s="464"/>
    </row>
    <row r="383" spans="1:9" ht="16.5" hidden="1" thickBot="1">
      <c r="A383" s="464"/>
      <c r="B383" s="1283" t="s">
        <v>13468</v>
      </c>
      <c r="C383" s="1284"/>
      <c r="D383" s="1284"/>
      <c r="E383" s="1284"/>
      <c r="F383" s="1284"/>
      <c r="G383" s="1285"/>
      <c r="H383" s="464"/>
    </row>
    <row r="384" spans="1:9" ht="16.5" hidden="1" thickBot="1">
      <c r="A384" s="473"/>
      <c r="B384" s="844" t="s">
        <v>13497</v>
      </c>
      <c r="C384" s="475" t="str">
        <f>C395</f>
        <v>PRESILHA DE LATÃO 35MM²</v>
      </c>
      <c r="D384" s="991" t="str">
        <f>G395</f>
        <v>UN</v>
      </c>
      <c r="E384" s="815">
        <v>1</v>
      </c>
      <c r="F384" s="713">
        <f>D400</f>
        <v>1.53</v>
      </c>
      <c r="G384" s="845">
        <f>TRUNC(F384*E384,2)</f>
        <v>1.53</v>
      </c>
      <c r="H384" s="464"/>
    </row>
    <row r="385" spans="1:9" ht="30.75" hidden="1" thickBot="1">
      <c r="A385" s="473" t="s">
        <v>13458</v>
      </c>
      <c r="B385" s="844">
        <v>142</v>
      </c>
      <c r="C385" s="475" t="s">
        <v>12350</v>
      </c>
      <c r="D385" s="711" t="s">
        <v>10462</v>
      </c>
      <c r="E385" s="983">
        <v>6.8349999999999994E-2</v>
      </c>
      <c r="F385" s="713">
        <v>23.02</v>
      </c>
      <c r="G385" s="845">
        <f>TRUNC(F385*E385,2)</f>
        <v>1.57</v>
      </c>
      <c r="H385" s="464"/>
    </row>
    <row r="386" spans="1:9" ht="16.5" hidden="1" thickBot="1">
      <c r="A386" s="473" t="s">
        <v>13458</v>
      </c>
      <c r="B386" s="844" t="s">
        <v>13497</v>
      </c>
      <c r="C386" s="992" t="str">
        <f>C409</f>
        <v>ESPAÇADOR 90º PARA SPDA</v>
      </c>
      <c r="D386" s="991" t="str">
        <f>G409</f>
        <v>UN</v>
      </c>
      <c r="E386" s="815">
        <v>1</v>
      </c>
      <c r="F386" s="713">
        <f>D414</f>
        <v>3.5</v>
      </c>
      <c r="G386" s="845">
        <f>TRUNC(F386*E386,2)</f>
        <v>3.5</v>
      </c>
      <c r="H386" s="464"/>
    </row>
    <row r="387" spans="1:9" ht="16.5" hidden="1" thickBot="1">
      <c r="A387" s="473" t="s">
        <v>13458</v>
      </c>
      <c r="B387" s="844" t="s">
        <v>13497</v>
      </c>
      <c r="C387" s="475" t="str">
        <f>C402</f>
        <v>REBITE POP EM ALUMÍNIO 4 X 16MM</v>
      </c>
      <c r="D387" s="991" t="str">
        <f>G402</f>
        <v>UN</v>
      </c>
      <c r="E387" s="815">
        <v>2</v>
      </c>
      <c r="F387" s="713">
        <f>D407</f>
        <v>0.1</v>
      </c>
      <c r="G387" s="845">
        <f>TRUNC(F387*E387,2)</f>
        <v>0.2</v>
      </c>
      <c r="H387" s="464"/>
    </row>
    <row r="388" spans="1:9" ht="16.5" hidden="1" thickBot="1">
      <c r="A388" s="464"/>
      <c r="B388" s="1283" t="s">
        <v>13469</v>
      </c>
      <c r="C388" s="1284"/>
      <c r="D388" s="1284"/>
      <c r="E388" s="1284"/>
      <c r="F388" s="1284"/>
      <c r="G388" s="1285"/>
      <c r="H388" s="464"/>
    </row>
    <row r="389" spans="1:9" ht="16.5" hidden="1" thickBot="1">
      <c r="A389" s="473" t="s">
        <v>13459</v>
      </c>
      <c r="B389" s="753">
        <v>88264</v>
      </c>
      <c r="C389" s="484" t="s">
        <v>771</v>
      </c>
      <c r="D389" s="718" t="s">
        <v>753</v>
      </c>
      <c r="E389" s="754">
        <v>0.01</v>
      </c>
      <c r="F389" s="720">
        <v>17.68</v>
      </c>
      <c r="G389" s="755">
        <f>TRUNC(F389*E389,2)</f>
        <v>0.17</v>
      </c>
      <c r="H389" s="464"/>
    </row>
    <row r="390" spans="1:9" ht="16.5" hidden="1" customHeight="1" thickBot="1">
      <c r="A390" s="464"/>
      <c r="B390" s="1287" t="s">
        <v>14084</v>
      </c>
      <c r="C390" s="1287"/>
      <c r="D390" s="1287"/>
      <c r="E390" s="1287"/>
      <c r="F390" s="756" t="s">
        <v>22</v>
      </c>
      <c r="G390" s="757">
        <f>SUM(G383:G389)</f>
        <v>6.97</v>
      </c>
      <c r="H390" s="464"/>
    </row>
    <row r="391" spans="1:9" ht="15.75" hidden="1" thickBot="1">
      <c r="A391" s="464"/>
      <c r="B391" s="1287"/>
      <c r="C391" s="1287"/>
      <c r="D391" s="1287"/>
      <c r="E391" s="1287"/>
      <c r="F391" s="1000"/>
      <c r="G391" s="1000"/>
      <c r="H391" s="464"/>
    </row>
    <row r="392" spans="1:9" s="463" customFormat="1" ht="59.25" hidden="1" customHeight="1">
      <c r="B392" s="1250" t="s">
        <v>14066</v>
      </c>
      <c r="C392" s="1250"/>
      <c r="D392" s="1250"/>
      <c r="E392" s="1250"/>
      <c r="F392" s="1250"/>
      <c r="G392" s="1250"/>
    </row>
    <row r="393" spans="1:9" s="463" customFormat="1" ht="207" hidden="1" customHeight="1">
      <c r="B393" s="1350" t="s">
        <v>14067</v>
      </c>
      <c r="C393" s="1350"/>
      <c r="D393" s="1350"/>
      <c r="E393" s="1350"/>
      <c r="F393" s="1350"/>
      <c r="G393" s="1350"/>
    </row>
    <row r="394" spans="1:9" ht="16.5" hidden="1" thickBot="1">
      <c r="A394" s="463"/>
      <c r="B394" s="957"/>
      <c r="C394" s="795"/>
      <c r="D394" s="795"/>
      <c r="E394" s="795"/>
      <c r="F394" s="795"/>
      <c r="G394" s="795"/>
      <c r="H394" s="463"/>
    </row>
    <row r="395" spans="1:9" ht="16.5" hidden="1" thickBot="1">
      <c r="A395" s="464"/>
      <c r="B395" s="572"/>
      <c r="C395" s="607" t="s">
        <v>14068</v>
      </c>
      <c r="D395" s="574"/>
      <c r="E395" s="575"/>
      <c r="F395" s="608"/>
      <c r="G395" s="577" t="s">
        <v>28</v>
      </c>
      <c r="H395" s="515" t="s">
        <v>13500</v>
      </c>
    </row>
    <row r="396" spans="1:9" ht="32.25" hidden="1" thickBot="1">
      <c r="A396" s="464"/>
      <c r="B396" s="578" t="s">
        <v>13502</v>
      </c>
      <c r="C396" s="579" t="s">
        <v>13503</v>
      </c>
      <c r="D396" s="580" t="s">
        <v>13504</v>
      </c>
      <c r="E396" s="581" t="s">
        <v>13505</v>
      </c>
      <c r="F396" s="610" t="s">
        <v>13506</v>
      </c>
      <c r="G396" s="583" t="s">
        <v>13507</v>
      </c>
      <c r="H396" s="464"/>
    </row>
    <row r="397" spans="1:9" ht="16.5" hidden="1" thickBot="1">
      <c r="A397" s="464"/>
      <c r="B397" s="597">
        <v>43741</v>
      </c>
      <c r="C397" s="630" t="s">
        <v>13772</v>
      </c>
      <c r="D397" s="593">
        <v>1.65</v>
      </c>
      <c r="E397" s="789" t="s">
        <v>13773</v>
      </c>
      <c r="F397" s="595" t="s">
        <v>14023</v>
      </c>
      <c r="G397" s="790" t="s">
        <v>14024</v>
      </c>
      <c r="H397"/>
      <c r="I397" s="791">
        <f>B397+180</f>
        <v>43921</v>
      </c>
    </row>
    <row r="398" spans="1:9" ht="15.75" hidden="1" thickBot="1">
      <c r="B398" s="597">
        <v>43741</v>
      </c>
      <c r="C398" s="630" t="s">
        <v>13924</v>
      </c>
      <c r="D398" s="593">
        <v>1.53</v>
      </c>
      <c r="E398" s="789" t="s">
        <v>13824</v>
      </c>
      <c r="F398" s="595" t="s">
        <v>14015</v>
      </c>
      <c r="G398" s="790" t="s">
        <v>13865</v>
      </c>
      <c r="H398"/>
      <c r="I398" s="791">
        <f>B398+180</f>
        <v>43921</v>
      </c>
    </row>
    <row r="399" spans="1:9" ht="15.75" hidden="1" thickBot="1">
      <c r="B399" s="591">
        <v>43742</v>
      </c>
      <c r="C399" s="630" t="s">
        <v>13763</v>
      </c>
      <c r="D399" s="593">
        <v>1.33</v>
      </c>
      <c r="E399" s="789" t="s">
        <v>13764</v>
      </c>
      <c r="F399" s="595" t="s">
        <v>14025</v>
      </c>
      <c r="G399" s="790" t="s">
        <v>14026</v>
      </c>
      <c r="H399"/>
      <c r="I399" s="792">
        <f>B399+180</f>
        <v>43922</v>
      </c>
    </row>
    <row r="400" spans="1:9" ht="16.5" hidden="1" thickBot="1">
      <c r="B400" s="598"/>
      <c r="C400" s="599" t="s">
        <v>13523</v>
      </c>
      <c r="D400" s="538">
        <f>IF(COUNT(D396:D399)=3,MEDIAN(D396:D399),SMALL(D397:D399,1))</f>
        <v>1.53</v>
      </c>
      <c r="E400" s="600"/>
      <c r="F400" s="620"/>
      <c r="G400" s="602"/>
    </row>
    <row r="401" spans="1:9" ht="13.5" hidden="1" thickBot="1"/>
    <row r="402" spans="1:9" ht="16.5" hidden="1" thickBot="1">
      <c r="B402" s="572"/>
      <c r="C402" s="607" t="s">
        <v>14064</v>
      </c>
      <c r="D402" s="574"/>
      <c r="E402" s="575"/>
      <c r="F402" s="608"/>
      <c r="G402" s="577" t="s">
        <v>28</v>
      </c>
      <c r="H402" s="515" t="s">
        <v>13500</v>
      </c>
    </row>
    <row r="403" spans="1:9" ht="32.25" hidden="1" thickBot="1">
      <c r="B403" s="668" t="s">
        <v>13502</v>
      </c>
      <c r="C403" s="669" t="s">
        <v>13503</v>
      </c>
      <c r="D403" s="670" t="s">
        <v>13504</v>
      </c>
      <c r="E403" s="671" t="s">
        <v>13505</v>
      </c>
      <c r="F403" s="647" t="s">
        <v>13506</v>
      </c>
      <c r="G403" s="672" t="s">
        <v>13507</v>
      </c>
    </row>
    <row r="404" spans="1:9" ht="15.75" hidden="1" thickBot="1">
      <c r="B404" s="597">
        <v>43741</v>
      </c>
      <c r="C404" s="630" t="s">
        <v>13772</v>
      </c>
      <c r="D404" s="593">
        <v>0.12</v>
      </c>
      <c r="E404" s="789" t="s">
        <v>13773</v>
      </c>
      <c r="F404" s="595" t="s">
        <v>14023</v>
      </c>
      <c r="G404" s="790" t="s">
        <v>14024</v>
      </c>
      <c r="H404"/>
      <c r="I404" s="791">
        <f>B404+180</f>
        <v>43921</v>
      </c>
    </row>
    <row r="405" spans="1:9" ht="15.75" hidden="1" thickBot="1">
      <c r="B405" s="591">
        <v>43742</v>
      </c>
      <c r="C405" s="630" t="s">
        <v>13763</v>
      </c>
      <c r="D405" s="593">
        <v>0.09</v>
      </c>
      <c r="E405" s="789" t="s">
        <v>13764</v>
      </c>
      <c r="F405" s="595" t="s">
        <v>14025</v>
      </c>
      <c r="G405" s="790" t="s">
        <v>14026</v>
      </c>
      <c r="H405"/>
      <c r="I405" s="791">
        <f>B405+180</f>
        <v>43922</v>
      </c>
    </row>
    <row r="406" spans="1:9" ht="15.75" hidden="1" thickBot="1">
      <c r="B406" s="591">
        <v>43747</v>
      </c>
      <c r="C406" s="630" t="s">
        <v>13781</v>
      </c>
      <c r="D406" s="593">
        <v>0.1</v>
      </c>
      <c r="E406" s="789" t="s">
        <v>13782</v>
      </c>
      <c r="F406" s="595" t="s">
        <v>13761</v>
      </c>
      <c r="G406" s="790" t="s">
        <v>14020</v>
      </c>
      <c r="H406"/>
      <c r="I406" s="792">
        <f>B406+180</f>
        <v>43927</v>
      </c>
    </row>
    <row r="407" spans="1:9" ht="16.5" hidden="1" thickBot="1">
      <c r="B407" s="598"/>
      <c r="C407" s="599" t="s">
        <v>13523</v>
      </c>
      <c r="D407" s="538">
        <f>IF(COUNT(D403:D406)=3,MEDIAN(D403:D406),SMALL(D404:D406,1))</f>
        <v>0.1</v>
      </c>
      <c r="E407" s="600"/>
      <c r="F407" s="620"/>
      <c r="G407" s="602"/>
    </row>
    <row r="408" spans="1:9" ht="13.5" hidden="1" thickBot="1"/>
    <row r="409" spans="1:9" ht="16.5" hidden="1" thickBot="1">
      <c r="B409" s="572">
        <v>42</v>
      </c>
      <c r="C409" s="954" t="s">
        <v>14070</v>
      </c>
      <c r="D409" s="574"/>
      <c r="E409" s="575"/>
      <c r="F409" s="608"/>
      <c r="G409" s="577" t="s">
        <v>28</v>
      </c>
    </row>
    <row r="410" spans="1:9" ht="32.25" hidden="1" thickBot="1">
      <c r="B410" s="578" t="s">
        <v>13502</v>
      </c>
      <c r="C410" s="579" t="s">
        <v>13503</v>
      </c>
      <c r="D410" s="580" t="s">
        <v>13504</v>
      </c>
      <c r="E410" s="581" t="s">
        <v>13505</v>
      </c>
      <c r="F410" s="610" t="s">
        <v>13506</v>
      </c>
      <c r="G410" s="583" t="s">
        <v>13507</v>
      </c>
    </row>
    <row r="411" spans="1:9" ht="15.75" hidden="1" thickBot="1">
      <c r="B411" s="611">
        <v>43759</v>
      </c>
      <c r="C411" s="592" t="s">
        <v>14071</v>
      </c>
      <c r="D411" s="617">
        <v>3</v>
      </c>
      <c r="E411" s="631" t="s">
        <v>14072</v>
      </c>
      <c r="F411" s="993" t="s">
        <v>14073</v>
      </c>
      <c r="G411" s="618" t="s">
        <v>14074</v>
      </c>
    </row>
    <row r="412" spans="1:9" ht="15.75" hidden="1" thickBot="1">
      <c r="B412" s="994">
        <v>43759</v>
      </c>
      <c r="C412" s="630" t="s">
        <v>14075</v>
      </c>
      <c r="D412" s="593">
        <v>4.5</v>
      </c>
      <c r="E412" s="631" t="s">
        <v>14076</v>
      </c>
      <c r="F412" s="876" t="s">
        <v>14077</v>
      </c>
      <c r="G412" s="790" t="s">
        <v>14078</v>
      </c>
    </row>
    <row r="413" spans="1:9" ht="15.75" hidden="1" thickBot="1">
      <c r="B413" s="994">
        <v>43756</v>
      </c>
      <c r="C413" s="630" t="s">
        <v>14079</v>
      </c>
      <c r="D413" s="593">
        <v>3.5</v>
      </c>
      <c r="E413" s="631" t="s">
        <v>14080</v>
      </c>
      <c r="F413" s="876" t="s">
        <v>14081</v>
      </c>
      <c r="G413" s="790" t="s">
        <v>14082</v>
      </c>
    </row>
    <row r="414" spans="1:9" ht="16.5" hidden="1" thickBot="1">
      <c r="B414" s="598"/>
      <c r="C414" s="599" t="s">
        <v>13523</v>
      </c>
      <c r="D414" s="793">
        <f>IF(COUNT(D410:D413)=3,MEDIAN(D410:D413),SMALL(D411:D413,1))</f>
        <v>3.5</v>
      </c>
      <c r="E414" s="600"/>
      <c r="F414" s="620"/>
      <c r="G414" s="602"/>
    </row>
    <row r="415" spans="1:9" ht="16.5" hidden="1" thickBot="1">
      <c r="B415" s="1352"/>
      <c r="C415" s="1352"/>
      <c r="D415" s="1001"/>
      <c r="E415" s="1001"/>
      <c r="F415" s="1001"/>
      <c r="G415" s="1001"/>
    </row>
    <row r="416" spans="1:9" s="465" customFormat="1" ht="39" hidden="1" customHeight="1">
      <c r="A416" s="464"/>
      <c r="B416" s="704" t="str">
        <f>IF(COUNT($H$8:H416)&lt;10,CONCATENATE("COMP SPDA 00",COUNT($H$8:H416)),CONCATENATE("COMP SPDA 0",COUNT($H$8:H416)))</f>
        <v>COMP SPDA 020</v>
      </c>
      <c r="C416" s="1257" t="s">
        <v>14085</v>
      </c>
      <c r="D416" s="1225"/>
      <c r="E416" s="1225"/>
      <c r="F416" s="1225"/>
      <c r="G416" s="705" t="s">
        <v>28</v>
      </c>
      <c r="H416" s="570">
        <f>G426</f>
        <v>31.880000000000003</v>
      </c>
    </row>
    <row r="417" spans="1:10" s="465" customFormat="1" ht="32.25" hidden="1" thickBot="1">
      <c r="A417" s="464"/>
      <c r="B417" s="469" t="s">
        <v>13463</v>
      </c>
      <c r="C417" s="707" t="s">
        <v>13464</v>
      </c>
      <c r="D417" s="470" t="s">
        <v>28</v>
      </c>
      <c r="E417" s="707" t="s">
        <v>13465</v>
      </c>
      <c r="F417" s="293" t="s">
        <v>13466</v>
      </c>
      <c r="G417" s="708" t="s">
        <v>13467</v>
      </c>
      <c r="H417" s="464"/>
    </row>
    <row r="418" spans="1:10" s="465" customFormat="1" ht="16.5" hidden="1" thickBot="1">
      <c r="A418" s="464"/>
      <c r="B418" s="1283" t="s">
        <v>13468</v>
      </c>
      <c r="C418" s="1284"/>
      <c r="D418" s="1284"/>
      <c r="E418" s="1284"/>
      <c r="F418" s="1284"/>
      <c r="G418" s="1285"/>
      <c r="H418" s="464"/>
    </row>
    <row r="419" spans="1:10" s="465" customFormat="1" ht="30.75" hidden="1" thickBot="1">
      <c r="A419" s="473" t="s">
        <v>13458</v>
      </c>
      <c r="B419" s="844">
        <v>142</v>
      </c>
      <c r="C419" s="475" t="s">
        <v>12350</v>
      </c>
      <c r="D419" s="711" t="s">
        <v>10462</v>
      </c>
      <c r="E419" s="983">
        <v>8.0799999999999997E-2</v>
      </c>
      <c r="F419" s="713">
        <v>23.02</v>
      </c>
      <c r="G419" s="845">
        <f>TRUNC(F419*E419,2)</f>
        <v>1.86</v>
      </c>
      <c r="H419" s="464"/>
    </row>
    <row r="420" spans="1:10" s="465" customFormat="1" ht="45.75" hidden="1" thickBot="1">
      <c r="A420" s="473" t="s">
        <v>13458</v>
      </c>
      <c r="B420" s="844">
        <v>7583</v>
      </c>
      <c r="C420" s="475" t="s">
        <v>959</v>
      </c>
      <c r="D420" s="711" t="s">
        <v>6636</v>
      </c>
      <c r="E420" s="815">
        <v>2</v>
      </c>
      <c r="F420" s="713">
        <v>0.2</v>
      </c>
      <c r="G420" s="845">
        <f>TRUNC(F420*E420,2)</f>
        <v>0.4</v>
      </c>
      <c r="H420" s="464"/>
    </row>
    <row r="421" spans="1:10" s="465" customFormat="1" ht="30.75" hidden="1" thickBot="1">
      <c r="A421" s="473" t="s">
        <v>13458</v>
      </c>
      <c r="B421" s="844">
        <v>13348</v>
      </c>
      <c r="C421" s="475" t="s">
        <v>6960</v>
      </c>
      <c r="D421" s="711" t="s">
        <v>6636</v>
      </c>
      <c r="E421" s="815">
        <v>2</v>
      </c>
      <c r="F421" s="713">
        <v>0.49</v>
      </c>
      <c r="G421" s="845">
        <f>TRUNC(F421*E421,2)</f>
        <v>0.98</v>
      </c>
      <c r="H421" s="464"/>
    </row>
    <row r="422" spans="1:10" s="465" customFormat="1" ht="30.75" hidden="1" thickBot="1">
      <c r="A422" s="473" t="s">
        <v>13458</v>
      </c>
      <c r="B422" s="844">
        <v>7571</v>
      </c>
      <c r="C422" s="475" t="s">
        <v>10899</v>
      </c>
      <c r="D422" s="711" t="s">
        <v>6636</v>
      </c>
      <c r="E422" s="815">
        <v>1</v>
      </c>
      <c r="F422" s="713">
        <v>10.46</v>
      </c>
      <c r="G422" s="845">
        <f>TRUNC(F422*E422,2)</f>
        <v>10.46</v>
      </c>
      <c r="H422" s="464"/>
    </row>
    <row r="423" spans="1:10" s="465" customFormat="1" ht="16.5" hidden="1" thickBot="1">
      <c r="A423" s="464"/>
      <c r="B423" s="1283" t="s">
        <v>13469</v>
      </c>
      <c r="C423" s="1284"/>
      <c r="D423" s="1284"/>
      <c r="E423" s="1284"/>
      <c r="F423" s="1284"/>
      <c r="G423" s="1285"/>
      <c r="H423" s="464"/>
    </row>
    <row r="424" spans="1:10" s="465" customFormat="1" ht="16.5" hidden="1" thickBot="1">
      <c r="A424" s="473" t="s">
        <v>13459</v>
      </c>
      <c r="B424" s="751">
        <v>88247</v>
      </c>
      <c r="C424" s="475" t="s">
        <v>924</v>
      </c>
      <c r="D424" s="711" t="s">
        <v>753</v>
      </c>
      <c r="E424" s="752">
        <v>0.5</v>
      </c>
      <c r="F424" s="713">
        <v>15.84</v>
      </c>
      <c r="G424" s="750">
        <f>TRUNC(F424*E424,2)</f>
        <v>7.92</v>
      </c>
      <c r="H424" s="464"/>
    </row>
    <row r="425" spans="1:10" s="465" customFormat="1" ht="16.5" hidden="1" thickBot="1">
      <c r="A425" s="473" t="s">
        <v>13459</v>
      </c>
      <c r="B425" s="753">
        <v>88264</v>
      </c>
      <c r="C425" s="484" t="s">
        <v>771</v>
      </c>
      <c r="D425" s="718" t="s">
        <v>753</v>
      </c>
      <c r="E425" s="754">
        <v>0.5</v>
      </c>
      <c r="F425" s="720">
        <v>20.52</v>
      </c>
      <c r="G425" s="755">
        <f>TRUNC(F425*E425,2)</f>
        <v>10.26</v>
      </c>
      <c r="H425" s="464"/>
    </row>
    <row r="426" spans="1:10" s="465" customFormat="1" ht="16.5" hidden="1" thickBot="1">
      <c r="A426" s="464"/>
      <c r="B426" s="1265" t="s">
        <v>14086</v>
      </c>
      <c r="C426" s="1265"/>
      <c r="D426" s="1265"/>
      <c r="E426" s="1265"/>
      <c r="F426" s="756" t="s">
        <v>22</v>
      </c>
      <c r="G426" s="757">
        <f>SUM(G418:G425)</f>
        <v>31.880000000000003</v>
      </c>
      <c r="H426" s="464"/>
    </row>
    <row r="427" spans="1:10" s="464" customFormat="1" ht="15.75" hidden="1" thickBot="1">
      <c r="B427" s="1265"/>
      <c r="C427" s="1265"/>
      <c r="D427" s="1265"/>
      <c r="E427" s="1265"/>
      <c r="F427" s="465"/>
      <c r="G427" s="465"/>
      <c r="I427" s="465"/>
      <c r="J427" s="465"/>
    </row>
    <row r="428" spans="1:10" s="463" customFormat="1" ht="59.25" hidden="1" customHeight="1">
      <c r="B428" s="1250" t="s">
        <v>14039</v>
      </c>
      <c r="C428" s="1250"/>
      <c r="D428" s="1250"/>
      <c r="E428" s="1250"/>
      <c r="F428" s="1250"/>
      <c r="G428" s="1250"/>
    </row>
    <row r="429" spans="1:10" s="463" customFormat="1" ht="207" hidden="1" customHeight="1">
      <c r="B429" s="1350" t="s">
        <v>14087</v>
      </c>
      <c r="C429" s="1350"/>
      <c r="D429" s="1350"/>
      <c r="E429" s="1350"/>
      <c r="F429" s="1350"/>
      <c r="G429" s="1350"/>
    </row>
    <row r="430" spans="1:10" ht="13.5" hidden="1" thickBot="1"/>
    <row r="431" spans="1:10" ht="36" hidden="1" customHeight="1">
      <c r="A431" s="464"/>
      <c r="B431" s="704" t="str">
        <f>CONCATENATE("COMP SPDA 0",(RIGHT(B416,2))+1)</f>
        <v>COMP SPDA 021</v>
      </c>
      <c r="C431" s="1257" t="s">
        <v>14088</v>
      </c>
      <c r="D431" s="1225"/>
      <c r="E431" s="1225"/>
      <c r="F431" s="1225"/>
      <c r="G431" s="705" t="s">
        <v>28</v>
      </c>
      <c r="H431" s="698">
        <f>G441</f>
        <v>31.68</v>
      </c>
    </row>
    <row r="432" spans="1:10" ht="32.25" hidden="1" thickBot="1">
      <c r="A432" s="464"/>
      <c r="B432" s="469" t="s">
        <v>13463</v>
      </c>
      <c r="C432" s="707" t="s">
        <v>13464</v>
      </c>
      <c r="D432" s="470" t="s">
        <v>28</v>
      </c>
      <c r="E432" s="707" t="s">
        <v>13465</v>
      </c>
      <c r="F432" s="293" t="s">
        <v>13466</v>
      </c>
      <c r="G432" s="708" t="s">
        <v>13467</v>
      </c>
    </row>
    <row r="433" spans="1:8" ht="16.5" hidden="1" thickBot="1">
      <c r="A433" s="464"/>
      <c r="B433" s="1283" t="s">
        <v>13468</v>
      </c>
      <c r="C433" s="1284"/>
      <c r="D433" s="1284"/>
      <c r="E433" s="1284"/>
      <c r="F433" s="1284"/>
      <c r="G433" s="1285"/>
    </row>
    <row r="434" spans="1:8" ht="30.75" hidden="1" thickBot="1">
      <c r="A434" s="473" t="s">
        <v>13458</v>
      </c>
      <c r="B434" s="844">
        <v>142</v>
      </c>
      <c r="C434" s="475" t="s">
        <v>12350</v>
      </c>
      <c r="D434" s="711" t="s">
        <v>10462</v>
      </c>
      <c r="E434" s="983">
        <v>8.0799999999999997E-2</v>
      </c>
      <c r="F434" s="713">
        <v>23.02</v>
      </c>
      <c r="G434" s="845">
        <f>TRUNC(F434*E434,2)</f>
        <v>1.86</v>
      </c>
    </row>
    <row r="435" spans="1:8" ht="45.75" hidden="1" thickBot="1">
      <c r="A435" s="473" t="s">
        <v>13458</v>
      </c>
      <c r="B435" s="844">
        <v>11950</v>
      </c>
      <c r="C435" s="475" t="s">
        <v>923</v>
      </c>
      <c r="D435" s="711" t="s">
        <v>6636</v>
      </c>
      <c r="E435" s="815">
        <v>2</v>
      </c>
      <c r="F435" s="713">
        <v>0.1</v>
      </c>
      <c r="G435" s="845">
        <f>TRUNC(F435*E435,2)</f>
        <v>0.2</v>
      </c>
    </row>
    <row r="436" spans="1:8" s="465" customFormat="1" ht="30.75" hidden="1" thickBot="1">
      <c r="A436" s="473" t="s">
        <v>13458</v>
      </c>
      <c r="B436" s="844">
        <v>13348</v>
      </c>
      <c r="C436" s="475" t="s">
        <v>6960</v>
      </c>
      <c r="D436" s="711" t="s">
        <v>6636</v>
      </c>
      <c r="E436" s="815">
        <v>2</v>
      </c>
      <c r="F436" s="713">
        <v>0.49</v>
      </c>
      <c r="G436" s="845">
        <f>TRUNC(F436*E436,2)</f>
        <v>0.98</v>
      </c>
      <c r="H436" s="464"/>
    </row>
    <row r="437" spans="1:8" ht="30.75" hidden="1" thickBot="1">
      <c r="A437" s="473" t="s">
        <v>13458</v>
      </c>
      <c r="B437" s="844">
        <v>7571</v>
      </c>
      <c r="C437" s="475" t="s">
        <v>10899</v>
      </c>
      <c r="D437" s="711" t="s">
        <v>6636</v>
      </c>
      <c r="E437" s="815">
        <v>1</v>
      </c>
      <c r="F437" s="713">
        <v>10.46</v>
      </c>
      <c r="G437" s="845">
        <f>TRUNC(F437*E437,2)</f>
        <v>10.46</v>
      </c>
    </row>
    <row r="438" spans="1:8" ht="16.5" hidden="1" thickBot="1">
      <c r="A438" s="464"/>
      <c r="B438" s="1283" t="s">
        <v>13469</v>
      </c>
      <c r="C438" s="1284"/>
      <c r="D438" s="1284"/>
      <c r="E438" s="1284"/>
      <c r="F438" s="1284"/>
      <c r="G438" s="1285"/>
    </row>
    <row r="439" spans="1:8" ht="16.5" hidden="1" thickBot="1">
      <c r="A439" s="473" t="s">
        <v>13459</v>
      </c>
      <c r="B439" s="751">
        <v>88247</v>
      </c>
      <c r="C439" s="475" t="s">
        <v>924</v>
      </c>
      <c r="D439" s="711" t="s">
        <v>753</v>
      </c>
      <c r="E439" s="752">
        <v>0.5</v>
      </c>
      <c r="F439" s="713">
        <v>15.84</v>
      </c>
      <c r="G439" s="750">
        <f>TRUNC(F439*E439,2)</f>
        <v>7.92</v>
      </c>
    </row>
    <row r="440" spans="1:8" ht="16.5" hidden="1" thickBot="1">
      <c r="A440" s="473" t="s">
        <v>13459</v>
      </c>
      <c r="B440" s="753">
        <v>88264</v>
      </c>
      <c r="C440" s="484" t="s">
        <v>771</v>
      </c>
      <c r="D440" s="718" t="s">
        <v>753</v>
      </c>
      <c r="E440" s="754">
        <v>0.5</v>
      </c>
      <c r="F440" s="720">
        <v>20.52</v>
      </c>
      <c r="G440" s="755">
        <f>TRUNC(F440*E440,2)</f>
        <v>10.26</v>
      </c>
    </row>
    <row r="441" spans="1:8" ht="16.5" hidden="1" thickBot="1">
      <c r="A441" s="464"/>
      <c r="B441" s="1265" t="s">
        <v>14089</v>
      </c>
      <c r="C441" s="1265"/>
      <c r="D441" s="1265"/>
      <c r="E441" s="1265"/>
      <c r="F441" s="756" t="s">
        <v>22</v>
      </c>
      <c r="G441" s="757">
        <f>SUM(G433:G440)</f>
        <v>31.68</v>
      </c>
    </row>
    <row r="442" spans="1:8" ht="15.75" hidden="1" thickBot="1">
      <c r="A442" s="464"/>
      <c r="B442" s="1265"/>
      <c r="C442" s="1265"/>
      <c r="D442" s="1265"/>
      <c r="E442" s="1265"/>
      <c r="F442" s="465"/>
      <c r="G442" s="465"/>
    </row>
    <row r="443" spans="1:8" s="463" customFormat="1" ht="16.5" hidden="1" thickBot="1">
      <c r="B443" s="957"/>
      <c r="C443" s="795"/>
      <c r="D443" s="795"/>
      <c r="E443" s="795"/>
      <c r="F443" s="795"/>
      <c r="G443" s="795"/>
    </row>
    <row r="444" spans="1:8" s="463" customFormat="1" ht="59.25" hidden="1" customHeight="1">
      <c r="B444" s="1250" t="s">
        <v>14039</v>
      </c>
      <c r="C444" s="1250"/>
      <c r="D444" s="1250"/>
      <c r="E444" s="1250"/>
      <c r="F444" s="1250"/>
      <c r="G444" s="1250"/>
    </row>
    <row r="445" spans="1:8" s="463" customFormat="1" ht="207" hidden="1" customHeight="1">
      <c r="B445" s="1350" t="s">
        <v>14087</v>
      </c>
      <c r="C445" s="1350"/>
      <c r="D445" s="1350"/>
      <c r="E445" s="1350"/>
      <c r="F445" s="1350"/>
      <c r="G445" s="1350"/>
    </row>
    <row r="446" spans="1:8" ht="13.5" hidden="1" thickBot="1"/>
    <row r="447" spans="1:8" ht="35.25" hidden="1" customHeight="1">
      <c r="A447" s="464"/>
      <c r="B447" s="704" t="str">
        <f>CONCATENATE("COMP SPDA 0",(RIGHT(B431,2))+1)</f>
        <v>COMP SPDA 022</v>
      </c>
      <c r="C447" s="1257" t="s">
        <v>14090</v>
      </c>
      <c r="D447" s="1225"/>
      <c r="E447" s="1225"/>
      <c r="F447" s="1225"/>
      <c r="G447" s="705" t="s">
        <v>28</v>
      </c>
      <c r="H447" s="698">
        <f>G456</f>
        <v>30.700000000000003</v>
      </c>
    </row>
    <row r="448" spans="1:8" ht="32.25" hidden="1" thickBot="1">
      <c r="A448" s="464"/>
      <c r="B448" s="469" t="s">
        <v>13463</v>
      </c>
      <c r="C448" s="707" t="s">
        <v>13464</v>
      </c>
      <c r="D448" s="470" t="s">
        <v>28</v>
      </c>
      <c r="E448" s="707" t="s">
        <v>13465</v>
      </c>
      <c r="F448" s="293" t="s">
        <v>13466</v>
      </c>
      <c r="G448" s="708" t="s">
        <v>13467</v>
      </c>
    </row>
    <row r="449" spans="1:9" ht="16.5" hidden="1" thickBot="1">
      <c r="A449" s="464"/>
      <c r="B449" s="1283" t="s">
        <v>13468</v>
      </c>
      <c r="C449" s="1284"/>
      <c r="D449" s="1284"/>
      <c r="E449" s="1284"/>
      <c r="F449" s="1284"/>
      <c r="G449" s="1285"/>
    </row>
    <row r="450" spans="1:9" ht="30.75" hidden="1" thickBot="1">
      <c r="A450" s="473" t="s">
        <v>13458</v>
      </c>
      <c r="B450" s="844">
        <v>142</v>
      </c>
      <c r="C450" s="475" t="s">
        <v>12350</v>
      </c>
      <c r="D450" s="711" t="s">
        <v>10462</v>
      </c>
      <c r="E450" s="983">
        <v>8.0799999999999997E-2</v>
      </c>
      <c r="F450" s="713">
        <v>23.02</v>
      </c>
      <c r="G450" s="845">
        <f>TRUNC(F450*E450,2)</f>
        <v>1.86</v>
      </c>
    </row>
    <row r="451" spans="1:9" ht="16.5" hidden="1" thickBot="1">
      <c r="A451" s="473" t="s">
        <v>13458</v>
      </c>
      <c r="B451" s="844" t="s">
        <v>13497</v>
      </c>
      <c r="C451" s="475" t="str">
        <f>C461</f>
        <v>REBITE POP EM ALUMÍNIO 4 X 16MM</v>
      </c>
      <c r="D451" s="991" t="str">
        <f>G461</f>
        <v>UN</v>
      </c>
      <c r="E451" s="815">
        <v>2</v>
      </c>
      <c r="F451" s="713">
        <f>D466</f>
        <v>0.1</v>
      </c>
      <c r="G451" s="845">
        <f>TRUNC(F451*E451,2)</f>
        <v>0.2</v>
      </c>
    </row>
    <row r="452" spans="1:9" ht="30.75" hidden="1" thickBot="1">
      <c r="A452" s="473" t="s">
        <v>13458</v>
      </c>
      <c r="B452" s="844">
        <v>7571</v>
      </c>
      <c r="C452" s="475" t="s">
        <v>10899</v>
      </c>
      <c r="D452" s="711" t="s">
        <v>6636</v>
      </c>
      <c r="E452" s="815">
        <v>1</v>
      </c>
      <c r="F452" s="713">
        <v>10.46</v>
      </c>
      <c r="G452" s="845">
        <f>TRUNC(F452*E452,2)</f>
        <v>10.46</v>
      </c>
    </row>
    <row r="453" spans="1:9" ht="16.5" hidden="1" thickBot="1">
      <c r="A453" s="464"/>
      <c r="B453" s="1283" t="s">
        <v>13469</v>
      </c>
      <c r="C453" s="1284"/>
      <c r="D453" s="1284"/>
      <c r="E453" s="1284"/>
      <c r="F453" s="1284"/>
      <c r="G453" s="1285"/>
    </row>
    <row r="454" spans="1:9" ht="16.5" hidden="1" thickBot="1">
      <c r="A454" s="473" t="s">
        <v>13459</v>
      </c>
      <c r="B454" s="751">
        <v>88247</v>
      </c>
      <c r="C454" s="475" t="s">
        <v>924</v>
      </c>
      <c r="D454" s="711" t="s">
        <v>753</v>
      </c>
      <c r="E454" s="752">
        <v>0.5</v>
      </c>
      <c r="F454" s="713">
        <v>15.84</v>
      </c>
      <c r="G454" s="750">
        <f>TRUNC(F454*E454,2)</f>
        <v>7.92</v>
      </c>
    </row>
    <row r="455" spans="1:9" ht="16.5" hidden="1" thickBot="1">
      <c r="A455" s="473" t="s">
        <v>13459</v>
      </c>
      <c r="B455" s="753">
        <v>88264</v>
      </c>
      <c r="C455" s="484" t="s">
        <v>771</v>
      </c>
      <c r="D455" s="718" t="s">
        <v>753</v>
      </c>
      <c r="E455" s="754">
        <v>0.5</v>
      </c>
      <c r="F455" s="720">
        <v>20.52</v>
      </c>
      <c r="G455" s="755">
        <f>TRUNC(F455*E455,2)</f>
        <v>10.26</v>
      </c>
    </row>
    <row r="456" spans="1:9" ht="16.5" hidden="1" thickBot="1">
      <c r="A456" s="464"/>
      <c r="B456" s="1265" t="s">
        <v>14091</v>
      </c>
      <c r="C456" s="1265"/>
      <c r="D456" s="1265"/>
      <c r="E456" s="1265"/>
      <c r="F456" s="756" t="s">
        <v>22</v>
      </c>
      <c r="G456" s="757">
        <f>SUM(G449:G455)</f>
        <v>30.700000000000003</v>
      </c>
    </row>
    <row r="457" spans="1:9" ht="15.75" hidden="1" thickBot="1">
      <c r="A457" s="464"/>
      <c r="B457" s="1265"/>
      <c r="C457" s="1265"/>
      <c r="D457" s="1265"/>
      <c r="E457" s="1265"/>
      <c r="F457" s="465"/>
      <c r="G457" s="465"/>
    </row>
    <row r="458" spans="1:9" s="463" customFormat="1" ht="59.25" hidden="1" customHeight="1">
      <c r="B458" s="1250" t="s">
        <v>14039</v>
      </c>
      <c r="C458" s="1250"/>
      <c r="D458" s="1250"/>
      <c r="E458" s="1250"/>
      <c r="F458" s="1250"/>
      <c r="G458" s="1250"/>
    </row>
    <row r="459" spans="1:9" s="463" customFormat="1" ht="207" hidden="1" customHeight="1">
      <c r="B459" s="1350" t="s">
        <v>14087</v>
      </c>
      <c r="C459" s="1350"/>
      <c r="D459" s="1350"/>
      <c r="E459" s="1350"/>
      <c r="F459" s="1350"/>
      <c r="G459" s="1350"/>
    </row>
    <row r="460" spans="1:9" ht="13.5" hidden="1" thickBot="1"/>
    <row r="461" spans="1:9" ht="16.5" hidden="1" thickBot="1">
      <c r="B461" s="572"/>
      <c r="C461" s="607" t="s">
        <v>14064</v>
      </c>
      <c r="D461" s="574"/>
      <c r="E461" s="575"/>
      <c r="F461" s="608"/>
      <c r="G461" s="577" t="s">
        <v>28</v>
      </c>
      <c r="H461" s="515" t="s">
        <v>13500</v>
      </c>
    </row>
    <row r="462" spans="1:9" ht="32.25" hidden="1" thickBot="1">
      <c r="B462" s="668" t="s">
        <v>13502</v>
      </c>
      <c r="C462" s="669" t="s">
        <v>13503</v>
      </c>
      <c r="D462" s="670" t="s">
        <v>13504</v>
      </c>
      <c r="E462" s="671" t="s">
        <v>13505</v>
      </c>
      <c r="F462" s="647" t="s">
        <v>13506</v>
      </c>
      <c r="G462" s="672" t="s">
        <v>13507</v>
      </c>
    </row>
    <row r="463" spans="1:9" ht="15.75" hidden="1" thickBot="1">
      <c r="B463" s="597">
        <v>43741</v>
      </c>
      <c r="C463" s="630" t="s">
        <v>13772</v>
      </c>
      <c r="D463" s="593">
        <v>0.12</v>
      </c>
      <c r="E463" s="789" t="s">
        <v>13773</v>
      </c>
      <c r="F463" s="595" t="s">
        <v>14023</v>
      </c>
      <c r="G463" s="790" t="s">
        <v>14024</v>
      </c>
      <c r="H463"/>
      <c r="I463" s="791">
        <f>B463+180</f>
        <v>43921</v>
      </c>
    </row>
    <row r="464" spans="1:9" ht="15.75" hidden="1" thickBot="1">
      <c r="B464" s="591">
        <v>43742</v>
      </c>
      <c r="C464" s="630" t="s">
        <v>13763</v>
      </c>
      <c r="D464" s="593">
        <v>0.09</v>
      </c>
      <c r="E464" s="789" t="s">
        <v>13764</v>
      </c>
      <c r="F464" s="595" t="s">
        <v>14025</v>
      </c>
      <c r="G464" s="790" t="s">
        <v>14026</v>
      </c>
      <c r="H464"/>
      <c r="I464" s="791">
        <f>B464+180</f>
        <v>43922</v>
      </c>
    </row>
    <row r="465" spans="1:9" ht="15.75" hidden="1" thickBot="1">
      <c r="B465" s="591">
        <v>43747</v>
      </c>
      <c r="C465" s="630" t="s">
        <v>13781</v>
      </c>
      <c r="D465" s="593">
        <v>0.1</v>
      </c>
      <c r="E465" s="789" t="s">
        <v>13782</v>
      </c>
      <c r="F465" s="595" t="s">
        <v>13761</v>
      </c>
      <c r="G465" s="790" t="s">
        <v>14020</v>
      </c>
      <c r="H465"/>
      <c r="I465" s="792">
        <f>B465+180</f>
        <v>43927</v>
      </c>
    </row>
    <row r="466" spans="1:9" ht="16.5" hidden="1" thickBot="1">
      <c r="B466" s="598"/>
      <c r="C466" s="599" t="s">
        <v>13523</v>
      </c>
      <c r="D466" s="538">
        <f>IF(COUNT(D462:D465)=3,MEDIAN(D462:D465),SMALL(D463:D465,1))</f>
        <v>0.1</v>
      </c>
      <c r="E466" s="600"/>
      <c r="F466" s="620"/>
      <c r="G466" s="602"/>
    </row>
    <row r="467" spans="1:9" ht="13.5" hidden="1" thickBot="1"/>
    <row r="468" spans="1:9" ht="25.5" hidden="1" customHeight="1">
      <c r="A468" s="464"/>
      <c r="B468" s="704" t="str">
        <f>CONCATENATE("COMP SPDA 0",(RIGHT(B447,2))+1)</f>
        <v>COMP SPDA 023</v>
      </c>
      <c r="C468" s="1257" t="str">
        <f>CONCATENATE("FORNECIMENTO E INSTALAÇÃO DE ",C471)</f>
        <v>FORNECIMENTO E INSTALAÇÃO DE VERGALHÃO GALVANIZADO A FOGO 3/8" X 3,00m (RE-BAR)</v>
      </c>
      <c r="D468" s="1225"/>
      <c r="E468" s="1225"/>
      <c r="F468" s="1225"/>
      <c r="G468" s="705" t="s">
        <v>28</v>
      </c>
      <c r="H468" s="570">
        <f>G475</f>
        <v>28.69</v>
      </c>
    </row>
    <row r="469" spans="1:9" ht="32.25" hidden="1" thickBot="1">
      <c r="A469" s="464"/>
      <c r="B469" s="469" t="s">
        <v>13463</v>
      </c>
      <c r="C469" s="707" t="s">
        <v>13464</v>
      </c>
      <c r="D469" s="470" t="s">
        <v>28</v>
      </c>
      <c r="E469" s="707" t="s">
        <v>13465</v>
      </c>
      <c r="F469" s="293" t="s">
        <v>13466</v>
      </c>
      <c r="G469" s="708" t="s">
        <v>13467</v>
      </c>
      <c r="H469" s="464"/>
    </row>
    <row r="470" spans="1:9" ht="16.5" hidden="1" thickBot="1">
      <c r="A470" s="464"/>
      <c r="B470" s="1283" t="s">
        <v>13468</v>
      </c>
      <c r="C470" s="1284"/>
      <c r="D470" s="1284"/>
      <c r="E470" s="1284"/>
      <c r="F470" s="1284"/>
      <c r="G470" s="1285"/>
      <c r="H470" s="464"/>
    </row>
    <row r="471" spans="1:9" ht="15.75" hidden="1" thickBot="1">
      <c r="A471" s="464"/>
      <c r="B471" s="951" t="s">
        <v>13497</v>
      </c>
      <c r="C471" s="863" t="str">
        <f>C477</f>
        <v>VERGALHÃO GALVANIZADO A FOGO 3/8" X 3,00m (RE-BAR)</v>
      </c>
      <c r="D471" s="864" t="s">
        <v>28</v>
      </c>
      <c r="E471" s="815">
        <v>1</v>
      </c>
      <c r="F471" s="815">
        <f>D482</f>
        <v>17.77</v>
      </c>
      <c r="G471" s="845">
        <f>TRUNC(F471*E471,2)</f>
        <v>17.77</v>
      </c>
      <c r="H471" s="464"/>
    </row>
    <row r="472" spans="1:9" ht="16.5" hidden="1" thickBot="1">
      <c r="A472" s="464"/>
      <c r="B472" s="1246" t="s">
        <v>13469</v>
      </c>
      <c r="C472" s="1247"/>
      <c r="D472" s="1247"/>
      <c r="E472" s="1247"/>
      <c r="F472" s="1247"/>
      <c r="G472" s="1248"/>
      <c r="H472" s="464"/>
    </row>
    <row r="473" spans="1:9" ht="16.5" hidden="1" thickBot="1">
      <c r="A473" s="473" t="s">
        <v>13459</v>
      </c>
      <c r="B473" s="751">
        <v>88264</v>
      </c>
      <c r="C473" s="475" t="s">
        <v>771</v>
      </c>
      <c r="D473" s="711" t="s">
        <v>753</v>
      </c>
      <c r="E473" s="752">
        <v>0.3</v>
      </c>
      <c r="F473" s="713">
        <v>20.52</v>
      </c>
      <c r="G473" s="750">
        <f>TRUNC(F473*E473,2)</f>
        <v>6.15</v>
      </c>
      <c r="H473" s="464"/>
    </row>
    <row r="474" spans="1:9" ht="16.5" hidden="1" thickBot="1">
      <c r="A474" s="473" t="s">
        <v>13459</v>
      </c>
      <c r="B474" s="753">
        <v>88316</v>
      </c>
      <c r="C474" s="484" t="s">
        <v>761</v>
      </c>
      <c r="D474" s="718" t="s">
        <v>753</v>
      </c>
      <c r="E474" s="754">
        <v>0.3</v>
      </c>
      <c r="F474" s="720">
        <v>15.91</v>
      </c>
      <c r="G474" s="755">
        <f>TRUNC(F474*E474,2)</f>
        <v>4.7699999999999996</v>
      </c>
      <c r="H474" s="464"/>
    </row>
    <row r="475" spans="1:9" ht="16.5" hidden="1" thickBot="1">
      <c r="A475" s="464"/>
      <c r="B475" s="1287" t="s">
        <v>14092</v>
      </c>
      <c r="C475" s="1287"/>
      <c r="D475" s="1287"/>
      <c r="E475" s="1287"/>
      <c r="F475" s="756" t="s">
        <v>22</v>
      </c>
      <c r="G475" s="757">
        <f>SUM(G470:G474)</f>
        <v>28.69</v>
      </c>
      <c r="H475" s="464"/>
    </row>
    <row r="476" spans="1:9" ht="15.75" hidden="1" thickBot="1">
      <c r="A476" s="464"/>
      <c r="B476" s="990"/>
      <c r="C476" s="990"/>
      <c r="D476" s="990"/>
      <c r="E476" s="990"/>
      <c r="F476" s="990"/>
      <c r="G476" s="990"/>
      <c r="H476" s="464"/>
    </row>
    <row r="477" spans="1:9" ht="16.5" hidden="1" thickBot="1">
      <c r="A477" s="464"/>
      <c r="B477" s="572"/>
      <c r="C477" s="607" t="s">
        <v>14093</v>
      </c>
      <c r="D477" s="574"/>
      <c r="E477" s="575"/>
      <c r="F477" s="608"/>
      <c r="G477" s="577" t="s">
        <v>28</v>
      </c>
      <c r="H477" s="515" t="s">
        <v>13500</v>
      </c>
    </row>
    <row r="478" spans="1:9" ht="32.25" hidden="1" thickBot="1">
      <c r="A478" s="464"/>
      <c r="B478" s="668" t="s">
        <v>13502</v>
      </c>
      <c r="C478" s="669" t="s">
        <v>13503</v>
      </c>
      <c r="D478" s="670" t="s">
        <v>13504</v>
      </c>
      <c r="E478" s="671" t="s">
        <v>13505</v>
      </c>
      <c r="F478" s="647" t="s">
        <v>13506</v>
      </c>
      <c r="G478" s="672" t="s">
        <v>13507</v>
      </c>
      <c r="H478" s="464"/>
    </row>
    <row r="479" spans="1:9" ht="16.5" hidden="1" thickBot="1">
      <c r="A479" s="464"/>
      <c r="B479" s="591">
        <v>43560</v>
      </c>
      <c r="C479" s="630" t="s">
        <v>13781</v>
      </c>
      <c r="D479" s="593">
        <v>15.69</v>
      </c>
      <c r="E479" s="789" t="s">
        <v>13782</v>
      </c>
      <c r="F479" s="595" t="s">
        <v>13761</v>
      </c>
      <c r="G479" s="790" t="s">
        <v>13762</v>
      </c>
      <c r="H479"/>
      <c r="I479" s="791">
        <f>B479+180</f>
        <v>43740</v>
      </c>
    </row>
    <row r="480" spans="1:9" ht="16.5" hidden="1" thickBot="1">
      <c r="A480" s="464"/>
      <c r="B480" s="597">
        <v>43564</v>
      </c>
      <c r="C480" s="592" t="s">
        <v>13763</v>
      </c>
      <c r="D480" s="593">
        <v>17.77</v>
      </c>
      <c r="E480" s="652" t="s">
        <v>13764</v>
      </c>
      <c r="F480" s="814" t="s">
        <v>13765</v>
      </c>
      <c r="G480" s="790" t="s">
        <v>13766</v>
      </c>
      <c r="H480"/>
      <c r="I480" s="791">
        <f>B480+180</f>
        <v>43744</v>
      </c>
    </row>
    <row r="481" spans="1:9" ht="16.5" hidden="1" thickBot="1">
      <c r="A481" s="464"/>
      <c r="B481" s="885">
        <v>43565</v>
      </c>
      <c r="C481" s="630" t="s">
        <v>13772</v>
      </c>
      <c r="D481" s="617">
        <v>19.52</v>
      </c>
      <c r="E481" s="789" t="s">
        <v>13929</v>
      </c>
      <c r="F481" s="595" t="s">
        <v>13852</v>
      </c>
      <c r="G481" s="790" t="s">
        <v>13853</v>
      </c>
      <c r="H481"/>
      <c r="I481" s="792">
        <f>B481+180</f>
        <v>43745</v>
      </c>
    </row>
    <row r="482" spans="1:9" ht="16.5" hidden="1" thickBot="1">
      <c r="A482" s="464"/>
      <c r="B482" s="598"/>
      <c r="C482" s="599" t="s">
        <v>13523</v>
      </c>
      <c r="D482" s="538">
        <f>IF(COUNT(D478:D481)=3,MEDIAN(D478:D481),SMALL(D479:D481,1))</f>
        <v>17.77</v>
      </c>
      <c r="E482" s="600"/>
      <c r="F482" s="620"/>
      <c r="G482" s="602"/>
      <c r="H482" s="464"/>
    </row>
    <row r="483" spans="1:9" ht="13.5" hidden="1" thickBot="1"/>
    <row r="484" spans="1:9" ht="16.5" hidden="1" thickBot="1">
      <c r="A484" s="464"/>
      <c r="B484" s="704" t="str">
        <f>IF(COUNT($H$8:H484)&lt;10,CONCATENATE("COMP SPDA 00",COUNT($H$8:H484)),CONCATENATE("COMP SPDA 0",COUNT($H$8:H484)))</f>
        <v>COMP SPDA 024</v>
      </c>
      <c r="C484" s="1257" t="str">
        <f>CONCATENATE("FORNECIMENTO E INSTALAÇÃO DE ",C487)</f>
        <v>FORNECIMENTO E INSTALAÇÃO DE CLIPS GALVANIZADO 3/8"</v>
      </c>
      <c r="D484" s="1225"/>
      <c r="E484" s="1225"/>
      <c r="F484" s="1225"/>
      <c r="G484" s="705" t="s">
        <v>28</v>
      </c>
      <c r="H484" s="570">
        <f>G490</f>
        <v>4.17</v>
      </c>
    </row>
    <row r="485" spans="1:9" ht="32.25" hidden="1" thickBot="1">
      <c r="A485" s="464"/>
      <c r="B485" s="469" t="s">
        <v>13463</v>
      </c>
      <c r="C485" s="707" t="s">
        <v>13464</v>
      </c>
      <c r="D485" s="470" t="s">
        <v>28</v>
      </c>
      <c r="E485" s="707" t="s">
        <v>13465</v>
      </c>
      <c r="F485" s="293" t="s">
        <v>13466</v>
      </c>
      <c r="G485" s="708" t="s">
        <v>13467</v>
      </c>
      <c r="H485" s="464"/>
    </row>
    <row r="486" spans="1:9" ht="16.5" hidden="1" thickBot="1">
      <c r="A486" s="464"/>
      <c r="B486" s="1283" t="s">
        <v>13468</v>
      </c>
      <c r="C486" s="1284"/>
      <c r="D486" s="1284"/>
      <c r="E486" s="1284"/>
      <c r="F486" s="1284"/>
      <c r="G486" s="1285"/>
      <c r="H486" s="464"/>
    </row>
    <row r="487" spans="1:9" ht="15.75" hidden="1" thickBot="1">
      <c r="A487" s="464"/>
      <c r="B487" s="951" t="s">
        <v>13497</v>
      </c>
      <c r="C487" s="863" t="str">
        <f>C492</f>
        <v>CLIPS GALVANIZADO 3/8"</v>
      </c>
      <c r="D487" s="864" t="s">
        <v>28</v>
      </c>
      <c r="E487" s="815">
        <v>1</v>
      </c>
      <c r="F487" s="815">
        <f>D497</f>
        <v>2.74</v>
      </c>
      <c r="G487" s="845">
        <f>TRUNC(F487*E487,2)</f>
        <v>2.74</v>
      </c>
      <c r="H487" s="464"/>
    </row>
    <row r="488" spans="1:9" ht="16.5" hidden="1" thickBot="1">
      <c r="A488" s="464"/>
      <c r="B488" s="1246" t="s">
        <v>13469</v>
      </c>
      <c r="C488" s="1247"/>
      <c r="D488" s="1247"/>
      <c r="E488" s="1247"/>
      <c r="F488" s="1247"/>
      <c r="G488" s="1248"/>
      <c r="H488" s="464"/>
    </row>
    <row r="489" spans="1:9" ht="16.5" hidden="1" thickBot="1">
      <c r="A489" s="473" t="s">
        <v>13459</v>
      </c>
      <c r="B489" s="753">
        <v>88264</v>
      </c>
      <c r="C489" s="484" t="s">
        <v>771</v>
      </c>
      <c r="D489" s="718" t="s">
        <v>753</v>
      </c>
      <c r="E489" s="754">
        <v>7.0000000000000007E-2</v>
      </c>
      <c r="F489" s="720">
        <v>20.52</v>
      </c>
      <c r="G489" s="755">
        <f>TRUNC(F489*E489,2)</f>
        <v>1.43</v>
      </c>
      <c r="H489" s="464"/>
    </row>
    <row r="490" spans="1:9" ht="16.5" hidden="1" thickBot="1">
      <c r="A490" s="464"/>
      <c r="B490" s="1287" t="s">
        <v>14094</v>
      </c>
      <c r="C490" s="1287"/>
      <c r="D490" s="1287"/>
      <c r="E490" s="1300"/>
      <c r="F490" s="756" t="s">
        <v>22</v>
      </c>
      <c r="G490" s="757">
        <f>SUM(G486:G489)</f>
        <v>4.17</v>
      </c>
      <c r="H490" s="464"/>
    </row>
    <row r="491" spans="1:9" ht="15.75" hidden="1" thickBot="1">
      <c r="A491" s="464"/>
      <c r="B491" s="990"/>
      <c r="C491" s="990"/>
      <c r="D491" s="990"/>
      <c r="E491" s="990"/>
      <c r="F491" s="990"/>
      <c r="G491" s="990"/>
      <c r="H491" s="464"/>
    </row>
    <row r="492" spans="1:9" ht="16.5" hidden="1" thickBot="1">
      <c r="A492" s="464"/>
      <c r="B492" s="572"/>
      <c r="C492" s="607" t="s">
        <v>14095</v>
      </c>
      <c r="D492" s="574"/>
      <c r="E492" s="575"/>
      <c r="F492" s="608"/>
      <c r="G492" s="577" t="s">
        <v>28</v>
      </c>
      <c r="H492" s="515" t="s">
        <v>13500</v>
      </c>
    </row>
    <row r="493" spans="1:9" ht="32.25" hidden="1" thickBot="1">
      <c r="A493" s="464"/>
      <c r="B493" s="668" t="s">
        <v>13502</v>
      </c>
      <c r="C493" s="669" t="s">
        <v>13503</v>
      </c>
      <c r="D493" s="670" t="s">
        <v>13504</v>
      </c>
      <c r="E493" s="671" t="s">
        <v>13505</v>
      </c>
      <c r="F493" s="647" t="s">
        <v>13506</v>
      </c>
      <c r="G493" s="672" t="s">
        <v>13507</v>
      </c>
      <c r="H493" s="464"/>
    </row>
    <row r="494" spans="1:9" ht="16.5" hidden="1" thickBot="1">
      <c r="A494" s="464"/>
      <c r="B494" s="893">
        <v>43570</v>
      </c>
      <c r="C494" s="592" t="s">
        <v>13974</v>
      </c>
      <c r="D494" s="617">
        <v>2.2999999999999998</v>
      </c>
      <c r="E494" s="652" t="s">
        <v>13975</v>
      </c>
      <c r="F494" s="814" t="s">
        <v>13976</v>
      </c>
      <c r="G494" s="878" t="s">
        <v>14000</v>
      </c>
      <c r="H494"/>
      <c r="I494" s="791">
        <f>B494+180</f>
        <v>43750</v>
      </c>
    </row>
    <row r="495" spans="1:9" ht="16.5" hidden="1" thickBot="1">
      <c r="A495" s="464"/>
      <c r="B495" s="648">
        <v>43565</v>
      </c>
      <c r="C495" s="592" t="s">
        <v>13823</v>
      </c>
      <c r="D495" s="617">
        <v>3.94</v>
      </c>
      <c r="E495" s="652" t="s">
        <v>13824</v>
      </c>
      <c r="F495" s="814" t="s">
        <v>13864</v>
      </c>
      <c r="G495" s="878" t="s">
        <v>13825</v>
      </c>
      <c r="H495"/>
      <c r="I495" s="791">
        <f>B495+180</f>
        <v>43745</v>
      </c>
    </row>
    <row r="496" spans="1:9" ht="16.5" hidden="1" thickBot="1">
      <c r="A496" s="464"/>
      <c r="B496" s="895">
        <v>43565</v>
      </c>
      <c r="C496" s="630" t="s">
        <v>13772</v>
      </c>
      <c r="D496" s="617">
        <v>2.74</v>
      </c>
      <c r="E496" s="789" t="s">
        <v>13929</v>
      </c>
      <c r="F496" s="595" t="s">
        <v>13852</v>
      </c>
      <c r="G496" s="878" t="s">
        <v>13853</v>
      </c>
      <c r="H496"/>
      <c r="I496" s="792">
        <f>B496+180</f>
        <v>43745</v>
      </c>
    </row>
    <row r="497" spans="1:9" ht="16.5" hidden="1" thickBot="1">
      <c r="A497" s="464"/>
      <c r="B497" s="598"/>
      <c r="C497" s="599" t="s">
        <v>13523</v>
      </c>
      <c r="D497" s="538">
        <f>IF(COUNT(D493:D496)=3,MEDIAN(D493:D496),SMALL(D494:D496,1))</f>
        <v>2.74</v>
      </c>
      <c r="E497" s="600"/>
      <c r="F497" s="620"/>
      <c r="G497" s="602"/>
      <c r="H497" s="464"/>
    </row>
    <row r="498" spans="1:9" ht="13.5" hidden="1" thickBot="1"/>
    <row r="499" spans="1:9" ht="21.75" hidden="1" customHeight="1">
      <c r="A499" s="464"/>
      <c r="B499" s="704" t="str">
        <f>CONCATENATE("COMP SPDA 0",(RIGHT(B484,2))+1)</f>
        <v>COMP SPDA 025</v>
      </c>
      <c r="C499" s="1257" t="str">
        <f>CONCATENATE("FORNECIMENTO E INSTALAÇÃO DE ",C502)</f>
        <v>FORNECIMENTO E INSTALAÇÃO DE CONECTOR EM LATÃO TIPO MINI-GAR PARA CABOS DE 16 A 50MM²</v>
      </c>
      <c r="D499" s="1225"/>
      <c r="E499" s="1225"/>
      <c r="F499" s="1225"/>
      <c r="G499" s="705" t="s">
        <v>28</v>
      </c>
      <c r="H499" s="570">
        <f>G505</f>
        <v>21.240000000000002</v>
      </c>
    </row>
    <row r="500" spans="1:9" ht="32.25" hidden="1" thickBot="1">
      <c r="A500" s="464"/>
      <c r="B500" s="469" t="s">
        <v>13463</v>
      </c>
      <c r="C500" s="707" t="s">
        <v>13464</v>
      </c>
      <c r="D500" s="470" t="s">
        <v>28</v>
      </c>
      <c r="E500" s="707" t="s">
        <v>13465</v>
      </c>
      <c r="F500" s="293" t="s">
        <v>13466</v>
      </c>
      <c r="G500" s="708" t="s">
        <v>13467</v>
      </c>
      <c r="H500" s="464"/>
    </row>
    <row r="501" spans="1:9" ht="16.5" hidden="1" thickBot="1">
      <c r="A501" s="464"/>
      <c r="B501" s="1283" t="s">
        <v>13468</v>
      </c>
      <c r="C501" s="1284"/>
      <c r="D501" s="1284"/>
      <c r="E501" s="1284"/>
      <c r="F501" s="1284"/>
      <c r="G501" s="1285"/>
      <c r="H501" s="464"/>
    </row>
    <row r="502" spans="1:9" ht="15.75" hidden="1" thickBot="1">
      <c r="A502" s="464"/>
      <c r="B502" s="951" t="s">
        <v>13497</v>
      </c>
      <c r="C502" s="863" t="str">
        <f>C507</f>
        <v>CONECTOR EM LATÃO TIPO MINI-GAR PARA CABOS DE 16 A 50MM²</v>
      </c>
      <c r="D502" s="864" t="s">
        <v>28</v>
      </c>
      <c r="E502" s="815">
        <v>1</v>
      </c>
      <c r="F502" s="815">
        <f>D512</f>
        <v>19.600000000000001</v>
      </c>
      <c r="G502" s="845">
        <f>TRUNC(F502*E502,2)</f>
        <v>19.600000000000001</v>
      </c>
      <c r="H502" s="464"/>
    </row>
    <row r="503" spans="1:9" ht="16.5" hidden="1" thickBot="1">
      <c r="A503" s="464"/>
      <c r="B503" s="1246" t="s">
        <v>13469</v>
      </c>
      <c r="C503" s="1247"/>
      <c r="D503" s="1247"/>
      <c r="E503" s="1247"/>
      <c r="F503" s="1247"/>
      <c r="G503" s="1248"/>
      <c r="H503" s="464"/>
    </row>
    <row r="504" spans="1:9" ht="16.5" hidden="1" thickBot="1">
      <c r="A504" s="473" t="s">
        <v>13459</v>
      </c>
      <c r="B504" s="753">
        <v>88264</v>
      </c>
      <c r="C504" s="484" t="s">
        <v>771</v>
      </c>
      <c r="D504" s="718" t="s">
        <v>753</v>
      </c>
      <c r="E504" s="754">
        <v>0.08</v>
      </c>
      <c r="F504" s="720">
        <v>20.52</v>
      </c>
      <c r="G504" s="755">
        <f>TRUNC(F504*E504,2)</f>
        <v>1.64</v>
      </c>
      <c r="H504" s="464"/>
    </row>
    <row r="505" spans="1:9" ht="16.5" hidden="1" thickBot="1">
      <c r="A505" s="464"/>
      <c r="B505" s="1287" t="s">
        <v>14096</v>
      </c>
      <c r="C505" s="1287"/>
      <c r="D505" s="1287"/>
      <c r="E505" s="1287"/>
      <c r="F505" s="756" t="s">
        <v>22</v>
      </c>
      <c r="G505" s="757">
        <f>SUM(G501:G504)</f>
        <v>21.240000000000002</v>
      </c>
      <c r="H505" s="464"/>
    </row>
    <row r="506" spans="1:9" ht="15.75" hidden="1" thickBot="1">
      <c r="A506" s="464"/>
      <c r="B506" s="990"/>
      <c r="C506" s="990"/>
      <c r="D506" s="990"/>
      <c r="E506" s="990"/>
      <c r="F506" s="990"/>
      <c r="G506" s="990"/>
      <c r="H506" s="464"/>
    </row>
    <row r="507" spans="1:9" ht="16.5" hidden="1" thickBot="1">
      <c r="A507" s="464"/>
      <c r="B507" s="572"/>
      <c r="C507" s="607" t="s">
        <v>14097</v>
      </c>
      <c r="D507" s="574"/>
      <c r="E507" s="575"/>
      <c r="F507" s="608"/>
      <c r="G507" s="577" t="s">
        <v>28</v>
      </c>
      <c r="H507" s="515" t="s">
        <v>13500</v>
      </c>
    </row>
    <row r="508" spans="1:9" ht="32.25" hidden="1" thickBot="1">
      <c r="A508" s="464"/>
      <c r="B508" s="668" t="s">
        <v>13502</v>
      </c>
      <c r="C508" s="669" t="s">
        <v>13503</v>
      </c>
      <c r="D508" s="670" t="s">
        <v>13504</v>
      </c>
      <c r="E508" s="671" t="s">
        <v>13505</v>
      </c>
      <c r="F508" s="647" t="s">
        <v>13506</v>
      </c>
      <c r="G508" s="672" t="s">
        <v>13507</v>
      </c>
      <c r="H508" s="464"/>
    </row>
    <row r="509" spans="1:9" ht="16.5" hidden="1" thickBot="1">
      <c r="A509" s="464"/>
      <c r="B509" s="893">
        <v>43396</v>
      </c>
      <c r="C509" s="630" t="s">
        <v>13830</v>
      </c>
      <c r="D509" s="593">
        <v>19.600000000000001</v>
      </c>
      <c r="E509" s="899" t="s">
        <v>13831</v>
      </c>
      <c r="F509" s="876" t="s">
        <v>14098</v>
      </c>
      <c r="G509" s="878" t="s">
        <v>14099</v>
      </c>
      <c r="H509"/>
      <c r="I509" s="791">
        <f>B509+180</f>
        <v>43576</v>
      </c>
    </row>
    <row r="510" spans="1:9" ht="16.5" hidden="1" thickBot="1">
      <c r="A510" s="464"/>
      <c r="B510" s="648">
        <v>43426</v>
      </c>
      <c r="C510" s="630" t="s">
        <v>13823</v>
      </c>
      <c r="D510" s="617">
        <v>22</v>
      </c>
      <c r="E510" s="899" t="s">
        <v>13824</v>
      </c>
      <c r="F510" s="876" t="s">
        <v>13864</v>
      </c>
      <c r="G510" s="878" t="s">
        <v>14100</v>
      </c>
      <c r="H510"/>
      <c r="I510" s="791">
        <f>B510+180</f>
        <v>43606</v>
      </c>
    </row>
    <row r="511" spans="1:9" ht="16.5" hidden="1" thickBot="1">
      <c r="A511" s="464"/>
      <c r="B511" s="648"/>
      <c r="C511" s="630"/>
      <c r="D511" s="617"/>
      <c r="E511" s="899"/>
      <c r="F511" s="876"/>
      <c r="G511" s="878"/>
      <c r="H511"/>
      <c r="I511" s="792">
        <f>B511+180</f>
        <v>180</v>
      </c>
    </row>
    <row r="512" spans="1:9" ht="16.5" hidden="1" thickBot="1">
      <c r="A512" s="464"/>
      <c r="B512" s="598"/>
      <c r="C512" s="599" t="s">
        <v>13523</v>
      </c>
      <c r="D512" s="793">
        <f>IF(COUNT(D508:D511)=3,MEDIAN(D508:D511),SMALL(D509:D511,1))</f>
        <v>19.600000000000001</v>
      </c>
      <c r="E512" s="600"/>
      <c r="F512" s="620"/>
      <c r="G512" s="602"/>
      <c r="H512" s="464"/>
    </row>
    <row r="513" spans="1:12" ht="13.5" hidden="1" thickBot="1"/>
    <row r="514" spans="1:12" ht="21" hidden="1" customHeight="1">
      <c r="A514" s="464"/>
      <c r="B514" s="704" t="str">
        <f>IF(COUNT($H$8:H514)&lt;10,CONCATENATE("COMP SPDA 00",COUNT($H$8:H514)),CONCATENATE("COMP SPDA 0",COUNT($H$8:H514)))</f>
        <v>COMP SPDA 026</v>
      </c>
      <c r="C514" s="1257" t="str">
        <f>CONCATENATE("FORNECIMENTO E INSTALAÇÃO DE ",C517)</f>
        <v>FORNECIMENTO E INSTALAÇÃO DE ARAME GALVANIZADO 12 BWG, D = 2,76 MM (0,048 KG/M) OU 14 BWG, D = 2,11 MM (0,026 KG/M)</v>
      </c>
      <c r="D514" s="1225"/>
      <c r="E514" s="1225"/>
      <c r="F514" s="1225"/>
      <c r="G514" s="705" t="s">
        <v>34</v>
      </c>
      <c r="H514" s="570">
        <f>G521</f>
        <v>0.72</v>
      </c>
    </row>
    <row r="515" spans="1:12" ht="32.25" hidden="1" thickBot="1">
      <c r="A515" s="464"/>
      <c r="B515" s="469" t="s">
        <v>13463</v>
      </c>
      <c r="C515" s="707" t="s">
        <v>13464</v>
      </c>
      <c r="D515" s="470" t="s">
        <v>28</v>
      </c>
      <c r="E515" s="707" t="s">
        <v>13465</v>
      </c>
      <c r="F515" s="293" t="s">
        <v>13466</v>
      </c>
      <c r="G515" s="708" t="s">
        <v>13467</v>
      </c>
      <c r="H515" s="464"/>
    </row>
    <row r="516" spans="1:12" ht="16.5" hidden="1" thickBot="1">
      <c r="A516" s="464"/>
      <c r="B516" s="1283" t="s">
        <v>13468</v>
      </c>
      <c r="C516" s="1284"/>
      <c r="D516" s="1284"/>
      <c r="E516" s="1284"/>
      <c r="F516" s="1284"/>
      <c r="G516" s="1285"/>
      <c r="H516" s="464"/>
    </row>
    <row r="517" spans="1:12" ht="30.75" hidden="1" thickBot="1">
      <c r="A517" s="473" t="s">
        <v>13458</v>
      </c>
      <c r="B517" s="751">
        <v>43130</v>
      </c>
      <c r="C517" s="475" t="s">
        <v>12244</v>
      </c>
      <c r="D517" s="711" t="s">
        <v>6698</v>
      </c>
      <c r="E517" s="752">
        <v>0.01</v>
      </c>
      <c r="F517" s="713">
        <v>12.44</v>
      </c>
      <c r="G517" s="750">
        <f>TRUNC(F517*E517,2)</f>
        <v>0.12</v>
      </c>
      <c r="H517" s="464"/>
    </row>
    <row r="518" spans="1:12" ht="16.5" hidden="1" thickBot="1">
      <c r="A518" s="464"/>
      <c r="B518" s="1246" t="s">
        <v>13469</v>
      </c>
      <c r="C518" s="1247"/>
      <c r="D518" s="1247"/>
      <c r="E518" s="1247"/>
      <c r="F518" s="1247"/>
      <c r="G518" s="1248"/>
      <c r="H518" s="464"/>
    </row>
    <row r="519" spans="1:12" ht="16.5" hidden="1" thickBot="1">
      <c r="A519" s="473" t="s">
        <v>13459</v>
      </c>
      <c r="B519" s="751">
        <v>88264</v>
      </c>
      <c r="C519" s="475" t="s">
        <v>771</v>
      </c>
      <c r="D519" s="711" t="s">
        <v>753</v>
      </c>
      <c r="E519" s="1002">
        <v>1.7000000000000001E-2</v>
      </c>
      <c r="F519" s="713">
        <v>20.52</v>
      </c>
      <c r="G519" s="750">
        <f>TRUNC(F519*E519,2)</f>
        <v>0.34</v>
      </c>
      <c r="H519" s="464"/>
    </row>
    <row r="520" spans="1:12" ht="16.5" hidden="1" thickBot="1">
      <c r="A520" s="473" t="s">
        <v>13459</v>
      </c>
      <c r="B520" s="753">
        <v>88247</v>
      </c>
      <c r="C520" s="484" t="s">
        <v>924</v>
      </c>
      <c r="D520" s="718" t="s">
        <v>753</v>
      </c>
      <c r="E520" s="856">
        <v>1.7000000000000001E-2</v>
      </c>
      <c r="F520" s="720">
        <v>15.84</v>
      </c>
      <c r="G520" s="755">
        <f>TRUNC(F520*E520,2)</f>
        <v>0.26</v>
      </c>
      <c r="H520" s="464"/>
    </row>
    <row r="521" spans="1:12" ht="16.5" hidden="1" customHeight="1" thickBot="1">
      <c r="A521" s="464"/>
      <c r="B521" s="1287" t="s">
        <v>13811</v>
      </c>
      <c r="C521" s="1287"/>
      <c r="D521" s="1287"/>
      <c r="E521" s="1287"/>
      <c r="F521" s="756" t="s">
        <v>22</v>
      </c>
      <c r="G521" s="757">
        <f>SUM(G516:G520)</f>
        <v>0.72</v>
      </c>
      <c r="H521" s="464"/>
    </row>
    <row r="522" spans="1:12" ht="37.5" hidden="1" customHeight="1">
      <c r="A522" s="464"/>
      <c r="B522" s="1287"/>
      <c r="C522" s="1287"/>
      <c r="D522" s="1287"/>
      <c r="E522" s="1287"/>
      <c r="F522" s="990"/>
      <c r="G522" s="990"/>
      <c r="H522" s="464"/>
    </row>
    <row r="523" spans="1:12" ht="15.75" hidden="1" thickBot="1">
      <c r="A523" s="464"/>
      <c r="B523" s="990"/>
      <c r="C523" s="990"/>
      <c r="D523" s="990"/>
      <c r="E523" s="990"/>
      <c r="F523" s="990"/>
      <c r="G523" s="990"/>
      <c r="H523" s="464"/>
    </row>
    <row r="524" spans="1:12" ht="18.75" hidden="1" customHeight="1">
      <c r="B524" s="1295" t="s">
        <v>13812</v>
      </c>
      <c r="C524" s="1295"/>
      <c r="D524" s="1295"/>
      <c r="E524" s="1295"/>
      <c r="F524" s="1295"/>
      <c r="G524" s="1295"/>
    </row>
    <row r="525" spans="1:12" ht="15" hidden="1" customHeight="1">
      <c r="B525" s="1298" t="s">
        <v>14101</v>
      </c>
      <c r="C525" s="1298"/>
      <c r="D525" s="1298"/>
      <c r="E525" s="1298"/>
      <c r="F525" s="1298"/>
      <c r="G525" s="1298"/>
      <c r="K525" s="457"/>
    </row>
    <row r="526" spans="1:12" ht="15" hidden="1" customHeight="1">
      <c r="B526" s="1298"/>
      <c r="C526" s="1298"/>
      <c r="D526" s="1298"/>
      <c r="E526" s="1298"/>
      <c r="F526" s="1298"/>
      <c r="G526" s="1298"/>
      <c r="I526" s="859"/>
      <c r="K526" s="457"/>
      <c r="L526" s="859"/>
    </row>
    <row r="527" spans="1:12" ht="15" hidden="1" customHeight="1">
      <c r="B527" s="1298"/>
      <c r="C527" s="1298"/>
      <c r="D527" s="1298"/>
      <c r="E527" s="1298"/>
      <c r="F527" s="1298"/>
      <c r="G527" s="1298"/>
    </row>
    <row r="528" spans="1:12" s="494" customFormat="1" ht="16.5" hidden="1" thickBot="1">
      <c r="B528" s="957"/>
      <c r="C528" s="795"/>
      <c r="D528" s="795"/>
      <c r="E528" s="795"/>
      <c r="F528" s="795"/>
      <c r="G528" s="795"/>
    </row>
    <row r="529" spans="1:8" ht="43.5" hidden="1" customHeight="1">
      <c r="A529" s="464"/>
      <c r="B529" s="704" t="str">
        <f>IF(COUNT($H$8:H529)&lt;10,CONCATENATE("COMP SPDA 00",COUNT($H$8:H529)),CONCATENATE("COMP SPDA 0",COUNT($H$8:H529)))</f>
        <v>COMP SPDA 027</v>
      </c>
      <c r="C529" s="1257" t="s">
        <v>14102</v>
      </c>
      <c r="D529" s="1225"/>
      <c r="E529" s="1225"/>
      <c r="F529" s="1225"/>
      <c r="G529" s="705" t="s">
        <v>28</v>
      </c>
      <c r="H529" s="698">
        <f>G539</f>
        <v>13.21</v>
      </c>
    </row>
    <row r="530" spans="1:8" ht="32.25" hidden="1" thickBot="1">
      <c r="A530" s="464"/>
      <c r="B530" s="469" t="s">
        <v>13463</v>
      </c>
      <c r="C530" s="707" t="s">
        <v>13464</v>
      </c>
      <c r="D530" s="707" t="s">
        <v>14042</v>
      </c>
      <c r="E530" s="707" t="s">
        <v>13465</v>
      </c>
      <c r="F530" s="293" t="s">
        <v>13466</v>
      </c>
      <c r="G530" s="708" t="s">
        <v>13467</v>
      </c>
    </row>
    <row r="531" spans="1:8" ht="16.5" hidden="1" thickBot="1">
      <c r="A531" s="464"/>
      <c r="B531" s="1283" t="s">
        <v>13468</v>
      </c>
      <c r="C531" s="1284"/>
      <c r="D531" s="1284"/>
      <c r="E531" s="1284"/>
      <c r="F531" s="1284"/>
      <c r="G531" s="1285"/>
    </row>
    <row r="532" spans="1:8" ht="30.75" hidden="1" thickBot="1">
      <c r="A532" s="473" t="s">
        <v>13458</v>
      </c>
      <c r="B532" s="844">
        <v>3396</v>
      </c>
      <c r="C532" s="475" t="s">
        <v>10540</v>
      </c>
      <c r="D532" s="711" t="s">
        <v>6636</v>
      </c>
      <c r="E532" s="815">
        <v>1</v>
      </c>
      <c r="F532" s="713">
        <v>6.07</v>
      </c>
      <c r="G532" s="845">
        <f>TRUNC(F532*E532,2)</f>
        <v>6.07</v>
      </c>
    </row>
    <row r="533" spans="1:8" ht="16.5" hidden="1" thickBot="1">
      <c r="A533" s="473"/>
      <c r="B533" s="844" t="s">
        <v>13497</v>
      </c>
      <c r="C533" s="475" t="s">
        <v>14103</v>
      </c>
      <c r="D533" s="991" t="str">
        <f>G544</f>
        <v>UN</v>
      </c>
      <c r="E533" s="815">
        <v>2</v>
      </c>
      <c r="F533" s="713">
        <f>D555</f>
        <v>0.33</v>
      </c>
      <c r="G533" s="845">
        <f>TRUNC(F533*E533,2)</f>
        <v>0.66</v>
      </c>
    </row>
    <row r="534" spans="1:8" ht="30.75" hidden="1" thickBot="1">
      <c r="A534" s="473" t="s">
        <v>13458</v>
      </c>
      <c r="B534" s="844">
        <v>13348</v>
      </c>
      <c r="C534" s="475" t="s">
        <v>6960</v>
      </c>
      <c r="D534" s="711" t="s">
        <v>6636</v>
      </c>
      <c r="E534" s="815">
        <v>2</v>
      </c>
      <c r="F534" s="713">
        <v>0.49</v>
      </c>
      <c r="G534" s="845">
        <f>TRUNC(F534*E534,2)</f>
        <v>0.98</v>
      </c>
    </row>
    <row r="535" spans="1:8" ht="30.75" hidden="1" thickBot="1">
      <c r="A535" s="473" t="s">
        <v>13458</v>
      </c>
      <c r="B535" s="844">
        <v>142</v>
      </c>
      <c r="C535" s="475" t="s">
        <v>12350</v>
      </c>
      <c r="D535" s="711" t="s">
        <v>10462</v>
      </c>
      <c r="E535" s="983">
        <v>8.0799999999999997E-2</v>
      </c>
      <c r="F535" s="713">
        <v>23.02</v>
      </c>
      <c r="G535" s="845">
        <f>TRUNC(F535*E535,2)</f>
        <v>1.86</v>
      </c>
    </row>
    <row r="536" spans="1:8" ht="16.5" hidden="1" thickBot="1">
      <c r="A536" s="464"/>
      <c r="B536" s="1283" t="s">
        <v>13469</v>
      </c>
      <c r="C536" s="1284"/>
      <c r="D536" s="1284"/>
      <c r="E536" s="1284"/>
      <c r="F536" s="1284"/>
      <c r="G536" s="1285"/>
    </row>
    <row r="537" spans="1:8" ht="16.5" hidden="1" thickBot="1">
      <c r="A537" s="473" t="s">
        <v>13459</v>
      </c>
      <c r="B537" s="751">
        <v>88264</v>
      </c>
      <c r="C537" s="475" t="s">
        <v>771</v>
      </c>
      <c r="D537" s="711" t="s">
        <v>753</v>
      </c>
      <c r="E537" s="752">
        <v>0.1</v>
      </c>
      <c r="F537" s="713">
        <v>20.52</v>
      </c>
      <c r="G537" s="750">
        <f>TRUNC(F537*E537,2)</f>
        <v>2.0499999999999998</v>
      </c>
    </row>
    <row r="538" spans="1:8" ht="16.5" hidden="1" thickBot="1">
      <c r="A538" s="473" t="s">
        <v>13459</v>
      </c>
      <c r="B538" s="753">
        <v>88316</v>
      </c>
      <c r="C538" s="484" t="s">
        <v>761</v>
      </c>
      <c r="D538" s="718" t="s">
        <v>753</v>
      </c>
      <c r="E538" s="754">
        <v>0.1</v>
      </c>
      <c r="F538" s="720">
        <v>15.91</v>
      </c>
      <c r="G538" s="755">
        <f>TRUNC(F538*E538,2)</f>
        <v>1.59</v>
      </c>
    </row>
    <row r="539" spans="1:8" ht="16.5" hidden="1" customHeight="1" thickBot="1">
      <c r="A539" s="464"/>
      <c r="B539" s="1260" t="s">
        <v>14104</v>
      </c>
      <c r="C539" s="1260"/>
      <c r="D539" s="1260"/>
      <c r="E539" s="1260"/>
      <c r="F539" s="756" t="s">
        <v>22</v>
      </c>
      <c r="G539" s="757">
        <f>SUM(G531:G538)</f>
        <v>13.21</v>
      </c>
    </row>
    <row r="540" spans="1:8" ht="38.25" hidden="1" customHeight="1">
      <c r="B540" s="1260"/>
      <c r="C540" s="1260"/>
      <c r="D540" s="1260"/>
      <c r="E540" s="1260"/>
    </row>
    <row r="541" spans="1:8" s="463" customFormat="1" ht="59.25" hidden="1" customHeight="1">
      <c r="B541" s="1250" t="s">
        <v>14039</v>
      </c>
      <c r="C541" s="1250"/>
      <c r="D541" s="1250"/>
      <c r="E541" s="1250"/>
      <c r="F541" s="1250"/>
      <c r="G541" s="1250"/>
    </row>
    <row r="542" spans="1:8" s="463" customFormat="1" ht="207" hidden="1" customHeight="1">
      <c r="B542" s="1350" t="s">
        <v>14040</v>
      </c>
      <c r="C542" s="1350"/>
      <c r="D542" s="1350"/>
      <c r="E542" s="1350"/>
      <c r="F542" s="1350"/>
      <c r="G542" s="1350"/>
    </row>
    <row r="543" spans="1:8" ht="13.5" hidden="1" thickBot="1"/>
    <row r="544" spans="1:8" ht="16.5" hidden="1" thickBot="1">
      <c r="A544" s="464"/>
      <c r="B544" s="572"/>
      <c r="C544" s="607" t="s">
        <v>14105</v>
      </c>
      <c r="D544" s="574"/>
      <c r="E544" s="575"/>
      <c r="F544" s="608"/>
      <c r="G544" s="577" t="s">
        <v>28</v>
      </c>
      <c r="H544" s="515" t="s">
        <v>14106</v>
      </c>
    </row>
    <row r="545" spans="1:9" ht="32.25" hidden="1" thickBot="1">
      <c r="A545" s="464"/>
      <c r="B545" s="668" t="s">
        <v>13502</v>
      </c>
      <c r="C545" s="669" t="s">
        <v>13503</v>
      </c>
      <c r="D545" s="670" t="s">
        <v>13504</v>
      </c>
      <c r="E545" s="671" t="s">
        <v>13505</v>
      </c>
      <c r="F545" s="647" t="s">
        <v>13506</v>
      </c>
      <c r="G545" s="672" t="s">
        <v>13507</v>
      </c>
    </row>
    <row r="546" spans="1:9" ht="16.5" hidden="1" thickBot="1">
      <c r="A546" s="464"/>
      <c r="B546" s="611">
        <f t="shared" ref="B546:C548" si="1">B552</f>
        <v>43565</v>
      </c>
      <c r="C546" s="893" t="str">
        <f t="shared" si="1"/>
        <v xml:space="preserve">ELETRICA PARANA </v>
      </c>
      <c r="D546" s="593">
        <f>D552*100</f>
        <v>24</v>
      </c>
      <c r="E546" s="893" t="str">
        <f t="shared" ref="E546:G548" si="2">E552</f>
        <v>08.139.615/0001-05</v>
      </c>
      <c r="F546" s="893" t="str">
        <f t="shared" si="2"/>
        <v>(65) 3388-0800</v>
      </c>
      <c r="G546" s="1003" t="str">
        <f t="shared" si="2"/>
        <v xml:space="preserve">WILLYAN </v>
      </c>
      <c r="H546"/>
      <c r="I546" s="791">
        <f>B546+180</f>
        <v>43745</v>
      </c>
    </row>
    <row r="547" spans="1:9" ht="16.5" hidden="1" thickBot="1">
      <c r="A547" s="464"/>
      <c r="B547" s="611">
        <f t="shared" si="1"/>
        <v>43255</v>
      </c>
      <c r="C547" s="893" t="str">
        <f t="shared" si="1"/>
        <v>PETEL</v>
      </c>
      <c r="D547" s="593">
        <f>D553*100</f>
        <v>33</v>
      </c>
      <c r="E547" s="893" t="str">
        <f t="shared" si="2"/>
        <v>22.760.075/0001-03</v>
      </c>
      <c r="F547" s="893" t="str">
        <f t="shared" si="2"/>
        <v>(65) 3634-1717</v>
      </c>
      <c r="G547" s="1003" t="str">
        <f t="shared" si="2"/>
        <v>EDINEI</v>
      </c>
      <c r="H547"/>
      <c r="I547" s="791">
        <f>B547+180</f>
        <v>43435</v>
      </c>
    </row>
    <row r="548" spans="1:9" ht="16.5" hidden="1" thickBot="1">
      <c r="A548" s="464"/>
      <c r="B548" s="1004">
        <f t="shared" si="1"/>
        <v>43570</v>
      </c>
      <c r="C548" s="1005" t="str">
        <f t="shared" si="1"/>
        <v xml:space="preserve">ELETRO ATIVA </v>
      </c>
      <c r="D548" s="1006">
        <f>D554*100</f>
        <v>35</v>
      </c>
      <c r="E548" s="1005" t="str">
        <f t="shared" si="2"/>
        <v>06.110.817/0002-80</v>
      </c>
      <c r="F548" s="1005" t="str">
        <f t="shared" si="2"/>
        <v>(65) 3051-7844</v>
      </c>
      <c r="G548" s="1007" t="str">
        <f t="shared" si="2"/>
        <v>VANDERLEY</v>
      </c>
      <c r="H548"/>
      <c r="I548" s="792">
        <f>B548+180</f>
        <v>43750</v>
      </c>
    </row>
    <row r="549" spans="1:9" ht="13.5" hidden="1" thickBot="1"/>
    <row r="550" spans="1:9" ht="32.25" hidden="1" thickBot="1">
      <c r="A550" s="464"/>
      <c r="B550" s="1008"/>
      <c r="C550" s="1009" t="s">
        <v>14107</v>
      </c>
      <c r="D550" s="1010"/>
      <c r="E550" s="1011"/>
      <c r="F550" s="1012"/>
      <c r="G550" s="1013" t="s">
        <v>28</v>
      </c>
    </row>
    <row r="551" spans="1:9" ht="32.25" hidden="1" thickBot="1">
      <c r="A551" s="464"/>
      <c r="B551" s="668" t="s">
        <v>13502</v>
      </c>
      <c r="C551" s="669" t="s">
        <v>13503</v>
      </c>
      <c r="D551" s="670" t="s">
        <v>13504</v>
      </c>
      <c r="E551" s="671" t="s">
        <v>13505</v>
      </c>
      <c r="F551" s="647" t="s">
        <v>13506</v>
      </c>
      <c r="G551" s="672" t="s">
        <v>13507</v>
      </c>
    </row>
    <row r="552" spans="1:9" ht="16.5" hidden="1" thickBot="1">
      <c r="A552" s="464"/>
      <c r="B552" s="885">
        <v>43565</v>
      </c>
      <c r="C552" s="630" t="s">
        <v>13772</v>
      </c>
      <c r="D552" s="617">
        <v>0.24</v>
      </c>
      <c r="E552" s="789" t="s">
        <v>13929</v>
      </c>
      <c r="F552" s="595" t="s">
        <v>13852</v>
      </c>
      <c r="G552" s="790" t="s">
        <v>13853</v>
      </c>
      <c r="H552"/>
    </row>
    <row r="553" spans="1:9" ht="16.5" hidden="1" thickBot="1">
      <c r="A553" s="464"/>
      <c r="B553" s="597">
        <v>43255</v>
      </c>
      <c r="C553" s="630" t="s">
        <v>13830</v>
      </c>
      <c r="D553" s="593">
        <v>0.33</v>
      </c>
      <c r="E553" s="899" t="s">
        <v>13831</v>
      </c>
      <c r="F553" s="876" t="s">
        <v>14098</v>
      </c>
      <c r="G553" s="790" t="s">
        <v>14099</v>
      </c>
      <c r="H553"/>
    </row>
    <row r="554" spans="1:9" ht="16.5" hidden="1" thickBot="1">
      <c r="A554" s="464"/>
      <c r="B554" s="648">
        <v>43570</v>
      </c>
      <c r="C554" s="592" t="s">
        <v>13974</v>
      </c>
      <c r="D554" s="617">
        <v>0.35</v>
      </c>
      <c r="E554" s="652" t="s">
        <v>13975</v>
      </c>
      <c r="F554" s="814" t="s">
        <v>13976</v>
      </c>
      <c r="G554" s="878" t="s">
        <v>14000</v>
      </c>
      <c r="H554"/>
    </row>
    <row r="555" spans="1:9" ht="16.5" hidden="1" thickBot="1">
      <c r="A555" s="464"/>
      <c r="B555" s="1014"/>
      <c r="C555" s="1015" t="s">
        <v>13523</v>
      </c>
      <c r="D555" s="538">
        <f>IF(COUNT(D551:D554)=3,MEDIAN(D551:D554),SMALL(D552:D554,1))</f>
        <v>0.33</v>
      </c>
      <c r="E555" s="1016"/>
      <c r="F555" s="1017"/>
      <c r="G555" s="1018"/>
    </row>
    <row r="556" spans="1:9" ht="13.5" hidden="1" thickBot="1"/>
    <row r="557" spans="1:9" ht="36.75" hidden="1" customHeight="1">
      <c r="A557" s="464"/>
      <c r="B557" s="704" t="str">
        <f>IF(COUNT($H$8:H557)&lt;10,CONCATENATE("COMP SPDA 00",COUNT($H$8:H557)),CONCATENATE("COMP SPDA 0",COUNT($H$8:H557)))</f>
        <v>COMP SPDA 028</v>
      </c>
      <c r="C557" s="1257" t="s">
        <v>14108</v>
      </c>
      <c r="D557" s="1225"/>
      <c r="E557" s="1225"/>
      <c r="F557" s="1225"/>
      <c r="G557" s="705" t="s">
        <v>28</v>
      </c>
      <c r="H557" s="698">
        <f>G567</f>
        <v>15.71</v>
      </c>
    </row>
    <row r="558" spans="1:9" ht="32.25" hidden="1" thickBot="1">
      <c r="A558" s="464"/>
      <c r="B558" s="469" t="s">
        <v>13463</v>
      </c>
      <c r="C558" s="707" t="s">
        <v>13464</v>
      </c>
      <c r="D558" s="707" t="s">
        <v>14042</v>
      </c>
      <c r="E558" s="707" t="s">
        <v>13465</v>
      </c>
      <c r="F558" s="293" t="s">
        <v>13466</v>
      </c>
      <c r="G558" s="708" t="s">
        <v>13467</v>
      </c>
    </row>
    <row r="559" spans="1:9" ht="16.5" hidden="1" thickBot="1">
      <c r="A559" s="464"/>
      <c r="B559" s="1283" t="s">
        <v>13468</v>
      </c>
      <c r="C559" s="1284"/>
      <c r="D559" s="1284"/>
      <c r="E559" s="1284"/>
      <c r="F559" s="1284"/>
      <c r="G559" s="1285"/>
    </row>
    <row r="560" spans="1:9" ht="30.75" hidden="1" thickBot="1">
      <c r="A560" s="473" t="s">
        <v>13458</v>
      </c>
      <c r="B560" s="844">
        <v>7572</v>
      </c>
      <c r="C560" s="475" t="s">
        <v>10539</v>
      </c>
      <c r="D560" s="711" t="s">
        <v>6636</v>
      </c>
      <c r="E560" s="815">
        <v>1</v>
      </c>
      <c r="F560" s="713">
        <v>8.57</v>
      </c>
      <c r="G560" s="845">
        <f>TRUNC(F560*E560,2)</f>
        <v>8.57</v>
      </c>
    </row>
    <row r="561" spans="1:8" ht="16.5" hidden="1" thickBot="1">
      <c r="A561" s="473"/>
      <c r="B561" s="844" t="s">
        <v>13497</v>
      </c>
      <c r="C561" s="475" t="s">
        <v>14103</v>
      </c>
      <c r="D561" s="991" t="str">
        <f>G572</f>
        <v>UN</v>
      </c>
      <c r="E561" s="815">
        <v>2</v>
      </c>
      <c r="F561" s="713">
        <f>D583</f>
        <v>0.33</v>
      </c>
      <c r="G561" s="845">
        <f>TRUNC(F561*E561,2)</f>
        <v>0.66</v>
      </c>
    </row>
    <row r="562" spans="1:8" ht="30.75" hidden="1" thickBot="1">
      <c r="A562" s="473" t="s">
        <v>13458</v>
      </c>
      <c r="B562" s="844">
        <v>13348</v>
      </c>
      <c r="C562" s="475" t="s">
        <v>6960</v>
      </c>
      <c r="D562" s="711" t="s">
        <v>6636</v>
      </c>
      <c r="E562" s="815">
        <v>2</v>
      </c>
      <c r="F562" s="713">
        <v>0.49</v>
      </c>
      <c r="G562" s="845">
        <f>TRUNC(F562*E562,2)</f>
        <v>0.98</v>
      </c>
    </row>
    <row r="563" spans="1:8" ht="30.75" hidden="1" thickBot="1">
      <c r="A563" s="473" t="s">
        <v>13458</v>
      </c>
      <c r="B563" s="844">
        <v>142</v>
      </c>
      <c r="C563" s="475" t="s">
        <v>12350</v>
      </c>
      <c r="D563" s="711" t="s">
        <v>10462</v>
      </c>
      <c r="E563" s="983">
        <v>8.0799999999999997E-2</v>
      </c>
      <c r="F563" s="713">
        <v>23.02</v>
      </c>
      <c r="G563" s="845">
        <f>TRUNC(F563*E563,2)</f>
        <v>1.86</v>
      </c>
    </row>
    <row r="564" spans="1:8" ht="16.5" hidden="1" thickBot="1">
      <c r="A564" s="464"/>
      <c r="B564" s="1283" t="s">
        <v>13469</v>
      </c>
      <c r="C564" s="1284"/>
      <c r="D564" s="1284"/>
      <c r="E564" s="1284"/>
      <c r="F564" s="1284"/>
      <c r="G564" s="1285"/>
    </row>
    <row r="565" spans="1:8" ht="16.5" hidden="1" thickBot="1">
      <c r="A565" s="473" t="s">
        <v>13459</v>
      </c>
      <c r="B565" s="751">
        <v>88264</v>
      </c>
      <c r="C565" s="475" t="s">
        <v>771</v>
      </c>
      <c r="D565" s="711" t="s">
        <v>753</v>
      </c>
      <c r="E565" s="752">
        <v>0.1</v>
      </c>
      <c r="F565" s="713">
        <v>20.52</v>
      </c>
      <c r="G565" s="750">
        <f>TRUNC(F565*E565,2)</f>
        <v>2.0499999999999998</v>
      </c>
    </row>
    <row r="566" spans="1:8" ht="16.5" hidden="1" thickBot="1">
      <c r="A566" s="473" t="s">
        <v>13459</v>
      </c>
      <c r="B566" s="753">
        <v>88316</v>
      </c>
      <c r="C566" s="484" t="s">
        <v>761</v>
      </c>
      <c r="D566" s="718" t="s">
        <v>753</v>
      </c>
      <c r="E566" s="754">
        <v>0.1</v>
      </c>
      <c r="F566" s="720">
        <v>15.91</v>
      </c>
      <c r="G566" s="755">
        <f>TRUNC(F566*E566,2)</f>
        <v>1.59</v>
      </c>
    </row>
    <row r="567" spans="1:8" ht="16.5" hidden="1" thickBot="1">
      <c r="A567" s="464"/>
      <c r="B567" s="1351" t="s">
        <v>14109</v>
      </c>
      <c r="C567" s="1351"/>
      <c r="D567" s="1351"/>
      <c r="E567" s="1351"/>
      <c r="F567" s="756" t="s">
        <v>22</v>
      </c>
      <c r="G567" s="757">
        <f>SUM(G559:G566)</f>
        <v>15.71</v>
      </c>
    </row>
    <row r="568" spans="1:8" ht="16.5" hidden="1" thickBot="1">
      <c r="A568" s="464"/>
      <c r="B568" s="1287"/>
      <c r="C568" s="1287"/>
      <c r="D568" s="1287"/>
      <c r="E568" s="1287"/>
      <c r="F568" s="507"/>
      <c r="G568" s="508"/>
    </row>
    <row r="569" spans="1:8" ht="13.5" hidden="1" thickBot="1"/>
    <row r="570" spans="1:8" s="463" customFormat="1" ht="59.25" hidden="1" customHeight="1">
      <c r="B570" s="1250" t="s">
        <v>14039</v>
      </c>
      <c r="C570" s="1250"/>
      <c r="D570" s="1250"/>
      <c r="E570" s="1250"/>
      <c r="F570" s="1250"/>
      <c r="G570" s="1250"/>
    </row>
    <row r="571" spans="1:8" s="463" customFormat="1" ht="207" hidden="1" customHeight="1" thickBot="1">
      <c r="B571" s="1350" t="s">
        <v>14040</v>
      </c>
      <c r="C571" s="1350"/>
      <c r="D571" s="1350"/>
      <c r="E571" s="1350"/>
      <c r="F571" s="1350"/>
      <c r="G571" s="1350"/>
    </row>
    <row r="572" spans="1:8" ht="16.5" hidden="1" thickBot="1">
      <c r="A572" s="464"/>
      <c r="B572" s="572"/>
      <c r="C572" s="607" t="s">
        <v>14105</v>
      </c>
      <c r="D572" s="574"/>
      <c r="E572" s="575"/>
      <c r="F572" s="608"/>
      <c r="G572" s="577" t="s">
        <v>28</v>
      </c>
    </row>
    <row r="573" spans="1:8" ht="32.25" hidden="1" thickBot="1">
      <c r="A573" s="464"/>
      <c r="B573" s="668" t="s">
        <v>13502</v>
      </c>
      <c r="C573" s="669" t="s">
        <v>13503</v>
      </c>
      <c r="D573" s="670" t="s">
        <v>13504</v>
      </c>
      <c r="E573" s="671" t="s">
        <v>13505</v>
      </c>
      <c r="F573" s="647" t="s">
        <v>13506</v>
      </c>
      <c r="G573" s="672" t="s">
        <v>13507</v>
      </c>
    </row>
    <row r="574" spans="1:8" ht="16.5" hidden="1" thickBot="1">
      <c r="A574" s="464"/>
      <c r="B574" s="611">
        <f t="shared" ref="B574:C576" si="3">B580</f>
        <v>43565</v>
      </c>
      <c r="C574" s="893" t="str">
        <f t="shared" si="3"/>
        <v xml:space="preserve">ELETRICA PARANA </v>
      </c>
      <c r="D574" s="593">
        <f>D580*100</f>
        <v>24</v>
      </c>
      <c r="E574" s="893" t="str">
        <f t="shared" ref="E574:G576" si="4">E580</f>
        <v>08.139.615/0001-05</v>
      </c>
      <c r="F574" s="893" t="str">
        <f t="shared" si="4"/>
        <v>(65) 3388-0800</v>
      </c>
      <c r="G574" s="1003" t="str">
        <f t="shared" si="4"/>
        <v xml:space="preserve">WILLYAN </v>
      </c>
      <c r="H574"/>
    </row>
    <row r="575" spans="1:8" ht="16.5" hidden="1" thickBot="1">
      <c r="A575" s="464"/>
      <c r="B575" s="611">
        <f t="shared" si="3"/>
        <v>43255</v>
      </c>
      <c r="C575" s="893" t="str">
        <f t="shared" si="3"/>
        <v>PETEL</v>
      </c>
      <c r="D575" s="593">
        <f>D581*100</f>
        <v>33</v>
      </c>
      <c r="E575" s="893" t="str">
        <f t="shared" si="4"/>
        <v>22.760.075/0001-03</v>
      </c>
      <c r="F575" s="893" t="str">
        <f t="shared" si="4"/>
        <v>(65) 3634-1717</v>
      </c>
      <c r="G575" s="1003" t="str">
        <f t="shared" si="4"/>
        <v>EDINEI</v>
      </c>
      <c r="H575"/>
    </row>
    <row r="576" spans="1:8" ht="16.5" hidden="1" thickBot="1">
      <c r="A576" s="464"/>
      <c r="B576" s="1004">
        <f t="shared" si="3"/>
        <v>43570</v>
      </c>
      <c r="C576" s="1005" t="str">
        <f t="shared" si="3"/>
        <v xml:space="preserve">ELETRO ATIVA </v>
      </c>
      <c r="D576" s="1006">
        <f>D582*100</f>
        <v>35</v>
      </c>
      <c r="E576" s="1005" t="str">
        <f t="shared" si="4"/>
        <v>06.110.817/0002-80</v>
      </c>
      <c r="F576" s="1005" t="str">
        <f t="shared" si="4"/>
        <v>(65) 3051-7844</v>
      </c>
      <c r="G576" s="1007" t="str">
        <f t="shared" si="4"/>
        <v>VANDERLEY</v>
      </c>
      <c r="H576"/>
    </row>
    <row r="577" spans="1:8" ht="15.75" hidden="1" thickBot="1">
      <c r="A577" s="464"/>
      <c r="B577" s="1353"/>
      <c r="C577" s="1354"/>
      <c r="D577" s="1354"/>
      <c r="E577" s="1354"/>
      <c r="F577" s="1354"/>
      <c r="G577" s="1355"/>
    </row>
    <row r="578" spans="1:8" ht="32.25" hidden="1" thickBot="1">
      <c r="A578" s="464"/>
      <c r="B578" s="1008"/>
      <c r="C578" s="1009" t="s">
        <v>14107</v>
      </c>
      <c r="D578" s="1010"/>
      <c r="E578" s="1011"/>
      <c r="F578" s="1012"/>
      <c r="G578" s="1013" t="s">
        <v>28</v>
      </c>
    </row>
    <row r="579" spans="1:8" ht="32.25" hidden="1" thickBot="1">
      <c r="A579" s="464"/>
      <c r="B579" s="668" t="s">
        <v>13502</v>
      </c>
      <c r="C579" s="669" t="s">
        <v>13503</v>
      </c>
      <c r="D579" s="670" t="s">
        <v>13504</v>
      </c>
      <c r="E579" s="671" t="s">
        <v>13505</v>
      </c>
      <c r="F579" s="647" t="s">
        <v>13506</v>
      </c>
      <c r="G579" s="672" t="s">
        <v>13507</v>
      </c>
    </row>
    <row r="580" spans="1:8" ht="16.5" hidden="1" thickBot="1">
      <c r="A580" s="464"/>
      <c r="B580" s="885">
        <v>43565</v>
      </c>
      <c r="C580" s="630" t="s">
        <v>13772</v>
      </c>
      <c r="D580" s="617">
        <v>0.24</v>
      </c>
      <c r="E580" s="789" t="s">
        <v>13929</v>
      </c>
      <c r="F580" s="595" t="s">
        <v>13852</v>
      </c>
      <c r="G580" s="790" t="s">
        <v>13853</v>
      </c>
      <c r="H580"/>
    </row>
    <row r="581" spans="1:8" ht="16.5" hidden="1" thickBot="1">
      <c r="A581" s="464"/>
      <c r="B581" s="597">
        <v>43255</v>
      </c>
      <c r="C581" s="630" t="s">
        <v>13830</v>
      </c>
      <c r="D581" s="593">
        <v>0.33</v>
      </c>
      <c r="E581" s="899" t="s">
        <v>13831</v>
      </c>
      <c r="F581" s="876" t="s">
        <v>14098</v>
      </c>
      <c r="G581" s="790" t="s">
        <v>14099</v>
      </c>
      <c r="H581"/>
    </row>
    <row r="582" spans="1:8" ht="16.5" hidden="1" thickBot="1">
      <c r="A582" s="464"/>
      <c r="B582" s="648">
        <v>43570</v>
      </c>
      <c r="C582" s="592" t="s">
        <v>13974</v>
      </c>
      <c r="D582" s="617">
        <v>0.35</v>
      </c>
      <c r="E582" s="652" t="s">
        <v>13975</v>
      </c>
      <c r="F582" s="814" t="s">
        <v>13976</v>
      </c>
      <c r="G582" s="878" t="s">
        <v>14000</v>
      </c>
      <c r="H582"/>
    </row>
    <row r="583" spans="1:8" ht="16.5" hidden="1" thickBot="1">
      <c r="A583" s="464"/>
      <c r="B583" s="598"/>
      <c r="C583" s="599" t="s">
        <v>13523</v>
      </c>
      <c r="D583" s="538">
        <f>IF(COUNT(D579:D582)=3,MEDIAN(D579:D582),SMALL(D580:D582,1))</f>
        <v>0.33</v>
      </c>
      <c r="E583" s="600"/>
      <c r="F583" s="620"/>
      <c r="G583" s="602"/>
    </row>
    <row r="584" spans="1:8" ht="13.5" hidden="1" thickBot="1"/>
    <row r="585" spans="1:8" ht="37.5" hidden="1" customHeight="1">
      <c r="A585" s="464"/>
      <c r="B585" s="704" t="str">
        <f>IF(COUNT($H$8:H585)&lt;10,CONCATENATE("COMP SPDA 00",COUNT($H$8:H585)),CONCATENATE("COMP SPDA 0",COUNT($H$8:H585)))</f>
        <v>COMP SPDA 029</v>
      </c>
      <c r="C585" s="1257" t="s">
        <v>14110</v>
      </c>
      <c r="D585" s="1225"/>
      <c r="E585" s="1225"/>
      <c r="F585" s="1225"/>
      <c r="G585" s="705" t="s">
        <v>28</v>
      </c>
      <c r="H585" s="570">
        <f>G595</f>
        <v>32.14</v>
      </c>
    </row>
    <row r="586" spans="1:8" ht="32.25" hidden="1" thickBot="1">
      <c r="A586" s="464"/>
      <c r="B586" s="469" t="s">
        <v>13463</v>
      </c>
      <c r="C586" s="707" t="s">
        <v>13464</v>
      </c>
      <c r="D586" s="470" t="s">
        <v>28</v>
      </c>
      <c r="E586" s="707" t="s">
        <v>13465</v>
      </c>
      <c r="F586" s="293" t="s">
        <v>13466</v>
      </c>
      <c r="G586" s="708" t="s">
        <v>13467</v>
      </c>
    </row>
    <row r="587" spans="1:8" ht="16.5" hidden="1" thickBot="1">
      <c r="A587" s="464"/>
      <c r="B587" s="1283" t="s">
        <v>13468</v>
      </c>
      <c r="C587" s="1284"/>
      <c r="D587" s="1284"/>
      <c r="E587" s="1284"/>
      <c r="F587" s="1284"/>
      <c r="G587" s="1285"/>
    </row>
    <row r="588" spans="1:8" ht="30.75" hidden="1" thickBot="1">
      <c r="A588" s="473" t="s">
        <v>13458</v>
      </c>
      <c r="B588" s="844">
        <v>142</v>
      </c>
      <c r="C588" s="475" t="s">
        <v>12350</v>
      </c>
      <c r="D588" s="711" t="s">
        <v>10462</v>
      </c>
      <c r="E588" s="815">
        <v>8.0799999999999997E-2</v>
      </c>
      <c r="F588" s="713">
        <v>23.02</v>
      </c>
      <c r="G588" s="845">
        <f>TRUNC(F588*E588,2)</f>
        <v>1.86</v>
      </c>
    </row>
    <row r="589" spans="1:8" ht="16.5" hidden="1" thickBot="1">
      <c r="A589" s="473"/>
      <c r="B589" s="844" t="s">
        <v>13497</v>
      </c>
      <c r="C589" s="475" t="s">
        <v>14103</v>
      </c>
      <c r="D589" s="991" t="str">
        <f>G604</f>
        <v>UN</v>
      </c>
      <c r="E589" s="815">
        <v>2</v>
      </c>
      <c r="F589" s="713">
        <f>D609</f>
        <v>0.33</v>
      </c>
      <c r="G589" s="845">
        <f>TRUNC(F589*E589,2)</f>
        <v>0.66</v>
      </c>
    </row>
    <row r="590" spans="1:8" ht="45.75" hidden="1" customHeight="1">
      <c r="A590" s="473" t="s">
        <v>13458</v>
      </c>
      <c r="B590" s="844">
        <v>13348</v>
      </c>
      <c r="C590" s="475" t="s">
        <v>6960</v>
      </c>
      <c r="D590" s="711" t="s">
        <v>6636</v>
      </c>
      <c r="E590" s="815">
        <v>2</v>
      </c>
      <c r="F590" s="713">
        <v>0.49</v>
      </c>
      <c r="G590" s="845">
        <f>TRUNC(F590*E590,2)</f>
        <v>0.98</v>
      </c>
    </row>
    <row r="591" spans="1:8" ht="30.75" hidden="1" thickBot="1">
      <c r="A591" s="473" t="s">
        <v>13458</v>
      </c>
      <c r="B591" s="844">
        <v>7571</v>
      </c>
      <c r="C591" s="475" t="s">
        <v>10899</v>
      </c>
      <c r="D591" s="711" t="s">
        <v>6636</v>
      </c>
      <c r="E591" s="815">
        <v>1</v>
      </c>
      <c r="F591" s="713">
        <v>10.46</v>
      </c>
      <c r="G591" s="845">
        <f>TRUNC(F591*E591,2)</f>
        <v>10.46</v>
      </c>
    </row>
    <row r="592" spans="1:8" ht="16.5" hidden="1" thickBot="1">
      <c r="A592" s="464"/>
      <c r="B592" s="1283" t="s">
        <v>13469</v>
      </c>
      <c r="C592" s="1284"/>
      <c r="D592" s="1284"/>
      <c r="E592" s="1284"/>
      <c r="F592" s="1284"/>
      <c r="G592" s="1285"/>
    </row>
    <row r="593" spans="1:8" ht="16.5" hidden="1" thickBot="1">
      <c r="A593" s="473" t="s">
        <v>13459</v>
      </c>
      <c r="B593" s="751">
        <v>88247</v>
      </c>
      <c r="C593" s="475" t="s">
        <v>924</v>
      </c>
      <c r="D593" s="711" t="s">
        <v>753</v>
      </c>
      <c r="E593" s="752">
        <v>0.5</v>
      </c>
      <c r="F593" s="713">
        <v>15.84</v>
      </c>
      <c r="G593" s="750">
        <f>TRUNC(F593*E593,2)</f>
        <v>7.92</v>
      </c>
    </row>
    <row r="594" spans="1:8" ht="16.5" hidden="1" thickBot="1">
      <c r="A594" s="473" t="s">
        <v>13459</v>
      </c>
      <c r="B594" s="753">
        <v>88264</v>
      </c>
      <c r="C594" s="484" t="s">
        <v>771</v>
      </c>
      <c r="D594" s="718" t="s">
        <v>753</v>
      </c>
      <c r="E594" s="754">
        <v>0.5</v>
      </c>
      <c r="F594" s="720">
        <v>20.52</v>
      </c>
      <c r="G594" s="755">
        <f>TRUNC(F594*E594,2)</f>
        <v>10.26</v>
      </c>
    </row>
    <row r="595" spans="1:8" ht="16.5" hidden="1" thickBot="1">
      <c r="A595" s="464"/>
      <c r="B595" s="1265" t="s">
        <v>14111</v>
      </c>
      <c r="C595" s="1265"/>
      <c r="D595" s="1265"/>
      <c r="E595" s="1265"/>
      <c r="F595" s="756" t="s">
        <v>22</v>
      </c>
      <c r="G595" s="757">
        <f>SUM(G587:G594)</f>
        <v>32.14</v>
      </c>
    </row>
    <row r="596" spans="1:8" ht="15.75" hidden="1" thickBot="1">
      <c r="A596" s="464"/>
      <c r="B596" s="1265"/>
      <c r="C596" s="1265"/>
      <c r="D596" s="1265"/>
      <c r="E596" s="1265"/>
      <c r="F596" s="465"/>
      <c r="G596" s="465"/>
    </row>
    <row r="597" spans="1:8" ht="13.5" hidden="1" thickBot="1"/>
    <row r="598" spans="1:8" ht="16.5" hidden="1" thickBot="1">
      <c r="A598" s="464"/>
      <c r="B598" s="572"/>
      <c r="C598" s="607" t="s">
        <v>14105</v>
      </c>
      <c r="D598" s="574"/>
      <c r="E598" s="575"/>
      <c r="F598" s="608"/>
      <c r="G598" s="577" t="s">
        <v>28</v>
      </c>
    </row>
    <row r="599" spans="1:8" ht="32.25" hidden="1" thickBot="1">
      <c r="A599" s="464"/>
      <c r="B599" s="668" t="s">
        <v>13502</v>
      </c>
      <c r="C599" s="669" t="s">
        <v>13503</v>
      </c>
      <c r="D599" s="670" t="s">
        <v>13504</v>
      </c>
      <c r="E599" s="671" t="s">
        <v>13505</v>
      </c>
      <c r="F599" s="647" t="s">
        <v>13506</v>
      </c>
      <c r="G599" s="672" t="s">
        <v>13507</v>
      </c>
    </row>
    <row r="600" spans="1:8" ht="16.5" hidden="1" thickBot="1">
      <c r="A600" s="464"/>
      <c r="B600" s="611">
        <f t="shared" ref="B600:C602" si="5">B606</f>
        <v>43565</v>
      </c>
      <c r="C600" s="893" t="str">
        <f t="shared" si="5"/>
        <v xml:space="preserve">ELETRICA PARANA </v>
      </c>
      <c r="D600" s="593">
        <f>D606*100</f>
        <v>24</v>
      </c>
      <c r="E600" s="893" t="str">
        <f t="shared" ref="E600:G602" si="6">E606</f>
        <v>08.139.615/0001-05</v>
      </c>
      <c r="F600" s="893" t="str">
        <f t="shared" si="6"/>
        <v>(65) 3388-0800</v>
      </c>
      <c r="G600" s="1003" t="str">
        <f t="shared" si="6"/>
        <v xml:space="preserve">WILLYAN </v>
      </c>
      <c r="H600"/>
    </row>
    <row r="601" spans="1:8" ht="16.5" hidden="1" thickBot="1">
      <c r="A601" s="464"/>
      <c r="B601" s="611">
        <f t="shared" si="5"/>
        <v>43255</v>
      </c>
      <c r="C601" s="893" t="str">
        <f t="shared" si="5"/>
        <v>PETEL</v>
      </c>
      <c r="D601" s="593">
        <f>D607*100</f>
        <v>33</v>
      </c>
      <c r="E601" s="893" t="str">
        <f t="shared" si="6"/>
        <v>22.760.075/0001-03</v>
      </c>
      <c r="F601" s="893" t="str">
        <f t="shared" si="6"/>
        <v>(65) 3634-1717</v>
      </c>
      <c r="G601" s="1003" t="str">
        <f t="shared" si="6"/>
        <v>EDINEI</v>
      </c>
      <c r="H601"/>
    </row>
    <row r="602" spans="1:8" ht="16.5" hidden="1" thickBot="1">
      <c r="A602" s="464"/>
      <c r="B602" s="1004">
        <f t="shared" si="5"/>
        <v>43570</v>
      </c>
      <c r="C602" s="1005" t="str">
        <f t="shared" si="5"/>
        <v xml:space="preserve">ELETRO ATIVA </v>
      </c>
      <c r="D602" s="1006">
        <f>D608*100</f>
        <v>35</v>
      </c>
      <c r="E602" s="1005" t="str">
        <f t="shared" si="6"/>
        <v>06.110.817/0002-80</v>
      </c>
      <c r="F602" s="1005" t="str">
        <f t="shared" si="6"/>
        <v>(65) 3051-7844</v>
      </c>
      <c r="G602" s="1007" t="str">
        <f t="shared" si="6"/>
        <v>VANDERLEY</v>
      </c>
      <c r="H602"/>
    </row>
    <row r="603" spans="1:8" ht="15.75" hidden="1" thickBot="1">
      <c r="A603" s="464"/>
      <c r="B603" s="1353"/>
      <c r="C603" s="1354"/>
      <c r="D603" s="1354"/>
      <c r="E603" s="1354"/>
      <c r="F603" s="1354"/>
      <c r="G603" s="1355"/>
    </row>
    <row r="604" spans="1:8" ht="32.25" hidden="1" thickBot="1">
      <c r="A604" s="464"/>
      <c r="B604" s="1008"/>
      <c r="C604" s="1009" t="s">
        <v>14107</v>
      </c>
      <c r="D604" s="1010"/>
      <c r="E604" s="1011"/>
      <c r="F604" s="1012"/>
      <c r="G604" s="1013" t="s">
        <v>28</v>
      </c>
    </row>
    <row r="605" spans="1:8" ht="32.25" hidden="1" thickBot="1">
      <c r="A605" s="464"/>
      <c r="B605" s="668" t="s">
        <v>13502</v>
      </c>
      <c r="C605" s="669" t="s">
        <v>13503</v>
      </c>
      <c r="D605" s="670" t="s">
        <v>13504</v>
      </c>
      <c r="E605" s="671" t="s">
        <v>13505</v>
      </c>
      <c r="F605" s="647" t="s">
        <v>13506</v>
      </c>
      <c r="G605" s="672" t="s">
        <v>13507</v>
      </c>
    </row>
    <row r="606" spans="1:8" ht="16.5" hidden="1" thickBot="1">
      <c r="A606" s="464"/>
      <c r="B606" s="885">
        <v>43565</v>
      </c>
      <c r="C606" s="630" t="s">
        <v>13772</v>
      </c>
      <c r="D606" s="617">
        <v>0.24</v>
      </c>
      <c r="E606" s="789" t="s">
        <v>13929</v>
      </c>
      <c r="F606" s="595" t="s">
        <v>13852</v>
      </c>
      <c r="G606" s="790" t="s">
        <v>13853</v>
      </c>
      <c r="H606"/>
    </row>
    <row r="607" spans="1:8" ht="16.5" hidden="1" thickBot="1">
      <c r="A607" s="464"/>
      <c r="B607" s="597">
        <v>43255</v>
      </c>
      <c r="C607" s="630" t="s">
        <v>13830</v>
      </c>
      <c r="D607" s="593">
        <v>0.33</v>
      </c>
      <c r="E607" s="899" t="s">
        <v>13831</v>
      </c>
      <c r="F607" s="876" t="s">
        <v>14098</v>
      </c>
      <c r="G607" s="790" t="s">
        <v>14099</v>
      </c>
      <c r="H607"/>
    </row>
    <row r="608" spans="1:8" ht="16.5" hidden="1" thickBot="1">
      <c r="A608" s="464"/>
      <c r="B608" s="648">
        <v>43570</v>
      </c>
      <c r="C608" s="592" t="s">
        <v>13974</v>
      </c>
      <c r="D608" s="617">
        <v>0.35</v>
      </c>
      <c r="E608" s="652" t="s">
        <v>13975</v>
      </c>
      <c r="F608" s="814" t="s">
        <v>13976</v>
      </c>
      <c r="G608" s="878" t="s">
        <v>14000</v>
      </c>
      <c r="H608"/>
    </row>
    <row r="609" spans="1:8" ht="16.5" hidden="1" thickBot="1">
      <c r="A609" s="464"/>
      <c r="B609" s="598"/>
      <c r="C609" s="599" t="s">
        <v>13523</v>
      </c>
      <c r="D609" s="538">
        <f>IF(COUNT(D605:D608)=3,MEDIAN(D605:D608),SMALL(D606:D608,1))</f>
        <v>0.33</v>
      </c>
      <c r="E609" s="600"/>
      <c r="F609" s="620"/>
      <c r="G609" s="602"/>
    </row>
    <row r="610" spans="1:8" ht="13.5" hidden="1" thickBot="1"/>
    <row r="611" spans="1:8" ht="37.5" hidden="1" customHeight="1">
      <c r="A611" s="464"/>
      <c r="B611" s="704" t="str">
        <f>IF(COUNT($H$8:H611)&lt;10,CONCATENATE("COMP SPDA 00",COUNT($H$8:H611)),CONCATENATE("COMP SPDA 0",COUNT($H$8:H611)))</f>
        <v>COMP SPDA 030</v>
      </c>
      <c r="C611" s="1257" t="s">
        <v>14112</v>
      </c>
      <c r="D611" s="1225"/>
      <c r="E611" s="1225"/>
      <c r="F611" s="1225"/>
      <c r="G611" s="705" t="s">
        <v>28</v>
      </c>
      <c r="H611" s="570">
        <f>G620</f>
        <v>21.200000000000003</v>
      </c>
    </row>
    <row r="612" spans="1:8" ht="32.25" hidden="1" thickBot="1">
      <c r="A612" s="464"/>
      <c r="B612" s="469" t="s">
        <v>13463</v>
      </c>
      <c r="C612" s="707" t="s">
        <v>13464</v>
      </c>
      <c r="D612" s="470" t="s">
        <v>28</v>
      </c>
      <c r="E612" s="707" t="s">
        <v>13465</v>
      </c>
      <c r="F612" s="293" t="s">
        <v>13466</v>
      </c>
      <c r="G612" s="708" t="s">
        <v>13467</v>
      </c>
      <c r="H612" s="464"/>
    </row>
    <row r="613" spans="1:8" ht="16.5" hidden="1" thickBot="1">
      <c r="A613" s="464"/>
      <c r="B613" s="1283" t="s">
        <v>13468</v>
      </c>
      <c r="C613" s="1284"/>
      <c r="D613" s="1284"/>
      <c r="E613" s="1284"/>
      <c r="F613" s="1284"/>
      <c r="G613" s="1285"/>
      <c r="H613" s="464"/>
    </row>
    <row r="614" spans="1:8" ht="30.75" hidden="1" thickBot="1">
      <c r="A614" s="464"/>
      <c r="B614" s="951" t="s">
        <v>13497</v>
      </c>
      <c r="C614" s="863" t="str">
        <f>C626</f>
        <v>SUPORTE ISOLADOR PARA CANTO 90° REFORCADO ROSCA SOBERBA EM FG C ISOLADOR</v>
      </c>
      <c r="D614" s="864" t="s">
        <v>28</v>
      </c>
      <c r="E614" s="815">
        <v>1</v>
      </c>
      <c r="F614" s="815">
        <f>D631</f>
        <v>14.63</v>
      </c>
      <c r="G614" s="845">
        <f>TRUNC(F614*E614,2)</f>
        <v>14.63</v>
      </c>
      <c r="H614" s="464"/>
    </row>
    <row r="615" spans="1:8" ht="30.75" hidden="1" thickBot="1">
      <c r="A615" s="473" t="s">
        <v>13458</v>
      </c>
      <c r="B615" s="844">
        <v>142</v>
      </c>
      <c r="C615" s="475" t="s">
        <v>12350</v>
      </c>
      <c r="D615" s="711" t="s">
        <v>10462</v>
      </c>
      <c r="E615" s="983">
        <v>8.0799999999999997E-2</v>
      </c>
      <c r="F615" s="713">
        <v>23.02</v>
      </c>
      <c r="G615" s="845">
        <f>TRUNC(F615*E615,2)</f>
        <v>1.86</v>
      </c>
      <c r="H615" s="464"/>
    </row>
    <row r="616" spans="1:8" ht="16.5" hidden="1" thickBot="1">
      <c r="A616" s="473"/>
      <c r="B616" s="844" t="s">
        <v>13497</v>
      </c>
      <c r="C616" s="475" t="s">
        <v>14103</v>
      </c>
      <c r="D616" s="991" t="str">
        <f>G633</f>
        <v>UN</v>
      </c>
      <c r="E616" s="815">
        <v>2</v>
      </c>
      <c r="F616" s="713">
        <f>D645</f>
        <v>0.33</v>
      </c>
      <c r="G616" s="845">
        <f>TRUNC(F616*E616,2)</f>
        <v>0.66</v>
      </c>
      <c r="H616" s="464"/>
    </row>
    <row r="617" spans="1:8" ht="30.75" hidden="1" thickBot="1">
      <c r="A617" s="473" t="s">
        <v>13458</v>
      </c>
      <c r="B617" s="844">
        <v>13348</v>
      </c>
      <c r="C617" s="475" t="s">
        <v>6960</v>
      </c>
      <c r="D617" s="711" t="s">
        <v>6636</v>
      </c>
      <c r="E617" s="815">
        <v>2</v>
      </c>
      <c r="F617" s="713">
        <v>0.49</v>
      </c>
      <c r="G617" s="845">
        <f>TRUNC(F617*E617,2)</f>
        <v>0.98</v>
      </c>
      <c r="H617" s="464"/>
    </row>
    <row r="618" spans="1:8" ht="16.5" hidden="1" thickBot="1">
      <c r="A618" s="464"/>
      <c r="B618" s="1283" t="s">
        <v>13469</v>
      </c>
      <c r="C618" s="1284"/>
      <c r="D618" s="1284"/>
      <c r="E618" s="1284"/>
      <c r="F618" s="1284"/>
      <c r="G618" s="1285"/>
      <c r="H618" s="464"/>
    </row>
    <row r="619" spans="1:8" ht="16.5" hidden="1" thickBot="1">
      <c r="A619" s="473" t="s">
        <v>13459</v>
      </c>
      <c r="B619" s="753">
        <v>88264</v>
      </c>
      <c r="C619" s="484" t="s">
        <v>771</v>
      </c>
      <c r="D619" s="718" t="s">
        <v>753</v>
      </c>
      <c r="E619" s="754">
        <v>0.15</v>
      </c>
      <c r="F619" s="720">
        <v>20.52</v>
      </c>
      <c r="G619" s="755">
        <f>TRUNC(F619*E619,2)</f>
        <v>3.07</v>
      </c>
      <c r="H619" s="464"/>
    </row>
    <row r="620" spans="1:8" ht="16.5" hidden="1" thickBot="1">
      <c r="A620" s="464"/>
      <c r="B620" s="1265" t="s">
        <v>14113</v>
      </c>
      <c r="C620" s="1265"/>
      <c r="D620" s="1265"/>
      <c r="E620" s="1265"/>
      <c r="F620" s="756" t="s">
        <v>22</v>
      </c>
      <c r="G620" s="757">
        <f>SUM(G614:G619)</f>
        <v>21.200000000000003</v>
      </c>
      <c r="H620" s="464"/>
    </row>
    <row r="621" spans="1:8" ht="16.5" hidden="1" thickBot="1">
      <c r="A621" s="464"/>
      <c r="B621" s="1265"/>
      <c r="C621" s="1265"/>
      <c r="D621" s="1265"/>
      <c r="E621" s="1265"/>
      <c r="F621" s="865"/>
      <c r="G621" s="952"/>
      <c r="H621" s="464"/>
    </row>
    <row r="622" spans="1:8" ht="15.75" hidden="1" thickBot="1">
      <c r="A622" s="464"/>
      <c r="B622" s="1308"/>
      <c r="C622" s="1308"/>
      <c r="D622" s="1308"/>
      <c r="E622" s="1308"/>
      <c r="F622" s="465"/>
      <c r="G622" s="465"/>
      <c r="H622" s="464"/>
    </row>
    <row r="623" spans="1:8" s="463" customFormat="1" ht="59.25" hidden="1" customHeight="1">
      <c r="B623" s="1250" t="s">
        <v>14039</v>
      </c>
      <c r="C623" s="1250"/>
      <c r="D623" s="1250"/>
      <c r="E623" s="1250"/>
      <c r="F623" s="1250"/>
      <c r="G623" s="1250"/>
    </row>
    <row r="624" spans="1:8" s="463" customFormat="1" ht="207" hidden="1" customHeight="1">
      <c r="B624" s="1350" t="s">
        <v>14040</v>
      </c>
      <c r="C624" s="1350"/>
      <c r="D624" s="1350"/>
      <c r="E624" s="1350"/>
      <c r="F624" s="1350"/>
      <c r="G624" s="1350"/>
    </row>
    <row r="625" spans="1:8" ht="15.75" hidden="1" thickBot="1">
      <c r="A625" s="464"/>
      <c r="B625" s="1308"/>
      <c r="C625" s="1308"/>
      <c r="D625" s="1308"/>
      <c r="E625" s="1308"/>
      <c r="F625" s="465"/>
      <c r="G625" s="465"/>
      <c r="H625" s="464"/>
    </row>
    <row r="626" spans="1:8" ht="32.25" hidden="1" thickBot="1">
      <c r="A626" s="464"/>
      <c r="B626" s="572"/>
      <c r="C626" s="607" t="s">
        <v>14037</v>
      </c>
      <c r="D626" s="574"/>
      <c r="E626" s="575"/>
      <c r="F626" s="608"/>
      <c r="G626" s="577" t="s">
        <v>28</v>
      </c>
      <c r="H626" s="515" t="s">
        <v>13500</v>
      </c>
    </row>
    <row r="627" spans="1:8" ht="32.25" hidden="1" thickBot="1">
      <c r="A627" s="464"/>
      <c r="B627" s="668" t="s">
        <v>13502</v>
      </c>
      <c r="C627" s="669" t="s">
        <v>13503</v>
      </c>
      <c r="D627" s="670" t="s">
        <v>13504</v>
      </c>
      <c r="E627" s="671" t="s">
        <v>13505</v>
      </c>
      <c r="F627" s="647" t="s">
        <v>13506</v>
      </c>
      <c r="G627" s="672" t="s">
        <v>13507</v>
      </c>
      <c r="H627" s="464"/>
    </row>
    <row r="628" spans="1:8" ht="16.5" hidden="1" thickBot="1">
      <c r="A628" s="464"/>
      <c r="B628" s="611">
        <v>43250</v>
      </c>
      <c r="C628" s="630" t="s">
        <v>13759</v>
      </c>
      <c r="D628" s="593">
        <v>22.51</v>
      </c>
      <c r="E628" s="901" t="s">
        <v>13760</v>
      </c>
      <c r="F628" s="595" t="s">
        <v>13761</v>
      </c>
      <c r="G628" s="790" t="s">
        <v>13986</v>
      </c>
      <c r="H628"/>
    </row>
    <row r="629" spans="1:8" ht="16.5" hidden="1" thickBot="1">
      <c r="A629" s="464"/>
      <c r="B629" s="611">
        <v>43255</v>
      </c>
      <c r="C629" s="630" t="s">
        <v>13830</v>
      </c>
      <c r="D629" s="593">
        <v>14.63</v>
      </c>
      <c r="E629" s="789" t="s">
        <v>13831</v>
      </c>
      <c r="F629" s="876" t="s">
        <v>14098</v>
      </c>
      <c r="G629" s="790" t="s">
        <v>14099</v>
      </c>
      <c r="H629"/>
    </row>
    <row r="630" spans="1:8" ht="16.5" hidden="1" thickBot="1">
      <c r="A630" s="464"/>
      <c r="B630" s="597">
        <v>43256</v>
      </c>
      <c r="C630" s="612" t="s">
        <v>14114</v>
      </c>
      <c r="D630" s="613">
        <v>12.16</v>
      </c>
      <c r="E630" s="988" t="s">
        <v>13824</v>
      </c>
      <c r="F630" s="615" t="s">
        <v>13864</v>
      </c>
      <c r="G630" s="616" t="s">
        <v>13825</v>
      </c>
      <c r="H630"/>
    </row>
    <row r="631" spans="1:8" ht="16.5" hidden="1" thickBot="1">
      <c r="A631" s="464"/>
      <c r="B631" s="598"/>
      <c r="C631" s="599" t="s">
        <v>13523</v>
      </c>
      <c r="D631" s="538">
        <f>IF(COUNT(D627:D630)=3,MEDIAN(D627:D630),SMALL(D628:D630,1))</f>
        <v>14.63</v>
      </c>
      <c r="E631" s="600"/>
      <c r="F631" s="620"/>
      <c r="G631" s="602"/>
      <c r="H631" s="464"/>
    </row>
    <row r="632" spans="1:8" ht="13.5" hidden="1" thickBot="1"/>
    <row r="633" spans="1:8" ht="16.5" hidden="1" thickBot="1">
      <c r="A633" s="464"/>
      <c r="B633" s="572"/>
      <c r="C633" s="607" t="s">
        <v>14105</v>
      </c>
      <c r="D633" s="574"/>
      <c r="E633" s="575"/>
      <c r="F633" s="608"/>
      <c r="G633" s="577" t="s">
        <v>28</v>
      </c>
      <c r="H633" s="464"/>
    </row>
    <row r="634" spans="1:8" ht="32.25" hidden="1" thickBot="1">
      <c r="A634" s="464"/>
      <c r="B634" s="668" t="s">
        <v>13502</v>
      </c>
      <c r="C634" s="669" t="s">
        <v>13503</v>
      </c>
      <c r="D634" s="670" t="s">
        <v>13504</v>
      </c>
      <c r="E634" s="671" t="s">
        <v>13505</v>
      </c>
      <c r="F634" s="647" t="s">
        <v>13506</v>
      </c>
      <c r="G634" s="672" t="s">
        <v>13507</v>
      </c>
      <c r="H634" s="464"/>
    </row>
    <row r="635" spans="1:8" ht="16.5" hidden="1" thickBot="1">
      <c r="A635" s="464"/>
      <c r="B635" s="611">
        <f>B642</f>
        <v>43565</v>
      </c>
      <c r="C635" s="893" t="str">
        <f>C642</f>
        <v xml:space="preserve">ELETRICA PARANA </v>
      </c>
      <c r="D635" s="593">
        <f>D642*100</f>
        <v>24</v>
      </c>
      <c r="E635" s="893" t="str">
        <f t="shared" ref="E635:G637" si="7">E642</f>
        <v>08.139.615/0001-05</v>
      </c>
      <c r="F635" s="1019" t="str">
        <f t="shared" si="7"/>
        <v>(65) 3388-0800</v>
      </c>
      <c r="G635" s="1003" t="str">
        <f t="shared" si="7"/>
        <v xml:space="preserve">WILLYAN </v>
      </c>
      <c r="H635"/>
    </row>
    <row r="636" spans="1:8" ht="16.5" hidden="1" thickBot="1">
      <c r="A636" s="464"/>
      <c r="B636" s="611">
        <f>B643</f>
        <v>43255</v>
      </c>
      <c r="C636" s="893" t="str">
        <f>C643</f>
        <v>PETEL</v>
      </c>
      <c r="D636" s="593">
        <f>D643*100</f>
        <v>33</v>
      </c>
      <c r="E636" s="893" t="str">
        <f t="shared" si="7"/>
        <v>22.760.075/0001-03</v>
      </c>
      <c r="F636" s="1019" t="str">
        <f t="shared" si="7"/>
        <v>(65) 3634-1717</v>
      </c>
      <c r="G636" s="1003" t="str">
        <f t="shared" si="7"/>
        <v>EDINEI</v>
      </c>
      <c r="H636"/>
    </row>
    <row r="637" spans="1:8" ht="16.5" hidden="1" thickBot="1">
      <c r="A637" s="464"/>
      <c r="B637" s="1004">
        <f>B642</f>
        <v>43565</v>
      </c>
      <c r="C637" s="1005" t="str">
        <f>C644</f>
        <v xml:space="preserve">ELETRO ATIVA </v>
      </c>
      <c r="D637" s="1006">
        <f>D643*100</f>
        <v>33</v>
      </c>
      <c r="E637" s="1005" t="str">
        <f t="shared" si="7"/>
        <v>06.110.817/0002-80</v>
      </c>
      <c r="F637" s="1020" t="str">
        <f t="shared" si="7"/>
        <v>(65) 3051-7844</v>
      </c>
      <c r="G637" s="1007" t="str">
        <f t="shared" si="7"/>
        <v>VANDERLEY</v>
      </c>
      <c r="H637"/>
    </row>
    <row r="638" spans="1:8" ht="16.5" hidden="1" thickBot="1">
      <c r="A638" s="464"/>
      <c r="B638" s="598"/>
      <c r="C638" s="599" t="s">
        <v>13523</v>
      </c>
      <c r="D638" s="538">
        <f>IF(COUNT(D634:D637)=3,MEDIAN(D634:D637),SMALL(D635:D637,1))</f>
        <v>33</v>
      </c>
      <c r="E638" s="600"/>
      <c r="F638" s="620"/>
      <c r="G638" s="602"/>
      <c r="H638" s="464"/>
    </row>
    <row r="639" spans="1:8" ht="15.75" hidden="1" thickBot="1">
      <c r="A639" s="464"/>
      <c r="B639" s="1353"/>
      <c r="C639" s="1354"/>
      <c r="D639" s="1354"/>
      <c r="E639" s="1354"/>
      <c r="F639" s="1354"/>
      <c r="G639" s="1355"/>
      <c r="H639" s="464"/>
    </row>
    <row r="640" spans="1:8" ht="32.25" hidden="1" thickBot="1">
      <c r="A640" s="464"/>
      <c r="B640" s="1008"/>
      <c r="C640" s="1009" t="s">
        <v>14107</v>
      </c>
      <c r="D640" s="1010"/>
      <c r="E640" s="1011"/>
      <c r="F640" s="1012"/>
      <c r="G640" s="1013" t="s">
        <v>28</v>
      </c>
      <c r="H640" s="464"/>
    </row>
    <row r="641" spans="1:8" ht="32.25" hidden="1" thickBot="1">
      <c r="A641" s="464"/>
      <c r="B641" s="668" t="s">
        <v>13502</v>
      </c>
      <c r="C641" s="669" t="s">
        <v>13503</v>
      </c>
      <c r="D641" s="670" t="s">
        <v>13504</v>
      </c>
      <c r="E641" s="671" t="s">
        <v>13505</v>
      </c>
      <c r="F641" s="647" t="s">
        <v>13506</v>
      </c>
      <c r="G641" s="672" t="s">
        <v>13507</v>
      </c>
      <c r="H641" s="464"/>
    </row>
    <row r="642" spans="1:8" ht="15.75" hidden="1" thickBot="1">
      <c r="A642" s="464"/>
      <c r="B642" s="885">
        <v>43565</v>
      </c>
      <c r="C642" s="630" t="s">
        <v>13772</v>
      </c>
      <c r="D642" s="617">
        <v>0.24</v>
      </c>
      <c r="E642" s="789" t="s">
        <v>13929</v>
      </c>
      <c r="F642" s="595" t="s">
        <v>13852</v>
      </c>
      <c r="G642" s="790" t="s">
        <v>13853</v>
      </c>
      <c r="H642" s="464"/>
    </row>
    <row r="643" spans="1:8" ht="15.75" hidden="1" thickBot="1">
      <c r="A643" s="464"/>
      <c r="B643" s="597">
        <v>43255</v>
      </c>
      <c r="C643" s="630" t="s">
        <v>13830</v>
      </c>
      <c r="D643" s="593">
        <v>0.33</v>
      </c>
      <c r="E643" s="899" t="s">
        <v>13831</v>
      </c>
      <c r="F643" s="876" t="s">
        <v>14098</v>
      </c>
      <c r="G643" s="790" t="s">
        <v>14099</v>
      </c>
      <c r="H643" s="464"/>
    </row>
    <row r="644" spans="1:8" ht="15.75" hidden="1" thickBot="1">
      <c r="A644" s="464"/>
      <c r="B644" s="648">
        <v>43570</v>
      </c>
      <c r="C644" s="592" t="s">
        <v>13974</v>
      </c>
      <c r="D644" s="617">
        <v>0.35</v>
      </c>
      <c r="E644" s="652" t="s">
        <v>13975</v>
      </c>
      <c r="F644" s="814" t="s">
        <v>13976</v>
      </c>
      <c r="G644" s="878" t="s">
        <v>14000</v>
      </c>
      <c r="H644" s="464"/>
    </row>
    <row r="645" spans="1:8" ht="16.5" hidden="1" thickBot="1">
      <c r="A645" s="464"/>
      <c r="B645" s="598"/>
      <c r="C645" s="599" t="s">
        <v>13523</v>
      </c>
      <c r="D645" s="538">
        <f>IF(COUNT(D641:D644)=3,MEDIAN(D641:D644),SMALL(D642:D644,1))</f>
        <v>0.33</v>
      </c>
      <c r="E645" s="600"/>
      <c r="F645" s="620"/>
      <c r="G645" s="602"/>
      <c r="H645" s="464"/>
    </row>
    <row r="646" spans="1:8" ht="13.5" hidden="1" thickBot="1"/>
    <row r="647" spans="1:8" ht="36" hidden="1" customHeight="1">
      <c r="A647" s="464"/>
      <c r="B647" s="704" t="str">
        <f>IF(COUNT($H$8:H647)&lt;10,CONCATENATE("COMP SPDA 00",COUNT($H$8:H647)),CONCATENATE("COMP SPDA 0",COUNT($H$8:H647)))</f>
        <v>COMP SPDA 031</v>
      </c>
      <c r="C647" s="1257" t="str">
        <f>CONCATENATE("FORNECIMENTO E INSTALAÇÃO DE ",C650)</f>
        <v>FORNECIMENTO E INSTALAÇÃO DE TERMINAL A COMPRESSAO EM COBRE ESTANHADO PARA CABO 35 MM2, 1 FURO E 1 COMPRESSAO, PARA PARAFUSO DE FIXACAO M8</v>
      </c>
      <c r="D647" s="1290"/>
      <c r="E647" s="1290"/>
      <c r="F647" s="1290"/>
      <c r="G647" s="705" t="s">
        <v>28</v>
      </c>
      <c r="H647" s="570">
        <f>G653</f>
        <v>3.12</v>
      </c>
    </row>
    <row r="648" spans="1:8" ht="32.25" hidden="1" thickBot="1">
      <c r="A648" s="464"/>
      <c r="B648" s="469" t="s">
        <v>13463</v>
      </c>
      <c r="C648" s="707" t="s">
        <v>13464</v>
      </c>
      <c r="D648" s="470" t="s">
        <v>28</v>
      </c>
      <c r="E648" s="707" t="s">
        <v>13465</v>
      </c>
      <c r="F648" s="293" t="s">
        <v>13466</v>
      </c>
      <c r="G648" s="708" t="s">
        <v>13467</v>
      </c>
      <c r="H648" s="464"/>
    </row>
    <row r="649" spans="1:8" ht="16.5" hidden="1" thickBot="1">
      <c r="A649" s="464"/>
      <c r="B649" s="1283" t="s">
        <v>13468</v>
      </c>
      <c r="C649" s="1284"/>
      <c r="D649" s="1284"/>
      <c r="E649" s="1284"/>
      <c r="F649" s="1284"/>
      <c r="G649" s="1285"/>
      <c r="H649" s="464"/>
    </row>
    <row r="650" spans="1:8" ht="30.75" hidden="1" thickBot="1">
      <c r="A650" s="473" t="s">
        <v>13458</v>
      </c>
      <c r="B650" s="844">
        <v>1577</v>
      </c>
      <c r="C650" s="475" t="s">
        <v>952</v>
      </c>
      <c r="D650" s="711" t="s">
        <v>28</v>
      </c>
      <c r="E650" s="815">
        <v>1</v>
      </c>
      <c r="F650" s="713">
        <v>1.98</v>
      </c>
      <c r="G650" s="845">
        <f>TRUNC(F650*E650,2)</f>
        <v>1.98</v>
      </c>
      <c r="H650" s="464"/>
    </row>
    <row r="651" spans="1:8" ht="16.5" hidden="1" thickBot="1">
      <c r="A651" s="464"/>
      <c r="B651" s="1283" t="s">
        <v>13469</v>
      </c>
      <c r="C651" s="1284"/>
      <c r="D651" s="1284"/>
      <c r="E651" s="1284"/>
      <c r="F651" s="1284"/>
      <c r="G651" s="1285"/>
      <c r="H651" s="464"/>
    </row>
    <row r="652" spans="1:8" ht="16.5" hidden="1" thickBot="1">
      <c r="A652" s="473" t="s">
        <v>13459</v>
      </c>
      <c r="B652" s="753">
        <v>88264</v>
      </c>
      <c r="C652" s="484" t="s">
        <v>771</v>
      </c>
      <c r="D652" s="718" t="s">
        <v>753</v>
      </c>
      <c r="E652" s="856">
        <v>5.6000000000000001E-2</v>
      </c>
      <c r="F652" s="720">
        <v>20.52</v>
      </c>
      <c r="G652" s="755">
        <f>TRUNC(F652*E652,2)</f>
        <v>1.1399999999999999</v>
      </c>
      <c r="H652" s="464"/>
    </row>
    <row r="653" spans="1:8" ht="16.5" hidden="1" thickBot="1">
      <c r="A653" s="464"/>
      <c r="B653" s="1287" t="s">
        <v>14115</v>
      </c>
      <c r="C653" s="1287"/>
      <c r="D653" s="1287"/>
      <c r="E653" s="1287"/>
      <c r="F653" s="756" t="s">
        <v>22</v>
      </c>
      <c r="G653" s="757">
        <f>SUM(G649:G652)</f>
        <v>3.12</v>
      </c>
      <c r="H653" s="464"/>
    </row>
    <row r="654" spans="1:8" ht="15.75" hidden="1" thickBot="1">
      <c r="A654" s="464"/>
      <c r="B654" s="1287"/>
      <c r="C654" s="1287"/>
      <c r="D654" s="1287"/>
      <c r="E654" s="1287"/>
      <c r="F654" s="465"/>
      <c r="G654" s="465"/>
      <c r="H654" s="464"/>
    </row>
    <row r="655" spans="1:8" s="465" customFormat="1" ht="36" hidden="1" customHeight="1">
      <c r="A655" s="464"/>
      <c r="B655" s="704" t="str">
        <f>IF(COUNT($H$8:H655)&lt;10,CONCATENATE("COMP SPDA 00",COUNT($H$8:H655)),CONCATENATE("COMP SPDA 0",COUNT($H$8:H655)))</f>
        <v>COMP SPDA 032</v>
      </c>
      <c r="C655" s="1257" t="str">
        <f>CONCATENATE("FORNECIMENTO E INSTALAÇÃO DE ",C658)</f>
        <v>FORNECIMENTO E INSTALAÇÃO DE SELANTE ELASTICO MONOCOMPONENTE A BASE DE POLIURETANO (PU) PARA JUNTAS DIVERSAS</v>
      </c>
      <c r="D655" s="1257"/>
      <c r="E655" s="1257"/>
      <c r="F655" s="1257"/>
      <c r="G655" s="873" t="s">
        <v>983</v>
      </c>
      <c r="H655" s="570">
        <f>G661</f>
        <v>81.09</v>
      </c>
    </row>
    <row r="656" spans="1:8" s="465" customFormat="1" ht="32.25" hidden="1" thickBot="1">
      <c r="A656" s="464"/>
      <c r="B656" s="469" t="s">
        <v>13463</v>
      </c>
      <c r="C656" s="707" t="s">
        <v>13464</v>
      </c>
      <c r="D656" s="470" t="s">
        <v>28</v>
      </c>
      <c r="E656" s="707" t="s">
        <v>13465</v>
      </c>
      <c r="F656" s="293" t="s">
        <v>13466</v>
      </c>
      <c r="G656" s="708" t="s">
        <v>13467</v>
      </c>
      <c r="H656" s="464"/>
    </row>
    <row r="657" spans="1:9" s="465" customFormat="1" ht="16.5" hidden="1" thickBot="1">
      <c r="A657" s="464"/>
      <c r="B657" s="1283" t="s">
        <v>13468</v>
      </c>
      <c r="C657" s="1284"/>
      <c r="D657" s="1284"/>
      <c r="E657" s="1284"/>
      <c r="F657" s="1284"/>
      <c r="G657" s="1285"/>
      <c r="H657" s="464"/>
    </row>
    <row r="658" spans="1:9" s="465" customFormat="1" ht="30.75" hidden="1" thickBot="1">
      <c r="A658" s="473" t="s">
        <v>13458</v>
      </c>
      <c r="B658" s="844">
        <v>142</v>
      </c>
      <c r="C658" s="475" t="s">
        <v>12350</v>
      </c>
      <c r="D658" s="711" t="s">
        <v>10462</v>
      </c>
      <c r="E658" s="855">
        <v>3.226</v>
      </c>
      <c r="F658" s="713">
        <v>23.02</v>
      </c>
      <c r="G658" s="845">
        <f>TRUNC(F658*E658,2)</f>
        <v>74.260000000000005</v>
      </c>
      <c r="H658" s="464"/>
    </row>
    <row r="659" spans="1:9" s="465" customFormat="1" ht="16.5" hidden="1" thickBot="1">
      <c r="A659" s="464"/>
      <c r="B659" s="1283" t="s">
        <v>13469</v>
      </c>
      <c r="C659" s="1284"/>
      <c r="D659" s="1284"/>
      <c r="E659" s="1284"/>
      <c r="F659" s="1284"/>
      <c r="G659" s="1285"/>
      <c r="H659" s="464"/>
    </row>
    <row r="660" spans="1:9" s="465" customFormat="1" ht="16.5" hidden="1" thickBot="1">
      <c r="A660" s="473" t="s">
        <v>13459</v>
      </c>
      <c r="B660" s="753">
        <v>88270</v>
      </c>
      <c r="C660" s="717" t="s">
        <v>6431</v>
      </c>
      <c r="D660" s="718" t="s">
        <v>753</v>
      </c>
      <c r="E660" s="754">
        <v>0.33</v>
      </c>
      <c r="F660" s="720">
        <v>20.7</v>
      </c>
      <c r="G660" s="755">
        <f>TRUNC(F660*E660,2)</f>
        <v>6.83</v>
      </c>
      <c r="H660" s="464"/>
    </row>
    <row r="661" spans="1:9" s="465" customFormat="1" ht="16.5" hidden="1" thickBot="1">
      <c r="A661" s="464"/>
      <c r="B661" s="1287" t="s">
        <v>14116</v>
      </c>
      <c r="C661" s="1287"/>
      <c r="D661" s="1287"/>
      <c r="E661" s="1300"/>
      <c r="F661" s="756" t="s">
        <v>22</v>
      </c>
      <c r="G661" s="757">
        <f>SUM(G657:G660)</f>
        <v>81.09</v>
      </c>
      <c r="H661" s="464"/>
    </row>
    <row r="662" spans="1:9" s="465" customFormat="1" ht="16.5" hidden="1" thickBot="1">
      <c r="A662" s="464"/>
      <c r="B662" s="847"/>
      <c r="C662" s="847"/>
      <c r="D662" s="847"/>
      <c r="E662" s="847"/>
      <c r="F662" s="865"/>
      <c r="G662" s="952"/>
      <c r="H662" s="464"/>
    </row>
    <row r="663" spans="1:9" ht="13.5" hidden="1" thickBot="1"/>
    <row r="664" spans="1:9" s="465" customFormat="1" ht="37.5" hidden="1" customHeight="1">
      <c r="A664" s="464"/>
      <c r="B664" s="704" t="str">
        <f>IF(COUNT($H$8:H664)&lt;10,CONCATENATE("COMP SPDA 00",COUNT($H$8:H664)),CONCATENATE("COMP SPDA 0",COUNT($H$8:H664)))</f>
        <v>COMP SPDA 033</v>
      </c>
      <c r="C664" s="1257" t="str">
        <f>CONCATENATE("FORNECIMENTO E INSTALAÇÃO DE ",C667)</f>
        <v>FORNECIMENTO E INSTALAÇÃO DE BUCHA DE NYLON SEM ABA S10, COM PARAFUSO DE 6,10 X 65 MM EM ACO ZINCADO COM ROSCA SOBERBA, CABECA CHATA E FENDA PHILLIPS</v>
      </c>
      <c r="D664" s="1225"/>
      <c r="E664" s="1225"/>
      <c r="F664" s="1225"/>
      <c r="G664" s="705" t="s">
        <v>28</v>
      </c>
      <c r="H664" s="570">
        <f>G670</f>
        <v>3.3699999999999997</v>
      </c>
    </row>
    <row r="665" spans="1:9" s="465" customFormat="1" ht="32.25" hidden="1" thickBot="1">
      <c r="A665" s="464"/>
      <c r="B665" s="469" t="s">
        <v>13463</v>
      </c>
      <c r="C665" s="707" t="s">
        <v>13464</v>
      </c>
      <c r="D665" s="470" t="s">
        <v>28</v>
      </c>
      <c r="E665" s="707" t="s">
        <v>13465</v>
      </c>
      <c r="F665" s="293" t="s">
        <v>13466</v>
      </c>
      <c r="G665" s="708" t="s">
        <v>13467</v>
      </c>
      <c r="H665" s="464"/>
    </row>
    <row r="666" spans="1:9" s="465" customFormat="1" ht="16.5" hidden="1" thickBot="1">
      <c r="A666" s="464"/>
      <c r="B666" s="1283" t="s">
        <v>13468</v>
      </c>
      <c r="C666" s="1284"/>
      <c r="D666" s="1284"/>
      <c r="E666" s="1284"/>
      <c r="F666" s="1284"/>
      <c r="G666" s="1285"/>
      <c r="H666" s="464"/>
    </row>
    <row r="667" spans="1:9" s="465" customFormat="1" ht="45.75" hidden="1" thickBot="1">
      <c r="A667" s="473" t="s">
        <v>13458</v>
      </c>
      <c r="B667" s="844">
        <v>7568</v>
      </c>
      <c r="C667" s="475" t="s">
        <v>7187</v>
      </c>
      <c r="D667" s="711" t="s">
        <v>6636</v>
      </c>
      <c r="E667" s="815">
        <v>1</v>
      </c>
      <c r="F667" s="713">
        <v>0.3</v>
      </c>
      <c r="G667" s="845">
        <f>TRUNC(F667*E667,2)</f>
        <v>0.3</v>
      </c>
      <c r="H667" s="464"/>
    </row>
    <row r="668" spans="1:9" s="465" customFormat="1" ht="16.5" hidden="1" thickBot="1">
      <c r="A668" s="464"/>
      <c r="B668" s="1283" t="s">
        <v>13469</v>
      </c>
      <c r="C668" s="1284"/>
      <c r="D668" s="1284"/>
      <c r="E668" s="1284"/>
      <c r="F668" s="1284"/>
      <c r="G668" s="1285"/>
      <c r="H668" s="464"/>
    </row>
    <row r="669" spans="1:9" s="465" customFormat="1" ht="16.5" hidden="1" thickBot="1">
      <c r="A669" s="473" t="s">
        <v>13459</v>
      </c>
      <c r="B669" s="753">
        <v>88264</v>
      </c>
      <c r="C669" s="484" t="s">
        <v>771</v>
      </c>
      <c r="D669" s="718" t="s">
        <v>753</v>
      </c>
      <c r="E669" s="754">
        <v>0.15</v>
      </c>
      <c r="F669" s="720">
        <v>20.52</v>
      </c>
      <c r="G669" s="755">
        <f>TRUNC(F669*E669,2)</f>
        <v>3.07</v>
      </c>
      <c r="H669" s="464"/>
    </row>
    <row r="670" spans="1:9" s="465" customFormat="1" ht="16.5" hidden="1" thickBot="1">
      <c r="A670" s="464"/>
      <c r="B670" s="1287" t="s">
        <v>14117</v>
      </c>
      <c r="C670" s="1287"/>
      <c r="D670" s="1287"/>
      <c r="E670" s="1287"/>
      <c r="F670" s="756" t="s">
        <v>22</v>
      </c>
      <c r="G670" s="757">
        <f>SUM(G666:G669)</f>
        <v>3.3699999999999997</v>
      </c>
      <c r="H670" s="464"/>
    </row>
    <row r="671" spans="1:9" s="494" customFormat="1" ht="16.5" hidden="1" thickBot="1">
      <c r="B671" s="957"/>
      <c r="C671" s="795"/>
      <c r="D671" s="795"/>
      <c r="E671" s="795"/>
      <c r="F671" s="795"/>
      <c r="G671" s="795"/>
    </row>
    <row r="672" spans="1:9" ht="45" hidden="1" customHeight="1">
      <c r="A672" s="464"/>
      <c r="B672" s="704" t="str">
        <f>IF(COUNT($H$8:H672)&lt;10,CONCATENATE("COMP SPDA 00",COUNT($H$8:H672)),CONCATENATE("COMP SPDA 0",COUNT($H$8:H672)))</f>
        <v>COMP SPDA 034</v>
      </c>
      <c r="C672" s="1257" t="s">
        <v>14118</v>
      </c>
      <c r="D672" s="1225"/>
      <c r="E672" s="1225"/>
      <c r="F672" s="1225"/>
      <c r="G672" s="873" t="s">
        <v>28</v>
      </c>
      <c r="H672" s="570">
        <f>G684</f>
        <v>662.82</v>
      </c>
      <c r="I672" s="458" t="s">
        <v>14118</v>
      </c>
    </row>
    <row r="673" spans="1:8" ht="32.25" hidden="1" thickBot="1">
      <c r="A673" s="464"/>
      <c r="B673" s="469" t="s">
        <v>14119</v>
      </c>
      <c r="C673" s="707" t="s">
        <v>13464</v>
      </c>
      <c r="D673" s="470" t="s">
        <v>28</v>
      </c>
      <c r="E673" s="707" t="s">
        <v>13465</v>
      </c>
      <c r="F673" s="293" t="s">
        <v>13466</v>
      </c>
      <c r="G673" s="708" t="s">
        <v>13467</v>
      </c>
    </row>
    <row r="674" spans="1:8" ht="16.5" hidden="1" thickBot="1">
      <c r="A674" s="464"/>
      <c r="B674" s="1283" t="s">
        <v>13468</v>
      </c>
      <c r="C674" s="1284"/>
      <c r="D674" s="1284"/>
      <c r="E674" s="1284"/>
      <c r="F674" s="1284"/>
      <c r="G674" s="1285"/>
    </row>
    <row r="675" spans="1:8" ht="45.75" hidden="1" thickBot="1">
      <c r="A675" s="473" t="s">
        <v>13458</v>
      </c>
      <c r="B675" s="751">
        <v>7583</v>
      </c>
      <c r="C675" s="475" t="s">
        <v>959</v>
      </c>
      <c r="D675" s="711" t="s">
        <v>6636</v>
      </c>
      <c r="E675" s="752">
        <v>4</v>
      </c>
      <c r="F675" s="713">
        <v>0.2</v>
      </c>
      <c r="G675" s="750">
        <f t="shared" ref="G675:G680" si="8">TRUNC(F675*E675,2)</f>
        <v>0.8</v>
      </c>
    </row>
    <row r="676" spans="1:8" ht="30.75" hidden="1" thickBot="1">
      <c r="A676" s="473" t="s">
        <v>13458</v>
      </c>
      <c r="B676" s="751">
        <v>11854</v>
      </c>
      <c r="C676" s="475" t="s">
        <v>7923</v>
      </c>
      <c r="D676" s="711" t="s">
        <v>6636</v>
      </c>
      <c r="E676" s="752">
        <v>6</v>
      </c>
      <c r="F676" s="713">
        <v>6.5</v>
      </c>
      <c r="G676" s="750">
        <f t="shared" si="8"/>
        <v>39</v>
      </c>
    </row>
    <row r="677" spans="1:8" ht="30.75" hidden="1" thickBot="1">
      <c r="A677" s="473" t="s">
        <v>13458</v>
      </c>
      <c r="B677" s="751">
        <v>11270</v>
      </c>
      <c r="C677" s="475" t="s">
        <v>6654</v>
      </c>
      <c r="D677" s="711" t="s">
        <v>6636</v>
      </c>
      <c r="E677" s="752">
        <v>1</v>
      </c>
      <c r="F677" s="713">
        <v>1.8</v>
      </c>
      <c r="G677" s="750">
        <f t="shared" si="8"/>
        <v>1.8</v>
      </c>
    </row>
    <row r="678" spans="1:8" ht="45.75" hidden="1" thickBot="1">
      <c r="A678" s="473" t="s">
        <v>13458</v>
      </c>
      <c r="B678" s="751">
        <v>4274</v>
      </c>
      <c r="C678" s="475" t="s">
        <v>9869</v>
      </c>
      <c r="D678" s="711" t="s">
        <v>6636</v>
      </c>
      <c r="E678" s="752">
        <v>1</v>
      </c>
      <c r="F678" s="713">
        <v>99.26</v>
      </c>
      <c r="G678" s="750">
        <f t="shared" si="8"/>
        <v>99.26</v>
      </c>
    </row>
    <row r="679" spans="1:8" ht="30.75" hidden="1" thickBot="1">
      <c r="A679" s="473" t="s">
        <v>13458</v>
      </c>
      <c r="B679" s="751">
        <v>7572</v>
      </c>
      <c r="C679" s="475" t="s">
        <v>10539</v>
      </c>
      <c r="D679" s="711" t="s">
        <v>6636</v>
      </c>
      <c r="E679" s="752">
        <v>6</v>
      </c>
      <c r="F679" s="713">
        <v>8.57</v>
      </c>
      <c r="G679" s="750">
        <f t="shared" si="8"/>
        <v>51.42</v>
      </c>
    </row>
    <row r="680" spans="1:8" ht="30.75" hidden="1" thickBot="1">
      <c r="A680" s="473" t="s">
        <v>13458</v>
      </c>
      <c r="B680" s="751">
        <v>7696</v>
      </c>
      <c r="C680" s="475" t="s">
        <v>11068</v>
      </c>
      <c r="D680" s="711" t="s">
        <v>6649</v>
      </c>
      <c r="E680" s="752">
        <v>6</v>
      </c>
      <c r="F680" s="713">
        <v>45.03</v>
      </c>
      <c r="G680" s="750">
        <f t="shared" si="8"/>
        <v>270.18</v>
      </c>
    </row>
    <row r="681" spans="1:8" ht="16.5" hidden="1" thickBot="1">
      <c r="A681" s="464"/>
      <c r="B681" s="1283" t="s">
        <v>13469</v>
      </c>
      <c r="C681" s="1284"/>
      <c r="D681" s="1284"/>
      <c r="E681" s="1284"/>
      <c r="F681" s="1284"/>
      <c r="G681" s="1285"/>
    </row>
    <row r="682" spans="1:8" ht="16.5" hidden="1" thickBot="1">
      <c r="A682" s="473" t="s">
        <v>13459</v>
      </c>
      <c r="B682" s="751">
        <v>88264</v>
      </c>
      <c r="C682" s="475" t="s">
        <v>771</v>
      </c>
      <c r="D682" s="711" t="s">
        <v>753</v>
      </c>
      <c r="E682" s="752">
        <v>5.5</v>
      </c>
      <c r="F682" s="713">
        <v>20.52</v>
      </c>
      <c r="G682" s="750">
        <f>TRUNC(F682*E682,2)</f>
        <v>112.86</v>
      </c>
    </row>
    <row r="683" spans="1:8" ht="16.5" hidden="1" thickBot="1">
      <c r="A683" s="473" t="s">
        <v>13459</v>
      </c>
      <c r="B683" s="753">
        <v>88316</v>
      </c>
      <c r="C683" s="484" t="s">
        <v>761</v>
      </c>
      <c r="D683" s="718" t="s">
        <v>753</v>
      </c>
      <c r="E683" s="754">
        <v>5.5</v>
      </c>
      <c r="F683" s="720">
        <v>15.91</v>
      </c>
      <c r="G683" s="755">
        <f>TRUNC(F683*E683,2)</f>
        <v>87.5</v>
      </c>
    </row>
    <row r="684" spans="1:8" ht="16.5" hidden="1" thickBot="1">
      <c r="A684" s="464"/>
      <c r="B684" s="1356" t="s">
        <v>14120</v>
      </c>
      <c r="C684" s="1356"/>
      <c r="D684" s="1356"/>
      <c r="E684" s="1357"/>
      <c r="F684" s="756" t="s">
        <v>22</v>
      </c>
      <c r="G684" s="757">
        <f>SUM(G674:G683)</f>
        <v>662.82</v>
      </c>
    </row>
    <row r="685" spans="1:8" ht="13.5" hidden="1" thickBot="1"/>
    <row r="686" spans="1:8" ht="16.5" hidden="1" thickBot="1">
      <c r="A686" s="464"/>
      <c r="B686" s="704" t="str">
        <f>IF(COUNT($H$8:H686)&lt;10,CONCATENATE("COMP SPDA 00",COUNT($H$8:H686)),CONCATENATE("COMP SPDA 0",COUNT($H$8:H686)))</f>
        <v>COMP SPDA 035</v>
      </c>
      <c r="C686" s="1257" t="s">
        <v>13888</v>
      </c>
      <c r="D686" s="1257"/>
      <c r="E686" s="1257"/>
      <c r="F686" s="1257"/>
      <c r="G686" s="705" t="s">
        <v>35</v>
      </c>
      <c r="H686" s="698">
        <f>G693</f>
        <v>8.89</v>
      </c>
    </row>
    <row r="687" spans="1:8" ht="32.25" hidden="1" thickBot="1">
      <c r="A687" s="464"/>
      <c r="B687" s="469" t="s">
        <v>13463</v>
      </c>
      <c r="C687" s="470" t="s">
        <v>13464</v>
      </c>
      <c r="D687" s="470" t="s">
        <v>28</v>
      </c>
      <c r="E687" s="470" t="s">
        <v>13465</v>
      </c>
      <c r="F687" s="471" t="s">
        <v>13466</v>
      </c>
      <c r="G687" s="472" t="s">
        <v>13467</v>
      </c>
    </row>
    <row r="688" spans="1:8" ht="16.5" hidden="1" thickBot="1">
      <c r="A688" s="464"/>
      <c r="B688" s="1246" t="s">
        <v>13468</v>
      </c>
      <c r="C688" s="1247"/>
      <c r="D688" s="1247"/>
      <c r="E688" s="1247"/>
      <c r="F688" s="1247"/>
      <c r="G688" s="1248"/>
    </row>
    <row r="689" spans="1:8" ht="16.5" hidden="1" thickBot="1">
      <c r="A689" s="473" t="s">
        <v>13458</v>
      </c>
      <c r="B689" s="751">
        <v>862</v>
      </c>
      <c r="C689" s="710" t="s">
        <v>7318</v>
      </c>
      <c r="D689" s="711" t="s">
        <v>6649</v>
      </c>
      <c r="E689" s="766">
        <v>1.02</v>
      </c>
      <c r="F689" s="713">
        <v>5.16</v>
      </c>
      <c r="G689" s="750">
        <f>TRUNC(F689*E689,2)</f>
        <v>5.26</v>
      </c>
    </row>
    <row r="690" spans="1:8" ht="16.5" hidden="1" thickBot="1">
      <c r="A690" s="464"/>
      <c r="B690" s="1246" t="s">
        <v>13469</v>
      </c>
      <c r="C690" s="1247"/>
      <c r="D690" s="1247"/>
      <c r="E690" s="1247"/>
      <c r="F690" s="1247"/>
      <c r="G690" s="1248"/>
    </row>
    <row r="691" spans="1:8" ht="16.5" hidden="1" thickBot="1">
      <c r="A691" s="473" t="s">
        <v>13459</v>
      </c>
      <c r="B691" s="751">
        <v>88247</v>
      </c>
      <c r="C691" s="710" t="s">
        <v>924</v>
      </c>
      <c r="D691" s="711" t="s">
        <v>753</v>
      </c>
      <c r="E691" s="752">
        <v>0.1</v>
      </c>
      <c r="F691" s="713">
        <v>15.84</v>
      </c>
      <c r="G691" s="750">
        <f>TRUNC(F691*E691,2)</f>
        <v>1.58</v>
      </c>
    </row>
    <row r="692" spans="1:8" ht="16.5" hidden="1" thickBot="1">
      <c r="A692" s="473" t="s">
        <v>13459</v>
      </c>
      <c r="B692" s="753">
        <v>88264</v>
      </c>
      <c r="C692" s="717" t="s">
        <v>771</v>
      </c>
      <c r="D692" s="718" t="s">
        <v>753</v>
      </c>
      <c r="E692" s="754">
        <v>0.1</v>
      </c>
      <c r="F692" s="720">
        <v>20.52</v>
      </c>
      <c r="G692" s="755">
        <f>TRUNC(F692*E692,2)</f>
        <v>2.0499999999999998</v>
      </c>
    </row>
    <row r="693" spans="1:8" ht="16.5" hidden="1" thickBot="1">
      <c r="A693" s="464"/>
      <c r="B693" s="1265" t="s">
        <v>13889</v>
      </c>
      <c r="C693" s="1265"/>
      <c r="D693" s="1265"/>
      <c r="E693" s="1265"/>
      <c r="F693" s="756" t="s">
        <v>22</v>
      </c>
      <c r="G693" s="757">
        <f>SUM(G689:G692)</f>
        <v>8.89</v>
      </c>
    </row>
    <row r="694" spans="1:8" ht="13.5" hidden="1" thickBot="1"/>
    <row r="695" spans="1:8" ht="16.5" hidden="1" thickBot="1">
      <c r="A695" s="464"/>
      <c r="B695" s="704" t="str">
        <f>IF(COUNT($H$8:H695)&lt;10,CONCATENATE("COMP SPDA 00",COUNT($H$8:H695)),CONCATENATE("COMP SPDA 0",COUNT($H$8:H695)))</f>
        <v>COMP SPDA 036</v>
      </c>
      <c r="C695" s="1257" t="s">
        <v>13890</v>
      </c>
      <c r="D695" s="1257"/>
      <c r="E695" s="1257"/>
      <c r="F695" s="1257"/>
      <c r="G695" s="705" t="s">
        <v>35</v>
      </c>
      <c r="H695" s="698">
        <f>G702</f>
        <v>13.079999999999998</v>
      </c>
    </row>
    <row r="696" spans="1:8" ht="32.25" hidden="1" thickBot="1">
      <c r="A696" s="464"/>
      <c r="B696" s="469" t="s">
        <v>13463</v>
      </c>
      <c r="C696" s="470" t="s">
        <v>13464</v>
      </c>
      <c r="D696" s="470" t="s">
        <v>28</v>
      </c>
      <c r="E696" s="470" t="s">
        <v>13465</v>
      </c>
      <c r="F696" s="471" t="s">
        <v>13466</v>
      </c>
      <c r="G696" s="472" t="s">
        <v>13467</v>
      </c>
    </row>
    <row r="697" spans="1:8" ht="16.5" hidden="1" thickBot="1">
      <c r="A697" s="464"/>
      <c r="B697" s="1246" t="s">
        <v>13468</v>
      </c>
      <c r="C697" s="1247"/>
      <c r="D697" s="1247"/>
      <c r="E697" s="1247"/>
      <c r="F697" s="1247"/>
      <c r="G697" s="1248"/>
    </row>
    <row r="698" spans="1:8" ht="16.5" hidden="1" thickBot="1">
      <c r="A698" s="473" t="s">
        <v>13458</v>
      </c>
      <c r="B698" s="751">
        <v>857</v>
      </c>
      <c r="C698" s="710" t="s">
        <v>774</v>
      </c>
      <c r="D698" s="711" t="s">
        <v>6649</v>
      </c>
      <c r="E698" s="766">
        <v>1.02</v>
      </c>
      <c r="F698" s="713">
        <v>8.2100000000000009</v>
      </c>
      <c r="G698" s="750">
        <f>TRUNC(F698*E698,2)</f>
        <v>8.3699999999999992</v>
      </c>
    </row>
    <row r="699" spans="1:8" ht="16.5" hidden="1" thickBot="1">
      <c r="A699" s="464"/>
      <c r="B699" s="1246" t="s">
        <v>13469</v>
      </c>
      <c r="C699" s="1247"/>
      <c r="D699" s="1247"/>
      <c r="E699" s="1247"/>
      <c r="F699" s="1247"/>
      <c r="G699" s="1248"/>
    </row>
    <row r="700" spans="1:8" ht="16.5" hidden="1" thickBot="1">
      <c r="A700" s="473" t="s">
        <v>13459</v>
      </c>
      <c r="B700" s="751">
        <v>88247</v>
      </c>
      <c r="C700" s="710" t="s">
        <v>924</v>
      </c>
      <c r="D700" s="711" t="s">
        <v>753</v>
      </c>
      <c r="E700" s="752">
        <v>0.13</v>
      </c>
      <c r="F700" s="713">
        <v>15.84</v>
      </c>
      <c r="G700" s="750">
        <f>TRUNC(F700*E700,2)</f>
        <v>2.0499999999999998</v>
      </c>
    </row>
    <row r="701" spans="1:8" ht="16.5" hidden="1" thickBot="1">
      <c r="A701" s="473" t="s">
        <v>13459</v>
      </c>
      <c r="B701" s="753">
        <v>88264</v>
      </c>
      <c r="C701" s="717" t="s">
        <v>771</v>
      </c>
      <c r="D701" s="718" t="s">
        <v>753</v>
      </c>
      <c r="E701" s="754">
        <v>0.13</v>
      </c>
      <c r="F701" s="720">
        <v>20.52</v>
      </c>
      <c r="G701" s="755">
        <f>TRUNC(F701*E701,2)</f>
        <v>2.66</v>
      </c>
    </row>
    <row r="702" spans="1:8" ht="16.5" hidden="1" thickBot="1">
      <c r="A702" s="464"/>
      <c r="B702" s="1265" t="s">
        <v>13891</v>
      </c>
      <c r="C702" s="1265"/>
      <c r="D702" s="1265"/>
      <c r="E702" s="1265"/>
      <c r="F702" s="756" t="s">
        <v>22</v>
      </c>
      <c r="G702" s="757">
        <f>SUM(G698:G701)</f>
        <v>13.079999999999998</v>
      </c>
    </row>
    <row r="703" spans="1:8" ht="13.5" hidden="1" thickBot="1"/>
    <row r="704" spans="1:8" ht="16.5" hidden="1" thickBot="1">
      <c r="A704" s="464"/>
      <c r="B704" s="704" t="str">
        <f>IF(COUNT($H$8:H704)&lt;10,CONCATENATE("COMP SPDA 00",COUNT($H$8:H704)),CONCATENATE("COMP SPDA 0",COUNT($H$8:H704)))</f>
        <v>COMP SPDA 037</v>
      </c>
      <c r="C704" s="1257" t="s">
        <v>13892</v>
      </c>
      <c r="D704" s="1257"/>
      <c r="E704" s="1257"/>
      <c r="F704" s="1257"/>
      <c r="G704" s="705" t="s">
        <v>35</v>
      </c>
      <c r="H704" s="698">
        <f>G711</f>
        <v>19.099999999999998</v>
      </c>
    </row>
    <row r="705" spans="1:8" ht="32.25" hidden="1" thickBot="1">
      <c r="A705" s="464"/>
      <c r="B705" s="469" t="s">
        <v>13463</v>
      </c>
      <c r="C705" s="470" t="s">
        <v>13464</v>
      </c>
      <c r="D705" s="470" t="s">
        <v>28</v>
      </c>
      <c r="E705" s="470" t="s">
        <v>13465</v>
      </c>
      <c r="F705" s="471" t="s">
        <v>13466</v>
      </c>
      <c r="G705" s="472" t="s">
        <v>13467</v>
      </c>
    </row>
    <row r="706" spans="1:8" ht="16.5" hidden="1" thickBot="1">
      <c r="A706" s="464"/>
      <c r="B706" s="1246" t="s">
        <v>13468</v>
      </c>
      <c r="C706" s="1247"/>
      <c r="D706" s="1247"/>
      <c r="E706" s="1247"/>
      <c r="F706" s="1247"/>
      <c r="G706" s="1248"/>
    </row>
    <row r="707" spans="1:8" ht="16.5" hidden="1" thickBot="1">
      <c r="A707" s="473" t="s">
        <v>13458</v>
      </c>
      <c r="B707" s="751">
        <v>868</v>
      </c>
      <c r="C707" s="710" t="s">
        <v>7322</v>
      </c>
      <c r="D707" s="711" t="s">
        <v>6649</v>
      </c>
      <c r="E707" s="766">
        <v>1.02</v>
      </c>
      <c r="F707" s="713">
        <v>12.68</v>
      </c>
      <c r="G707" s="750">
        <f>TRUNC(F707*E707,2)</f>
        <v>12.93</v>
      </c>
    </row>
    <row r="708" spans="1:8" ht="16.5" hidden="1" thickBot="1">
      <c r="A708" s="464"/>
      <c r="B708" s="1246" t="s">
        <v>13469</v>
      </c>
      <c r="C708" s="1247"/>
      <c r="D708" s="1247"/>
      <c r="E708" s="1247"/>
      <c r="F708" s="1247"/>
      <c r="G708" s="1248"/>
    </row>
    <row r="709" spans="1:8" ht="16.5" hidden="1" thickBot="1">
      <c r="A709" s="473" t="s">
        <v>13459</v>
      </c>
      <c r="B709" s="751">
        <v>88247</v>
      </c>
      <c r="C709" s="710" t="s">
        <v>924</v>
      </c>
      <c r="D709" s="711" t="s">
        <v>753</v>
      </c>
      <c r="E709" s="752">
        <v>0.17</v>
      </c>
      <c r="F709" s="713">
        <v>15.84</v>
      </c>
      <c r="G709" s="750">
        <f>TRUNC(F709*E709,2)</f>
        <v>2.69</v>
      </c>
    </row>
    <row r="710" spans="1:8" ht="16.5" hidden="1" thickBot="1">
      <c r="A710" s="473" t="s">
        <v>13459</v>
      </c>
      <c r="B710" s="753">
        <v>88264</v>
      </c>
      <c r="C710" s="717" t="s">
        <v>771</v>
      </c>
      <c r="D710" s="718" t="s">
        <v>753</v>
      </c>
      <c r="E710" s="754">
        <v>0.17</v>
      </c>
      <c r="F710" s="720">
        <v>20.52</v>
      </c>
      <c r="G710" s="755">
        <f>TRUNC(F710*E710,2)</f>
        <v>3.48</v>
      </c>
    </row>
    <row r="711" spans="1:8" ht="16.5" hidden="1" thickBot="1">
      <c r="A711" s="464"/>
      <c r="B711" s="1265" t="s">
        <v>13893</v>
      </c>
      <c r="C711" s="1265"/>
      <c r="D711" s="1265"/>
      <c r="E711" s="1265"/>
      <c r="F711" s="756" t="s">
        <v>22</v>
      </c>
      <c r="G711" s="757">
        <f>SUM(G707:G710)</f>
        <v>19.099999999999998</v>
      </c>
    </row>
    <row r="712" spans="1:8" ht="13.5" hidden="1" thickBot="1"/>
    <row r="713" spans="1:8" ht="15.75">
      <c r="A713" s="464"/>
      <c r="B713" s="704" t="str">
        <f>IF(COUNT($H$8:H713)&lt;10,CONCATENATE("COMP SPDA 00",COUNT($H$8:H713)),CONCATENATE("COMP SPDA 0",COUNT($H$8:H713)))</f>
        <v>COMP SPDA 038</v>
      </c>
      <c r="C713" s="1257" t="s">
        <v>160</v>
      </c>
      <c r="D713" s="1257"/>
      <c r="E713" s="1257"/>
      <c r="F713" s="1257"/>
      <c r="G713" s="705" t="s">
        <v>35</v>
      </c>
      <c r="H713" s="698">
        <f>G720</f>
        <v>25.48</v>
      </c>
    </row>
    <row r="714" spans="1:8" ht="31.5">
      <c r="A714" s="464"/>
      <c r="B714" s="469" t="s">
        <v>13463</v>
      </c>
      <c r="C714" s="470" t="s">
        <v>13464</v>
      </c>
      <c r="D714" s="470" t="s">
        <v>28</v>
      </c>
      <c r="E714" s="470" t="s">
        <v>13465</v>
      </c>
      <c r="F714" s="471" t="s">
        <v>13466</v>
      </c>
      <c r="G714" s="472" t="s">
        <v>13467</v>
      </c>
    </row>
    <row r="715" spans="1:8" ht="15.75">
      <c r="A715" s="464"/>
      <c r="B715" s="1246" t="s">
        <v>13468</v>
      </c>
      <c r="C715" s="1247"/>
      <c r="D715" s="1247"/>
      <c r="E715" s="1247"/>
      <c r="F715" s="1247"/>
      <c r="G715" s="1248"/>
    </row>
    <row r="716" spans="1:8" ht="15.75">
      <c r="A716" s="473" t="s">
        <v>13458</v>
      </c>
      <c r="B716" s="751">
        <v>863</v>
      </c>
      <c r="C716" s="710" t="s">
        <v>946</v>
      </c>
      <c r="D716" s="711" t="s">
        <v>6649</v>
      </c>
      <c r="E716" s="766">
        <v>1.02</v>
      </c>
      <c r="F716" s="713">
        <v>17.510000000000002</v>
      </c>
      <c r="G716" s="750">
        <f>TRUNC(F716*E716,2)</f>
        <v>17.86</v>
      </c>
    </row>
    <row r="717" spans="1:8" ht="15.75">
      <c r="A717" s="464"/>
      <c r="B717" s="1246" t="s">
        <v>13469</v>
      </c>
      <c r="C717" s="1247"/>
      <c r="D717" s="1247"/>
      <c r="E717" s="1247"/>
      <c r="F717" s="1247"/>
      <c r="G717" s="1248"/>
    </row>
    <row r="718" spans="1:8" ht="15.75">
      <c r="A718" s="473" t="s">
        <v>13459</v>
      </c>
      <c r="B718" s="751">
        <v>88247</v>
      </c>
      <c r="C718" s="710" t="s">
        <v>924</v>
      </c>
      <c r="D718" s="711" t="s">
        <v>753</v>
      </c>
      <c r="E718" s="752">
        <v>0.21</v>
      </c>
      <c r="F718" s="713">
        <v>15.84</v>
      </c>
      <c r="G718" s="750">
        <f>TRUNC(F718*E718,2)</f>
        <v>3.32</v>
      </c>
    </row>
    <row r="719" spans="1:8" ht="16.5" thickBot="1">
      <c r="A719" s="473" t="s">
        <v>13459</v>
      </c>
      <c r="B719" s="753">
        <v>88264</v>
      </c>
      <c r="C719" s="717" t="s">
        <v>771</v>
      </c>
      <c r="D719" s="718" t="s">
        <v>753</v>
      </c>
      <c r="E719" s="754">
        <v>0.21</v>
      </c>
      <c r="F719" s="720">
        <v>20.52</v>
      </c>
      <c r="G719" s="755">
        <f>TRUNC(F719*E719,2)</f>
        <v>4.3</v>
      </c>
    </row>
    <row r="720" spans="1:8" ht="16.5" customHeight="1" thickBot="1">
      <c r="A720" s="464"/>
      <c r="B720" s="1265" t="s">
        <v>13894</v>
      </c>
      <c r="C720" s="1265"/>
      <c r="D720" s="1265"/>
      <c r="E720" s="1265"/>
      <c r="F720" s="756" t="s">
        <v>22</v>
      </c>
      <c r="G720" s="757">
        <f>SUM(G716:G719)</f>
        <v>25.48</v>
      </c>
    </row>
    <row r="721" spans="1:8" ht="13.5" thickBot="1"/>
    <row r="722" spans="1:8" ht="15.75">
      <c r="A722" s="464"/>
      <c r="B722" s="704" t="str">
        <f>IF(COUNT($H$8:H722)&lt;10,CONCATENATE("COMP SPDA 00",COUNT($H$8:H722)),CONCATENATE("COMP SPDA 0",COUNT($H$8:H722)))</f>
        <v>COMP SPDA 039</v>
      </c>
      <c r="C722" s="1257" t="s">
        <v>161</v>
      </c>
      <c r="D722" s="1257"/>
      <c r="E722" s="1257"/>
      <c r="F722" s="1257"/>
      <c r="G722" s="705" t="s">
        <v>35</v>
      </c>
      <c r="H722" s="698">
        <f>G729</f>
        <v>36.14</v>
      </c>
    </row>
    <row r="723" spans="1:8" ht="31.5">
      <c r="A723" s="464"/>
      <c r="B723" s="469" t="s">
        <v>13463</v>
      </c>
      <c r="C723" s="470" t="s">
        <v>13464</v>
      </c>
      <c r="D723" s="470" t="s">
        <v>28</v>
      </c>
      <c r="E723" s="470" t="s">
        <v>13465</v>
      </c>
      <c r="F723" s="471" t="s">
        <v>13466</v>
      </c>
      <c r="G723" s="472" t="s">
        <v>13467</v>
      </c>
    </row>
    <row r="724" spans="1:8" ht="15.75">
      <c r="A724" s="464"/>
      <c r="B724" s="1246" t="s">
        <v>13468</v>
      </c>
      <c r="C724" s="1247"/>
      <c r="D724" s="1247"/>
      <c r="E724" s="1247"/>
      <c r="F724" s="1247"/>
      <c r="G724" s="1248"/>
    </row>
    <row r="725" spans="1:8" ht="15.75">
      <c r="A725" s="473" t="s">
        <v>13458</v>
      </c>
      <c r="B725" s="751">
        <v>867</v>
      </c>
      <c r="C725" s="710" t="s">
        <v>947</v>
      </c>
      <c r="D725" s="711" t="s">
        <v>6649</v>
      </c>
      <c r="E725" s="766">
        <v>1.02</v>
      </c>
      <c r="F725" s="713">
        <v>24.39</v>
      </c>
      <c r="G725" s="750">
        <f>TRUNC(F725*E725,2)</f>
        <v>24.87</v>
      </c>
    </row>
    <row r="726" spans="1:8" ht="15.75">
      <c r="A726" s="464"/>
      <c r="B726" s="1246" t="s">
        <v>13469</v>
      </c>
      <c r="C726" s="1247"/>
      <c r="D726" s="1247"/>
      <c r="E726" s="1247"/>
      <c r="F726" s="1247"/>
      <c r="G726" s="1248"/>
    </row>
    <row r="727" spans="1:8" ht="15.75">
      <c r="A727" s="473" t="s">
        <v>13459</v>
      </c>
      <c r="B727" s="751">
        <v>88247</v>
      </c>
      <c r="C727" s="710" t="s">
        <v>924</v>
      </c>
      <c r="D727" s="711" t="s">
        <v>753</v>
      </c>
      <c r="E727" s="752">
        <v>0.31</v>
      </c>
      <c r="F727" s="713">
        <v>15.84</v>
      </c>
      <c r="G727" s="750">
        <f>TRUNC(F727*E727,2)</f>
        <v>4.91</v>
      </c>
    </row>
    <row r="728" spans="1:8" ht="16.5" thickBot="1">
      <c r="A728" s="473" t="s">
        <v>13459</v>
      </c>
      <c r="B728" s="753">
        <v>88264</v>
      </c>
      <c r="C728" s="717" t="s">
        <v>771</v>
      </c>
      <c r="D728" s="718" t="s">
        <v>753</v>
      </c>
      <c r="E728" s="754">
        <v>0.31</v>
      </c>
      <c r="F728" s="720">
        <v>20.52</v>
      </c>
      <c r="G728" s="755">
        <f>TRUNC(F728*E728,2)</f>
        <v>6.36</v>
      </c>
    </row>
    <row r="729" spans="1:8" ht="16.5" thickBot="1">
      <c r="A729" s="464"/>
      <c r="B729" s="1265" t="s">
        <v>13895</v>
      </c>
      <c r="C729" s="1265"/>
      <c r="D729" s="1265"/>
      <c r="E729" s="1265"/>
      <c r="F729" s="756" t="s">
        <v>22</v>
      </c>
      <c r="G729" s="757">
        <f>SUM(G725:G728)</f>
        <v>36.14</v>
      </c>
    </row>
    <row r="731" spans="1:8" ht="15.75" hidden="1">
      <c r="A731" s="464"/>
      <c r="B731" s="704" t="str">
        <f>IF(COUNT($H$8:H731)&lt;10,CONCATENATE("COMP SPDA 00",COUNT($H$8:H731)),CONCATENATE("COMP SPDA 0",COUNT($H$8:H731)))</f>
        <v>COMP SPDA 040</v>
      </c>
      <c r="C731" s="1257" t="s">
        <v>13896</v>
      </c>
      <c r="D731" s="1257"/>
      <c r="E731" s="1257"/>
      <c r="F731" s="1257"/>
      <c r="G731" s="705" t="s">
        <v>35</v>
      </c>
      <c r="H731" s="698">
        <f>G738</f>
        <v>47.4</v>
      </c>
    </row>
    <row r="732" spans="1:8" ht="31.5" hidden="1">
      <c r="A732" s="464"/>
      <c r="B732" s="469" t="s">
        <v>13463</v>
      </c>
      <c r="C732" s="470" t="s">
        <v>13464</v>
      </c>
      <c r="D732" s="470" t="s">
        <v>28</v>
      </c>
      <c r="E732" s="470" t="s">
        <v>13465</v>
      </c>
      <c r="F732" s="471" t="s">
        <v>13466</v>
      </c>
      <c r="G732" s="472" t="s">
        <v>13467</v>
      </c>
    </row>
    <row r="733" spans="1:8" ht="15.75" hidden="1">
      <c r="A733" s="464"/>
      <c r="B733" s="1246" t="s">
        <v>13468</v>
      </c>
      <c r="C733" s="1247"/>
      <c r="D733" s="1247"/>
      <c r="E733" s="1247"/>
      <c r="F733" s="1247"/>
      <c r="G733" s="1248"/>
    </row>
    <row r="734" spans="1:8" ht="15.75" hidden="1">
      <c r="A734" s="473" t="s">
        <v>13458</v>
      </c>
      <c r="B734" s="751">
        <v>864</v>
      </c>
      <c r="C734" s="710" t="s">
        <v>7325</v>
      </c>
      <c r="D734" s="711" t="s">
        <v>6649</v>
      </c>
      <c r="E734" s="766">
        <v>1.02</v>
      </c>
      <c r="F734" s="713">
        <v>34.369999999999997</v>
      </c>
      <c r="G734" s="750">
        <f>TRUNC(F734*E734,2)</f>
        <v>35.049999999999997</v>
      </c>
    </row>
    <row r="735" spans="1:8" ht="15.75" hidden="1">
      <c r="A735" s="464"/>
      <c r="B735" s="1246" t="s">
        <v>13469</v>
      </c>
      <c r="C735" s="1247"/>
      <c r="D735" s="1247"/>
      <c r="E735" s="1247"/>
      <c r="F735" s="1247"/>
      <c r="G735" s="1248"/>
    </row>
    <row r="736" spans="1:8" ht="15.75" hidden="1">
      <c r="A736" s="473" t="s">
        <v>13459</v>
      </c>
      <c r="B736" s="751">
        <v>88247</v>
      </c>
      <c r="C736" s="710" t="s">
        <v>924</v>
      </c>
      <c r="D736" s="711" t="s">
        <v>753</v>
      </c>
      <c r="E736" s="752">
        <v>0.34</v>
      </c>
      <c r="F736" s="713">
        <v>15.84</v>
      </c>
      <c r="G736" s="750">
        <f>TRUNC(F736*E736,2)</f>
        <v>5.38</v>
      </c>
    </row>
    <row r="737" spans="1:8" ht="16.5" hidden="1" thickBot="1">
      <c r="A737" s="473" t="s">
        <v>13459</v>
      </c>
      <c r="B737" s="753">
        <v>88264</v>
      </c>
      <c r="C737" s="717" t="s">
        <v>771</v>
      </c>
      <c r="D737" s="718" t="s">
        <v>753</v>
      </c>
      <c r="E737" s="754">
        <v>0.34</v>
      </c>
      <c r="F737" s="720">
        <v>20.52</v>
      </c>
      <c r="G737" s="755">
        <f>TRUNC(F737*E737,2)</f>
        <v>6.97</v>
      </c>
    </row>
    <row r="738" spans="1:8" ht="16.5" hidden="1" thickBot="1">
      <c r="A738" s="464"/>
      <c r="B738" s="1265" t="s">
        <v>13897</v>
      </c>
      <c r="C738" s="1265"/>
      <c r="D738" s="1265"/>
      <c r="E738" s="1265"/>
      <c r="F738" s="756" t="s">
        <v>22</v>
      </c>
      <c r="G738" s="757">
        <f>SUM(G734:G737)</f>
        <v>47.4</v>
      </c>
    </row>
    <row r="739" spans="1:8" hidden="1"/>
    <row r="740" spans="1:8" ht="15.75" hidden="1">
      <c r="A740" s="464"/>
      <c r="B740" s="704" t="str">
        <f>IF(COUNT($H$8:H740)&lt;10,CONCATENATE("COMP SPDA 00",COUNT($H$8:H740)),CONCATENATE("COMP SPDA 0",COUNT($H$8:H740)))</f>
        <v>COMP SPDA 041</v>
      </c>
      <c r="C740" s="1257" t="s">
        <v>13898</v>
      </c>
      <c r="D740" s="1257"/>
      <c r="E740" s="1257"/>
      <c r="F740" s="1257"/>
      <c r="G740" s="705" t="s">
        <v>35</v>
      </c>
      <c r="H740" s="698">
        <f>G747</f>
        <v>62.45</v>
      </c>
    </row>
    <row r="741" spans="1:8" ht="31.5" hidden="1">
      <c r="A741" s="464"/>
      <c r="B741" s="469" t="s">
        <v>13463</v>
      </c>
      <c r="C741" s="470" t="s">
        <v>13464</v>
      </c>
      <c r="D741" s="470" t="s">
        <v>28</v>
      </c>
      <c r="E741" s="470" t="s">
        <v>13465</v>
      </c>
      <c r="F741" s="471" t="s">
        <v>13466</v>
      </c>
      <c r="G741" s="472" t="s">
        <v>13467</v>
      </c>
    </row>
    <row r="742" spans="1:8" ht="15.75" hidden="1">
      <c r="A742" s="464"/>
      <c r="B742" s="1246" t="s">
        <v>13468</v>
      </c>
      <c r="C742" s="1247"/>
      <c r="D742" s="1247"/>
      <c r="E742" s="1247"/>
      <c r="F742" s="1247"/>
      <c r="G742" s="1248"/>
    </row>
    <row r="743" spans="1:8" ht="15.75" hidden="1">
      <c r="A743" s="473" t="s">
        <v>13458</v>
      </c>
      <c r="B743" s="751">
        <v>865</v>
      </c>
      <c r="C743" s="710" t="s">
        <v>7326</v>
      </c>
      <c r="D743" s="711" t="s">
        <v>6649</v>
      </c>
      <c r="E743" s="766">
        <v>1.02</v>
      </c>
      <c r="F743" s="713">
        <v>48.41</v>
      </c>
      <c r="G743" s="750">
        <f>TRUNC(F743*E743,2)</f>
        <v>49.37</v>
      </c>
    </row>
    <row r="744" spans="1:8" ht="15.75" hidden="1">
      <c r="A744" s="464"/>
      <c r="B744" s="1246" t="s">
        <v>13469</v>
      </c>
      <c r="C744" s="1247"/>
      <c r="D744" s="1247"/>
      <c r="E744" s="1247"/>
      <c r="F744" s="1247"/>
      <c r="G744" s="1248"/>
    </row>
    <row r="745" spans="1:8" ht="15.75" hidden="1">
      <c r="A745" s="473" t="s">
        <v>13459</v>
      </c>
      <c r="B745" s="751">
        <v>88247</v>
      </c>
      <c r="C745" s="710" t="s">
        <v>924</v>
      </c>
      <c r="D745" s="711" t="s">
        <v>753</v>
      </c>
      <c r="E745" s="752">
        <v>0.36</v>
      </c>
      <c r="F745" s="713">
        <v>15.84</v>
      </c>
      <c r="G745" s="750">
        <f>TRUNC(F745*E745,2)</f>
        <v>5.7</v>
      </c>
    </row>
    <row r="746" spans="1:8" ht="16.5" hidden="1" thickBot="1">
      <c r="A746" s="473" t="s">
        <v>13459</v>
      </c>
      <c r="B746" s="753">
        <v>88264</v>
      </c>
      <c r="C746" s="717" t="s">
        <v>771</v>
      </c>
      <c r="D746" s="718" t="s">
        <v>753</v>
      </c>
      <c r="E746" s="754">
        <v>0.36</v>
      </c>
      <c r="F746" s="720">
        <v>20.52</v>
      </c>
      <c r="G746" s="755">
        <f>TRUNC(F746*E746,2)</f>
        <v>7.38</v>
      </c>
    </row>
    <row r="747" spans="1:8" ht="16.5" hidden="1" thickBot="1">
      <c r="A747" s="464"/>
      <c r="B747" s="1265" t="s">
        <v>13899</v>
      </c>
      <c r="C747" s="1265"/>
      <c r="D747" s="1265"/>
      <c r="E747" s="1265"/>
      <c r="F747" s="756" t="s">
        <v>22</v>
      </c>
      <c r="G747" s="757">
        <f>SUM(G743:G746)</f>
        <v>62.45</v>
      </c>
    </row>
    <row r="748" spans="1:8" hidden="1"/>
    <row r="749" spans="1:8" ht="15.75" hidden="1">
      <c r="A749" s="464"/>
      <c r="B749" s="704" t="str">
        <f>IF(COUNT($H$8:H749)&lt;10,CONCATENATE("COMP SPDA 00",COUNT($H$8:H749)),CONCATENATE("COMP SPDA 0",COUNT($H$8:H749)))</f>
        <v>COMP SPDA 042</v>
      </c>
      <c r="C749" s="1257" t="s">
        <v>13900</v>
      </c>
      <c r="D749" s="1257"/>
      <c r="E749" s="1257"/>
      <c r="F749" s="1257"/>
      <c r="G749" s="705" t="s">
        <v>28</v>
      </c>
      <c r="H749" s="698">
        <f>G756</f>
        <v>14.41</v>
      </c>
    </row>
    <row r="750" spans="1:8" ht="31.5" hidden="1">
      <c r="A750" s="464"/>
      <c r="B750" s="469" t="s">
        <v>13463</v>
      </c>
      <c r="C750" s="470" t="s">
        <v>13464</v>
      </c>
      <c r="D750" s="470" t="s">
        <v>28</v>
      </c>
      <c r="E750" s="470" t="s">
        <v>13465</v>
      </c>
      <c r="F750" s="471" t="s">
        <v>13466</v>
      </c>
      <c r="G750" s="472" t="s">
        <v>13467</v>
      </c>
    </row>
    <row r="751" spans="1:8" ht="15.75" hidden="1">
      <c r="A751" s="464"/>
      <c r="B751" s="1246" t="s">
        <v>13468</v>
      </c>
      <c r="C751" s="1247"/>
      <c r="D751" s="1247"/>
      <c r="E751" s="1247"/>
      <c r="F751" s="1247"/>
      <c r="G751" s="1248"/>
    </row>
    <row r="752" spans="1:8" ht="30" hidden="1">
      <c r="A752" s="473" t="s">
        <v>13458</v>
      </c>
      <c r="B752" s="751">
        <v>1535</v>
      </c>
      <c r="C752" s="710" t="s">
        <v>10913</v>
      </c>
      <c r="D752" s="711" t="s">
        <v>6636</v>
      </c>
      <c r="E752" s="766">
        <v>1</v>
      </c>
      <c r="F752" s="713">
        <v>3.51</v>
      </c>
      <c r="G752" s="750">
        <f>TRUNC(F752*E752,2)</f>
        <v>3.51</v>
      </c>
    </row>
    <row r="753" spans="1:8" ht="15.75" hidden="1">
      <c r="A753" s="464"/>
      <c r="B753" s="1246" t="s">
        <v>13469</v>
      </c>
      <c r="C753" s="1247"/>
      <c r="D753" s="1247"/>
      <c r="E753" s="1247"/>
      <c r="F753" s="1247"/>
      <c r="G753" s="1248"/>
    </row>
    <row r="754" spans="1:8" ht="15.75" hidden="1">
      <c r="A754" s="473" t="s">
        <v>13459</v>
      </c>
      <c r="B754" s="751">
        <v>88247</v>
      </c>
      <c r="C754" s="710" t="s">
        <v>924</v>
      </c>
      <c r="D754" s="711" t="s">
        <v>753</v>
      </c>
      <c r="E754" s="752">
        <v>0.3</v>
      </c>
      <c r="F754" s="713">
        <v>15.84</v>
      </c>
      <c r="G754" s="750">
        <f>TRUNC(F754*E754,2)</f>
        <v>4.75</v>
      </c>
    </row>
    <row r="755" spans="1:8" ht="16.5" hidden="1" thickBot="1">
      <c r="A755" s="473" t="s">
        <v>13459</v>
      </c>
      <c r="B755" s="753">
        <v>88264</v>
      </c>
      <c r="C755" s="717" t="s">
        <v>771</v>
      </c>
      <c r="D755" s="718" t="s">
        <v>753</v>
      </c>
      <c r="E755" s="754">
        <v>0.3</v>
      </c>
      <c r="F755" s="720">
        <v>20.52</v>
      </c>
      <c r="G755" s="755">
        <f>TRUNC(F755*E755,2)</f>
        <v>6.15</v>
      </c>
    </row>
    <row r="756" spans="1:8" ht="16.5" hidden="1" thickBot="1">
      <c r="A756" s="464"/>
      <c r="B756" s="1265" t="s">
        <v>13901</v>
      </c>
      <c r="C756" s="1265"/>
      <c r="D756" s="1265"/>
      <c r="E756" s="1265"/>
      <c r="F756" s="756" t="s">
        <v>22</v>
      </c>
      <c r="G756" s="757">
        <f>SUM(G752:G755)</f>
        <v>14.41</v>
      </c>
    </row>
    <row r="757" spans="1:8" hidden="1"/>
    <row r="758" spans="1:8" ht="15.75" hidden="1">
      <c r="A758" s="464"/>
      <c r="B758" s="704" t="str">
        <f>IF(COUNT($H$8:H758)&lt;10,CONCATENATE("COMP SPDA 00",COUNT($H$8:H758)),CONCATENATE("COMP SPDA 0",COUNT($H$8:H758)))</f>
        <v>COMP SPDA 043</v>
      </c>
      <c r="C758" s="1257" t="s">
        <v>13902</v>
      </c>
      <c r="D758" s="1257"/>
      <c r="E758" s="1257"/>
      <c r="F758" s="1257"/>
      <c r="G758" s="705" t="s">
        <v>28</v>
      </c>
      <c r="H758" s="698">
        <f>G765</f>
        <v>14.34</v>
      </c>
    </row>
    <row r="759" spans="1:8" ht="31.5" hidden="1">
      <c r="A759" s="464"/>
      <c r="B759" s="469" t="s">
        <v>13463</v>
      </c>
      <c r="C759" s="470" t="s">
        <v>13464</v>
      </c>
      <c r="D759" s="470" t="s">
        <v>28</v>
      </c>
      <c r="E759" s="470" t="s">
        <v>13465</v>
      </c>
      <c r="F759" s="471" t="s">
        <v>13466</v>
      </c>
      <c r="G759" s="472" t="s">
        <v>13467</v>
      </c>
    </row>
    <row r="760" spans="1:8" ht="15.75" hidden="1">
      <c r="A760" s="464"/>
      <c r="B760" s="1246" t="s">
        <v>13468</v>
      </c>
      <c r="C760" s="1247"/>
      <c r="D760" s="1247"/>
      <c r="E760" s="1247"/>
      <c r="F760" s="1247"/>
      <c r="G760" s="1248"/>
    </row>
    <row r="761" spans="1:8" ht="30" hidden="1">
      <c r="A761" s="473" t="s">
        <v>13458</v>
      </c>
      <c r="B761" s="751">
        <v>1585</v>
      </c>
      <c r="C761" s="710" t="s">
        <v>10904</v>
      </c>
      <c r="D761" s="711" t="s">
        <v>6636</v>
      </c>
      <c r="E761" s="766">
        <v>1</v>
      </c>
      <c r="F761" s="713">
        <v>3.44</v>
      </c>
      <c r="G761" s="750">
        <f>TRUNC(F761*E761,2)</f>
        <v>3.44</v>
      </c>
    </row>
    <row r="762" spans="1:8" ht="15.75" hidden="1">
      <c r="A762" s="464"/>
      <c r="B762" s="1246" t="s">
        <v>13469</v>
      </c>
      <c r="C762" s="1247"/>
      <c r="D762" s="1247"/>
      <c r="E762" s="1247"/>
      <c r="F762" s="1247"/>
      <c r="G762" s="1248"/>
    </row>
    <row r="763" spans="1:8" ht="15.75" hidden="1">
      <c r="A763" s="473" t="s">
        <v>13459</v>
      </c>
      <c r="B763" s="751">
        <v>88247</v>
      </c>
      <c r="C763" s="710" t="s">
        <v>924</v>
      </c>
      <c r="D763" s="711" t="s">
        <v>753</v>
      </c>
      <c r="E763" s="752">
        <v>0.3</v>
      </c>
      <c r="F763" s="713">
        <v>15.84</v>
      </c>
      <c r="G763" s="750">
        <f>TRUNC(F763*E763,2)</f>
        <v>4.75</v>
      </c>
    </row>
    <row r="764" spans="1:8" ht="16.5" hidden="1" thickBot="1">
      <c r="A764" s="473" t="s">
        <v>13459</v>
      </c>
      <c r="B764" s="753">
        <v>88264</v>
      </c>
      <c r="C764" s="717" t="s">
        <v>771</v>
      </c>
      <c r="D764" s="718" t="s">
        <v>753</v>
      </c>
      <c r="E764" s="754">
        <v>0.3</v>
      </c>
      <c r="F764" s="720">
        <v>20.52</v>
      </c>
      <c r="G764" s="755">
        <f>TRUNC(F764*E764,2)</f>
        <v>6.15</v>
      </c>
    </row>
    <row r="765" spans="1:8" ht="16.5" hidden="1" thickBot="1">
      <c r="A765" s="464"/>
      <c r="B765" s="1265" t="s">
        <v>13903</v>
      </c>
      <c r="C765" s="1265"/>
      <c r="D765" s="1265"/>
      <c r="E765" s="1265"/>
      <c r="F765" s="756" t="s">
        <v>22</v>
      </c>
      <c r="G765" s="757">
        <f>SUM(G761:G764)</f>
        <v>14.34</v>
      </c>
    </row>
    <row r="766" spans="1:8" hidden="1"/>
    <row r="767" spans="1:8" ht="15.75" hidden="1">
      <c r="A767" s="464"/>
      <c r="B767" s="704" t="str">
        <f>IF(COUNT($H$8:H767)&lt;10,CONCATENATE("COMP SPDA 00",COUNT($H$8:H767)),CONCATENATE("COMP SPDA 0",COUNT($H$8:H767)))</f>
        <v>COMP SPDA 044</v>
      </c>
      <c r="C767" s="1257" t="s">
        <v>13904</v>
      </c>
      <c r="D767" s="1257"/>
      <c r="E767" s="1257"/>
      <c r="F767" s="1257"/>
      <c r="G767" s="705" t="s">
        <v>28</v>
      </c>
      <c r="H767" s="698">
        <f>G774</f>
        <v>15.26</v>
      </c>
    </row>
    <row r="768" spans="1:8" ht="31.5" hidden="1">
      <c r="A768" s="464"/>
      <c r="B768" s="469" t="s">
        <v>13463</v>
      </c>
      <c r="C768" s="470" t="s">
        <v>13464</v>
      </c>
      <c r="D768" s="470" t="s">
        <v>28</v>
      </c>
      <c r="E768" s="470" t="s">
        <v>13465</v>
      </c>
      <c r="F768" s="471" t="s">
        <v>13466</v>
      </c>
      <c r="G768" s="472" t="s">
        <v>13467</v>
      </c>
    </row>
    <row r="769" spans="1:8" ht="15.75" hidden="1">
      <c r="A769" s="464"/>
      <c r="B769" s="1246" t="s">
        <v>13468</v>
      </c>
      <c r="C769" s="1247"/>
      <c r="D769" s="1247"/>
      <c r="E769" s="1247"/>
      <c r="F769" s="1247"/>
      <c r="G769" s="1248"/>
    </row>
    <row r="770" spans="1:8" ht="30" hidden="1">
      <c r="A770" s="473" t="s">
        <v>13458</v>
      </c>
      <c r="B770" s="751">
        <v>1586</v>
      </c>
      <c r="C770" s="710" t="s">
        <v>10908</v>
      </c>
      <c r="D770" s="711" t="s">
        <v>6636</v>
      </c>
      <c r="E770" s="766">
        <v>1</v>
      </c>
      <c r="F770" s="713">
        <v>4.3600000000000003</v>
      </c>
      <c r="G770" s="750">
        <f>TRUNC(F770*E770,2)</f>
        <v>4.3600000000000003</v>
      </c>
    </row>
    <row r="771" spans="1:8" ht="15.75" hidden="1">
      <c r="A771" s="464"/>
      <c r="B771" s="1246" t="s">
        <v>13469</v>
      </c>
      <c r="C771" s="1247"/>
      <c r="D771" s="1247"/>
      <c r="E771" s="1247"/>
      <c r="F771" s="1247"/>
      <c r="G771" s="1248"/>
    </row>
    <row r="772" spans="1:8" ht="15.75" hidden="1">
      <c r="A772" s="473" t="s">
        <v>13459</v>
      </c>
      <c r="B772" s="751">
        <v>88247</v>
      </c>
      <c r="C772" s="710" t="s">
        <v>924</v>
      </c>
      <c r="D772" s="711" t="s">
        <v>753</v>
      </c>
      <c r="E772" s="752">
        <v>0.3</v>
      </c>
      <c r="F772" s="713">
        <v>15.84</v>
      </c>
      <c r="G772" s="750">
        <f>TRUNC(F772*E772,2)</f>
        <v>4.75</v>
      </c>
    </row>
    <row r="773" spans="1:8" ht="16.5" hidden="1" thickBot="1">
      <c r="A773" s="473" t="s">
        <v>13459</v>
      </c>
      <c r="B773" s="753">
        <v>88264</v>
      </c>
      <c r="C773" s="717" t="s">
        <v>771</v>
      </c>
      <c r="D773" s="718" t="s">
        <v>753</v>
      </c>
      <c r="E773" s="754">
        <v>0.3</v>
      </c>
      <c r="F773" s="720">
        <v>20.52</v>
      </c>
      <c r="G773" s="755">
        <f>TRUNC(F773*E773,2)</f>
        <v>6.15</v>
      </c>
    </row>
    <row r="774" spans="1:8" ht="16.5" hidden="1" thickBot="1">
      <c r="A774" s="464"/>
      <c r="B774" s="1265" t="s">
        <v>13905</v>
      </c>
      <c r="C774" s="1265"/>
      <c r="D774" s="1265"/>
      <c r="E774" s="1265"/>
      <c r="F774" s="756" t="s">
        <v>22</v>
      </c>
      <c r="G774" s="757">
        <f>SUM(G770:G773)</f>
        <v>15.26</v>
      </c>
    </row>
    <row r="775" spans="1:8" hidden="1"/>
    <row r="776" spans="1:8" ht="15.75" hidden="1">
      <c r="A776" s="464"/>
      <c r="B776" s="704" t="str">
        <f>IF(COUNT($H$8:H776)&lt;10,CONCATENATE("COMP SPDA 00",COUNT($H$8:H776)),CONCATENATE("COMP SPDA 0",COUNT($H$8:H776)))</f>
        <v>COMP SPDA 045</v>
      </c>
      <c r="C776" s="1257" t="s">
        <v>203</v>
      </c>
      <c r="D776" s="1257"/>
      <c r="E776" s="1257"/>
      <c r="F776" s="1257"/>
      <c r="G776" s="705" t="s">
        <v>28</v>
      </c>
      <c r="H776" s="698">
        <f>G783</f>
        <v>15.340000000000002</v>
      </c>
    </row>
    <row r="777" spans="1:8" ht="31.5" hidden="1">
      <c r="A777" s="464"/>
      <c r="B777" s="469" t="s">
        <v>13463</v>
      </c>
      <c r="C777" s="470" t="s">
        <v>13464</v>
      </c>
      <c r="D777" s="470" t="s">
        <v>28</v>
      </c>
      <c r="E777" s="470" t="s">
        <v>13465</v>
      </c>
      <c r="F777" s="471" t="s">
        <v>13466</v>
      </c>
      <c r="G777" s="472" t="s">
        <v>13467</v>
      </c>
    </row>
    <row r="778" spans="1:8" ht="15.75" hidden="1">
      <c r="A778" s="464"/>
      <c r="B778" s="1246" t="s">
        <v>13468</v>
      </c>
      <c r="C778" s="1247"/>
      <c r="D778" s="1247"/>
      <c r="E778" s="1247"/>
      <c r="F778" s="1247"/>
      <c r="G778" s="1248"/>
    </row>
    <row r="779" spans="1:8" ht="30" hidden="1">
      <c r="A779" s="473" t="s">
        <v>13458</v>
      </c>
      <c r="B779" s="751">
        <v>1587</v>
      </c>
      <c r="C779" s="710" t="s">
        <v>10910</v>
      </c>
      <c r="D779" s="711" t="s">
        <v>6636</v>
      </c>
      <c r="E779" s="766">
        <v>1</v>
      </c>
      <c r="F779" s="713">
        <v>4.4400000000000004</v>
      </c>
      <c r="G779" s="750">
        <f>TRUNC(F779*E779,2)</f>
        <v>4.4400000000000004</v>
      </c>
    </row>
    <row r="780" spans="1:8" ht="15.75" hidden="1">
      <c r="A780" s="464"/>
      <c r="B780" s="1246" t="s">
        <v>13469</v>
      </c>
      <c r="C780" s="1247"/>
      <c r="D780" s="1247"/>
      <c r="E780" s="1247"/>
      <c r="F780" s="1247"/>
      <c r="G780" s="1248"/>
    </row>
    <row r="781" spans="1:8" ht="15.75" hidden="1">
      <c r="A781" s="473" t="s">
        <v>13459</v>
      </c>
      <c r="B781" s="751">
        <v>88247</v>
      </c>
      <c r="C781" s="710" t="s">
        <v>924</v>
      </c>
      <c r="D781" s="711" t="s">
        <v>753</v>
      </c>
      <c r="E781" s="752">
        <v>0.3</v>
      </c>
      <c r="F781" s="713">
        <v>15.84</v>
      </c>
      <c r="G781" s="750">
        <f>TRUNC(F781*E781,2)</f>
        <v>4.75</v>
      </c>
    </row>
    <row r="782" spans="1:8" ht="16.5" hidden="1" thickBot="1">
      <c r="A782" s="473" t="s">
        <v>13459</v>
      </c>
      <c r="B782" s="753">
        <v>88264</v>
      </c>
      <c r="C782" s="717" t="s">
        <v>771</v>
      </c>
      <c r="D782" s="718" t="s">
        <v>753</v>
      </c>
      <c r="E782" s="754">
        <v>0.3</v>
      </c>
      <c r="F782" s="720">
        <v>20.52</v>
      </c>
      <c r="G782" s="755">
        <f>TRUNC(F782*E782,2)</f>
        <v>6.15</v>
      </c>
    </row>
    <row r="783" spans="1:8" ht="16.5" hidden="1" thickBot="1">
      <c r="A783" s="464"/>
      <c r="B783" s="1265" t="s">
        <v>13906</v>
      </c>
      <c r="C783" s="1265"/>
      <c r="D783" s="1265"/>
      <c r="E783" s="1265"/>
      <c r="F783" s="756" t="s">
        <v>22</v>
      </c>
      <c r="G783" s="757">
        <f>SUM(G779:G782)</f>
        <v>15.340000000000002</v>
      </c>
    </row>
    <row r="784" spans="1:8" hidden="1"/>
    <row r="785" spans="1:8" ht="15.75" hidden="1">
      <c r="A785" s="464"/>
      <c r="B785" s="704" t="str">
        <f>IF(COUNT($H$8:H785)&lt;10,CONCATENATE("COMP SPDA 00",COUNT($H$8:H785)),CONCATENATE("COMP SPDA 0",COUNT($H$8:H785)))</f>
        <v>COMP SPDA 046</v>
      </c>
      <c r="C785" s="1257" t="s">
        <v>207</v>
      </c>
      <c r="D785" s="1257"/>
      <c r="E785" s="1257"/>
      <c r="F785" s="1257"/>
      <c r="G785" s="705" t="s">
        <v>28</v>
      </c>
      <c r="H785" s="698">
        <f>G792</f>
        <v>20.619999999999997</v>
      </c>
    </row>
    <row r="786" spans="1:8" ht="31.5" hidden="1">
      <c r="A786" s="464"/>
      <c r="B786" s="469" t="s">
        <v>13463</v>
      </c>
      <c r="C786" s="470" t="s">
        <v>13464</v>
      </c>
      <c r="D786" s="470" t="s">
        <v>28</v>
      </c>
      <c r="E786" s="470" t="s">
        <v>13465</v>
      </c>
      <c r="F786" s="471" t="s">
        <v>13466</v>
      </c>
      <c r="G786" s="472" t="s">
        <v>13467</v>
      </c>
    </row>
    <row r="787" spans="1:8" ht="15.75" hidden="1">
      <c r="A787" s="464"/>
      <c r="B787" s="1246" t="s">
        <v>13468</v>
      </c>
      <c r="C787" s="1247"/>
      <c r="D787" s="1247"/>
      <c r="E787" s="1247"/>
      <c r="F787" s="1247"/>
      <c r="G787" s="1248"/>
    </row>
    <row r="788" spans="1:8" ht="30" hidden="1">
      <c r="A788" s="473" t="s">
        <v>13458</v>
      </c>
      <c r="B788" s="751">
        <v>1588</v>
      </c>
      <c r="C788" s="710" t="s">
        <v>10912</v>
      </c>
      <c r="D788" s="711" t="s">
        <v>6636</v>
      </c>
      <c r="E788" s="766">
        <v>1</v>
      </c>
      <c r="F788" s="713">
        <v>6.09</v>
      </c>
      <c r="G788" s="750">
        <f>TRUNC(F788*E788,2)</f>
        <v>6.09</v>
      </c>
    </row>
    <row r="789" spans="1:8" ht="15.75" hidden="1">
      <c r="A789" s="464"/>
      <c r="B789" s="1246" t="s">
        <v>13469</v>
      </c>
      <c r="C789" s="1247"/>
      <c r="D789" s="1247"/>
      <c r="E789" s="1247"/>
      <c r="F789" s="1247"/>
      <c r="G789" s="1248"/>
    </row>
    <row r="790" spans="1:8" ht="15.75" hidden="1">
      <c r="A790" s="473" t="s">
        <v>13459</v>
      </c>
      <c r="B790" s="751">
        <v>88247</v>
      </c>
      <c r="C790" s="710" t="s">
        <v>924</v>
      </c>
      <c r="D790" s="711" t="s">
        <v>753</v>
      </c>
      <c r="E790" s="752">
        <v>0.4</v>
      </c>
      <c r="F790" s="713">
        <v>15.84</v>
      </c>
      <c r="G790" s="750">
        <f>TRUNC(F790*E790,2)</f>
        <v>6.33</v>
      </c>
    </row>
    <row r="791" spans="1:8" ht="16.5" hidden="1" thickBot="1">
      <c r="A791" s="473" t="s">
        <v>13459</v>
      </c>
      <c r="B791" s="753">
        <v>88264</v>
      </c>
      <c r="C791" s="717" t="s">
        <v>771</v>
      </c>
      <c r="D791" s="718" t="s">
        <v>753</v>
      </c>
      <c r="E791" s="754">
        <v>0.4</v>
      </c>
      <c r="F791" s="720">
        <v>20.52</v>
      </c>
      <c r="G791" s="755">
        <f>TRUNC(F791*E791,2)</f>
        <v>8.1999999999999993</v>
      </c>
    </row>
    <row r="792" spans="1:8" ht="16.5" hidden="1" thickBot="1">
      <c r="A792" s="464"/>
      <c r="B792" s="1265" t="s">
        <v>13907</v>
      </c>
      <c r="C792" s="1265"/>
      <c r="D792" s="1265"/>
      <c r="E792" s="1265"/>
      <c r="F792" s="756" t="s">
        <v>22</v>
      </c>
      <c r="G792" s="757">
        <f>SUM(G788:G791)</f>
        <v>20.619999999999997</v>
      </c>
    </row>
    <row r="793" spans="1:8" hidden="1"/>
    <row r="794" spans="1:8" ht="15.75" hidden="1">
      <c r="A794" s="464"/>
      <c r="B794" s="704" t="str">
        <f>IF(COUNT($H$8:H794)&lt;10,CONCATENATE("COMP SPDA 00",COUNT($H$8:H794)),CONCATENATE("COMP SPDA 0",COUNT($H$8:H794)))</f>
        <v>COMP SPDA 047</v>
      </c>
      <c r="C794" s="1257" t="s">
        <v>13908</v>
      </c>
      <c r="D794" s="1257"/>
      <c r="E794" s="1257"/>
      <c r="F794" s="1257"/>
      <c r="G794" s="705" t="s">
        <v>28</v>
      </c>
      <c r="H794" s="698">
        <f>G801</f>
        <v>17.18</v>
      </c>
    </row>
    <row r="795" spans="1:8" ht="31.5" hidden="1">
      <c r="A795" s="464"/>
      <c r="B795" s="469" t="s">
        <v>13463</v>
      </c>
      <c r="C795" s="470" t="s">
        <v>13464</v>
      </c>
      <c r="D795" s="470" t="s">
        <v>28</v>
      </c>
      <c r="E795" s="470" t="s">
        <v>13465</v>
      </c>
      <c r="F795" s="471" t="s">
        <v>13466</v>
      </c>
      <c r="G795" s="472" t="s">
        <v>13467</v>
      </c>
    </row>
    <row r="796" spans="1:8" ht="15.75" hidden="1">
      <c r="A796" s="464"/>
      <c r="B796" s="1246" t="s">
        <v>13468</v>
      </c>
      <c r="C796" s="1247"/>
      <c r="D796" s="1247"/>
      <c r="E796" s="1247"/>
      <c r="F796" s="1247"/>
      <c r="G796" s="1248"/>
    </row>
    <row r="797" spans="1:8" ht="30" hidden="1">
      <c r="A797" s="473" t="s">
        <v>13458</v>
      </c>
      <c r="B797" s="751">
        <v>1589</v>
      </c>
      <c r="C797" s="710" t="s">
        <v>10914</v>
      </c>
      <c r="D797" s="711" t="s">
        <v>6636</v>
      </c>
      <c r="E797" s="766">
        <v>1</v>
      </c>
      <c r="F797" s="713">
        <v>6.28</v>
      </c>
      <c r="G797" s="750">
        <f>TRUNC(F797*E797,2)</f>
        <v>6.28</v>
      </c>
    </row>
    <row r="798" spans="1:8" ht="15.75" hidden="1">
      <c r="A798" s="464"/>
      <c r="B798" s="1246" t="s">
        <v>13469</v>
      </c>
      <c r="C798" s="1247"/>
      <c r="D798" s="1247"/>
      <c r="E798" s="1247"/>
      <c r="F798" s="1247"/>
      <c r="G798" s="1248"/>
    </row>
    <row r="799" spans="1:8" ht="15.75" hidden="1">
      <c r="A799" s="473" t="s">
        <v>13459</v>
      </c>
      <c r="B799" s="751">
        <v>88247</v>
      </c>
      <c r="C799" s="710" t="s">
        <v>924</v>
      </c>
      <c r="D799" s="711" t="s">
        <v>753</v>
      </c>
      <c r="E799" s="752">
        <v>0.3</v>
      </c>
      <c r="F799" s="713">
        <v>15.84</v>
      </c>
      <c r="G799" s="750">
        <f>TRUNC(F799*E799,2)</f>
        <v>4.75</v>
      </c>
    </row>
    <row r="800" spans="1:8" ht="16.5" hidden="1" thickBot="1">
      <c r="A800" s="473" t="s">
        <v>13459</v>
      </c>
      <c r="B800" s="753">
        <v>88264</v>
      </c>
      <c r="C800" s="717" t="s">
        <v>771</v>
      </c>
      <c r="D800" s="718" t="s">
        <v>753</v>
      </c>
      <c r="E800" s="754">
        <v>0.3</v>
      </c>
      <c r="F800" s="720">
        <v>20.52</v>
      </c>
      <c r="G800" s="755">
        <f>TRUNC(F800*E800,2)</f>
        <v>6.15</v>
      </c>
    </row>
    <row r="801" spans="1:8" ht="16.5" hidden="1" thickBot="1">
      <c r="A801" s="464"/>
      <c r="B801" s="1265" t="s">
        <v>13909</v>
      </c>
      <c r="C801" s="1265"/>
      <c r="D801" s="1265"/>
      <c r="E801" s="1265"/>
      <c r="F801" s="756" t="s">
        <v>22</v>
      </c>
      <c r="G801" s="757">
        <f>SUM(G797:G800)</f>
        <v>17.18</v>
      </c>
    </row>
    <row r="802" spans="1:8" hidden="1"/>
    <row r="803" spans="1:8" ht="15.75" hidden="1">
      <c r="A803" s="464"/>
      <c r="B803" s="704" t="str">
        <f>IF(COUNT($H$8:H803)&lt;10,CONCATENATE("COMP SPDA 00",COUNT($H$8:H803)),CONCATENATE("COMP SPDA 0",COUNT($H$8:H803)))</f>
        <v>COMP SPDA 048</v>
      </c>
      <c r="C803" s="1257" t="s">
        <v>13910</v>
      </c>
      <c r="D803" s="1257"/>
      <c r="E803" s="1257"/>
      <c r="F803" s="1257"/>
      <c r="G803" s="705" t="s">
        <v>28</v>
      </c>
      <c r="H803" s="698">
        <f>G810</f>
        <v>21.96</v>
      </c>
    </row>
    <row r="804" spans="1:8" ht="31.5" hidden="1">
      <c r="A804" s="464"/>
      <c r="B804" s="469" t="s">
        <v>13463</v>
      </c>
      <c r="C804" s="470" t="s">
        <v>13464</v>
      </c>
      <c r="D804" s="470" t="s">
        <v>28</v>
      </c>
      <c r="E804" s="470" t="s">
        <v>13465</v>
      </c>
      <c r="F804" s="471" t="s">
        <v>13466</v>
      </c>
      <c r="G804" s="472" t="s">
        <v>13467</v>
      </c>
    </row>
    <row r="805" spans="1:8" ht="15.75" hidden="1">
      <c r="A805" s="464"/>
      <c r="B805" s="1246" t="s">
        <v>13468</v>
      </c>
      <c r="C805" s="1247"/>
      <c r="D805" s="1247"/>
      <c r="E805" s="1247"/>
      <c r="F805" s="1247"/>
      <c r="G805" s="1248"/>
    </row>
    <row r="806" spans="1:8" ht="30" hidden="1">
      <c r="A806" s="473" t="s">
        <v>13458</v>
      </c>
      <c r="B806" s="751">
        <v>1590</v>
      </c>
      <c r="C806" s="710" t="s">
        <v>10916</v>
      </c>
      <c r="D806" s="711" t="s">
        <v>6636</v>
      </c>
      <c r="E806" s="766">
        <v>1</v>
      </c>
      <c r="F806" s="713">
        <v>11.06</v>
      </c>
      <c r="G806" s="750">
        <f>TRUNC(F806*E806,2)</f>
        <v>11.06</v>
      </c>
    </row>
    <row r="807" spans="1:8" ht="15.75" hidden="1">
      <c r="A807" s="464"/>
      <c r="B807" s="1246" t="s">
        <v>13469</v>
      </c>
      <c r="C807" s="1247"/>
      <c r="D807" s="1247"/>
      <c r="E807" s="1247"/>
      <c r="F807" s="1247"/>
      <c r="G807" s="1248"/>
    </row>
    <row r="808" spans="1:8" ht="15.75" hidden="1">
      <c r="A808" s="473" t="s">
        <v>13459</v>
      </c>
      <c r="B808" s="751">
        <v>88247</v>
      </c>
      <c r="C808" s="710" t="s">
        <v>924</v>
      </c>
      <c r="D808" s="711" t="s">
        <v>753</v>
      </c>
      <c r="E808" s="752">
        <v>0.3</v>
      </c>
      <c r="F808" s="713">
        <v>15.84</v>
      </c>
      <c r="G808" s="750">
        <f>TRUNC(F808*E808,2)</f>
        <v>4.75</v>
      </c>
    </row>
    <row r="809" spans="1:8" ht="16.5" hidden="1" thickBot="1">
      <c r="A809" s="473" t="s">
        <v>13459</v>
      </c>
      <c r="B809" s="753">
        <v>88264</v>
      </c>
      <c r="C809" s="717" t="s">
        <v>771</v>
      </c>
      <c r="D809" s="718" t="s">
        <v>753</v>
      </c>
      <c r="E809" s="754">
        <v>0.3</v>
      </c>
      <c r="F809" s="720">
        <v>20.52</v>
      </c>
      <c r="G809" s="755">
        <f>TRUNC(F809*E809,2)</f>
        <v>6.15</v>
      </c>
    </row>
    <row r="810" spans="1:8" ht="16.5" hidden="1" thickBot="1">
      <c r="A810" s="464"/>
      <c r="B810" s="1265" t="s">
        <v>13911</v>
      </c>
      <c r="C810" s="1265"/>
      <c r="D810" s="1265"/>
      <c r="E810" s="1265"/>
      <c r="F810" s="756" t="s">
        <v>22</v>
      </c>
      <c r="G810" s="757">
        <f>SUM(G806:G809)</f>
        <v>21.96</v>
      </c>
    </row>
    <row r="811" spans="1:8" hidden="1"/>
    <row r="812" spans="1:8" ht="15.75" hidden="1">
      <c r="A812" s="464"/>
      <c r="B812" s="704" t="str">
        <f>IF(COUNT($H$8:H812)&lt;10,CONCATENATE("COMP SPDA 00",COUNT($H$8:H812)),CONCATENATE("COMP SPDA 0",COUNT($H$8:H812)))</f>
        <v>COMP SPDA 049</v>
      </c>
      <c r="C812" s="1257" t="s">
        <v>12925</v>
      </c>
      <c r="D812" s="1257"/>
      <c r="E812" s="1257"/>
      <c r="F812" s="1257"/>
      <c r="G812" s="705" t="s">
        <v>28</v>
      </c>
      <c r="H812" s="698">
        <f>G819</f>
        <v>34.57</v>
      </c>
    </row>
    <row r="813" spans="1:8" ht="31.5" hidden="1">
      <c r="A813" s="464"/>
      <c r="B813" s="469" t="s">
        <v>13463</v>
      </c>
      <c r="C813" s="470" t="s">
        <v>13464</v>
      </c>
      <c r="D813" s="470" t="s">
        <v>28</v>
      </c>
      <c r="E813" s="470" t="s">
        <v>13465</v>
      </c>
      <c r="F813" s="471" t="s">
        <v>13466</v>
      </c>
      <c r="G813" s="472" t="s">
        <v>13467</v>
      </c>
    </row>
    <row r="814" spans="1:8" ht="15.75" hidden="1">
      <c r="A814" s="464"/>
      <c r="B814" s="1246" t="s">
        <v>13468</v>
      </c>
      <c r="C814" s="1247"/>
      <c r="D814" s="1247"/>
      <c r="E814" s="1247"/>
      <c r="F814" s="1247"/>
      <c r="G814" s="1248"/>
    </row>
    <row r="815" spans="1:8" ht="30" hidden="1">
      <c r="A815" s="473" t="s">
        <v>13458</v>
      </c>
      <c r="B815" s="751">
        <v>1591</v>
      </c>
      <c r="C815" s="710" t="s">
        <v>1146</v>
      </c>
      <c r="D815" s="711" t="s">
        <v>6636</v>
      </c>
      <c r="E815" s="766">
        <v>1</v>
      </c>
      <c r="F815" s="713">
        <v>16.39</v>
      </c>
      <c r="G815" s="750">
        <f>TRUNC(F815*E815,2)</f>
        <v>16.39</v>
      </c>
    </row>
    <row r="816" spans="1:8" ht="15.75" hidden="1">
      <c r="A816" s="464"/>
      <c r="B816" s="1246" t="s">
        <v>13469</v>
      </c>
      <c r="C816" s="1247"/>
      <c r="D816" s="1247"/>
      <c r="E816" s="1247"/>
      <c r="F816" s="1247"/>
      <c r="G816" s="1248"/>
    </row>
    <row r="817" spans="1:8" ht="15.75" hidden="1">
      <c r="A817" s="473" t="s">
        <v>13459</v>
      </c>
      <c r="B817" s="751">
        <v>88247</v>
      </c>
      <c r="C817" s="710" t="s">
        <v>924</v>
      </c>
      <c r="D817" s="711" t="s">
        <v>753</v>
      </c>
      <c r="E817" s="752">
        <v>0.5</v>
      </c>
      <c r="F817" s="713">
        <v>15.84</v>
      </c>
      <c r="G817" s="750">
        <f>TRUNC(F817*E817,2)</f>
        <v>7.92</v>
      </c>
    </row>
    <row r="818" spans="1:8" ht="16.5" hidden="1" thickBot="1">
      <c r="A818" s="473" t="s">
        <v>13459</v>
      </c>
      <c r="B818" s="753">
        <v>88264</v>
      </c>
      <c r="C818" s="717" t="s">
        <v>771</v>
      </c>
      <c r="D818" s="718" t="s">
        <v>753</v>
      </c>
      <c r="E818" s="754">
        <v>0.5</v>
      </c>
      <c r="F818" s="720">
        <v>20.52</v>
      </c>
      <c r="G818" s="755">
        <f>TRUNC(F818*E818,2)</f>
        <v>10.26</v>
      </c>
    </row>
    <row r="819" spans="1:8" ht="16.5" hidden="1" thickBot="1">
      <c r="A819" s="464"/>
      <c r="B819" s="1265" t="s">
        <v>13912</v>
      </c>
      <c r="C819" s="1265"/>
      <c r="D819" s="1265"/>
      <c r="E819" s="1265"/>
      <c r="F819" s="756" t="s">
        <v>22</v>
      </c>
      <c r="G819" s="757">
        <f>SUM(G815:G818)</f>
        <v>34.57</v>
      </c>
    </row>
    <row r="820" spans="1:8" hidden="1"/>
    <row r="821" spans="1:8" ht="15.75" hidden="1">
      <c r="A821" s="464"/>
      <c r="B821" s="704" t="str">
        <f>IF(COUNT($H$8:H821)&lt;10,CONCATENATE("COMP SPDA 00",COUNT($H$8:H821)),CONCATENATE("COMP SPDA 0",COUNT($H$8:H821)))</f>
        <v>COMP SPDA 050</v>
      </c>
      <c r="C821" s="1257" t="s">
        <v>13913</v>
      </c>
      <c r="D821" s="1257"/>
      <c r="E821" s="1257"/>
      <c r="F821" s="1257"/>
      <c r="G821" s="705" t="s">
        <v>28</v>
      </c>
      <c r="H821" s="698">
        <f>G828</f>
        <v>34.909999999999997</v>
      </c>
    </row>
    <row r="822" spans="1:8" ht="31.5" hidden="1">
      <c r="A822" s="464"/>
      <c r="B822" s="469" t="s">
        <v>13463</v>
      </c>
      <c r="C822" s="470" t="s">
        <v>13464</v>
      </c>
      <c r="D822" s="470" t="s">
        <v>28</v>
      </c>
      <c r="E822" s="470" t="s">
        <v>13465</v>
      </c>
      <c r="F822" s="471" t="s">
        <v>13466</v>
      </c>
      <c r="G822" s="472" t="s">
        <v>13467</v>
      </c>
    </row>
    <row r="823" spans="1:8" ht="15.75" hidden="1">
      <c r="A823" s="464"/>
      <c r="B823" s="1246" t="s">
        <v>13468</v>
      </c>
      <c r="C823" s="1247"/>
      <c r="D823" s="1247"/>
      <c r="E823" s="1247"/>
      <c r="F823" s="1247"/>
      <c r="G823" s="1248"/>
    </row>
    <row r="824" spans="1:8" ht="30" hidden="1">
      <c r="A824" s="473" t="s">
        <v>13458</v>
      </c>
      <c r="B824" s="751">
        <v>38196</v>
      </c>
      <c r="C824" s="710" t="s">
        <v>10902</v>
      </c>
      <c r="D824" s="711" t="s">
        <v>6636</v>
      </c>
      <c r="E824" s="766">
        <v>1</v>
      </c>
      <c r="F824" s="713">
        <v>16.73</v>
      </c>
      <c r="G824" s="750">
        <f>TRUNC(F824*E824,2)</f>
        <v>16.73</v>
      </c>
    </row>
    <row r="825" spans="1:8" ht="15.75" hidden="1">
      <c r="A825" s="464"/>
      <c r="B825" s="1246" t="s">
        <v>13469</v>
      </c>
      <c r="C825" s="1247"/>
      <c r="D825" s="1247"/>
      <c r="E825" s="1247"/>
      <c r="F825" s="1247"/>
      <c r="G825" s="1248"/>
    </row>
    <row r="826" spans="1:8" ht="15.75" hidden="1">
      <c r="A826" s="473" t="s">
        <v>13459</v>
      </c>
      <c r="B826" s="751">
        <v>88247</v>
      </c>
      <c r="C826" s="710" t="s">
        <v>924</v>
      </c>
      <c r="D826" s="711" t="s">
        <v>753</v>
      </c>
      <c r="E826" s="752">
        <v>0.5</v>
      </c>
      <c r="F826" s="713">
        <v>15.84</v>
      </c>
      <c r="G826" s="750">
        <f>TRUNC(F826*E826,2)</f>
        <v>7.92</v>
      </c>
    </row>
    <row r="827" spans="1:8" ht="16.5" hidden="1" thickBot="1">
      <c r="A827" s="473" t="s">
        <v>13459</v>
      </c>
      <c r="B827" s="753">
        <v>88264</v>
      </c>
      <c r="C827" s="717" t="s">
        <v>771</v>
      </c>
      <c r="D827" s="718" t="s">
        <v>753</v>
      </c>
      <c r="E827" s="754">
        <v>0.5</v>
      </c>
      <c r="F827" s="720">
        <v>20.52</v>
      </c>
      <c r="G827" s="755">
        <f>TRUNC(F827*E827,2)</f>
        <v>10.26</v>
      </c>
    </row>
    <row r="828" spans="1:8" ht="16.5" hidden="1" thickBot="1">
      <c r="A828" s="464"/>
      <c r="B828" s="1265" t="s">
        <v>13914</v>
      </c>
      <c r="C828" s="1265"/>
      <c r="D828" s="1265"/>
      <c r="E828" s="1265"/>
      <c r="F828" s="756" t="s">
        <v>22</v>
      </c>
      <c r="G828" s="757">
        <f>SUM(G824:G827)</f>
        <v>34.909999999999997</v>
      </c>
    </row>
    <row r="829" spans="1:8" hidden="1"/>
    <row r="830" spans="1:8" ht="15.75" hidden="1">
      <c r="A830" s="464"/>
      <c r="B830" s="704" t="str">
        <f>IF(COUNT($H$8:H830)&lt;10,CONCATENATE("COMP SPDA 00",COUNT($H$8:H830)),CONCATENATE("COMP SPDA 0",COUNT($H$8:H830)))</f>
        <v>COMP SPDA 051</v>
      </c>
      <c r="C830" s="1257" t="s">
        <v>13915</v>
      </c>
      <c r="D830" s="1257"/>
      <c r="E830" s="1257"/>
      <c r="F830" s="1257"/>
      <c r="G830" s="705" t="s">
        <v>28</v>
      </c>
      <c r="H830" s="698">
        <f>G837</f>
        <v>36.47</v>
      </c>
    </row>
    <row r="831" spans="1:8" ht="31.5" hidden="1">
      <c r="A831" s="464"/>
      <c r="B831" s="469" t="s">
        <v>13463</v>
      </c>
      <c r="C831" s="470" t="s">
        <v>13464</v>
      </c>
      <c r="D831" s="470" t="s">
        <v>28</v>
      </c>
      <c r="E831" s="470" t="s">
        <v>13465</v>
      </c>
      <c r="F831" s="471" t="s">
        <v>13466</v>
      </c>
      <c r="G831" s="472" t="s">
        <v>13467</v>
      </c>
    </row>
    <row r="832" spans="1:8" ht="15.75" hidden="1">
      <c r="A832" s="464"/>
      <c r="B832" s="1246" t="s">
        <v>13468</v>
      </c>
      <c r="C832" s="1247"/>
      <c r="D832" s="1247"/>
      <c r="E832" s="1247"/>
      <c r="F832" s="1247"/>
      <c r="G832" s="1248"/>
    </row>
    <row r="833" spans="1:8" ht="30" hidden="1">
      <c r="A833" s="473" t="s">
        <v>13458</v>
      </c>
      <c r="B833" s="751">
        <v>1593</v>
      </c>
      <c r="C833" s="710" t="s">
        <v>10905</v>
      </c>
      <c r="D833" s="711" t="s">
        <v>6636</v>
      </c>
      <c r="E833" s="766">
        <v>1</v>
      </c>
      <c r="F833" s="713">
        <v>18.29</v>
      </c>
      <c r="G833" s="750">
        <f>TRUNC(F833*E833,2)</f>
        <v>18.29</v>
      </c>
    </row>
    <row r="834" spans="1:8" ht="15.75" hidden="1">
      <c r="A834" s="464"/>
      <c r="B834" s="1246" t="s">
        <v>13469</v>
      </c>
      <c r="C834" s="1247"/>
      <c r="D834" s="1247"/>
      <c r="E834" s="1247"/>
      <c r="F834" s="1247"/>
      <c r="G834" s="1248"/>
    </row>
    <row r="835" spans="1:8" ht="15.75" hidden="1">
      <c r="A835" s="473" t="s">
        <v>13459</v>
      </c>
      <c r="B835" s="751">
        <v>88247</v>
      </c>
      <c r="C835" s="710" t="s">
        <v>924</v>
      </c>
      <c r="D835" s="711" t="s">
        <v>753</v>
      </c>
      <c r="E835" s="752">
        <v>0.5</v>
      </c>
      <c r="F835" s="713">
        <v>15.84</v>
      </c>
      <c r="G835" s="750">
        <f>TRUNC(F835*E835,2)</f>
        <v>7.92</v>
      </c>
    </row>
    <row r="836" spans="1:8" ht="16.5" hidden="1" thickBot="1">
      <c r="A836" s="473" t="s">
        <v>13459</v>
      </c>
      <c r="B836" s="753">
        <v>88264</v>
      </c>
      <c r="C836" s="717" t="s">
        <v>771</v>
      </c>
      <c r="D836" s="718" t="s">
        <v>753</v>
      </c>
      <c r="E836" s="754">
        <v>0.5</v>
      </c>
      <c r="F836" s="720">
        <v>20.52</v>
      </c>
      <c r="G836" s="755">
        <f>TRUNC(F836*E836,2)</f>
        <v>10.26</v>
      </c>
    </row>
    <row r="837" spans="1:8" ht="16.5" hidden="1" thickBot="1">
      <c r="A837" s="464"/>
      <c r="B837" s="1265" t="s">
        <v>13916</v>
      </c>
      <c r="C837" s="1265"/>
      <c r="D837" s="1265"/>
      <c r="E837" s="1265"/>
      <c r="F837" s="756" t="s">
        <v>22</v>
      </c>
      <c r="G837" s="757">
        <f>SUM(G833:G836)</f>
        <v>36.47</v>
      </c>
    </row>
    <row r="838" spans="1:8" hidden="1"/>
    <row r="839" spans="1:8" ht="15.75" hidden="1">
      <c r="A839" s="464"/>
      <c r="B839" s="704" t="str">
        <f>IF(COUNT($H$8:H839)&lt;10,CONCATENATE("COMP SPDA 00",COUNT($H$8:H839)),CONCATENATE("COMP SPDA 0",COUNT($H$8:H839)))</f>
        <v>COMP SPDA 052</v>
      </c>
      <c r="C839" s="1257" t="s">
        <v>12926</v>
      </c>
      <c r="D839" s="1257"/>
      <c r="E839" s="1257"/>
      <c r="F839" s="1257"/>
      <c r="G839" s="705" t="s">
        <v>28</v>
      </c>
      <c r="H839" s="698">
        <f>G846</f>
        <v>42.309999999999995</v>
      </c>
    </row>
    <row r="840" spans="1:8" ht="31.5" hidden="1">
      <c r="A840" s="464"/>
      <c r="B840" s="469" t="s">
        <v>13463</v>
      </c>
      <c r="C840" s="470" t="s">
        <v>13464</v>
      </c>
      <c r="D840" s="470" t="s">
        <v>28</v>
      </c>
      <c r="E840" s="470" t="s">
        <v>13465</v>
      </c>
      <c r="F840" s="471" t="s">
        <v>13466</v>
      </c>
      <c r="G840" s="472" t="s">
        <v>13467</v>
      </c>
    </row>
    <row r="841" spans="1:8" ht="15.75" hidden="1">
      <c r="A841" s="464"/>
      <c r="B841" s="1246" t="s">
        <v>13468</v>
      </c>
      <c r="C841" s="1247"/>
      <c r="D841" s="1247"/>
      <c r="E841" s="1247"/>
      <c r="F841" s="1247"/>
      <c r="G841" s="1248"/>
    </row>
    <row r="842" spans="1:8" ht="30" hidden="1">
      <c r="A842" s="473" t="s">
        <v>13458</v>
      </c>
      <c r="B842" s="751">
        <v>11838</v>
      </c>
      <c r="C842" s="710" t="s">
        <v>10906</v>
      </c>
      <c r="D842" s="711" t="s">
        <v>6636</v>
      </c>
      <c r="E842" s="766">
        <v>1</v>
      </c>
      <c r="F842" s="713">
        <v>24.13</v>
      </c>
      <c r="G842" s="750">
        <f>TRUNC(F842*E842,2)</f>
        <v>24.13</v>
      </c>
    </row>
    <row r="843" spans="1:8" ht="15.75" hidden="1">
      <c r="A843" s="464"/>
      <c r="B843" s="1246" t="s">
        <v>13469</v>
      </c>
      <c r="C843" s="1247"/>
      <c r="D843" s="1247"/>
      <c r="E843" s="1247"/>
      <c r="F843" s="1247"/>
      <c r="G843" s="1248"/>
    </row>
    <row r="844" spans="1:8" ht="15.75" hidden="1">
      <c r="A844" s="473" t="s">
        <v>13459</v>
      </c>
      <c r="B844" s="751">
        <v>88247</v>
      </c>
      <c r="C844" s="710" t="s">
        <v>924</v>
      </c>
      <c r="D844" s="711" t="s">
        <v>753</v>
      </c>
      <c r="E844" s="752">
        <v>0.5</v>
      </c>
      <c r="F844" s="713">
        <v>15.84</v>
      </c>
      <c r="G844" s="750">
        <f>TRUNC(F844*E844,2)</f>
        <v>7.92</v>
      </c>
    </row>
    <row r="845" spans="1:8" ht="16.5" hidden="1" thickBot="1">
      <c r="A845" s="473" t="s">
        <v>13459</v>
      </c>
      <c r="B845" s="753">
        <v>88264</v>
      </c>
      <c r="C845" s="717" t="s">
        <v>771</v>
      </c>
      <c r="D845" s="718" t="s">
        <v>753</v>
      </c>
      <c r="E845" s="754">
        <v>0.5</v>
      </c>
      <c r="F845" s="720">
        <v>20.52</v>
      </c>
      <c r="G845" s="755">
        <f>TRUNC(F845*E845,2)</f>
        <v>10.26</v>
      </c>
    </row>
    <row r="846" spans="1:8" ht="16.5" hidden="1" thickBot="1">
      <c r="A846" s="464"/>
      <c r="B846" s="1265" t="s">
        <v>13917</v>
      </c>
      <c r="C846" s="1265"/>
      <c r="D846" s="1265"/>
      <c r="E846" s="1265"/>
      <c r="F846" s="756" t="s">
        <v>22</v>
      </c>
      <c r="G846" s="757">
        <f>SUM(G842:G845)</f>
        <v>42.309999999999995</v>
      </c>
    </row>
    <row r="847" spans="1:8" hidden="1"/>
    <row r="848" spans="1:8" ht="15.75" hidden="1">
      <c r="A848" s="464"/>
      <c r="B848" s="704" t="str">
        <f>IF(COUNT($H$8:H848)&lt;10,CONCATENATE("COMP SPDA 00",COUNT($H$8:H848)),CONCATENATE("COMP SPDA 0",COUNT($H$8:H848)))</f>
        <v>COMP SPDA 053</v>
      </c>
      <c r="C848" s="1257" t="s">
        <v>13918</v>
      </c>
      <c r="D848" s="1257"/>
      <c r="E848" s="1257"/>
      <c r="F848" s="1257"/>
      <c r="G848" s="705" t="s">
        <v>28</v>
      </c>
      <c r="H848" s="698">
        <f>G855</f>
        <v>53.29</v>
      </c>
    </row>
    <row r="849" spans="1:7" ht="31.5" hidden="1">
      <c r="A849" s="464"/>
      <c r="B849" s="469" t="s">
        <v>13463</v>
      </c>
      <c r="C849" s="470" t="s">
        <v>13464</v>
      </c>
      <c r="D849" s="470" t="s">
        <v>28</v>
      </c>
      <c r="E849" s="470" t="s">
        <v>13465</v>
      </c>
      <c r="F849" s="471" t="s">
        <v>13466</v>
      </c>
      <c r="G849" s="472" t="s">
        <v>13467</v>
      </c>
    </row>
    <row r="850" spans="1:7" ht="15.75" hidden="1">
      <c r="A850" s="464"/>
      <c r="B850" s="1246" t="s">
        <v>13468</v>
      </c>
      <c r="C850" s="1247"/>
      <c r="D850" s="1247"/>
      <c r="E850" s="1247"/>
      <c r="F850" s="1247"/>
      <c r="G850" s="1248"/>
    </row>
    <row r="851" spans="1:7" ht="30" hidden="1">
      <c r="A851" s="473" t="s">
        <v>13458</v>
      </c>
      <c r="B851" s="751">
        <v>11839</v>
      </c>
      <c r="C851" s="710" t="s">
        <v>10909</v>
      </c>
      <c r="D851" s="711" t="s">
        <v>6636</v>
      </c>
      <c r="E851" s="766">
        <v>1</v>
      </c>
      <c r="F851" s="713">
        <v>35.11</v>
      </c>
      <c r="G851" s="750">
        <f>TRUNC(F851*E851,2)</f>
        <v>35.11</v>
      </c>
    </row>
    <row r="852" spans="1:7" ht="15.75" hidden="1">
      <c r="A852" s="464"/>
      <c r="B852" s="1246" t="s">
        <v>13469</v>
      </c>
      <c r="C852" s="1247"/>
      <c r="D852" s="1247"/>
      <c r="E852" s="1247"/>
      <c r="F852" s="1247"/>
      <c r="G852" s="1248"/>
    </row>
    <row r="853" spans="1:7" ht="15.75" hidden="1">
      <c r="A853" s="473" t="s">
        <v>13459</v>
      </c>
      <c r="B853" s="751">
        <v>88247</v>
      </c>
      <c r="C853" s="710" t="s">
        <v>924</v>
      </c>
      <c r="D853" s="711" t="s">
        <v>753</v>
      </c>
      <c r="E853" s="752">
        <v>0.5</v>
      </c>
      <c r="F853" s="713">
        <v>15.84</v>
      </c>
      <c r="G853" s="750">
        <f>TRUNC(F853*E853,2)</f>
        <v>7.92</v>
      </c>
    </row>
    <row r="854" spans="1:7" ht="16.5" hidden="1" thickBot="1">
      <c r="A854" s="473" t="s">
        <v>13459</v>
      </c>
      <c r="B854" s="753">
        <v>88264</v>
      </c>
      <c r="C854" s="717" t="s">
        <v>771</v>
      </c>
      <c r="D854" s="718" t="s">
        <v>753</v>
      </c>
      <c r="E854" s="754">
        <v>0.5</v>
      </c>
      <c r="F854" s="720">
        <v>20.52</v>
      </c>
      <c r="G854" s="755">
        <f>TRUNC(F854*E854,2)</f>
        <v>10.26</v>
      </c>
    </row>
    <row r="855" spans="1:7" ht="16.5" hidden="1" thickBot="1">
      <c r="A855" s="464"/>
      <c r="B855" s="1265" t="s">
        <v>13919</v>
      </c>
      <c r="C855" s="1265"/>
      <c r="D855" s="1265"/>
      <c r="E855" s="1265"/>
      <c r="F855" s="756" t="s">
        <v>22</v>
      </c>
      <c r="G855" s="757">
        <f>SUM(G851:G854)</f>
        <v>53.29</v>
      </c>
    </row>
    <row r="856" spans="1:7" hidden="1"/>
    <row r="857" spans="1:7" hidden="1"/>
    <row r="869" spans="3:3" ht="15">
      <c r="C869" s="348"/>
    </row>
    <row r="870" spans="3:3" ht="15">
      <c r="C870" s="349" t="s">
        <v>12862</v>
      </c>
    </row>
    <row r="871" spans="3:3" ht="15">
      <c r="C871" s="351" t="s">
        <v>12863</v>
      </c>
    </row>
    <row r="872" spans="3:3" ht="15">
      <c r="C872" s="351" t="s">
        <v>12864</v>
      </c>
    </row>
  </sheetData>
  <mergeCells count="250">
    <mergeCell ref="C848:F848"/>
    <mergeCell ref="B850:G850"/>
    <mergeCell ref="B852:G852"/>
    <mergeCell ref="B855:E855"/>
    <mergeCell ref="B834:G834"/>
    <mergeCell ref="B837:E837"/>
    <mergeCell ref="C839:F839"/>
    <mergeCell ref="B841:G841"/>
    <mergeCell ref="B843:G843"/>
    <mergeCell ref="B846:E846"/>
    <mergeCell ref="C821:F821"/>
    <mergeCell ref="B823:G823"/>
    <mergeCell ref="B825:G825"/>
    <mergeCell ref="B828:E828"/>
    <mergeCell ref="C830:F830"/>
    <mergeCell ref="B832:G832"/>
    <mergeCell ref="B807:G807"/>
    <mergeCell ref="B810:E810"/>
    <mergeCell ref="C812:F812"/>
    <mergeCell ref="B814:G814"/>
    <mergeCell ref="B816:G816"/>
    <mergeCell ref="B819:E819"/>
    <mergeCell ref="C794:F794"/>
    <mergeCell ref="B796:G796"/>
    <mergeCell ref="B798:G798"/>
    <mergeCell ref="B801:E801"/>
    <mergeCell ref="C803:F803"/>
    <mergeCell ref="B805:G805"/>
    <mergeCell ref="B780:G780"/>
    <mergeCell ref="B783:E783"/>
    <mergeCell ref="C785:F785"/>
    <mergeCell ref="B787:G787"/>
    <mergeCell ref="B789:G789"/>
    <mergeCell ref="B792:E792"/>
    <mergeCell ref="C767:F767"/>
    <mergeCell ref="B769:G769"/>
    <mergeCell ref="B771:G771"/>
    <mergeCell ref="B774:E774"/>
    <mergeCell ref="C776:F776"/>
    <mergeCell ref="B778:G778"/>
    <mergeCell ref="B753:G753"/>
    <mergeCell ref="B756:E756"/>
    <mergeCell ref="C758:F758"/>
    <mergeCell ref="B760:G760"/>
    <mergeCell ref="B762:G762"/>
    <mergeCell ref="B765:E765"/>
    <mergeCell ref="C740:F740"/>
    <mergeCell ref="B742:G742"/>
    <mergeCell ref="B744:G744"/>
    <mergeCell ref="B747:E747"/>
    <mergeCell ref="C749:F749"/>
    <mergeCell ref="B751:G751"/>
    <mergeCell ref="B726:G726"/>
    <mergeCell ref="B729:E729"/>
    <mergeCell ref="C731:F731"/>
    <mergeCell ref="B733:G733"/>
    <mergeCell ref="B735:G735"/>
    <mergeCell ref="B738:E738"/>
    <mergeCell ref="C713:F713"/>
    <mergeCell ref="B715:G715"/>
    <mergeCell ref="B717:G717"/>
    <mergeCell ref="B720:E720"/>
    <mergeCell ref="C722:F722"/>
    <mergeCell ref="B724:G724"/>
    <mergeCell ref="B699:G699"/>
    <mergeCell ref="B702:E702"/>
    <mergeCell ref="C704:F704"/>
    <mergeCell ref="B706:G706"/>
    <mergeCell ref="B708:G708"/>
    <mergeCell ref="B711:E711"/>
    <mergeCell ref="C686:F686"/>
    <mergeCell ref="B688:G688"/>
    <mergeCell ref="B690:G690"/>
    <mergeCell ref="B693:E693"/>
    <mergeCell ref="C695:F695"/>
    <mergeCell ref="B697:G697"/>
    <mergeCell ref="B668:G668"/>
    <mergeCell ref="B670:E670"/>
    <mergeCell ref="C672:F672"/>
    <mergeCell ref="B674:G674"/>
    <mergeCell ref="B681:G681"/>
    <mergeCell ref="B684:E684"/>
    <mergeCell ref="C655:F655"/>
    <mergeCell ref="B657:G657"/>
    <mergeCell ref="B659:G659"/>
    <mergeCell ref="B661:E661"/>
    <mergeCell ref="C664:F664"/>
    <mergeCell ref="B666:G666"/>
    <mergeCell ref="B625:E625"/>
    <mergeCell ref="B639:G639"/>
    <mergeCell ref="C647:F647"/>
    <mergeCell ref="B649:G649"/>
    <mergeCell ref="B651:G651"/>
    <mergeCell ref="B653:E654"/>
    <mergeCell ref="B613:G613"/>
    <mergeCell ref="B618:G618"/>
    <mergeCell ref="B620:E621"/>
    <mergeCell ref="B622:E622"/>
    <mergeCell ref="B623:G623"/>
    <mergeCell ref="B624:G624"/>
    <mergeCell ref="C585:F585"/>
    <mergeCell ref="B587:G587"/>
    <mergeCell ref="B592:G592"/>
    <mergeCell ref="B595:E596"/>
    <mergeCell ref="B603:G603"/>
    <mergeCell ref="C611:F611"/>
    <mergeCell ref="B559:G559"/>
    <mergeCell ref="B564:G564"/>
    <mergeCell ref="B567:E568"/>
    <mergeCell ref="B570:G570"/>
    <mergeCell ref="B571:G571"/>
    <mergeCell ref="B577:G577"/>
    <mergeCell ref="B531:G531"/>
    <mergeCell ref="B536:G536"/>
    <mergeCell ref="B539:E540"/>
    <mergeCell ref="B541:G541"/>
    <mergeCell ref="B542:G542"/>
    <mergeCell ref="C557:F557"/>
    <mergeCell ref="B516:G516"/>
    <mergeCell ref="B518:G518"/>
    <mergeCell ref="B521:E522"/>
    <mergeCell ref="B524:G524"/>
    <mergeCell ref="B525:G527"/>
    <mergeCell ref="C529:F529"/>
    <mergeCell ref="B490:E490"/>
    <mergeCell ref="C499:F499"/>
    <mergeCell ref="B501:G501"/>
    <mergeCell ref="B503:G503"/>
    <mergeCell ref="B505:E505"/>
    <mergeCell ref="C514:F514"/>
    <mergeCell ref="B470:G470"/>
    <mergeCell ref="B472:G472"/>
    <mergeCell ref="B475:E475"/>
    <mergeCell ref="C484:F484"/>
    <mergeCell ref="B486:G486"/>
    <mergeCell ref="B488:G488"/>
    <mergeCell ref="B449:G449"/>
    <mergeCell ref="B453:G453"/>
    <mergeCell ref="B456:E457"/>
    <mergeCell ref="B458:G458"/>
    <mergeCell ref="B459:G459"/>
    <mergeCell ref="C468:F468"/>
    <mergeCell ref="B433:G433"/>
    <mergeCell ref="B438:G438"/>
    <mergeCell ref="B441:E442"/>
    <mergeCell ref="B444:G444"/>
    <mergeCell ref="B445:G445"/>
    <mergeCell ref="C447:F447"/>
    <mergeCell ref="B418:G418"/>
    <mergeCell ref="B423:G423"/>
    <mergeCell ref="B426:E427"/>
    <mergeCell ref="B428:G428"/>
    <mergeCell ref="B429:G429"/>
    <mergeCell ref="C431:F431"/>
    <mergeCell ref="B388:G388"/>
    <mergeCell ref="B390:E391"/>
    <mergeCell ref="B392:G392"/>
    <mergeCell ref="B393:G393"/>
    <mergeCell ref="B415:C415"/>
    <mergeCell ref="C416:F416"/>
    <mergeCell ref="B354:G354"/>
    <mergeCell ref="B356:E356"/>
    <mergeCell ref="B357:G357"/>
    <mergeCell ref="B358:G358"/>
    <mergeCell ref="C381:F381"/>
    <mergeCell ref="B383:G383"/>
    <mergeCell ref="B332:G332"/>
    <mergeCell ref="B334:E335"/>
    <mergeCell ref="B336:G336"/>
    <mergeCell ref="B337:G337"/>
    <mergeCell ref="C346:F346"/>
    <mergeCell ref="B348:G348"/>
    <mergeCell ref="B313:G313"/>
    <mergeCell ref="B315:G315"/>
    <mergeCell ref="B317:E317"/>
    <mergeCell ref="B325:E325"/>
    <mergeCell ref="C326:F326"/>
    <mergeCell ref="B328:G328"/>
    <mergeCell ref="C279:F279"/>
    <mergeCell ref="B281:G281"/>
    <mergeCell ref="B285:G285"/>
    <mergeCell ref="B288:E289"/>
    <mergeCell ref="B303:G303"/>
    <mergeCell ref="C311:F311"/>
    <mergeCell ref="B232:E232"/>
    <mergeCell ref="B247:G247"/>
    <mergeCell ref="C255:F255"/>
    <mergeCell ref="B257:G257"/>
    <mergeCell ref="B259:G259"/>
    <mergeCell ref="B262:E263"/>
    <mergeCell ref="B217:G217"/>
    <mergeCell ref="B219:G219"/>
    <mergeCell ref="B221:E222"/>
    <mergeCell ref="C223:F223"/>
    <mergeCell ref="B225:G225"/>
    <mergeCell ref="B229:G229"/>
    <mergeCell ref="B203:G203"/>
    <mergeCell ref="C207:F207"/>
    <mergeCell ref="B209:G209"/>
    <mergeCell ref="B211:G211"/>
    <mergeCell ref="B213:E214"/>
    <mergeCell ref="C215:F215"/>
    <mergeCell ref="B191:G191"/>
    <mergeCell ref="B194:E195"/>
    <mergeCell ref="B196:G196"/>
    <mergeCell ref="B197:G197"/>
    <mergeCell ref="C199:F199"/>
    <mergeCell ref="B201:G201"/>
    <mergeCell ref="B175:G175"/>
    <mergeCell ref="B178:E179"/>
    <mergeCell ref="B181:G181"/>
    <mergeCell ref="B182:G182"/>
    <mergeCell ref="C184:F184"/>
    <mergeCell ref="B186:G186"/>
    <mergeCell ref="C157:F157"/>
    <mergeCell ref="B159:G159"/>
    <mergeCell ref="B162:G162"/>
    <mergeCell ref="B165:E166"/>
    <mergeCell ref="C168:F168"/>
    <mergeCell ref="B170:G170"/>
    <mergeCell ref="B142:G142"/>
    <mergeCell ref="B144:E145"/>
    <mergeCell ref="B146:E146"/>
    <mergeCell ref="B154:G154"/>
    <mergeCell ref="B155:G155"/>
    <mergeCell ref="B156:E156"/>
    <mergeCell ref="B105:G105"/>
    <mergeCell ref="B109:G109"/>
    <mergeCell ref="B112:E112"/>
    <mergeCell ref="B127:G127"/>
    <mergeCell ref="C135:F135"/>
    <mergeCell ref="B137:G137"/>
    <mergeCell ref="B48:E48"/>
    <mergeCell ref="C71:F71"/>
    <mergeCell ref="B73:G73"/>
    <mergeCell ref="B77:G77"/>
    <mergeCell ref="B80:E80"/>
    <mergeCell ref="C103:F103"/>
    <mergeCell ref="B25:G25"/>
    <mergeCell ref="B27:G27"/>
    <mergeCell ref="B30:E30"/>
    <mergeCell ref="C39:F39"/>
    <mergeCell ref="B41:G41"/>
    <mergeCell ref="B45:G45"/>
    <mergeCell ref="B6:G6"/>
    <mergeCell ref="C8:F8"/>
    <mergeCell ref="B10:G10"/>
    <mergeCell ref="B12:G12"/>
    <mergeCell ref="B14:E15"/>
    <mergeCell ref="C23:F23"/>
  </mergeCells>
  <dataValidations count="1">
    <dataValidation type="list" allowBlank="1" showInputMessage="1" showErrorMessage="1" sqref="A13 A218 A851 A853:A854 A842 A844:A845 A833 A835:A836 A824 A826:A827 A815 A817:A818 A806 A808:A809 A797 A799:A800 A788 A790:A791 A779 A781:A782 A770 A772:A773 A761 A763:A764 A752 A754:A755 A743 A745:A746 A734 A736:A737 A725 A727:A728 A698 A700:A701 A716 A718:A719 A707 A709:A710 A689 A691:A692 A675:A680 A682:A683 A357:A358 A336:A337 A349:A353 A355 A384:A387 A389 A450:A452 A454:A455 A650 A652 A615:A617 A619 A588:A591 A593:A594 A560:A563 A565:A566 A532:A535 A537:A538 A517 A519:A520 A504 A489 A473:A474 A658 A139:A141 A163:A164 A171:A174 A143 A160:A161 A439:A440 A329:A331 A424:A425 A419:A422 A333 A210 A202 A187:A190 A667 A434:A437 A316 A286:A287 A260:A261 A230:A231 A220 A212 A204 A192:A193 A176:A177 A669 A660 A110:A111 A78:A79 A46:A47 A28:A29">
      <formula1>#REF!</formula1>
    </dataValidation>
  </dataValidations>
  <hyperlinks>
    <hyperlink ref="C290" r:id="rId1"/>
  </hyperlinks>
  <printOptions horizontalCentered="1"/>
  <pageMargins left="0.59055118110236227" right="0.59055118110236227" top="1.7716535433070868" bottom="0.78740157480314965" header="0.19685039370078741" footer="0.19685039370078741"/>
  <pageSetup paperSize="9" scale="48" orientation="portrait" r:id="rId2"/>
  <headerFooter scaleWithDoc="0" alignWithMargins="0">
    <oddFooter>Página &amp;P de &amp;N</oddFooter>
  </headerFooter>
  <rowBreaks count="3" manualBreakCount="3">
    <brk id="88" min="1" max="6" man="1"/>
    <brk id="174" min="1" max="6" man="1"/>
    <brk id="318" min="1" max="6" man="1"/>
  </rowBreaks>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Planilhas</vt:lpstr>
      </vt:variant>
      <vt:variant>
        <vt:i4>22</vt:i4>
      </vt:variant>
      <vt:variant>
        <vt:lpstr>Intervalos nomeados</vt:lpstr>
      </vt:variant>
      <vt:variant>
        <vt:i4>27</vt:i4>
      </vt:variant>
    </vt:vector>
  </HeadingPairs>
  <TitlesOfParts>
    <vt:vector size="49" baseType="lpstr">
      <vt:lpstr>RESUMO</vt:lpstr>
      <vt:lpstr>insnãodes</vt:lpstr>
      <vt:lpstr>comp_nãodes</vt:lpstr>
      <vt:lpstr>PLANILHA ORÇAMENTARIA</vt:lpstr>
      <vt:lpstr>CRONOGRAMA</vt:lpstr>
      <vt:lpstr>CPU-ARQ</vt:lpstr>
      <vt:lpstr>COMP. HIDRO</vt:lpstr>
      <vt:lpstr>COMP. ELETRICO </vt:lpstr>
      <vt:lpstr>COMP. SPDA </vt:lpstr>
      <vt:lpstr>COMP. INC</vt:lpstr>
      <vt:lpstr>QUANTITATIVOS ARQ</vt:lpstr>
      <vt:lpstr>quant-incêndio</vt:lpstr>
      <vt:lpstr>quant-arq</vt:lpstr>
      <vt:lpstr>quant-hidrossanitario</vt:lpstr>
      <vt:lpstr>quant-elétrico</vt:lpstr>
      <vt:lpstr>quant-SPDA</vt:lpstr>
      <vt:lpstr>quant-GLP</vt:lpstr>
      <vt:lpstr>quant-est_bloco_escolar</vt:lpstr>
      <vt:lpstr>quant-est_quadra</vt:lpstr>
      <vt:lpstr>quant-est_refeitório</vt:lpstr>
      <vt:lpstr>quant-est_cobertura_escola</vt:lpstr>
      <vt:lpstr>quant-est_cobertura_rampa</vt:lpstr>
      <vt:lpstr>'COMP. ELETRICO '!Area_de_impressao</vt:lpstr>
      <vt:lpstr>'COMP. HIDRO'!Area_de_impressao</vt:lpstr>
      <vt:lpstr>'COMP. INC'!Area_de_impressao</vt:lpstr>
      <vt:lpstr>'COMP. SPDA '!Area_de_impressao</vt:lpstr>
      <vt:lpstr>'CPU-ARQ'!Area_de_impressao</vt:lpstr>
      <vt:lpstr>CRONOGRAMA!Area_de_impressao</vt:lpstr>
      <vt:lpstr>'PLANILHA ORÇAMENTARIA'!Area_de_impressao</vt:lpstr>
      <vt:lpstr>'quant-arq'!Area_de_impressao</vt:lpstr>
      <vt:lpstr>'quant-est_bloco_escolar'!Area_de_impressao</vt:lpstr>
      <vt:lpstr>'quant-GLP'!Area_de_impressao</vt:lpstr>
      <vt:lpstr>'QUANTITATIVOS ARQ'!Area_de_impressao</vt:lpstr>
      <vt:lpstr>RESUMO!Area_de_impressao</vt:lpstr>
      <vt:lpstr>comp_não</vt:lpstr>
      <vt:lpstr>comp_nãodes</vt:lpstr>
      <vt:lpstr>ins_não</vt:lpstr>
      <vt:lpstr>ins_nãodes</vt:lpstr>
      <vt:lpstr>insnãodes</vt:lpstr>
      <vt:lpstr>INSUMO_NÃO</vt:lpstr>
      <vt:lpstr>'COMP. ELETRICO '!Titulos_de_impressao</vt:lpstr>
      <vt:lpstr>'COMP. HIDRO'!Titulos_de_impressao</vt:lpstr>
      <vt:lpstr>'COMP. INC'!Titulos_de_impressao</vt:lpstr>
      <vt:lpstr>'COMP. SPDA '!Titulos_de_impressao</vt:lpstr>
      <vt:lpstr>'CPU-ARQ'!Titulos_de_impressao</vt:lpstr>
      <vt:lpstr>CRONOGRAMA!Titulos_de_impressao</vt:lpstr>
      <vt:lpstr>'PLANILHA ORÇAMENTARIA'!Titulos_de_impressao</vt:lpstr>
      <vt:lpstr>'quant-arq'!Titulos_de_impressao</vt:lpstr>
      <vt:lpstr>'QUANTITATIVOS ARQ'!Titulos_de_impressao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045311031</dc:creator>
  <cp:lastModifiedBy>1457</cp:lastModifiedBy>
  <cp:lastPrinted>2020-07-03T11:21:10Z</cp:lastPrinted>
  <dcterms:created xsi:type="dcterms:W3CDTF">2015-08-31T13:56:44Z</dcterms:created>
  <dcterms:modified xsi:type="dcterms:W3CDTF">2020-07-17T20:06:28Z</dcterms:modified>
</cp:coreProperties>
</file>